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_Updated_2026-08-01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<sst xmlns="http://schemas.openxmlformats.org/spreadsheetml/2006/main" count="5279" uniqueCount="3492">
  <si>
    <t>Ticker</t>
  </si>
  <si>
    <t>CMP</t>
  </si>
  <si>
    <t>% Change</t>
  </si>
  <si>
    <t>Open</t>
  </si>
  <si>
    <t>high</t>
  </si>
  <si>
    <t>low</t>
  </si>
  <si>
    <t>close</t>
  </si>
  <si>
    <t>30-DAY HGH</t>
  </si>
  <si>
    <t>30-DAY LOW</t>
  </si>
  <si>
    <t>52-Week High</t>
  </si>
  <si>
    <t>52-Week Low</t>
  </si>
  <si>
    <t>Proximity to 52-WH</t>
  </si>
  <si>
    <t>Proximity to 52-WL</t>
  </si>
  <si>
    <t>ID Volatiltiy Spread</t>
  </si>
  <si>
    <t>@</t>
  </si>
  <si>
    <t>Stochastic Index</t>
  </si>
  <si>
    <t>PE Ratio</t>
  </si>
  <si>
    <t>volume</t>
  </si>
  <si>
    <t>20-Day SMA</t>
  </si>
  <si>
    <t>50-Day SMA</t>
  </si>
  <si>
    <t>200-Day SMA</t>
  </si>
  <si>
    <t>% Distance from 50-SMA</t>
  </si>
  <si>
    <t>RSI</t>
  </si>
  <si>
    <t>Relative Volume</t>
  </si>
  <si>
    <t>Traded Value</t>
  </si>
  <si>
    <t>1-Day Volume Price Trend (VPT)</t>
  </si>
  <si>
    <t>NSE:RELIANCE</t>
  </si>
  <si>
    <t>F&amp;O 1</t>
  </si>
  <si>
    <t>Script</t>
  </si>
  <si>
    <t>Name</t>
  </si>
  <si>
    <t>%</t>
  </si>
  <si>
    <t>Points (Rupees)</t>
  </si>
  <si>
    <t>F&amp;O 2</t>
  </si>
  <si>
    <t>F&amp;O 3</t>
  </si>
  <si>
    <t>F&amp;O 4</t>
  </si>
  <si>
    <t>CHEM-1</t>
  </si>
  <si>
    <t>CHEM-2</t>
  </si>
  <si>
    <t>PHARMA-1</t>
  </si>
  <si>
    <t>PHARMA-2</t>
  </si>
  <si>
    <t>INDUSTRIAL-1</t>
  </si>
  <si>
    <t>INDUSTRIAL-2</t>
  </si>
  <si>
    <t>AUTO-1</t>
  </si>
  <si>
    <t>AUTO-2</t>
  </si>
  <si>
    <t>NSE:BHARTIARTL</t>
  </si>
  <si>
    <t>INFRA</t>
  </si>
  <si>
    <t>REALTY</t>
  </si>
  <si>
    <t>FINANCE-1</t>
  </si>
  <si>
    <t>FINANCE-2</t>
  </si>
  <si>
    <t>BANKS</t>
  </si>
  <si>
    <t>NSE:HDFCBANK</t>
  </si>
  <si>
    <t>RELIANCE</t>
  </si>
  <si>
    <t>JINDALSTEL</t>
  </si>
  <si>
    <t>NSE:ICICIBANK</t>
  </si>
  <si>
    <t>APLAPOLLO</t>
  </si>
  <si>
    <t>ANGELONE</t>
  </si>
  <si>
    <t>INOXINDIA</t>
  </si>
  <si>
    <t>NSLNISP</t>
  </si>
  <si>
    <t>Indoco Remedies Limited</t>
  </si>
  <si>
    <t>NSE:SBIN</t>
  </si>
  <si>
    <t>MMTC</t>
  </si>
  <si>
    <t>NEPHROPLUS</t>
  </si>
  <si>
    <t>VADILALIND</t>
  </si>
  <si>
    <t>NSE:TCS</t>
  </si>
  <si>
    <t>NRBBEARING</t>
  </si>
  <si>
    <t>NITINSPIN</t>
  </si>
  <si>
    <t>CAMLINFINE</t>
  </si>
  <si>
    <t>DYCL</t>
  </si>
  <si>
    <t>SHRIRAMPPS</t>
  </si>
  <si>
    <t>ARROWGREEN</t>
  </si>
  <si>
    <t>JITFINFRA</t>
  </si>
  <si>
    <t>BESTAGRO</t>
  </si>
  <si>
    <t>BHARTIARTL</t>
  </si>
  <si>
    <t>NSE:BAJFINANCE</t>
  </si>
  <si>
    <t>Greenlam Industries Limited</t>
  </si>
  <si>
    <t>HDFCAMC</t>
  </si>
  <si>
    <t>VMM</t>
  </si>
  <si>
    <t>APOLLOTYRE</t>
  </si>
  <si>
    <t>LMW</t>
  </si>
  <si>
    <t>TRIDENT</t>
  </si>
  <si>
    <t>NSE:LT</t>
  </si>
  <si>
    <t>THYROCARE</t>
  </si>
  <si>
    <t>INOXGREEN</t>
  </si>
  <si>
    <t>CARERATING</t>
  </si>
  <si>
    <t>MANINFRA</t>
  </si>
  <si>
    <t>CARRARO</t>
  </si>
  <si>
    <t>NSE:LICI</t>
  </si>
  <si>
    <t>JNKINDIA</t>
  </si>
  <si>
    <t>NSE:HINDUNILVR</t>
  </si>
  <si>
    <t>HATHWAY</t>
  </si>
  <si>
    <t>GNRL</t>
  </si>
  <si>
    <t>JINDALPHOT</t>
  </si>
  <si>
    <t>TNPETRO</t>
  </si>
  <si>
    <t>NSE:SUNPHARMA</t>
  </si>
  <si>
    <t>INNOVANA</t>
  </si>
  <si>
    <t>HDFCBANK</t>
  </si>
  <si>
    <t>Credit Analysis And Research Limited</t>
  </si>
  <si>
    <t>GMRAIRPORT</t>
  </si>
  <si>
    <t>TATACOMM</t>
  </si>
  <si>
    <t>NSE:INFY</t>
  </si>
  <si>
    <t>SJVN</t>
  </si>
  <si>
    <t>POLYMED</t>
  </si>
  <si>
    <t>NAZARA</t>
  </si>
  <si>
    <t>ALKYLAMINE</t>
  </si>
  <si>
    <t>PRECWIRE</t>
  </si>
  <si>
    <t>PDSL</t>
  </si>
  <si>
    <t>NSE:MARUTI</t>
  </si>
  <si>
    <t>CAPILLARY</t>
  </si>
  <si>
    <t>INTERARCH</t>
  </si>
  <si>
    <t>RHETAN</t>
  </si>
  <si>
    <t>MARSONS</t>
  </si>
  <si>
    <t>NSE:TITAN</t>
  </si>
  <si>
    <t>STEELXIND</t>
  </si>
  <si>
    <t>AVTNPL</t>
  </si>
  <si>
    <t>VLSFINANCE</t>
  </si>
  <si>
    <t>MUKKA</t>
  </si>
  <si>
    <t>ICICIBANK</t>
  </si>
  <si>
    <t>Jb Chemicals &amp; Pharmaceuticals Limited</t>
  </si>
  <si>
    <t>GVT&amp;D</t>
  </si>
  <si>
    <t>NSE:M&amp;M</t>
  </si>
  <si>
    <t>ATHERENERG</t>
  </si>
  <si>
    <t>MSUMI</t>
  </si>
  <si>
    <t>J&amp;KBANK</t>
  </si>
  <si>
    <t>JPPOWER</t>
  </si>
  <si>
    <t>RAILTEL</t>
  </si>
  <si>
    <t>NSE:ADANIPOWER</t>
  </si>
  <si>
    <t>CAMPUS</t>
  </si>
  <si>
    <t>DEEDEV</t>
  </si>
  <si>
    <t>ASHIANA</t>
  </si>
  <si>
    <t>WONDERLA</t>
  </si>
  <si>
    <t>VEEDOL</t>
  </si>
  <si>
    <t>EIHAHOTELS</t>
  </si>
  <si>
    <t>ATULAUTO</t>
  </si>
  <si>
    <t>GHCLTEXTIL</t>
  </si>
  <si>
    <t>NSE:ADANIENT</t>
  </si>
  <si>
    <t>BORANA</t>
  </si>
  <si>
    <t>RAMASTEEL</t>
  </si>
  <si>
    <t>SBIN</t>
  </si>
  <si>
    <t>Religare Enterprises Limited</t>
  </si>
  <si>
    <t>ABCAPITAL</t>
  </si>
  <si>
    <t>FLUOROCHEM</t>
  </si>
  <si>
    <t>PTCIL</t>
  </si>
  <si>
    <t>TATACHEM</t>
  </si>
  <si>
    <t>NSE:KOTAKBANK</t>
  </si>
  <si>
    <t>PCBL</t>
  </si>
  <si>
    <t>TEJASNET</t>
  </si>
  <si>
    <t>TRANSRAILL</t>
  </si>
  <si>
    <t>LGBBROSLTD</t>
  </si>
  <si>
    <t>GUFICBIO</t>
  </si>
  <si>
    <t>NSE:AXISBANK</t>
  </si>
  <si>
    <t>STALLION</t>
  </si>
  <si>
    <t>SAIPARENT</t>
  </si>
  <si>
    <t>BCG</t>
  </si>
  <si>
    <t>IGARASHI</t>
  </si>
  <si>
    <t>VHL</t>
  </si>
  <si>
    <t>KOKUYOCMLN</t>
  </si>
  <si>
    <t>NSE:ADANIPORTS</t>
  </si>
  <si>
    <t>ONMOBILE</t>
  </si>
  <si>
    <t>TCS</t>
  </si>
  <si>
    <t>Himachal Futuristic Communications Limited</t>
  </si>
  <si>
    <t>LUPIN</t>
  </si>
  <si>
    <t>SONACOMS</t>
  </si>
  <si>
    <t>ITI</t>
  </si>
  <si>
    <t>NSE:HCLTECH</t>
  </si>
  <si>
    <t>TRAVELFOOD</t>
  </si>
  <si>
    <t>ENGINERSIN</t>
  </si>
  <si>
    <t>BANCOINDIA</t>
  </si>
  <si>
    <t>ASHAPURMIN</t>
  </si>
  <si>
    <t>RUSTOMJEE</t>
  </si>
  <si>
    <t>JTEKTINDIA</t>
  </si>
  <si>
    <t>NSE:ITC</t>
  </si>
  <si>
    <t>BUILDPRO</t>
  </si>
  <si>
    <t>REPCOHOME</t>
  </si>
  <si>
    <t>SIMPLEXINF</t>
  </si>
  <si>
    <t>CLSEL</t>
  </si>
  <si>
    <t>BCLIND</t>
  </si>
  <si>
    <t>SEJALLTD</t>
  </si>
  <si>
    <t>NSE:ULTRACEMCO</t>
  </si>
  <si>
    <t>GTPL</t>
  </si>
  <si>
    <t>BAJFINANCE</t>
  </si>
  <si>
    <t>Vinati Organics Limited</t>
  </si>
  <si>
    <t>UNITDSPR</t>
  </si>
  <si>
    <t>BALKRISIND</t>
  </si>
  <si>
    <t>SYRMA</t>
  </si>
  <si>
    <t>NSE:NTPC</t>
  </si>
  <si>
    <t>CMPDI</t>
  </si>
  <si>
    <t>JSWHL</t>
  </si>
  <si>
    <t>PNGJL</t>
  </si>
  <si>
    <t>POWERICA</t>
  </si>
  <si>
    <t>GOODLUCK</t>
  </si>
  <si>
    <t>GUJTHEM</t>
  </si>
  <si>
    <t>NSE:BAJAJFINSV</t>
  </si>
  <si>
    <t>TVSSRICHAK</t>
  </si>
  <si>
    <t>EASEMYTRIP</t>
  </si>
  <si>
    <t>INSECTICID</t>
  </si>
  <si>
    <t>PUNJABCHEM</t>
  </si>
  <si>
    <t>NSE:BAJAJ-AUTO</t>
  </si>
  <si>
    <t>MONTECARLO</t>
  </si>
  <si>
    <t>OMINFRAL</t>
  </si>
  <si>
    <t>SAURASHCEM</t>
  </si>
  <si>
    <t>LT</t>
  </si>
  <si>
    <t>Greaves Cotton Limited</t>
  </si>
  <si>
    <t>GODREJCP</t>
  </si>
  <si>
    <t>KEI</t>
  </si>
  <si>
    <t>NSE:HAL</t>
  </si>
  <si>
    <t>AMBER</t>
  </si>
  <si>
    <t>VTL</t>
  </si>
  <si>
    <t>KEC</t>
  </si>
  <si>
    <t>SONATSOFTW</t>
  </si>
  <si>
    <t>NSE:JSWSTEEL</t>
  </si>
  <si>
    <t>SPARC</t>
  </si>
  <si>
    <t>EMIL</t>
  </si>
  <si>
    <t>SHAREINDIA</t>
  </si>
  <si>
    <t>DPABHUSHAN</t>
  </si>
  <si>
    <t>KICL</t>
  </si>
  <si>
    <t>VIKRAN</t>
  </si>
  <si>
    <t>BOROSCI</t>
  </si>
  <si>
    <t>DAMCAPITAL</t>
  </si>
  <si>
    <t>NSE:ONGC</t>
  </si>
  <si>
    <t>ARIHANTCAP</t>
  </si>
  <si>
    <t>EMKAY</t>
  </si>
  <si>
    <t>LICI</t>
  </si>
  <si>
    <t>Niit Limited</t>
  </si>
  <si>
    <t>HEROMOTOCO</t>
  </si>
  <si>
    <t>HINDCOPPER</t>
  </si>
  <si>
    <t>PPLPHARMA</t>
  </si>
  <si>
    <t>NSE:ETERNAL</t>
  </si>
  <si>
    <t>MINDACORP</t>
  </si>
  <si>
    <t>BLUESTONE</t>
  </si>
  <si>
    <t>VESUVIUS</t>
  </si>
  <si>
    <t>FDC</t>
  </si>
  <si>
    <t>ORCHPHARMA</t>
  </si>
  <si>
    <t>DECNGOLD</t>
  </si>
  <si>
    <t>ELPROINTL</t>
  </si>
  <si>
    <t>NSE:NESTLEIND</t>
  </si>
  <si>
    <t>ORISSAMINE</t>
  </si>
  <si>
    <t>GRMOVER</t>
  </si>
  <si>
    <t>GALAPREC</t>
  </si>
  <si>
    <t>HITECHGEAR</t>
  </si>
  <si>
    <t>COMSYN</t>
  </si>
  <si>
    <t>KSOLVES</t>
  </si>
  <si>
    <t>HINDUNILVR</t>
  </si>
  <si>
    <t>SWSOLAR</t>
  </si>
  <si>
    <t>NSE:BEL</t>
  </si>
  <si>
    <t>TATACONSUM</t>
  </si>
  <si>
    <t>RVNL</t>
  </si>
  <si>
    <t>IIFL</t>
  </si>
  <si>
    <t>CROMPTON</t>
  </si>
  <si>
    <t>HOMEFIRST</t>
  </si>
  <si>
    <t>NSE:POWERGRID</t>
  </si>
  <si>
    <t>PCJEWELLER</t>
  </si>
  <si>
    <t>GOKULAGRO</t>
  </si>
  <si>
    <t>SHARDAMOTR</t>
  </si>
  <si>
    <t>GMMPFAUDLR</t>
  </si>
  <si>
    <t>ADFFOODS</t>
  </si>
  <si>
    <t>SIRCA</t>
  </si>
  <si>
    <t>TBZ</t>
  </si>
  <si>
    <t>MOTISONS</t>
  </si>
  <si>
    <t>JPOLYINVST</t>
  </si>
  <si>
    <t>ROHLTD</t>
  </si>
  <si>
    <t>NSE:ASIANPAINT</t>
  </si>
  <si>
    <t>MERCURYEV</t>
  </si>
  <si>
    <t>SUNPHARMA</t>
  </si>
  <si>
    <t>BSE (Bombay stock exchange)</t>
  </si>
  <si>
    <t>MAXHEALTH</t>
  </si>
  <si>
    <t>PIRAMALFIN</t>
  </si>
  <si>
    <t>CRAFTSMAN</t>
  </si>
  <si>
    <t>ARE&amp;M</t>
  </si>
  <si>
    <t>INDGN</t>
  </si>
  <si>
    <t>BATAINDIA</t>
  </si>
  <si>
    <t>NSE:DMART</t>
  </si>
  <si>
    <t>AJAXENGG</t>
  </si>
  <si>
    <t>PURVA</t>
  </si>
  <si>
    <t>PSPPROJECT</t>
  </si>
  <si>
    <t>NAVNETEDUL</t>
  </si>
  <si>
    <t>TASTYBITE</t>
  </si>
  <si>
    <t>HINDWAREAP</t>
  </si>
  <si>
    <t>GPTHEALTH</t>
  </si>
  <si>
    <t>TEMBO</t>
  </si>
  <si>
    <t>NSE:COALINDIA</t>
  </si>
  <si>
    <t>FEDDERSHOL</t>
  </si>
  <si>
    <t>PYRAMID</t>
  </si>
  <si>
    <t>INFY</t>
  </si>
  <si>
    <t>Ccl Products (india) Limited</t>
  </si>
  <si>
    <t>AMBUJACEM</t>
  </si>
  <si>
    <t>PREMIERENE</t>
  </si>
  <si>
    <t>NSE:SHRIRAMFIN</t>
  </si>
  <si>
    <t>NETWEB</t>
  </si>
  <si>
    <t>TBOTEK</t>
  </si>
  <si>
    <t>BALRAMCHIN</t>
  </si>
  <si>
    <t>TARIL</t>
  </si>
  <si>
    <t>SENCO</t>
  </si>
  <si>
    <t>QUESS</t>
  </si>
  <si>
    <t>FOSECOIND</t>
  </si>
  <si>
    <t>HLEGLAS</t>
  </si>
  <si>
    <t>NSE:TATASTEEL</t>
  </si>
  <si>
    <t>GREENPANEL</t>
  </si>
  <si>
    <t>CAPACITE</t>
  </si>
  <si>
    <t>BHARATSE</t>
  </si>
  <si>
    <t>3BBLACKBIO</t>
  </si>
  <si>
    <t>UTTAMSUGAR</t>
  </si>
  <si>
    <t>FABTECH</t>
  </si>
  <si>
    <t>NSE:HINDZINC</t>
  </si>
  <si>
    <t>MARUTI</t>
  </si>
  <si>
    <t>Fairchem Speciality</t>
  </si>
  <si>
    <t>BHARATFORG</t>
  </si>
  <si>
    <t>360ONE</t>
  </si>
  <si>
    <t>GUJENERGY</t>
  </si>
  <si>
    <t>GRWRHITECH</t>
  </si>
  <si>
    <t>WABAG</t>
  </si>
  <si>
    <t>NSE:ADANIGREEN</t>
  </si>
  <si>
    <t>NCC</t>
  </si>
  <si>
    <t>AXISCADES</t>
  </si>
  <si>
    <t>LXCHEM</t>
  </si>
  <si>
    <t>EIEL</t>
  </si>
  <si>
    <t>JTLIND</t>
  </si>
  <si>
    <t>SIKA</t>
  </si>
  <si>
    <t>GRANDOAK</t>
  </si>
  <si>
    <t>JAGRAN</t>
  </si>
  <si>
    <t>CREST</t>
  </si>
  <si>
    <t>NSE:HINDALCO</t>
  </si>
  <si>
    <t>RADHIKAJWE</t>
  </si>
  <si>
    <t>EMAMIPAP</t>
  </si>
  <si>
    <t>TITAN</t>
  </si>
  <si>
    <t>Heritage Foods Limited</t>
  </si>
  <si>
    <t>INDHOTEL</t>
  </si>
  <si>
    <t>BDL</t>
  </si>
  <si>
    <t>ACMESOLAR</t>
  </si>
  <si>
    <t>NSE:EICHERMOT</t>
  </si>
  <si>
    <t>RATNAMANI</t>
  </si>
  <si>
    <t>INDIACEM</t>
  </si>
  <si>
    <t>SGMART</t>
  </si>
  <si>
    <t>SUNFLAG</t>
  </si>
  <si>
    <t>BLISSGVS</t>
  </si>
  <si>
    <t>RAYMOND</t>
  </si>
  <si>
    <t>NSE:DIVISLAB</t>
  </si>
  <si>
    <t>VSSL</t>
  </si>
  <si>
    <t>DRAGARWQ</t>
  </si>
  <si>
    <t>NUCLEUS</t>
  </si>
  <si>
    <t>QUADFUTURE</t>
  </si>
  <si>
    <t>MADRASFERT</t>
  </si>
  <si>
    <t>ORICONENT</t>
  </si>
  <si>
    <t>LAXMIINDIA</t>
  </si>
  <si>
    <t>M&amp;M</t>
  </si>
  <si>
    <t>Hikal Limited</t>
  </si>
  <si>
    <t>NSE:GRASIM</t>
  </si>
  <si>
    <t>VEDL</t>
  </si>
  <si>
    <t>AIIL</t>
  </si>
  <si>
    <t>NBCC</t>
  </si>
  <si>
    <t>THELEELA</t>
  </si>
  <si>
    <t>NUVOCO</t>
  </si>
  <si>
    <t>TTKPRESTIG</t>
  </si>
  <si>
    <t>LATENTVIEW</t>
  </si>
  <si>
    <t>NSE:TVSMOTOR</t>
  </si>
  <si>
    <t>LUMAXIND</t>
  </si>
  <si>
    <t>AARTIDRUGS</t>
  </si>
  <si>
    <t>BALMLAWRIE</t>
  </si>
  <si>
    <t>NSE:INDIGO</t>
  </si>
  <si>
    <t>RISHABH</t>
  </si>
  <si>
    <t>WINDLAS</t>
  </si>
  <si>
    <t>KABRAEXTRU</t>
  </si>
  <si>
    <t>NSE:IOC</t>
  </si>
  <si>
    <t>SHREDIGCEM</t>
  </si>
  <si>
    <t>REGAAL</t>
  </si>
  <si>
    <t>XTRANET</t>
  </si>
  <si>
    <t>NSE:ADANIENSOL</t>
  </si>
  <si>
    <t>ADANIPOWER</t>
  </si>
  <si>
    <t>Tata Chemicals Limited</t>
  </si>
  <si>
    <t>INDUSTOWER</t>
  </si>
  <si>
    <t>ANTHEM</t>
  </si>
  <si>
    <t>GABRIEL</t>
  </si>
  <si>
    <t>NSE:TORNTPHARM</t>
  </si>
  <si>
    <t>PSB</t>
  </si>
  <si>
    <t>AVANTIFEED</t>
  </si>
  <si>
    <t>QPOWER</t>
  </si>
  <si>
    <t>NSE:SBILIFE</t>
  </si>
  <si>
    <t>ACI</t>
  </si>
  <si>
    <t>GUJALKALI</t>
  </si>
  <si>
    <t>VSTTILLERS</t>
  </si>
  <si>
    <t>DIVGIITTS</t>
  </si>
  <si>
    <t>VINDHYATEL</t>
  </si>
  <si>
    <t>NSE:WIPRO</t>
  </si>
  <si>
    <t>KRISHNADEF</t>
  </si>
  <si>
    <t>TCC</t>
  </si>
  <si>
    <t>MWL</t>
  </si>
  <si>
    <t>DVL</t>
  </si>
  <si>
    <t>NSE:VAML</t>
  </si>
  <si>
    <t>NAHARPOLY</t>
  </si>
  <si>
    <t>ADANIENT</t>
  </si>
  <si>
    <t>Welspun India Limited</t>
  </si>
  <si>
    <t>MANKIND</t>
  </si>
  <si>
    <t>PAGEIND</t>
  </si>
  <si>
    <t>NSE:HYUNDAI</t>
  </si>
  <si>
    <t>CREDITACC</t>
  </si>
  <si>
    <t>JINDALSAW</t>
  </si>
  <si>
    <t>BLUEDART</t>
  </si>
  <si>
    <t>IXIGO</t>
  </si>
  <si>
    <t>NSE:JIOFIN</t>
  </si>
  <si>
    <t>PAISALO</t>
  </si>
  <si>
    <t>BANSALWIRE</t>
  </si>
  <si>
    <t>KERNEX</t>
  </si>
  <si>
    <t>DCAL</t>
  </si>
  <si>
    <t>ORIENTHOT</t>
  </si>
  <si>
    <t>NSE:SOLARINDS</t>
  </si>
  <si>
    <t>JINDRILL</t>
  </si>
  <si>
    <t>MOL</t>
  </si>
  <si>
    <t>GANDHITUBE</t>
  </si>
  <si>
    <t>KRYSTAL</t>
  </si>
  <si>
    <t>UNIENTER</t>
  </si>
  <si>
    <t>KOTAKBANK</t>
  </si>
  <si>
    <t>Maithan Alloys Limited</t>
  </si>
  <si>
    <t>NSE:PIDILITIND</t>
  </si>
  <si>
    <t>JSWENERGY</t>
  </si>
  <si>
    <t>GLAXO</t>
  </si>
  <si>
    <t>KAYNES</t>
  </si>
  <si>
    <t>NATCOPHARM</t>
  </si>
  <si>
    <t>SOUTHBANK</t>
  </si>
  <si>
    <t>EUREKAFORB</t>
  </si>
  <si>
    <t>NSE:DLF</t>
  </si>
  <si>
    <t>KOVAI</t>
  </si>
  <si>
    <t>DATAMATICS</t>
  </si>
  <si>
    <t>JINDWORLD</t>
  </si>
  <si>
    <t>NSE:TECHM</t>
  </si>
  <si>
    <t>WINDMACHIN</t>
  </si>
  <si>
    <t>COSMOFIRST</t>
  </si>
  <si>
    <t>JAICORPLTD</t>
  </si>
  <si>
    <t>KALAMANDIR</t>
  </si>
  <si>
    <t>STEL</t>
  </si>
  <si>
    <t>NSE:TMCV</t>
  </si>
  <si>
    <t>SYSTMTXC</t>
  </si>
  <si>
    <t>KILITCH</t>
  </si>
  <si>
    <t>AXISBANK</t>
  </si>
  <si>
    <t>Krbl Limited</t>
  </si>
  <si>
    <t>LGEINDIA</t>
  </si>
  <si>
    <t>AEGISLOG</t>
  </si>
  <si>
    <t>NSE:TRENT</t>
  </si>
  <si>
    <t>ACC</t>
  </si>
  <si>
    <t>KPITTECH</t>
  </si>
  <si>
    <t>AVALON</t>
  </si>
  <si>
    <t>SUVEN</t>
  </si>
  <si>
    <t>MAPMYINDIA</t>
  </si>
  <si>
    <t>NSE:MOTHERSON</t>
  </si>
  <si>
    <t>THOMASCOOK</t>
  </si>
  <si>
    <t>EMUDHRA</t>
  </si>
  <si>
    <t>PRINCEPIPE</t>
  </si>
  <si>
    <t>ALEMBICLTD</t>
  </si>
  <si>
    <t>PFS</t>
  </si>
  <si>
    <t>DCW</t>
  </si>
  <si>
    <t>IRMENERGY</t>
  </si>
  <si>
    <t>GANESHBE</t>
  </si>
  <si>
    <t>NSE:CHOLAFIN</t>
  </si>
  <si>
    <t>NBIFIN</t>
  </si>
  <si>
    <t>ADANIPORTS</t>
  </si>
  <si>
    <t>Jyothy Laboratories Limited</t>
  </si>
  <si>
    <t>RECLTD</t>
  </si>
  <si>
    <t>MPHASIS</t>
  </si>
  <si>
    <t>SUMICHEM</t>
  </si>
  <si>
    <t>GPIL</t>
  </si>
  <si>
    <t>NSE:TATACAP</t>
  </si>
  <si>
    <t>METROPOLIS</t>
  </si>
  <si>
    <t>ESABINDIA</t>
  </si>
  <si>
    <t>VIKRAMSOLR</t>
  </si>
  <si>
    <t>TRIVENI</t>
  </si>
  <si>
    <t>BAJAJELEC</t>
  </si>
  <si>
    <t>KITEX</t>
  </si>
  <si>
    <t>NSE:ABB</t>
  </si>
  <si>
    <t>KNACK</t>
  </si>
  <si>
    <t>DISAQ</t>
  </si>
  <si>
    <t>UDS</t>
  </si>
  <si>
    <t>NELCAST</t>
  </si>
  <si>
    <t>SUDARCOLOR</t>
  </si>
  <si>
    <t>DBOL</t>
  </si>
  <si>
    <t>NSE:ICICIAMC</t>
  </si>
  <si>
    <t>HCLTECH</t>
  </si>
  <si>
    <t>Central Depository Services Ltd</t>
  </si>
  <si>
    <t>LAURUSLABS</t>
  </si>
  <si>
    <t>GODREJIND</t>
  </si>
  <si>
    <t>ACUTAAS</t>
  </si>
  <si>
    <t>COHANCE</t>
  </si>
  <si>
    <t>NSE:CUMMINSIND</t>
  </si>
  <si>
    <t>LLOYDSENT</t>
  </si>
  <si>
    <t>LEMONTREE</t>
  </si>
  <si>
    <t>MAXESTATES</t>
  </si>
  <si>
    <t>SSWL</t>
  </si>
  <si>
    <t>HEMIPROP</t>
  </si>
  <si>
    <t>NSE:VBL</t>
  </si>
  <si>
    <t>POKARNA</t>
  </si>
  <si>
    <t>NELCO</t>
  </si>
  <si>
    <t>IPL</t>
  </si>
  <si>
    <t>PNGSREVA</t>
  </si>
  <si>
    <t>ARIS</t>
  </si>
  <si>
    <t>SALSTEEL</t>
  </si>
  <si>
    <t>NSE:BSE</t>
  </si>
  <si>
    <t>ONWARDTEC</t>
  </si>
  <si>
    <t>ITC</t>
  </si>
  <si>
    <t>Hindustan Aeronautics Ltd</t>
  </si>
  <si>
    <t>LENSKART</t>
  </si>
  <si>
    <t>IPCALAB</t>
  </si>
  <si>
    <t>REDINGTON</t>
  </si>
  <si>
    <t>THANGAMAYL</t>
  </si>
  <si>
    <t>JAINREC</t>
  </si>
  <si>
    <t>RELIGARE</t>
  </si>
  <si>
    <t>NSE:POWERINDIA</t>
  </si>
  <si>
    <t>GREENLAM</t>
  </si>
  <si>
    <t>GVPIL</t>
  </si>
  <si>
    <t>DEEPINDS</t>
  </si>
  <si>
    <t>ANTELOPUS</t>
  </si>
  <si>
    <t>BETA</t>
  </si>
  <si>
    <t>GOCOLORS</t>
  </si>
  <si>
    <t>SPIC</t>
  </si>
  <si>
    <t>TNPL</t>
  </si>
  <si>
    <t>SRHHYPOLTD</t>
  </si>
  <si>
    <t>ADSL</t>
  </si>
  <si>
    <t>ULTRACEMCO</t>
  </si>
  <si>
    <t>S H Kelkar And Company Limited</t>
  </si>
  <si>
    <t>NSE:BHEL</t>
  </si>
  <si>
    <t>ASHOKLEY</t>
  </si>
  <si>
    <t>SUPREMEIND</t>
  </si>
  <si>
    <t>GILLETTE</t>
  </si>
  <si>
    <t>NSE:IDEA</t>
  </si>
  <si>
    <t>KFINTECH</t>
  </si>
  <si>
    <t>SHILPAMED</t>
  </si>
  <si>
    <t>EQUITASBNK</t>
  </si>
  <si>
    <t>NSE:PFC</t>
  </si>
  <si>
    <t>SHAKTIPUMP</t>
  </si>
  <si>
    <t>PILANIINVS</t>
  </si>
  <si>
    <t>KSL</t>
  </si>
  <si>
    <t>BEPL</t>
  </si>
  <si>
    <t>GNA</t>
  </si>
  <si>
    <t>CEINSYS</t>
  </si>
  <si>
    <t>NSE:BPCL</t>
  </si>
  <si>
    <t>IMPAL</t>
  </si>
  <si>
    <t>JARO</t>
  </si>
  <si>
    <t>SVLL</t>
  </si>
  <si>
    <t>AQYLON</t>
  </si>
  <si>
    <t>NTPC</t>
  </si>
  <si>
    <t>Dhampur Sugar Mills Limited</t>
  </si>
  <si>
    <t>OFSS</t>
  </si>
  <si>
    <t>VOLTAS</t>
  </si>
  <si>
    <t>NSE:POLYCAB</t>
  </si>
  <si>
    <t>RUBICON</t>
  </si>
  <si>
    <t>FIVESTAR</t>
  </si>
  <si>
    <t>GRAVITA</t>
  </si>
  <si>
    <t>SFL</t>
  </si>
  <si>
    <t>IBULLSLTD</t>
  </si>
  <si>
    <t>AGIIL</t>
  </si>
  <si>
    <t>EFCIL</t>
  </si>
  <si>
    <t>THEJO</t>
  </si>
  <si>
    <t>NSE:CGPOWER</t>
  </si>
  <si>
    <t>NITTAGELA</t>
  </si>
  <si>
    <t>AEROENTER</t>
  </si>
  <si>
    <t>FAIRCHEMOR</t>
  </si>
  <si>
    <t>QUICKHEAL</t>
  </si>
  <si>
    <t>VAKRANGEE</t>
  </si>
  <si>
    <t>BAJAJFINSV</t>
  </si>
  <si>
    <t>Relaxo Footwears Limited</t>
  </si>
  <si>
    <t>MAZDOCK</t>
  </si>
  <si>
    <t>NSE:SIEMENS</t>
  </si>
  <si>
    <t>WELCORP</t>
  </si>
  <si>
    <t>AWL</t>
  </si>
  <si>
    <t>DCMSHRIRAM</t>
  </si>
  <si>
    <t>SEDEMAC</t>
  </si>
  <si>
    <t>GRINFRA</t>
  </si>
  <si>
    <t>BECTORFOOD</t>
  </si>
  <si>
    <t>CMRGREEN</t>
  </si>
  <si>
    <t>NOVARTIND</t>
  </si>
  <si>
    <t>TCPLPACK</t>
  </si>
  <si>
    <t>NSE:UNIONBANK</t>
  </si>
  <si>
    <t>EMSLIMITED</t>
  </si>
  <si>
    <t>SHALBY</t>
  </si>
  <si>
    <t>BHARATWIRE</t>
  </si>
  <si>
    <t>SALZERELEC</t>
  </si>
  <si>
    <t>OCCLLTD</t>
  </si>
  <si>
    <t>CHEVIOT</t>
  </si>
  <si>
    <t>BAJAJ-AUTO</t>
  </si>
  <si>
    <t>Redington (india) Limited</t>
  </si>
  <si>
    <t>DRREDDY</t>
  </si>
  <si>
    <t>NSE:BRITANNIA</t>
  </si>
  <si>
    <t>AJANTPHARM</t>
  </si>
  <si>
    <t>NEULANDLAB</t>
  </si>
  <si>
    <t>NIVABUPA</t>
  </si>
  <si>
    <t>IRCON</t>
  </si>
  <si>
    <t>TIPSMUSIC</t>
  </si>
  <si>
    <t>GSFC</t>
  </si>
  <si>
    <t>RBA</t>
  </si>
  <si>
    <t>BOSCH-HCIL</t>
  </si>
  <si>
    <t>MAITHANALL</t>
  </si>
  <si>
    <t>NSE:PNB</t>
  </si>
  <si>
    <t>PIXTRANS</t>
  </si>
  <si>
    <t>JAYBARMARU</t>
  </si>
  <si>
    <t>PASHUPATI</t>
  </si>
  <si>
    <t>LGHL</t>
  </si>
  <si>
    <t>RITCO</t>
  </si>
  <si>
    <t>HALDYNGL</t>
  </si>
  <si>
    <t>HAL</t>
  </si>
  <si>
    <t>Tide Water Oil Company (india) Limited</t>
  </si>
  <si>
    <t>NSE:LTM</t>
  </si>
  <si>
    <t>NYKAA</t>
  </si>
  <si>
    <t>AIAENG</t>
  </si>
  <si>
    <t>IRB</t>
  </si>
  <si>
    <t>BIKAJI</t>
  </si>
  <si>
    <t>NSE:APOLLOHOSP</t>
  </si>
  <si>
    <t>ATLANTAELE</t>
  </si>
  <si>
    <t>EMBDL</t>
  </si>
  <si>
    <t>PNCINFRA</t>
  </si>
  <si>
    <t>ICRA</t>
  </si>
  <si>
    <t>SANDHAR</t>
  </si>
  <si>
    <t>BBL</t>
  </si>
  <si>
    <t>NSE:BAJAJHLDNG</t>
  </si>
  <si>
    <t>SHK</t>
  </si>
  <si>
    <t>STUDDS</t>
  </si>
  <si>
    <t>ZSARACOM</t>
  </si>
  <si>
    <t>HMAAGRO</t>
  </si>
  <si>
    <t>SARLAPOLY</t>
  </si>
  <si>
    <t>SCPL</t>
  </si>
  <si>
    <t>JSWSTEEL</t>
  </si>
  <si>
    <t>Kirloskar Brothers Limited</t>
  </si>
  <si>
    <t>NSE:BANKBARODA</t>
  </si>
  <si>
    <t>SHREECEM</t>
  </si>
  <si>
    <t>ASTERDM</t>
  </si>
  <si>
    <t>DATAPATTNS</t>
  </si>
  <si>
    <t>PINELABS</t>
  </si>
  <si>
    <t>SIGMAADV</t>
  </si>
  <si>
    <t>NSE:MUTHOOTFIN</t>
  </si>
  <si>
    <t>PRICOLLTD</t>
  </si>
  <si>
    <t>UNIMECH</t>
  </si>
  <si>
    <t>SYMPHONY</t>
  </si>
  <si>
    <t>BHAGCHEM</t>
  </si>
  <si>
    <t>NSE:TMPV</t>
  </si>
  <si>
    <t>DALMIASUG</t>
  </si>
  <si>
    <t>TAJGVK</t>
  </si>
  <si>
    <t>NSE:LODHA</t>
  </si>
  <si>
    <t>BLUSPRING</t>
  </si>
  <si>
    <t>GODAVARIB</t>
  </si>
  <si>
    <t>EIMCOELECO</t>
  </si>
  <si>
    <t>BAJAJST</t>
  </si>
  <si>
    <t>NSE:GROWW</t>
  </si>
  <si>
    <t>COFFEEDAY</t>
  </si>
  <si>
    <t>ONGC</t>
  </si>
  <si>
    <t>Mastek Limited</t>
  </si>
  <si>
    <t>AUROPHARMA</t>
  </si>
  <si>
    <t>NSE:TATAPOWER</t>
  </si>
  <si>
    <t>PETRONET</t>
  </si>
  <si>
    <t>TIMKEN</t>
  </si>
  <si>
    <t>KANSAINER</t>
  </si>
  <si>
    <t>IEX</t>
  </si>
  <si>
    <t>NSE:BOSCHLTD</t>
  </si>
  <si>
    <t>MEDPLUS</t>
  </si>
  <si>
    <t>DODLA</t>
  </si>
  <si>
    <t>ARTEMISMED</t>
  </si>
  <si>
    <t>SINDHUTRAD</t>
  </si>
  <si>
    <t>INDOTHAI</t>
  </si>
  <si>
    <t>NSE:SBIFUNDS</t>
  </si>
  <si>
    <t>SAGCEM</t>
  </si>
  <si>
    <t>MCLOUD</t>
  </si>
  <si>
    <t>CENTENKA</t>
  </si>
  <si>
    <t>WANBURY</t>
  </si>
  <si>
    <t>NSE:GAIL</t>
  </si>
  <si>
    <t>NCLIND</t>
  </si>
  <si>
    <t>BIGBLOC</t>
  </si>
  <si>
    <t>NSE:HDFCLIFE</t>
  </si>
  <si>
    <t>ETERNAL</t>
  </si>
  <si>
    <t>Puravankara Projects Limited</t>
  </si>
  <si>
    <t>IDBI</t>
  </si>
  <si>
    <t>JKCEMENT</t>
  </si>
  <si>
    <t>FORCEMOT</t>
  </si>
  <si>
    <t>ABREL</t>
  </si>
  <si>
    <t>NSE:CIPLA</t>
  </si>
  <si>
    <t>RKFORGE</t>
  </si>
  <si>
    <t>BSOFT</t>
  </si>
  <si>
    <t>KENNAMET</t>
  </si>
  <si>
    <t>TFCILTD</t>
  </si>
  <si>
    <t>VSTIND</t>
  </si>
  <si>
    <t>NSIL</t>
  </si>
  <si>
    <t>NSE:IRFC</t>
  </si>
  <si>
    <t>APOLLOPIPE</t>
  </si>
  <si>
    <t>SURYODAY</t>
  </si>
  <si>
    <t>PRECAM</t>
  </si>
  <si>
    <t>AFSL</t>
  </si>
  <si>
    <t>KOTHARIPET</t>
  </si>
  <si>
    <t>NSE:LLOYDSME</t>
  </si>
  <si>
    <t>CHEMCON</t>
  </si>
  <si>
    <t>NESTLEIND</t>
  </si>
  <si>
    <t>Hindustan Construction Company Limited</t>
  </si>
  <si>
    <t>FEDERALBNK</t>
  </si>
  <si>
    <t>PIIND</t>
  </si>
  <si>
    <t>NSE:ENRIN</t>
  </si>
  <si>
    <t>CEMPRO</t>
  </si>
  <si>
    <t>BHARATCOAL</t>
  </si>
  <si>
    <t>JUBLINGREA</t>
  </si>
  <si>
    <t>MAHLIFE</t>
  </si>
  <si>
    <t>VMART</t>
  </si>
  <si>
    <t>NSE:ZYDUSLIFE</t>
  </si>
  <si>
    <t>UNIVCABLES</t>
  </si>
  <si>
    <t>WSTCSTPAPR</t>
  </si>
  <si>
    <t>RAMCOIND</t>
  </si>
  <si>
    <t>BRIGHOTEL</t>
  </si>
  <si>
    <t>HITECH</t>
  </si>
  <si>
    <t>CAPITALSFB</t>
  </si>
  <si>
    <t>NSE:CANBK</t>
  </si>
  <si>
    <t>SALASAR</t>
  </si>
  <si>
    <t>MVGJL</t>
  </si>
  <si>
    <t>SPECIALITY</t>
  </si>
  <si>
    <t>BEL</t>
  </si>
  <si>
    <t>Mukand Limited</t>
  </si>
  <si>
    <t>PERSISTENT</t>
  </si>
  <si>
    <t>NSE:MARICO</t>
  </si>
  <si>
    <t>NH</t>
  </si>
  <si>
    <t>GRINDWELL</t>
  </si>
  <si>
    <t>BASF</t>
  </si>
  <si>
    <t>MARKSANS</t>
  </si>
  <si>
    <t>JAYNECOIND</t>
  </si>
  <si>
    <t>GANESHHOU</t>
  </si>
  <si>
    <t>NSE:INDIANB</t>
  </si>
  <si>
    <t>EPIGRAL</t>
  </si>
  <si>
    <t>OSWALPUMPS</t>
  </si>
  <si>
    <t>BOROLTD</t>
  </si>
  <si>
    <t>HUHTAMAKI</t>
  </si>
  <si>
    <t>KOTIC</t>
  </si>
  <si>
    <t>NSE:JINDALSTEL</t>
  </si>
  <si>
    <t>FINOPB</t>
  </si>
  <si>
    <t>BALAJITELE</t>
  </si>
  <si>
    <t>RAMBHAJO</t>
  </si>
  <si>
    <t>ABINFRA</t>
  </si>
  <si>
    <t>POWERGRID</t>
  </si>
  <si>
    <t>Tanla Solutions Limited</t>
  </si>
  <si>
    <t>NSE:HDFCAMC</t>
  </si>
  <si>
    <t>PAYTM</t>
  </si>
  <si>
    <t>NLCINDIA</t>
  </si>
  <si>
    <t>GODIGIT</t>
  </si>
  <si>
    <t>NAVA</t>
  </si>
  <si>
    <t>JMFINANCIL</t>
  </si>
  <si>
    <t>NSE:GMRAIRPORT</t>
  </si>
  <si>
    <t>AVL</t>
  </si>
  <si>
    <t>IONEXCHANG</t>
  </si>
  <si>
    <t>RTNPOWER</t>
  </si>
  <si>
    <t>LUXIND</t>
  </si>
  <si>
    <t>ORIENTCEM</t>
  </si>
  <si>
    <t>SAKSOFT</t>
  </si>
  <si>
    <t>NSE:GVT&amp;D</t>
  </si>
  <si>
    <t>BFINVEST</t>
  </si>
  <si>
    <t>SKMEGGPROD</t>
  </si>
  <si>
    <t>SUYOG</t>
  </si>
  <si>
    <t>SUPREMEINF</t>
  </si>
  <si>
    <t>SNOWMAN</t>
  </si>
  <si>
    <t>ASIANPAINT</t>
  </si>
  <si>
    <t>NSE:ABCAPITAL</t>
  </si>
  <si>
    <t>Reliance Infrastructure Limited</t>
  </si>
  <si>
    <t>DIXON</t>
  </si>
  <si>
    <t>GLAND</t>
  </si>
  <si>
    <t>BELRISE</t>
  </si>
  <si>
    <t>APLLTD</t>
  </si>
  <si>
    <t>UTLSOLAR</t>
  </si>
  <si>
    <t>NSE:LUPIN</t>
  </si>
  <si>
    <t>SMLMAH</t>
  </si>
  <si>
    <t>KALPATARU</t>
  </si>
  <si>
    <t>RENUKA</t>
  </si>
  <si>
    <t>ROLEXRINGS</t>
  </si>
  <si>
    <t>NSE:UNITDSPR</t>
  </si>
  <si>
    <t>TECHNVISN</t>
  </si>
  <si>
    <t>LANDMARK</t>
  </si>
  <si>
    <t>KRSNAA</t>
  </si>
  <si>
    <t>NSE:GODREJCP</t>
  </si>
  <si>
    <t>SURAKSHA</t>
  </si>
  <si>
    <t>NAHARSPING</t>
  </si>
  <si>
    <t>CIFL</t>
  </si>
  <si>
    <t>ORBTEXP</t>
  </si>
  <si>
    <t>DMART</t>
  </si>
  <si>
    <t>Shree Renuka Sugars Limited</t>
  </si>
  <si>
    <t>MEESHO</t>
  </si>
  <si>
    <t>NSE:HEROMOTOCO</t>
  </si>
  <si>
    <t>POONAWALLA</t>
  </si>
  <si>
    <t>TATAELXSI</t>
  </si>
  <si>
    <t>CLEANMAX</t>
  </si>
  <si>
    <t>UTIAMC</t>
  </si>
  <si>
    <t>WELENT</t>
  </si>
  <si>
    <t>KUSUMGAR</t>
  </si>
  <si>
    <t>NSE:TATACONSUM</t>
  </si>
  <si>
    <t>YASHO</t>
  </si>
  <si>
    <t>ORIENTELEC</t>
  </si>
  <si>
    <t>ROSSARI</t>
  </si>
  <si>
    <t>MOLDTKPAC</t>
  </si>
  <si>
    <t>ACCELYA</t>
  </si>
  <si>
    <t>NSE:MAXHEALTH</t>
  </si>
  <si>
    <t>ICEMAKE</t>
  </si>
  <si>
    <t>MUNJALAU</t>
  </si>
  <si>
    <t>RMDRIP</t>
  </si>
  <si>
    <t>DCMSIL</t>
  </si>
  <si>
    <t>COALINDIA</t>
  </si>
  <si>
    <t>ICICI Securities Ltd</t>
  </si>
  <si>
    <t>HINDPETRO</t>
  </si>
  <si>
    <t>CONCOR</t>
  </si>
  <si>
    <t>DEEPAKNTR</t>
  </si>
  <si>
    <t>NSE:AMBUJACEM</t>
  </si>
  <si>
    <t>HAPPYFORGE</t>
  </si>
  <si>
    <t>ZENSARTECH</t>
  </si>
  <si>
    <t>STARCEMENT</t>
  </si>
  <si>
    <t>DBREALTY</t>
  </si>
  <si>
    <t>VRLLOG</t>
  </si>
  <si>
    <t>DBCORP</t>
  </si>
  <si>
    <t>NSE:BHARATFORG</t>
  </si>
  <si>
    <t>DDEVPLSTIK</t>
  </si>
  <si>
    <t>PENIND</t>
  </si>
  <si>
    <t>MTNL</t>
  </si>
  <si>
    <t>NIITLTD</t>
  </si>
  <si>
    <t>RSWM</t>
  </si>
  <si>
    <t>ECOSMOBLTY</t>
  </si>
  <si>
    <t>PPL</t>
  </si>
  <si>
    <t>SHRIRAMFIN</t>
  </si>
  <si>
    <t>Somany Ceramics Limited</t>
  </si>
  <si>
    <t>ICICIGI</t>
  </si>
  <si>
    <t>NSE:INDHOTEL</t>
  </si>
  <si>
    <t>CPPLUS</t>
  </si>
  <si>
    <t>ANANTRAJ</t>
  </si>
  <si>
    <t>SYNGENE</t>
  </si>
  <si>
    <t>ABLBL</t>
  </si>
  <si>
    <t>POWERMECH</t>
  </si>
  <si>
    <t>FIEMIND</t>
  </si>
  <si>
    <t>NSE:VEDL</t>
  </si>
  <si>
    <t>NORTHARC</t>
  </si>
  <si>
    <t>SEAMECLTD</t>
  </si>
  <si>
    <t>JINDALPOLY</t>
  </si>
  <si>
    <t>ELCIDIN</t>
  </si>
  <si>
    <t>SMCGLOBAL</t>
  </si>
  <si>
    <t>DEN</t>
  </si>
  <si>
    <t>NSE:INDUSTOWER</t>
  </si>
  <si>
    <t>MASTERTR</t>
  </si>
  <si>
    <t>NRAIL</t>
  </si>
  <si>
    <t>SHINDL</t>
  </si>
  <si>
    <t>TATASTEEL</t>
  </si>
  <si>
    <t>Bajaj Hindusthan Sugar Limited</t>
  </si>
  <si>
    <t>BHARTIHEXA</t>
  </si>
  <si>
    <t>NSE:MANKIND</t>
  </si>
  <si>
    <t>IRCTC</t>
  </si>
  <si>
    <t>CGCL</t>
  </si>
  <si>
    <t>JBMA</t>
  </si>
  <si>
    <t>SIGNATURE</t>
  </si>
  <si>
    <t>SUDARSCHEM</t>
  </si>
  <si>
    <t>NSE:JSWENERGY</t>
  </si>
  <si>
    <t>JUSTDIAL</t>
  </si>
  <si>
    <t>MPSLTD</t>
  </si>
  <si>
    <t>SPECTRUM</t>
  </si>
  <si>
    <t>DIAMONDYD</t>
  </si>
  <si>
    <t>PRAKASH</t>
  </si>
  <si>
    <t>AURUM</t>
  </si>
  <si>
    <t>FAZE3Q</t>
  </si>
  <si>
    <t>AVADHSUGAR</t>
  </si>
  <si>
    <t>NSE:LGEINDIA</t>
  </si>
  <si>
    <t>ADVANCE</t>
  </si>
  <si>
    <t>PROZONER</t>
  </si>
  <si>
    <t>HINDZINC</t>
  </si>
  <si>
    <t>Tata Teleservices (maharashtra) Limited</t>
  </si>
  <si>
    <t>NAUKRI</t>
  </si>
  <si>
    <t>HUDCO</t>
  </si>
  <si>
    <t>ASAHIINDIA</t>
  </si>
  <si>
    <t>NSE:RECLTD</t>
  </si>
  <si>
    <t>CIEINDIA</t>
  </si>
  <si>
    <t>JKTYRE</t>
  </si>
  <si>
    <t>KAMAHOLD</t>
  </si>
  <si>
    <t>JSFB</t>
  </si>
  <si>
    <t>DHANUKA</t>
  </si>
  <si>
    <t>ELLEN</t>
  </si>
  <si>
    <t>NSE:LAURUSLABS</t>
  </si>
  <si>
    <t>SUNCLAY</t>
  </si>
  <si>
    <t>EPACK</t>
  </si>
  <si>
    <t>DELTACORP</t>
  </si>
  <si>
    <t>RATNAVEER</t>
  </si>
  <si>
    <t>IRISDOREME</t>
  </si>
  <si>
    <t>ANUHPHR</t>
  </si>
  <si>
    <t>AHLWEST</t>
  </si>
  <si>
    <t>ADANIGREEN</t>
  </si>
  <si>
    <t>Globus Spirits Limited</t>
  </si>
  <si>
    <t>NSE:LENSKART</t>
  </si>
  <si>
    <t>NHPC</t>
  </si>
  <si>
    <t>3MINDIA</t>
  </si>
  <si>
    <t>AFFLE</t>
  </si>
  <si>
    <t>RAINBOW</t>
  </si>
  <si>
    <t>TI</t>
  </si>
  <si>
    <t>NSE:ASHOKLEY</t>
  </si>
  <si>
    <t>KRBL</t>
  </si>
  <si>
    <t>ISGEC</t>
  </si>
  <si>
    <t>HIRECT</t>
  </si>
  <si>
    <t>INDIQUBE</t>
  </si>
  <si>
    <t>SASKEN</t>
  </si>
  <si>
    <t>EXICOM</t>
  </si>
  <si>
    <t>NSE:OFSS</t>
  </si>
  <si>
    <t>MBEL</t>
  </si>
  <si>
    <t>BUTTERFLY</t>
  </si>
  <si>
    <t>BIRLANU</t>
  </si>
  <si>
    <t>ADVENTHTL</t>
  </si>
  <si>
    <t>HINDCOMPOS</t>
  </si>
  <si>
    <t>HINDALCO</t>
  </si>
  <si>
    <t>Trent Limited</t>
  </si>
  <si>
    <t>HAVELLS</t>
  </si>
  <si>
    <t>NSE:MAZDOCK</t>
  </si>
  <si>
    <t>ASTRAL</t>
  </si>
  <si>
    <t>PFOCUS</t>
  </si>
  <si>
    <t>CCL</t>
  </si>
  <si>
    <t>TECHNOE</t>
  </si>
  <si>
    <t>RHIM</t>
  </si>
  <si>
    <t>NSE:DRREDDY</t>
  </si>
  <si>
    <t>KMEW</t>
  </si>
  <si>
    <t>AGI</t>
  </si>
  <si>
    <t>MARINE</t>
  </si>
  <si>
    <t>ZAGGLE</t>
  </si>
  <si>
    <t>GANDHAR</t>
  </si>
  <si>
    <t>NSE:NYKAA</t>
  </si>
  <si>
    <t>TARSONS</t>
  </si>
  <si>
    <t>ELECTHERM</t>
  </si>
  <si>
    <t>GKSL</t>
  </si>
  <si>
    <t>GICHSGFIN</t>
  </si>
  <si>
    <t>SUTLEJTEX</t>
  </si>
  <si>
    <t>NSE:SHREECEM</t>
  </si>
  <si>
    <t>EICHERMOT</t>
  </si>
  <si>
    <t>Newgen Software Technologies Ltd</t>
  </si>
  <si>
    <t>INDUSINDBK</t>
  </si>
  <si>
    <t>NAVINFLUOR</t>
  </si>
  <si>
    <t>KIOCL</t>
  </si>
  <si>
    <t>AEQUS</t>
  </si>
  <si>
    <t>TEGA</t>
  </si>
  <si>
    <t>V2RETAIL</t>
  </si>
  <si>
    <t>AARTIPHARM</t>
  </si>
  <si>
    <t>FCL</t>
  </si>
  <si>
    <t>ASHIKAG</t>
  </si>
  <si>
    <t>NSE:AUROPHARMA</t>
  </si>
  <si>
    <t>PANAMAPET</t>
  </si>
  <si>
    <t>RAMCOSYS</t>
  </si>
  <si>
    <t>YATRA</t>
  </si>
  <si>
    <t>JYOTISTRUC</t>
  </si>
  <si>
    <t>GEMAROMA</t>
  </si>
  <si>
    <t>ASAL</t>
  </si>
  <si>
    <t>KANORICHEM</t>
  </si>
  <si>
    <t>DIVISLAB</t>
  </si>
  <si>
    <t>Suzlon Energy Limited</t>
  </si>
  <si>
    <t>SWIGGY</t>
  </si>
  <si>
    <t>ENDURANCE</t>
  </si>
  <si>
    <t>NSE:IDBI</t>
  </si>
  <si>
    <t>PFIZER</t>
  </si>
  <si>
    <t>PARADEEP</t>
  </si>
  <si>
    <t>TITAGARH</t>
  </si>
  <si>
    <t>ICIL</t>
  </si>
  <si>
    <t>EBGNG</t>
  </si>
  <si>
    <t>NSE:FEDERALBNK</t>
  </si>
  <si>
    <t>RPGLIFE</t>
  </si>
  <si>
    <t>INDOTECH</t>
  </si>
  <si>
    <t>UFBL</t>
  </si>
  <si>
    <t>ESAFSFB</t>
  </si>
  <si>
    <t>MAHASTEEL</t>
  </si>
  <si>
    <t>SHREEPUSHK</t>
  </si>
  <si>
    <t>NSE:PERSISTENT</t>
  </si>
  <si>
    <t>GAUDIUMIVF</t>
  </si>
  <si>
    <t>VELJAN</t>
  </si>
  <si>
    <t>BAFNAPH</t>
  </si>
  <si>
    <t>GRASIM</t>
  </si>
  <si>
    <t>Rattanindia Power Limited</t>
  </si>
  <si>
    <t>AUBANK</t>
  </si>
  <si>
    <t>NSE:PAYTM</t>
  </si>
  <si>
    <t>PATANJALI</t>
  </si>
  <si>
    <t>KPIL</t>
  </si>
  <si>
    <t>IGIL</t>
  </si>
  <si>
    <t>PVRINOX</t>
  </si>
  <si>
    <t>NEWGEN</t>
  </si>
  <si>
    <t>ARVINDFASN</t>
  </si>
  <si>
    <t>NSE:DIXON</t>
  </si>
  <si>
    <t>RESPONIND</t>
  </si>
  <si>
    <t>HARSHA</t>
  </si>
  <si>
    <t>NOCIL</t>
  </si>
  <si>
    <t>VINCOFE</t>
  </si>
  <si>
    <t>VIDHIING</t>
  </si>
  <si>
    <t>RUPA</t>
  </si>
  <si>
    <t>MAMATA</t>
  </si>
  <si>
    <t>HEXAGON</t>
  </si>
  <si>
    <t>NSE:MEESHO</t>
  </si>
  <si>
    <t>MINDTECK</t>
  </si>
  <si>
    <t>TVSMOTOR</t>
  </si>
  <si>
    <t>Reliance Power Limited</t>
  </si>
  <si>
    <t>LTF</t>
  </si>
  <si>
    <t>INDOMIM</t>
  </si>
  <si>
    <t>EMMVEE</t>
  </si>
  <si>
    <t>AGARWALEYE</t>
  </si>
  <si>
    <t>NSE:HINDPETRO</t>
  </si>
  <si>
    <t>FIRSTCRY</t>
  </si>
  <si>
    <t>INDIASHLTR</t>
  </si>
  <si>
    <t>SENORES</t>
  </si>
  <si>
    <t>SGFIN</t>
  </si>
  <si>
    <t>JKIL</t>
  </si>
  <si>
    <t>NSE:ICICIGI</t>
  </si>
  <si>
    <t>SIYSIL</t>
  </si>
  <si>
    <t>SHRINGARMS</t>
  </si>
  <si>
    <t>WENDT</t>
  </si>
  <si>
    <t>ASIANHOTNR</t>
  </si>
  <si>
    <t>NSE:BHARTIHEXA</t>
  </si>
  <si>
    <t>HIMATSEIDE</t>
  </si>
  <si>
    <t>SADHNANIQ</t>
  </si>
  <si>
    <t>GLOTTIS</t>
  </si>
  <si>
    <t>INDIGO</t>
  </si>
  <si>
    <t>Jaiprakash Power Ventures Limited</t>
  </si>
  <si>
    <t>SRF</t>
  </si>
  <si>
    <t>NSE:NAUKRI</t>
  </si>
  <si>
    <t>EXIDEIND</t>
  </si>
  <si>
    <t>CESC</t>
  </si>
  <si>
    <t>USHAMART</t>
  </si>
  <si>
    <t>JWL</t>
  </si>
  <si>
    <t>WESTLIFE</t>
  </si>
  <si>
    <t>NSE:NHPC</t>
  </si>
  <si>
    <t>ITDC</t>
  </si>
  <si>
    <t>NETWORK18</t>
  </si>
  <si>
    <t>CMLL</t>
  </si>
  <si>
    <t>BLSE</t>
  </si>
  <si>
    <t>BFUTILITIE</t>
  </si>
  <si>
    <t>NSE:HAVELLS</t>
  </si>
  <si>
    <t>SUMMITSEC</t>
  </si>
  <si>
    <t>MANAKCOAT</t>
  </si>
  <si>
    <t>BIL</t>
  </si>
  <si>
    <t>MEIL</t>
  </si>
  <si>
    <t>NSE:INDUSINDBK</t>
  </si>
  <si>
    <t>TPLPLASTEH</t>
  </si>
  <si>
    <t>IOC</t>
  </si>
  <si>
    <t>Action Construction Equipment Limited</t>
  </si>
  <si>
    <t>WAAREEENER</t>
  </si>
  <si>
    <t>NSE:SWIGGY</t>
  </si>
  <si>
    <t>HSCL</t>
  </si>
  <si>
    <t>AADHARHFC</t>
  </si>
  <si>
    <t>NSE:AUBANK</t>
  </si>
  <si>
    <t>FINCABLES</t>
  </si>
  <si>
    <t>MGL</t>
  </si>
  <si>
    <t>CERA</t>
  </si>
  <si>
    <t>NSE:LTF</t>
  </si>
  <si>
    <t>DCBBANK</t>
  </si>
  <si>
    <t>WPIL</t>
  </si>
  <si>
    <t>TRUALT</t>
  </si>
  <si>
    <t>FLAIR</t>
  </si>
  <si>
    <t>NSE:SRF</t>
  </si>
  <si>
    <t>JISLJALEQS</t>
  </si>
  <si>
    <t>5PAISA</t>
  </si>
  <si>
    <t>WAAREEINDO</t>
  </si>
  <si>
    <t>WEALTH</t>
  </si>
  <si>
    <t>EIFFL</t>
  </si>
  <si>
    <t>SATIA</t>
  </si>
  <si>
    <t>NSE:WAAREEENER</t>
  </si>
  <si>
    <t>ADANIENSOL</t>
  </si>
  <si>
    <t>Tata Elxsi Limited</t>
  </si>
  <si>
    <t>COFORGE</t>
  </si>
  <si>
    <t>MEDANTA</t>
  </si>
  <si>
    <t>TENNIND</t>
  </si>
  <si>
    <t>WELSPUNLIV</t>
  </si>
  <si>
    <t>NSE:COFORGE</t>
  </si>
  <si>
    <t>VIYASH</t>
  </si>
  <si>
    <t>TANLA</t>
  </si>
  <si>
    <t>GOKEX</t>
  </si>
  <si>
    <t>TEXRAIL</t>
  </si>
  <si>
    <t>UNICHEMLAB</t>
  </si>
  <si>
    <t>NSE:NTPCGREEN</t>
  </si>
  <si>
    <t>HIKAL</t>
  </si>
  <si>
    <t>NIBE</t>
  </si>
  <si>
    <t>SOLARWORLD</t>
  </si>
  <si>
    <t>NSE:ICICIPRULI</t>
  </si>
  <si>
    <t>ROTO</t>
  </si>
  <si>
    <t>SIGACHI</t>
  </si>
  <si>
    <t>SOUTHWEST</t>
  </si>
  <si>
    <t>NSE:NMDC</t>
  </si>
  <si>
    <t>MALLCOM</t>
  </si>
  <si>
    <t>TORNTPHARM</t>
  </si>
  <si>
    <t>Phillips Carbon Black Limited</t>
  </si>
  <si>
    <t>NTPCGREEN</t>
  </si>
  <si>
    <t>LTTS</t>
  </si>
  <si>
    <t>RAMCOCEM</t>
  </si>
  <si>
    <t>KSB</t>
  </si>
  <si>
    <t>NSE:DABUR</t>
  </si>
  <si>
    <t>ZEEL</t>
  </si>
  <si>
    <t>GAEL</t>
  </si>
  <si>
    <t>CEIGALL</t>
  </si>
  <si>
    <t>HAWKINCOOK</t>
  </si>
  <si>
    <t>ROSSTECH</t>
  </si>
  <si>
    <t>BNAGROCHEM</t>
  </si>
  <si>
    <t>NSE:OIL</t>
  </si>
  <si>
    <t>HPL</t>
  </si>
  <si>
    <t>ASIANTILES</t>
  </si>
  <si>
    <t>DHANBANK</t>
  </si>
  <si>
    <t>NSE:NAM-INDIA</t>
  </si>
  <si>
    <t>ZUARI</t>
  </si>
  <si>
    <t>DECCANCE</t>
  </si>
  <si>
    <t>PRIMO</t>
  </si>
  <si>
    <t>SBILIFE</t>
  </si>
  <si>
    <t>NSE:POLICYBZR</t>
  </si>
  <si>
    <t>ICICIPRULI</t>
  </si>
  <si>
    <t>UBL</t>
  </si>
  <si>
    <t>IGL</t>
  </si>
  <si>
    <t>JUBLPHARMA</t>
  </si>
  <si>
    <t>NSE:IDFCFIRSTB</t>
  </si>
  <si>
    <t>PGHL</t>
  </si>
  <si>
    <t>YATHARTH</t>
  </si>
  <si>
    <t>SIS</t>
  </si>
  <si>
    <t>VAIBHAVGBL</t>
  </si>
  <si>
    <t>NSE:JSWINFRA</t>
  </si>
  <si>
    <t>PREMEXPLN</t>
  </si>
  <si>
    <t>AUTOAXLES</t>
  </si>
  <si>
    <t>HINDOILEXP</t>
  </si>
  <si>
    <t>INFOBEAN</t>
  </si>
  <si>
    <t>KROSS</t>
  </si>
  <si>
    <t>NSE:BAJAJHFL</t>
  </si>
  <si>
    <t>SOLEX</t>
  </si>
  <si>
    <t>INDOFARM</t>
  </si>
  <si>
    <t>BIRLACABLE</t>
  </si>
  <si>
    <t>WIPRO</t>
  </si>
  <si>
    <t>NMDC</t>
  </si>
  <si>
    <t>NSE:ATGL</t>
  </si>
  <si>
    <t>COCHINSHIP</t>
  </si>
  <si>
    <t>FSL</t>
  </si>
  <si>
    <t>MAHSCOOTER</t>
  </si>
  <si>
    <t>EDELWEISS</t>
  </si>
  <si>
    <t>KIRLFER</t>
  </si>
  <si>
    <t>NSE:YESBANK</t>
  </si>
  <si>
    <t>TVSSCS</t>
  </si>
  <si>
    <t>SUNTECK</t>
  </si>
  <si>
    <t>GREENPLY</t>
  </si>
  <si>
    <t>VIMTALABS</t>
  </si>
  <si>
    <t>GEOJITFSL</t>
  </si>
  <si>
    <t>MOBIKWIK</t>
  </si>
  <si>
    <t>NSE:FORTIS</t>
  </si>
  <si>
    <t>RGL</t>
  </si>
  <si>
    <t>AMBIKCO</t>
  </si>
  <si>
    <t>PRAVEG</t>
  </si>
  <si>
    <t>NSE:TORNTPOWER</t>
  </si>
  <si>
    <t>CHEMBONDCH</t>
  </si>
  <si>
    <t>VAML</t>
  </si>
  <si>
    <t>DABUR</t>
  </si>
  <si>
    <t>NSE:SAIL</t>
  </si>
  <si>
    <t>EMCURE</t>
  </si>
  <si>
    <t>SANSERA</t>
  </si>
  <si>
    <t>CONCORDBIO</t>
  </si>
  <si>
    <t>CANFINHOME</t>
  </si>
  <si>
    <t>NSE:PRESTIGE</t>
  </si>
  <si>
    <t>IMFA</t>
  </si>
  <si>
    <t>SKIPPER</t>
  </si>
  <si>
    <t>PACEDIGITK</t>
  </si>
  <si>
    <t>SANGHVIMOV</t>
  </si>
  <si>
    <t>ARVSMART</t>
  </si>
  <si>
    <t>NSE:BIOCON</t>
  </si>
  <si>
    <t>BHARATRAS</t>
  </si>
  <si>
    <t>SPMLINFRA</t>
  </si>
  <si>
    <t>RUBYMILLS</t>
  </si>
  <si>
    <t>HEALTHX</t>
  </si>
  <si>
    <t>PVSL</t>
  </si>
  <si>
    <t>ATL</t>
  </si>
  <si>
    <t>NSE:ALKEM</t>
  </si>
  <si>
    <t>HYUNDAI</t>
  </si>
  <si>
    <t>OIL</t>
  </si>
  <si>
    <t>PWL</t>
  </si>
  <si>
    <t>IFCI</t>
  </si>
  <si>
    <t>KIRLOSBROS</t>
  </si>
  <si>
    <t>RATEGAIN</t>
  </si>
  <si>
    <t>BORORENEW</t>
  </si>
  <si>
    <t>SAPPHIRE</t>
  </si>
  <si>
    <t>NSE:MCX</t>
  </si>
  <si>
    <t>ZOTA</t>
  </si>
  <si>
    <t>SAMBHV</t>
  </si>
  <si>
    <t>NITCO</t>
  </si>
  <si>
    <t>HONDAPOWER</t>
  </si>
  <si>
    <t>GARUDA</t>
  </si>
  <si>
    <t>EXPLEOSOL</t>
  </si>
  <si>
    <t>YUKEN</t>
  </si>
  <si>
    <t>ZUARIIND</t>
  </si>
  <si>
    <t>NSE:UNOMINDA</t>
  </si>
  <si>
    <t>LINC</t>
  </si>
  <si>
    <t>JIOFIN</t>
  </si>
  <si>
    <t>NAM-INDIA</t>
  </si>
  <si>
    <t>DELHIVERY</t>
  </si>
  <si>
    <t>SUNDRMFAST</t>
  </si>
  <si>
    <t>GALLANTT</t>
  </si>
  <si>
    <t>OLECTRA</t>
  </si>
  <si>
    <t>NSE:PHOENIXLTD</t>
  </si>
  <si>
    <t>TTML</t>
  </si>
  <si>
    <t>CORDELIA</t>
  </si>
  <si>
    <t>NACLIND</t>
  </si>
  <si>
    <t>TURTLEMINT</t>
  </si>
  <si>
    <t>NSE:OBEROIRLTY</t>
  </si>
  <si>
    <t>GSPCROP</t>
  </si>
  <si>
    <t>PARACABLES</t>
  </si>
  <si>
    <t>DLINKINDIA</t>
  </si>
  <si>
    <t>PLATIND</t>
  </si>
  <si>
    <t>GKWLIMITED</t>
  </si>
  <si>
    <t>NSE:SUZLON</t>
  </si>
  <si>
    <t>HARDWYN</t>
  </si>
  <si>
    <t>ZIMLAB</t>
  </si>
  <si>
    <t>SOLARINDS</t>
  </si>
  <si>
    <t>POLICYBZR</t>
  </si>
  <si>
    <t>NSE:IOB</t>
  </si>
  <si>
    <t>KPRMILL</t>
  </si>
  <si>
    <t>CUB</t>
  </si>
  <si>
    <t>AZAD</t>
  </si>
  <si>
    <t>JLHL</t>
  </si>
  <si>
    <t>NSE:NATIONALUM</t>
  </si>
  <si>
    <t>CLEAN</t>
  </si>
  <si>
    <t>ALOKINDS</t>
  </si>
  <si>
    <t>MHRIL</t>
  </si>
  <si>
    <t>ADVENZYMES</t>
  </si>
  <si>
    <t>PATELENG</t>
  </si>
  <si>
    <t>NSE:SCHAEFFLER</t>
  </si>
  <si>
    <t>PRABHA</t>
  </si>
  <si>
    <t>WEL</t>
  </si>
  <si>
    <t>EXCELINDUS</t>
  </si>
  <si>
    <t>PRECOT</t>
  </si>
  <si>
    <t>NSE:GODREJPROP</t>
  </si>
  <si>
    <t>MODIS</t>
  </si>
  <si>
    <t>ZFSTEERING</t>
  </si>
  <si>
    <t>PIDILITIND</t>
  </si>
  <si>
    <t>IDFCFIRSTB</t>
  </si>
  <si>
    <t>STARHEALTH</t>
  </si>
  <si>
    <t>NSE:KALYANKJIL</t>
  </si>
  <si>
    <t>EIHOTEL</t>
  </si>
  <si>
    <t>FINEORG</t>
  </si>
  <si>
    <t>BLUEJET</t>
  </si>
  <si>
    <t>GMRP&amp;UI</t>
  </si>
  <si>
    <t>NSE:GLENMARK</t>
  </si>
  <si>
    <t>TIIL</t>
  </si>
  <si>
    <t>SWARAJENG</t>
  </si>
  <si>
    <t>XPROINDIA</t>
  </si>
  <si>
    <t>HUBTOWN</t>
  </si>
  <si>
    <t>VENUSREM</t>
  </si>
  <si>
    <t>FRONTSP</t>
  </si>
  <si>
    <t>NSE:SBICARD</t>
  </si>
  <si>
    <t>ALLDIGI</t>
  </si>
  <si>
    <t>THEMISMED</t>
  </si>
  <si>
    <t>RAJPALAYAM</t>
  </si>
  <si>
    <t>SHIVAUM</t>
  </si>
  <si>
    <t>DLF</t>
  </si>
  <si>
    <t>JSWINFRA</t>
  </si>
  <si>
    <t>NSE:BANKINDIA</t>
  </si>
  <si>
    <t>BLUESTARCO</t>
  </si>
  <si>
    <t>GRANULES</t>
  </si>
  <si>
    <t>SOBHA</t>
  </si>
  <si>
    <t>INDIAMART</t>
  </si>
  <si>
    <t>INDIAGLYCO</t>
  </si>
  <si>
    <t>NSE:GICRE</t>
  </si>
  <si>
    <t>MASTEK</t>
  </si>
  <si>
    <t>ELECTCAST</t>
  </si>
  <si>
    <t>HGINFRA</t>
  </si>
  <si>
    <t>KIRIINDUS</t>
  </si>
  <si>
    <t>VENKEYS</t>
  </si>
  <si>
    <t>OMAXE</t>
  </si>
  <si>
    <t>SYNCOMF</t>
  </si>
  <si>
    <t>MAXIND</t>
  </si>
  <si>
    <t>BIRLAMONEY</t>
  </si>
  <si>
    <t>NSE:COROMANDEL</t>
  </si>
  <si>
    <t>RBZJEWEL</t>
  </si>
  <si>
    <t>TECHM</t>
  </si>
  <si>
    <t>BAJAJHFL</t>
  </si>
  <si>
    <t>ESCORTS</t>
  </si>
  <si>
    <t>AETHER</t>
  </si>
  <si>
    <t>ZENTEC</t>
  </si>
  <si>
    <t>AAVAS</t>
  </si>
  <si>
    <t>SJS</t>
  </si>
  <si>
    <t>NSE:MAHABANK</t>
  </si>
  <si>
    <t>MASFIN</t>
  </si>
  <si>
    <t>BANARISUG</t>
  </si>
  <si>
    <t>NFL</t>
  </si>
  <si>
    <t>JUBLCPL</t>
  </si>
  <si>
    <t>NSE:BERGEPAINT</t>
  </si>
  <si>
    <t>HESTERBIO</t>
  </si>
  <si>
    <t>GTLINFRA</t>
  </si>
  <si>
    <t>GULPOLY</t>
  </si>
  <si>
    <t>NSE:JSL</t>
  </si>
  <si>
    <t>KAMDHENU</t>
  </si>
  <si>
    <t>ELDEHSG</t>
  </si>
  <si>
    <t>TREL</t>
  </si>
  <si>
    <t>TMCV</t>
  </si>
  <si>
    <t>ATGL</t>
  </si>
  <si>
    <t>NSE:ABBOTINDIA</t>
  </si>
  <si>
    <t>ANANDRATHI</t>
  </si>
  <si>
    <t>SAGILITY</t>
  </si>
  <si>
    <t>HONASA</t>
  </si>
  <si>
    <t>KTKBANK</t>
  </si>
  <si>
    <t>SANOFI</t>
  </si>
  <si>
    <t>FEDFINA</t>
  </si>
  <si>
    <t>STYRENIX</t>
  </si>
  <si>
    <t>NSE:RADICO</t>
  </si>
  <si>
    <t>PITTIENG</t>
  </si>
  <si>
    <t>PARAGMILK</t>
  </si>
  <si>
    <t>TIRUMALCHM</t>
  </si>
  <si>
    <t>DOLPHIN</t>
  </si>
  <si>
    <t>BLKASHYAP</t>
  </si>
  <si>
    <t>NSE:RBLBANK</t>
  </si>
  <si>
    <t>CONSOFINVT</t>
  </si>
  <si>
    <t>PATELRMART</t>
  </si>
  <si>
    <t>CEWATER</t>
  </si>
  <si>
    <t>TRENT</t>
  </si>
  <si>
    <t>YESBANK</t>
  </si>
  <si>
    <t>NSE:APARINDS</t>
  </si>
  <si>
    <t>TATAINVEST</t>
  </si>
  <si>
    <t>CARBORUNIV</t>
  </si>
  <si>
    <t>VENTIVE</t>
  </si>
  <si>
    <t>GODREJAGRO</t>
  </si>
  <si>
    <t>NSE:LINDEINDIA</t>
  </si>
  <si>
    <t>ORKLAINDIA</t>
  </si>
  <si>
    <t>AEROFLEX</t>
  </si>
  <si>
    <t>ANUP</t>
  </si>
  <si>
    <t>GRAUWEIL</t>
  </si>
  <si>
    <t>EPACKPEB</t>
  </si>
  <si>
    <t>SPANDANA</t>
  </si>
  <si>
    <t>NSE:HDBFS</t>
  </si>
  <si>
    <t>WALCHANNAG</t>
  </si>
  <si>
    <t>OAL</t>
  </si>
  <si>
    <t>MAFATIND</t>
  </si>
  <si>
    <t>KELLTONTEC</t>
  </si>
  <si>
    <t>SOFTTECH</t>
  </si>
  <si>
    <t>NSE:COLPAL</t>
  </si>
  <si>
    <t>MOTHERSON</t>
  </si>
  <si>
    <t>FORTIS</t>
  </si>
  <si>
    <t>HEXT</t>
  </si>
  <si>
    <t>ASTRAZEN</t>
  </si>
  <si>
    <t>BEML</t>
  </si>
  <si>
    <t>LUMAXTECH</t>
  </si>
  <si>
    <t>NSE:MRF</t>
  </si>
  <si>
    <t>SAFARI</t>
  </si>
  <si>
    <t>HAPPSTMNDS</t>
  </si>
  <si>
    <t>MSTCLTD</t>
  </si>
  <si>
    <t>POLYPLEX</t>
  </si>
  <si>
    <t>NILKAMAL</t>
  </si>
  <si>
    <t>NSE:M&amp;MFIN</t>
  </si>
  <si>
    <t>KCP</t>
  </si>
  <si>
    <t>DSSL</t>
  </si>
  <si>
    <t>GYFTR</t>
  </si>
  <si>
    <t>ASTAR</t>
  </si>
  <si>
    <t>BEEKAY</t>
  </si>
  <si>
    <t>OMPOWER</t>
  </si>
  <si>
    <t>NSE:FACT</t>
  </si>
  <si>
    <t>CHOLAFIN</t>
  </si>
  <si>
    <t>TORNTPOWER</t>
  </si>
  <si>
    <t>ITCHOTELS</t>
  </si>
  <si>
    <t>SUNTV</t>
  </si>
  <si>
    <t>LTFOODS</t>
  </si>
  <si>
    <t>NSE:TIINDIA</t>
  </si>
  <si>
    <t>IIFLCAPS</t>
  </si>
  <si>
    <t>CELLO</t>
  </si>
  <si>
    <t>STYLAMIND</t>
  </si>
  <si>
    <t>NSE:SUNDARMFIN</t>
  </si>
  <si>
    <t>IDEAFORGE</t>
  </si>
  <si>
    <t>HEIDELBERG</t>
  </si>
  <si>
    <t>KPL</t>
  </si>
  <si>
    <t>KPEL</t>
  </si>
  <si>
    <t>SHANTIGOLD</t>
  </si>
  <si>
    <t>TAALTECH</t>
  </si>
  <si>
    <t>NSE:MFSL</t>
  </si>
  <si>
    <t>DENTA</t>
  </si>
  <si>
    <t>BAJAJINDEF</t>
  </si>
  <si>
    <t>HTMEDIA</t>
  </si>
  <si>
    <t>TATACAP</t>
  </si>
  <si>
    <t>SAIL</t>
  </si>
  <si>
    <t>KIMS</t>
  </si>
  <si>
    <t>NSE:THERMAX</t>
  </si>
  <si>
    <t>URBANCO</t>
  </si>
  <si>
    <t>ALIVUS</t>
  </si>
  <si>
    <t>E2E</t>
  </si>
  <si>
    <t>MAHSEAMLES</t>
  </si>
  <si>
    <t>PRAJIND</t>
  </si>
  <si>
    <t>JUNIPER</t>
  </si>
  <si>
    <t>NSE:MOTILALOFS</t>
  </si>
  <si>
    <t>VENUSPIPES</t>
  </si>
  <si>
    <t>MEDIASSIST</t>
  </si>
  <si>
    <t>TCIEXP</t>
  </si>
  <si>
    <t>BLIL</t>
  </si>
  <si>
    <t>NSE:RIR</t>
  </si>
  <si>
    <t>UNIECOM</t>
  </si>
  <si>
    <t>PROSTARM</t>
  </si>
  <si>
    <t>NSE:UPL</t>
  </si>
  <si>
    <t>PANSARI</t>
  </si>
  <si>
    <t>ABB</t>
  </si>
  <si>
    <t>NSE:APLAPOLLO</t>
  </si>
  <si>
    <t>PRESTIGE</t>
  </si>
  <si>
    <t>DALBHARAT</t>
  </si>
  <si>
    <t>HBLENGINE</t>
  </si>
  <si>
    <t>SHADOWFAX</t>
  </si>
  <si>
    <t>SANOFICONR</t>
  </si>
  <si>
    <t>NSE:VMM</t>
  </si>
  <si>
    <t>NESCO</t>
  </si>
  <si>
    <t>CSBBANK</t>
  </si>
  <si>
    <t>RTNINDIA</t>
  </si>
  <si>
    <t>WHEELS</t>
  </si>
  <si>
    <t>IMAGICAA</t>
  </si>
  <si>
    <t>NSE:TATACOMM</t>
  </si>
  <si>
    <t>BGRENERGY</t>
  </si>
  <si>
    <t>VOEPL</t>
  </si>
  <si>
    <t>BHAGYANGR</t>
  </si>
  <si>
    <t>RAJOOENG</t>
  </si>
  <si>
    <t>NSE:ATHERENERG</t>
  </si>
  <si>
    <t>VALIANTORG</t>
  </si>
  <si>
    <t>SIGMA</t>
  </si>
  <si>
    <t>ICICIAMC</t>
  </si>
  <si>
    <t>NSE:FLUOROCHEM</t>
  </si>
  <si>
    <t>BIOCON</t>
  </si>
  <si>
    <t>HONAUT</t>
  </si>
  <si>
    <t>ATUL</t>
  </si>
  <si>
    <t>NSE:SONACOMS</t>
  </si>
  <si>
    <t>PRIVISCL</t>
  </si>
  <si>
    <t>SHREEJISPG</t>
  </si>
  <si>
    <t>RAIN</t>
  </si>
  <si>
    <t>MOIL</t>
  </si>
  <si>
    <t>RAYMONDLSL</t>
  </si>
  <si>
    <t>NSE:BALKRISIND</t>
  </si>
  <si>
    <t>KNRCON</t>
  </si>
  <si>
    <t>SATIN</t>
  </si>
  <si>
    <t>AEROPLANE</t>
  </si>
  <si>
    <t>MMWL</t>
  </si>
  <si>
    <t>ANDHRAPAP</t>
  </si>
  <si>
    <t>PRIMESECU</t>
  </si>
  <si>
    <t>NSE:KEI</t>
  </si>
  <si>
    <t>AGARIND</t>
  </si>
  <si>
    <t>BLACKROSE</t>
  </si>
  <si>
    <t>CUMMINSIND</t>
  </si>
  <si>
    <t>NSE:HINDCOPPER</t>
  </si>
  <si>
    <t>ALKEM</t>
  </si>
  <si>
    <t>IREDA</t>
  </si>
  <si>
    <t>CAMS</t>
  </si>
  <si>
    <t>NSE:RVNL</t>
  </si>
  <si>
    <t>DEVYANI</t>
  </si>
  <si>
    <t>NSE:PIRAMALFIN</t>
  </si>
  <si>
    <t>NSE:PREMIERENE</t>
  </si>
  <si>
    <t>BBTC</t>
  </si>
  <si>
    <t>GNFC</t>
  </si>
  <si>
    <t>OPTIEMUS</t>
  </si>
  <si>
    <t>MIDWESTLTD</t>
  </si>
  <si>
    <t>KOLTEPATIL</t>
  </si>
  <si>
    <t>INDNIPPON</t>
  </si>
  <si>
    <t>NSE:360ONE</t>
  </si>
  <si>
    <t>TEAMLEASE</t>
  </si>
  <si>
    <t>PAUSHAKLTD</t>
  </si>
  <si>
    <t>AWHCL</t>
  </si>
  <si>
    <t>SGIL</t>
  </si>
  <si>
    <t>MMP</t>
  </si>
  <si>
    <t>NILE</t>
  </si>
  <si>
    <t>NSE:BDL</t>
  </si>
  <si>
    <t>VBL</t>
  </si>
  <si>
    <t>MCX</t>
  </si>
  <si>
    <t>GODFRYPHLP</t>
  </si>
  <si>
    <t>HATSUN</t>
  </si>
  <si>
    <t>AMAGI</t>
  </si>
  <si>
    <t>NSE:AIIL</t>
  </si>
  <si>
    <t>ASKAUTOLTD</t>
  </si>
  <si>
    <t>ELANTAS</t>
  </si>
  <si>
    <t>KSHINTL</t>
  </si>
  <si>
    <t>SBCL</t>
  </si>
  <si>
    <t>CRIZAC</t>
  </si>
  <si>
    <t>NSE:ANTHEM</t>
  </si>
  <si>
    <t>CONFIPET</t>
  </si>
  <si>
    <t>KLBRENG-B</t>
  </si>
  <si>
    <t>SUMEETINDS</t>
  </si>
  <si>
    <t>HARIOMPIPE</t>
  </si>
  <si>
    <t>SURAJEST</t>
  </si>
  <si>
    <t>SANDESH</t>
  </si>
  <si>
    <t>NSE:PAGEIND</t>
  </si>
  <si>
    <t>KRONOX</t>
  </si>
  <si>
    <t>BSE</t>
  </si>
  <si>
    <t>UNOMINDA</t>
  </si>
  <si>
    <t>KARURVYSYA</t>
  </si>
  <si>
    <t>DEEPAKFERT</t>
  </si>
  <si>
    <t>SHAILY</t>
  </si>
  <si>
    <t>NSE:GLAXO</t>
  </si>
  <si>
    <t>VARROC</t>
  </si>
  <si>
    <t>MIDHANI</t>
  </si>
  <si>
    <t>GOLDIAM</t>
  </si>
  <si>
    <t>AVANTEL</t>
  </si>
  <si>
    <t>ROUTE</t>
  </si>
  <si>
    <t>MMFL</t>
  </si>
  <si>
    <t>NSE:AEGISLOG</t>
  </si>
  <si>
    <t>STYLEBAAZA</t>
  </si>
  <si>
    <t>IKIO</t>
  </si>
  <si>
    <t>INDOBORAX</t>
  </si>
  <si>
    <t>GAYAPROJ</t>
  </si>
  <si>
    <t>VASCONEQ</t>
  </si>
  <si>
    <t>NSE:MPHASIS</t>
  </si>
  <si>
    <t>SHALPAINTS</t>
  </si>
  <si>
    <t>POWERINDIA</t>
  </si>
  <si>
    <t>PHOENIXLTD</t>
  </si>
  <si>
    <t>NUVAMA</t>
  </si>
  <si>
    <t>NSE:GODREJIND</t>
  </si>
  <si>
    <t>DIACABS</t>
  </si>
  <si>
    <t>FRACTAL</t>
  </si>
  <si>
    <t>AKUMS</t>
  </si>
  <si>
    <t>NSE:IPCALAB</t>
  </si>
  <si>
    <t>SHARDACROP</t>
  </si>
  <si>
    <t>KRISHANA</t>
  </si>
  <si>
    <t>IOLCP</t>
  </si>
  <si>
    <t>ASHOKA</t>
  </si>
  <si>
    <t>FMGOETZE</t>
  </si>
  <si>
    <t>NSE:SUPREMEIND</t>
  </si>
  <si>
    <t>INDIANHUME</t>
  </si>
  <si>
    <t>NAVKARCORP</t>
  </si>
  <si>
    <t>ALLCARGO</t>
  </si>
  <si>
    <t>BHAGERIA</t>
  </si>
  <si>
    <t>TRANSPEK</t>
  </si>
  <si>
    <t>NSE:VOLTAS</t>
  </si>
  <si>
    <t>VISACHROME</t>
  </si>
  <si>
    <t>BHEL</t>
  </si>
  <si>
    <t>OBEROIRLTY</t>
  </si>
  <si>
    <t>UCOBANK</t>
  </si>
  <si>
    <t>SHRIPISTON</t>
  </si>
  <si>
    <t>UJJIVANSFB</t>
  </si>
  <si>
    <t>NSE:WELCORP</t>
  </si>
  <si>
    <t>SANDUMA</t>
  </si>
  <si>
    <t>HMT</t>
  </si>
  <si>
    <t>LCL</t>
  </si>
  <si>
    <t>SHOPERSTOP</t>
  </si>
  <si>
    <t>UFLEX</t>
  </si>
  <si>
    <t>MARATHON</t>
  </si>
  <si>
    <t>NSE:AJANTPHARM</t>
  </si>
  <si>
    <t>CANTABIL</t>
  </si>
  <si>
    <t>SESHAPAPER</t>
  </si>
  <si>
    <t>AGL</t>
  </si>
  <si>
    <t>INDOAMIN</t>
  </si>
  <si>
    <t>VISAKAIND</t>
  </si>
  <si>
    <t>NSE:AIAENG</t>
  </si>
  <si>
    <t>HITECHCORP</t>
  </si>
  <si>
    <t>IDEA</t>
  </si>
  <si>
    <t>SUZLON</t>
  </si>
  <si>
    <t>SCHNEIDER</t>
  </si>
  <si>
    <t>GESHIP</t>
  </si>
  <si>
    <t>NSE:ASTERDM</t>
  </si>
  <si>
    <t>APOLLO</t>
  </si>
  <si>
    <t>WEWORK</t>
  </si>
  <si>
    <t>KPIGREEN</t>
  </si>
  <si>
    <t>HCC</t>
  </si>
  <si>
    <t>63MOONS</t>
  </si>
  <si>
    <t>NSE:PETRONET</t>
  </si>
  <si>
    <t>WELSPLSOL</t>
  </si>
  <si>
    <t>GKENERGY</t>
  </si>
  <si>
    <t>GMBREW</t>
  </si>
  <si>
    <t>JAGSNPHARM</t>
  </si>
  <si>
    <t>DOLATALGO</t>
  </si>
  <si>
    <t>MICEL</t>
  </si>
  <si>
    <t>LOKESHMACH</t>
  </si>
  <si>
    <t>MUNJALSHOW</t>
  </si>
  <si>
    <t>PFC</t>
  </si>
  <si>
    <t>IOB</t>
  </si>
  <si>
    <t>NSE:JKCEMENT</t>
  </si>
  <si>
    <t>AEGISVOPAK</t>
  </si>
  <si>
    <t>CAPLIPOINT</t>
  </si>
  <si>
    <t>CANHLIFE</t>
  </si>
  <si>
    <t>NSE:PIIND</t>
  </si>
  <si>
    <t>TIMETECHNO</t>
  </si>
  <si>
    <t>ABFRL</t>
  </si>
  <si>
    <t>STYL</t>
  </si>
  <si>
    <t>RAYMONDREL</t>
  </si>
  <si>
    <t>GOPAL</t>
  </si>
  <si>
    <t>RAMKY</t>
  </si>
  <si>
    <t>NSE:NH</t>
  </si>
  <si>
    <t>UEL</t>
  </si>
  <si>
    <t>PNBGILTS</t>
  </si>
  <si>
    <t>EKC</t>
  </si>
  <si>
    <t>KRISHIVAL</t>
  </si>
  <si>
    <t>XCHANGING</t>
  </si>
  <si>
    <t>REPRO</t>
  </si>
  <si>
    <t>BPCL</t>
  </si>
  <si>
    <t>NATIONALUM</t>
  </si>
  <si>
    <t>LALPATHLAB</t>
  </si>
  <si>
    <t>TRITURBINE</t>
  </si>
  <si>
    <t>VOGL</t>
  </si>
  <si>
    <t>RITES</t>
  </si>
  <si>
    <t>REDTAPE</t>
  </si>
  <si>
    <t>NSE:NLCINDIA</t>
  </si>
  <si>
    <t>NIRLON</t>
  </si>
  <si>
    <t>COCKERILL</t>
  </si>
  <si>
    <t>FUSION</t>
  </si>
  <si>
    <t>ARKADE</t>
  </si>
  <si>
    <t>JAYKAY</t>
  </si>
  <si>
    <t>SIGNPOST</t>
  </si>
  <si>
    <t>ORIENTTECH</t>
  </si>
  <si>
    <t>KOPRAN</t>
  </si>
  <si>
    <t>NRL</t>
  </si>
  <si>
    <t>MCLEODRUSS</t>
  </si>
  <si>
    <t>NSE:GLAND</t>
  </si>
  <si>
    <t>POLYCAB</t>
  </si>
  <si>
    <t>SCHAEFFLER</t>
  </si>
  <si>
    <t>CRISIL</t>
  </si>
  <si>
    <t>KAJARIACER</t>
  </si>
  <si>
    <t>NSE:POONAWALLA</t>
  </si>
  <si>
    <t>CEATLTD</t>
  </si>
  <si>
    <t>WHIRLPOOL</t>
  </si>
  <si>
    <t>SKFINDIA</t>
  </si>
  <si>
    <t>NSE:CONCOR</t>
  </si>
  <si>
    <t>RPEL</t>
  </si>
  <si>
    <t>VIPIND</t>
  </si>
  <si>
    <t>INDRAMEDCO</t>
  </si>
  <si>
    <t>MANGLMCEM</t>
  </si>
  <si>
    <t>LAOPALA</t>
  </si>
  <si>
    <t>NSE:CPPLUS</t>
  </si>
  <si>
    <t>ARFIN</t>
  </si>
  <si>
    <t>STLNETWORK</t>
  </si>
  <si>
    <t>WCIL</t>
  </si>
  <si>
    <t>GEECEE</t>
  </si>
  <si>
    <t>CSM</t>
  </si>
  <si>
    <t>CGPOWER</t>
  </si>
  <si>
    <t>NSE:IRCTC</t>
  </si>
  <si>
    <t>GODREJPROP</t>
  </si>
  <si>
    <t>KIRLOSENG</t>
  </si>
  <si>
    <t>BAYERCROP</t>
  </si>
  <si>
    <t>VIJAYA</t>
  </si>
  <si>
    <t>MANORAMA</t>
  </si>
  <si>
    <t>NSE:HUDCO</t>
  </si>
  <si>
    <t>JYOTHYLAB</t>
  </si>
  <si>
    <t>INNOVACAP</t>
  </si>
  <si>
    <t>RALLIS</t>
  </si>
  <si>
    <t>CARYSIL</t>
  </si>
  <si>
    <t>PARKHOTELS</t>
  </si>
  <si>
    <t>NSE:3MINDIA</t>
  </si>
  <si>
    <t>BAJEL</t>
  </si>
  <si>
    <t>ONEPOINT</t>
  </si>
  <si>
    <t>MENONBE</t>
  </si>
  <si>
    <t>ESTER</t>
  </si>
  <si>
    <t>MAANALU</t>
  </si>
  <si>
    <t>KIRANVYPAR</t>
  </si>
  <si>
    <t>NSE:ASTRAL</t>
  </si>
  <si>
    <t>SIEMENS</t>
  </si>
  <si>
    <t>KALYANKJIL</t>
  </si>
  <si>
    <t>WOCKPHARMA</t>
  </si>
  <si>
    <t>BRIGADE</t>
  </si>
  <si>
    <t>ANURAS</t>
  </si>
  <si>
    <t>PARAS</t>
  </si>
  <si>
    <t>NSE:NAVINFLUOR</t>
  </si>
  <si>
    <t>KRN</t>
  </si>
  <si>
    <t>GREAVESCOT</t>
  </si>
  <si>
    <t>CMSINFO</t>
  </si>
  <si>
    <t>RELTD</t>
  </si>
  <si>
    <t>MUFIN</t>
  </si>
  <si>
    <t>MUKANDLTD</t>
  </si>
  <si>
    <t>DIGITIDE</t>
  </si>
  <si>
    <t>NSE:ENDURANCE</t>
  </si>
  <si>
    <t>RSL</t>
  </si>
  <si>
    <t>IFBAGRO</t>
  </si>
  <si>
    <t>PREMIERPOL</t>
  </si>
  <si>
    <t>NSE:PATANJALI</t>
  </si>
  <si>
    <t>CHEMFAB</t>
  </si>
  <si>
    <t>UNIONBANK</t>
  </si>
  <si>
    <t>GLENMARK</t>
  </si>
  <si>
    <t>NSE:INDOMIM</t>
  </si>
  <si>
    <t>IKS</t>
  </si>
  <si>
    <t>SAMMAANCAP</t>
  </si>
  <si>
    <t>VGUARD</t>
  </si>
  <si>
    <t>INTELLECT</t>
  </si>
  <si>
    <t>JSLL</t>
  </si>
  <si>
    <t>NEOGEN</t>
  </si>
  <si>
    <t>NSE:EXIDEIND</t>
  </si>
  <si>
    <t>LASERPOWER</t>
  </si>
  <si>
    <t>SMSPHARMA</t>
  </si>
  <si>
    <t>UTKARSHBNK</t>
  </si>
  <si>
    <t>ARMANFIN</t>
  </si>
  <si>
    <t>IFGLEXPOR</t>
  </si>
  <si>
    <t>NSE:HSCL</t>
  </si>
  <si>
    <t>GCSL</t>
  </si>
  <si>
    <t>STERTOOLS</t>
  </si>
  <si>
    <t>VIVIANA</t>
  </si>
  <si>
    <t>MUFTI</t>
  </si>
  <si>
    <t>BRITANNIA</t>
  </si>
  <si>
    <t>SBICARD</t>
  </si>
  <si>
    <t>MANAPPURAM</t>
  </si>
  <si>
    <t>NSE:MEDANTA</t>
  </si>
  <si>
    <t>ERIS</t>
  </si>
  <si>
    <t>DOMS</t>
  </si>
  <si>
    <t>SAREGAMA</t>
  </si>
  <si>
    <t>GARFIBRES</t>
  </si>
  <si>
    <t>CCAVENUE</t>
  </si>
  <si>
    <t>WEBELSOLAR</t>
  </si>
  <si>
    <t>NSE:LTTS</t>
  </si>
  <si>
    <t>NIITMTS</t>
  </si>
  <si>
    <t>PANACEABIO</t>
  </si>
  <si>
    <t>SANSTAR</t>
  </si>
  <si>
    <t>GPTINFRA</t>
  </si>
  <si>
    <t>NSE:UBL</t>
  </si>
  <si>
    <t>LAXMIDENTL</t>
  </si>
  <si>
    <t>CONTROLPR</t>
  </si>
  <si>
    <t>STCINDIA</t>
  </si>
  <si>
    <t>APTECHT</t>
  </si>
  <si>
    <t>PNB</t>
  </si>
  <si>
    <t>BANKINDIA</t>
  </si>
  <si>
    <t>CUPID</t>
  </si>
  <si>
    <t>CHENNPETRO</t>
  </si>
  <si>
    <t>NSE:COCHINSHIP</t>
  </si>
  <si>
    <t>INGERRAND</t>
  </si>
  <si>
    <t>MANYAVAR</t>
  </si>
  <si>
    <t>GPPL</t>
  </si>
  <si>
    <t>SAATVIKGL</t>
  </si>
  <si>
    <t>RAMRAT</t>
  </si>
  <si>
    <t>SEIL</t>
  </si>
  <si>
    <t>STOVEKRAFT</t>
  </si>
  <si>
    <t>INDOCO</t>
  </si>
  <si>
    <t>NSE:EMCURE</t>
  </si>
  <si>
    <t>DOLLAR</t>
  </si>
  <si>
    <t>GREENPOWER</t>
  </si>
  <si>
    <t>KECL</t>
  </si>
  <si>
    <t>GLOSTERLTD</t>
  </si>
  <si>
    <t>GLOBAL</t>
  </si>
  <si>
    <t>LTM</t>
  </si>
  <si>
    <t>NSE:PWL</t>
  </si>
  <si>
    <t>GICRE</t>
  </si>
  <si>
    <t>TATATECH</t>
  </si>
  <si>
    <t>ONESOURCE</t>
  </si>
  <si>
    <t>NSE:DELHIVERY</t>
  </si>
  <si>
    <t>PRUDENT</t>
  </si>
  <si>
    <t>FINPIPE</t>
  </si>
  <si>
    <t>KWIL</t>
  </si>
  <si>
    <t>AHLUCONT</t>
  </si>
  <si>
    <t>MUTHOOTMF</t>
  </si>
  <si>
    <t>UNIPARTS</t>
  </si>
  <si>
    <t>SILVERTUC</t>
  </si>
  <si>
    <t>NSE:KPRMILL</t>
  </si>
  <si>
    <t>NGLFINE</t>
  </si>
  <si>
    <t>SDBL</t>
  </si>
  <si>
    <t>APEX</t>
  </si>
  <si>
    <t>TVSELECT</t>
  </si>
  <si>
    <t>GANESHCP</t>
  </si>
  <si>
    <t>NSE:STARHEALTH</t>
  </si>
  <si>
    <t>MGEL</t>
  </si>
  <si>
    <t>APOLLOHOSP</t>
  </si>
  <si>
    <t>COROMANDEL</t>
  </si>
  <si>
    <t>GRSE</t>
  </si>
  <si>
    <t>JYOTICNC</t>
  </si>
  <si>
    <t>SCI</t>
  </si>
  <si>
    <t>RELAXO</t>
  </si>
  <si>
    <t>PICCADIL</t>
  </si>
  <si>
    <t>NSE:BLUESTARCO</t>
  </si>
  <si>
    <t>RPTECH</t>
  </si>
  <si>
    <t>TATVA</t>
  </si>
  <si>
    <t>FILATEX</t>
  </si>
  <si>
    <t>SPORTKING</t>
  </si>
  <si>
    <t>DCXINDIA</t>
  </si>
  <si>
    <t>CNL</t>
  </si>
  <si>
    <t>RAJRILTD</t>
  </si>
  <si>
    <t>TIRUPATIFL</t>
  </si>
  <si>
    <t>NSE:ESCORTS</t>
  </si>
  <si>
    <t>BLAL</t>
  </si>
  <si>
    <t>DISHTV</t>
  </si>
  <si>
    <t>BAJAJHLDNG</t>
  </si>
  <si>
    <t>NSE:ANANDRATHI</t>
  </si>
  <si>
    <t>MAHABANK</t>
  </si>
  <si>
    <t>MRPL</t>
  </si>
  <si>
    <t>ZYDUSWELL</t>
  </si>
  <si>
    <t>NSE:TATAINVEST</t>
  </si>
  <si>
    <t>SKFINDUS</t>
  </si>
  <si>
    <t>TSFINV</t>
  </si>
  <si>
    <t>OMNI</t>
  </si>
  <si>
    <t>SETL</t>
  </si>
  <si>
    <t>REFEX</t>
  </si>
  <si>
    <t>MAYURUNIQ</t>
  </si>
  <si>
    <t>NSE:HEXT</t>
  </si>
  <si>
    <t>GLOBUSSPR</t>
  </si>
  <si>
    <t>TINNARUBR</t>
  </si>
  <si>
    <t>AMRUTANJAN</t>
  </si>
  <si>
    <t>LINCOLN</t>
  </si>
  <si>
    <t>VHLTD</t>
  </si>
  <si>
    <t>HERANBA</t>
  </si>
  <si>
    <t>SHREERAMA</t>
  </si>
  <si>
    <t>BANKBARODA</t>
  </si>
  <si>
    <t>BERGEPAINT</t>
  </si>
  <si>
    <t>NSE:ITCHOTELS</t>
  </si>
  <si>
    <t>TVSHLTD</t>
  </si>
  <si>
    <t>CHOICEIN</t>
  </si>
  <si>
    <t>EIDPARRY</t>
  </si>
  <si>
    <t>VOLTAMP</t>
  </si>
  <si>
    <t>TCI</t>
  </si>
  <si>
    <t>ENTERO</t>
  </si>
  <si>
    <t>WAKEFIT</t>
  </si>
  <si>
    <t>NSE:KIMS</t>
  </si>
  <si>
    <t>ARSSBL</t>
  </si>
  <si>
    <t>ADVAIT</t>
  </si>
  <si>
    <t>SOMANYCERA</t>
  </si>
  <si>
    <t>RACLGEAR</t>
  </si>
  <si>
    <t>CENTRUM</t>
  </si>
  <si>
    <t>DHARMAJ</t>
  </si>
  <si>
    <t>DPSCLTD</t>
  </si>
  <si>
    <t>PTL</t>
  </si>
  <si>
    <t>MUTHOOTFIN</t>
  </si>
  <si>
    <t>NSE:DALBHARAT</t>
  </si>
  <si>
    <t>JSL</t>
  </si>
  <si>
    <t>HFCL</t>
  </si>
  <si>
    <t>CASTROLIND</t>
  </si>
  <si>
    <t>VINATIORGA</t>
  </si>
  <si>
    <t>HCG</t>
  </si>
  <si>
    <t>EPL</t>
  </si>
  <si>
    <t>SMARTWORKS</t>
  </si>
  <si>
    <t>KIRLOSIND</t>
  </si>
  <si>
    <t>RML</t>
  </si>
  <si>
    <t>FISCHER</t>
  </si>
  <si>
    <t>TIL</t>
  </si>
  <si>
    <t>NSE:HONAUT</t>
  </si>
  <si>
    <t>IZMO</t>
  </si>
  <si>
    <t>ARIHANT</t>
  </si>
  <si>
    <t>MATRIMONY</t>
  </si>
  <si>
    <t>EVERESTIND</t>
  </si>
  <si>
    <t>KNAGRI</t>
  </si>
  <si>
    <t>TMPV</t>
  </si>
  <si>
    <t>NSE:IREDA</t>
  </si>
  <si>
    <t>ABBOTINDIA</t>
  </si>
  <si>
    <t>RRKABEL</t>
  </si>
  <si>
    <t>SARDAEN</t>
  </si>
  <si>
    <t>NSE:GODFRYPHLP</t>
  </si>
  <si>
    <t>INOXWIND</t>
  </si>
  <si>
    <t>SBFC</t>
  </si>
  <si>
    <t>KINGFA</t>
  </si>
  <si>
    <t>TIMEX</t>
  </si>
  <si>
    <t>VISHNU</t>
  </si>
  <si>
    <t>DREDGECORP</t>
  </si>
  <si>
    <t>TALBROAUTO</t>
  </si>
  <si>
    <t>NSE:KARURVYSYA</t>
  </si>
  <si>
    <t>SBC</t>
  </si>
  <si>
    <t>UGROCAP</t>
  </si>
  <si>
    <t>SRM</t>
  </si>
  <si>
    <t>SWELECTES</t>
  </si>
  <si>
    <t>DMCC</t>
  </si>
  <si>
    <t>NSE:NUVAMA</t>
  </si>
  <si>
    <t>PASUPTAC</t>
  </si>
  <si>
    <t>LODHA</t>
  </si>
  <si>
    <t>RADICO</t>
  </si>
  <si>
    <t>ABSLAMC</t>
  </si>
  <si>
    <t>JSWCEMENT</t>
  </si>
  <si>
    <t>VEDPOWER</t>
  </si>
  <si>
    <t>NSE:UCOBANK</t>
  </si>
  <si>
    <t>AFCONS</t>
  </si>
  <si>
    <t>JKPAPER</t>
  </si>
  <si>
    <t>PRSMJOHNSN</t>
  </si>
  <si>
    <t>SOTL</t>
  </si>
  <si>
    <t>JASH</t>
  </si>
  <si>
    <t>ADOR</t>
  </si>
  <si>
    <t>GOCLCORP</t>
  </si>
  <si>
    <t>AYMSYNTEX</t>
  </si>
  <si>
    <t>NSE:SCHNEIDER</t>
  </si>
  <si>
    <t>GENESYS</t>
  </si>
  <si>
    <t>PDMJEPAPER</t>
  </si>
  <si>
    <t>MAGADSUGAR</t>
  </si>
  <si>
    <t>UNIVPHOTO</t>
  </si>
  <si>
    <t>GROWW</t>
  </si>
  <si>
    <t>RBLBANK</t>
  </si>
  <si>
    <t>JUBLFOOD</t>
  </si>
  <si>
    <t>NSE:AEGISVOPAK</t>
  </si>
  <si>
    <t>ELGIEQUIP</t>
  </si>
  <si>
    <t>TMB</t>
  </si>
  <si>
    <t>SKYGOLD</t>
  </si>
  <si>
    <t>RCF</t>
  </si>
  <si>
    <t>KISSHT</t>
  </si>
  <si>
    <t>AYE</t>
  </si>
  <si>
    <t>NPST</t>
  </si>
  <si>
    <t>NSE:LALPATHLAB</t>
  </si>
  <si>
    <t>RAJRATAN</t>
  </si>
  <si>
    <t>AWFIS</t>
  </si>
  <si>
    <t>FERMENTA</t>
  </si>
  <si>
    <t>SEPC</t>
  </si>
  <si>
    <t>NSE:CRISIL</t>
  </si>
  <si>
    <t>SICALLOG</t>
  </si>
  <si>
    <t>UNITEDPOLY</t>
  </si>
  <si>
    <t>MODINATUR</t>
  </si>
  <si>
    <t>NSE:KIRLOSENG</t>
  </si>
  <si>
    <t>TATAPOWER</t>
  </si>
  <si>
    <t>APARINDS</t>
  </si>
  <si>
    <t>CHOLAHLDNG</t>
  </si>
  <si>
    <t>GMDCLTD</t>
  </si>
  <si>
    <t>NSE:WOCKPHARMA</t>
  </si>
  <si>
    <t>JSWDULUX</t>
  </si>
  <si>
    <t>SUDEEPPHRM</t>
  </si>
  <si>
    <t>BENGALASM</t>
  </si>
  <si>
    <t>BALUFORGE</t>
  </si>
  <si>
    <t>MAHLOG</t>
  </si>
  <si>
    <t>GANECOS</t>
  </si>
  <si>
    <t>BOMDYEING</t>
  </si>
  <si>
    <t>NSE:IKS</t>
  </si>
  <si>
    <t>JGCHEM</t>
  </si>
  <si>
    <t>INDORAMA</t>
  </si>
  <si>
    <t>BAJAJHCARE</t>
  </si>
  <si>
    <t>STANLEY</t>
  </si>
  <si>
    <t>PVP</t>
  </si>
  <si>
    <t>NSE:MANAPPURAM</t>
  </si>
  <si>
    <t>MANCREDIT</t>
  </si>
  <si>
    <t>BOSCHLTD</t>
  </si>
  <si>
    <t>LINDEINDIA</t>
  </si>
  <si>
    <t>SHYAMMETL</t>
  </si>
  <si>
    <t>OLAELEC</t>
  </si>
  <si>
    <t>BBOX</t>
  </si>
  <si>
    <t>NSE:CUPID</t>
  </si>
  <si>
    <t>BLACKBUCK</t>
  </si>
  <si>
    <t>DYNAMATECH</t>
  </si>
  <si>
    <t>SUBROS</t>
  </si>
  <si>
    <t>KDDL</t>
  </si>
  <si>
    <t>APCOTEXIND</t>
  </si>
  <si>
    <t>SUNDROP</t>
  </si>
  <si>
    <t>SAKAR</t>
  </si>
  <si>
    <t>ONIDA</t>
  </si>
  <si>
    <t>NSE:TATATECH</t>
  </si>
  <si>
    <t>ARIHANTSUP</t>
  </si>
  <si>
    <t>BSHSL</t>
  </si>
  <si>
    <t>HMVL</t>
  </si>
  <si>
    <t>RKSWAMY</t>
  </si>
  <si>
    <t>SBIFUNDS</t>
  </si>
  <si>
    <t>HDBFS</t>
  </si>
  <si>
    <t>LICHSGFIN</t>
  </si>
  <si>
    <t>CHALET</t>
  </si>
  <si>
    <t>NSE:GRSE</t>
  </si>
  <si>
    <t>SPLPETRO</t>
  </si>
  <si>
    <t>BLS</t>
  </si>
  <si>
    <t>MBAPL</t>
  </si>
  <si>
    <t>IFBIND</t>
  </si>
  <si>
    <t>AURIONPRO</t>
  </si>
  <si>
    <t>NSE:MRPL</t>
  </si>
  <si>
    <t>SHANTIGEAR</t>
  </si>
  <si>
    <t>RAJESHEXPO</t>
  </si>
  <si>
    <t>HGS</t>
  </si>
  <si>
    <t>ASTEC</t>
  </si>
  <si>
    <t>NSE:TVSHLTD</t>
  </si>
  <si>
    <t>ULTRAMAR</t>
  </si>
  <si>
    <t>EXCELSOFT</t>
  </si>
  <si>
    <t>SUBEXLTD</t>
  </si>
  <si>
    <t>DHUNINV</t>
  </si>
  <si>
    <t>GAIL</t>
  </si>
  <si>
    <t>NSE:HFCL</t>
  </si>
  <si>
    <t>COLPAL</t>
  </si>
  <si>
    <t>STLTECH</t>
  </si>
  <si>
    <t>CENTURYPLY</t>
  </si>
  <si>
    <t>CARTRADE</t>
  </si>
  <si>
    <t>LOTUSDEV</t>
  </si>
  <si>
    <t>JKLAKSHMI</t>
  </si>
  <si>
    <t>CYIENTDLM</t>
  </si>
  <si>
    <t>TARC</t>
  </si>
  <si>
    <t>STEELCAS</t>
  </si>
  <si>
    <t>PROTEAN</t>
  </si>
  <si>
    <t>INDSWFTLAB</t>
  </si>
  <si>
    <t>MACPOWER</t>
  </si>
  <si>
    <t>RIIL</t>
  </si>
  <si>
    <t>NSE:RRKABEL</t>
  </si>
  <si>
    <t>BODALCHEM</t>
  </si>
  <si>
    <t>CCCL</t>
  </si>
  <si>
    <t>ENIL</t>
  </si>
  <si>
    <t>HDFCLIFE</t>
  </si>
  <si>
    <t>MRF</t>
  </si>
  <si>
    <t>NIACL</t>
  </si>
  <si>
    <t>AARTIIND</t>
  </si>
  <si>
    <t>APTUS</t>
  </si>
  <si>
    <t>RPOWER</t>
  </si>
  <si>
    <t>SUPRIYA</t>
  </si>
  <si>
    <t>INDIGOPNTS</t>
  </si>
  <si>
    <t>MOSCHIP</t>
  </si>
  <si>
    <t>MOREPENLAB</t>
  </si>
  <si>
    <t>NSE:ABSLAMC</t>
  </si>
  <si>
    <t>GIPCL</t>
  </si>
  <si>
    <t>VIDYAWIRES</t>
  </si>
  <si>
    <t>NINSYS</t>
  </si>
  <si>
    <t>UNITECH</t>
  </si>
  <si>
    <t>DHAMPURSUG</t>
  </si>
  <si>
    <t>PANACHE</t>
  </si>
  <si>
    <t>PENINLAND</t>
  </si>
  <si>
    <t>CIPLA</t>
  </si>
  <si>
    <t>M&amp;MFIN</t>
  </si>
  <si>
    <t>METROBRAND</t>
  </si>
  <si>
    <t>NSE:JUBLFOOD</t>
  </si>
  <si>
    <t>ASTRAMICRO</t>
  </si>
  <si>
    <t>SWANDEF</t>
  </si>
  <si>
    <t>SWANCORP</t>
  </si>
  <si>
    <t>DBL</t>
  </si>
  <si>
    <t>GULFOILLUB</t>
  </si>
  <si>
    <t>INDOSTAR</t>
  </si>
  <si>
    <t>EUROPRATIK</t>
  </si>
  <si>
    <t>NSE:CHOLAHLDNG</t>
  </si>
  <si>
    <t>ELITECON</t>
  </si>
  <si>
    <t>MSPL</t>
  </si>
  <si>
    <t>TEXINFRA</t>
  </si>
  <si>
    <t>GRPLTD</t>
  </si>
  <si>
    <t>PRADPME</t>
  </si>
  <si>
    <t>JAYAGROGN</t>
  </si>
  <si>
    <t>SUKHJITS</t>
  </si>
  <si>
    <t>IRFC</t>
  </si>
  <si>
    <t>FACT</t>
  </si>
  <si>
    <t>NSE:SHYAMMETL</t>
  </si>
  <si>
    <t>BANDHANBNK</t>
  </si>
  <si>
    <t>TDPOWERSYS</t>
  </si>
  <si>
    <t>CORONA</t>
  </si>
  <si>
    <t>KIRLPNU</t>
  </si>
  <si>
    <t>NSE:LICHSGFIN</t>
  </si>
  <si>
    <t>HNDFDS</t>
  </si>
  <si>
    <t>JAIBALAJI</t>
  </si>
  <si>
    <t>GHCL</t>
  </si>
  <si>
    <t>RSYSTEMS</t>
  </si>
  <si>
    <t>RANEHOLDIN</t>
  </si>
  <si>
    <t>NDRAUTO</t>
  </si>
  <si>
    <t>NSE:STLTECH</t>
  </si>
  <si>
    <t>IGPL</t>
  </si>
  <si>
    <t>AKCAPIT</t>
  </si>
  <si>
    <t>MCCHRLS-B</t>
  </si>
  <si>
    <t>WELINV</t>
  </si>
  <si>
    <t>OSWALAGRO</t>
  </si>
  <si>
    <t>LLOYDSME</t>
  </si>
  <si>
    <t>NSE:NIACL</t>
  </si>
  <si>
    <t>TIINDIA</t>
  </si>
  <si>
    <t>CENTRALBK</t>
  </si>
  <si>
    <t>MTARTECH</t>
  </si>
  <si>
    <t>GRAPHITE</t>
  </si>
  <si>
    <t>PGIL</t>
  </si>
  <si>
    <t>SUPRAJIT</t>
  </si>
  <si>
    <t>NSE:METROBRAND</t>
  </si>
  <si>
    <t>SHILCTECH</t>
  </si>
  <si>
    <t>KSCL</t>
  </si>
  <si>
    <t>RPSGVENT</t>
  </si>
  <si>
    <t>VERANDA</t>
  </si>
  <si>
    <t>SERVOTECH</t>
  </si>
  <si>
    <t>ASALCBR</t>
  </si>
  <si>
    <t>NSE:BANDHANBNK</t>
  </si>
  <si>
    <t>MANALIPETC</t>
  </si>
  <si>
    <t>FINKURVE</t>
  </si>
  <si>
    <t>DWARKESH</t>
  </si>
  <si>
    <t>GFLLIMITED</t>
  </si>
  <si>
    <t>ENRIN</t>
  </si>
  <si>
    <t>SUNDARMFIN</t>
  </si>
  <si>
    <t>SAILIFE</t>
  </si>
  <si>
    <t>PGEL</t>
  </si>
  <si>
    <t>LLOYDSENGG</t>
  </si>
  <si>
    <t>NSE:CENTRALBK</t>
  </si>
  <si>
    <t>WAAREERTL</t>
  </si>
  <si>
    <t>BALAMINES</t>
  </si>
  <si>
    <t>JAMNAAUTO</t>
  </si>
  <si>
    <t>SANATHAN</t>
  </si>
  <si>
    <t>MONARCH</t>
  </si>
  <si>
    <t>SPAL</t>
  </si>
  <si>
    <t>ASIANENE</t>
  </si>
  <si>
    <t>NSE:SAILIFE</t>
  </si>
  <si>
    <t>ALLTIME</t>
  </si>
  <si>
    <t>ANDHRSUGAR</t>
  </si>
  <si>
    <t>SCODATUBES</t>
  </si>
  <si>
    <t>KUANTUM</t>
  </si>
  <si>
    <t>IRIS</t>
  </si>
  <si>
    <t>ZYDUSLIFE</t>
  </si>
  <si>
    <t>NSE:PGHH</t>
  </si>
  <si>
    <t>MFSL</t>
  </si>
  <si>
    <t>PGHH</t>
  </si>
  <si>
    <t>CHAMBLFERT</t>
  </si>
  <si>
    <t>ACE</t>
  </si>
  <si>
    <t>GENUSPOWER</t>
  </si>
  <si>
    <t>GALAXYSURF</t>
  </si>
  <si>
    <t>NSE:CDSL</t>
  </si>
  <si>
    <t>CENTUM</t>
  </si>
  <si>
    <t>POCL</t>
  </si>
  <si>
    <t>CHEMPLASTS</t>
  </si>
  <si>
    <t>EVEREADY</t>
  </si>
  <si>
    <t>ALGOQUANT</t>
  </si>
  <si>
    <t>NSE:ZFCVINDIA</t>
  </si>
  <si>
    <t>TTKHLTCARE</t>
  </si>
  <si>
    <t>INDPRUD</t>
  </si>
  <si>
    <t>NSE:PNBHOUSING</t>
  </si>
  <si>
    <t>LIKHITHA</t>
  </si>
  <si>
    <t>MANBA</t>
  </si>
  <si>
    <t>THEINVEST</t>
  </si>
  <si>
    <t>CANBK</t>
  </si>
  <si>
    <t>THERMAX</t>
  </si>
  <si>
    <t>NSE:ANGELONE</t>
  </si>
  <si>
    <t>CDSL</t>
  </si>
  <si>
    <t>EMAMILTD</t>
  </si>
  <si>
    <t>HEG</t>
  </si>
  <si>
    <t>STAR</t>
  </si>
  <si>
    <t>ETHOSLTD</t>
  </si>
  <si>
    <t>NSE:APOLLOTYRE</t>
  </si>
  <si>
    <t>SURYAROSNI</t>
  </si>
  <si>
    <t>BAJAJHIND</t>
  </si>
  <si>
    <t>SANGAMIND</t>
  </si>
  <si>
    <t>AJMERA</t>
  </si>
  <si>
    <t>GOODYEAR</t>
  </si>
  <si>
    <t>NSE:SJVN</t>
  </si>
  <si>
    <t>KAPSTON</t>
  </si>
  <si>
    <t>ALICON</t>
  </si>
  <si>
    <t>MODISONLTD</t>
  </si>
  <si>
    <t>INNOVISION</t>
  </si>
  <si>
    <t>NSE:MSUMI</t>
  </si>
  <si>
    <t>SAYAJIHOTL</t>
  </si>
  <si>
    <t>MARICO</t>
  </si>
  <si>
    <t>MOTILALOFS</t>
  </si>
  <si>
    <t>ZFCVINDIA</t>
  </si>
  <si>
    <t>ECLERX</t>
  </si>
  <si>
    <t>PARKHOSPS</t>
  </si>
  <si>
    <t>CYIENT</t>
  </si>
  <si>
    <t>BIRLACORPN</t>
  </si>
  <si>
    <t>NSE:PTCIL</t>
  </si>
  <si>
    <t>CRAMC</t>
  </si>
  <si>
    <t>SAMHI</t>
  </si>
  <si>
    <t>HERITGFOOD</t>
  </si>
  <si>
    <t>SOLARA</t>
  </si>
  <si>
    <t>SCILAL</t>
  </si>
  <si>
    <t>SULA</t>
  </si>
  <si>
    <t>INVPRECQ</t>
  </si>
  <si>
    <t>NDTV</t>
  </si>
  <si>
    <t>20MICRONS</t>
  </si>
  <si>
    <t>KANPRPLA</t>
  </si>
  <si>
    <t>NSE:ITI</t>
  </si>
  <si>
    <t>INDIANB</t>
  </si>
  <si>
    <t>UPL</t>
  </si>
  <si>
    <t>PNBHOUSING</t>
  </si>
  <si>
    <t>ABDL</t>
  </si>
  <si>
    <t>VISL</t>
  </si>
  <si>
    <t>ELECON</t>
  </si>
  <si>
    <t>BAJAJCON</t>
  </si>
  <si>
    <t>PTC</t>
  </si>
  <si>
    <t>MANINDS</t>
  </si>
  <si>
    <t>KKCL</t>
  </si>
  <si>
    <t>NSE:SYRMA</t>
  </si>
  <si>
    <t>INA</t>
  </si>
  <si>
    <t>RICOAUTO</t>
  </si>
  <si>
    <t>DIFFNKG</t>
  </si>
  <si>
    <t>AMNPLST</t>
  </si>
  <si>
    <t>HEXATRADEX</t>
  </si>
  <si>
    <t>TVTODAY</t>
  </si>
  <si>
    <t>URJA</t>
  </si>
  <si>
    <t>NSE:AMBER</t>
  </si>
  <si>
    <t>NSE:PPLPHARMA</t>
  </si>
  <si>
    <t>NSE:IIFL</t>
  </si>
  <si>
    <t>NSE:CRAFTSMAN</t>
  </si>
  <si>
    <t>NSE:NETWEB</t>
  </si>
  <si>
    <t>NSE:GUJENERGY</t>
  </si>
  <si>
    <t>NSE:ACMESOLAR</t>
  </si>
  <si>
    <t>NSE:NBCC</t>
  </si>
  <si>
    <t>NSE:GABRIEL</t>
  </si>
  <si>
    <t>NSE:CREDITACC</t>
  </si>
  <si>
    <t>NSE:KAYNES</t>
  </si>
  <si>
    <t>NSE:ACC</t>
  </si>
  <si>
    <t>NSE:SUMICHEM</t>
  </si>
  <si>
    <t>NSE:ACUTAAS</t>
  </si>
  <si>
    <t>NSE:REDINGTON</t>
  </si>
  <si>
    <t>NSE:GILLETTE</t>
  </si>
  <si>
    <t>NSE:RUBICON</t>
  </si>
  <si>
    <t>NSE:AWL</t>
  </si>
  <si>
    <t>NSE:NEULANDLAB</t>
  </si>
  <si>
    <t>NSE:IRB</t>
  </si>
  <si>
    <t>NSE:DATAPATTNS</t>
  </si>
  <si>
    <t>NSE:TIMKEN</t>
  </si>
  <si>
    <t>NSE:FORCEMOT</t>
  </si>
  <si>
    <t>NSE:CEMPRO</t>
  </si>
  <si>
    <t>NSE:GRINDWELL</t>
  </si>
  <si>
    <t>NSE:GODIGIT</t>
  </si>
  <si>
    <t>NSE:BELRISE</t>
  </si>
  <si>
    <t>NSE:TATAELXSI</t>
  </si>
  <si>
    <t>NSE:DEEPAKNTR</t>
  </si>
  <si>
    <t>NSE:ANANTRAJ</t>
  </si>
  <si>
    <t>NSE:CGCL</t>
  </si>
  <si>
    <t>NSE:ASAHIINDIA</t>
  </si>
  <si>
    <t>NSE:AFFLE</t>
  </si>
  <si>
    <t>NSE:PFOCUS</t>
  </si>
  <si>
    <t>NSE:KIOCL</t>
  </si>
  <si>
    <t>NSE:PFIZER</t>
  </si>
  <si>
    <t>NSE:KPIL</t>
  </si>
  <si>
    <t>NSE:EMMVEE</t>
  </si>
  <si>
    <t>NSE:CESC</t>
  </si>
  <si>
    <t>NSE:AADHARHFC</t>
  </si>
  <si>
    <t>NSE:TENNIND</t>
  </si>
  <si>
    <t>NSE:RAMCOCEM</t>
  </si>
  <si>
    <t>NSE:IGL</t>
  </si>
  <si>
    <t>NSE:FSL</t>
  </si>
  <si>
    <t>NSE:SANSERA</t>
  </si>
  <si>
    <t>NSE:IFCI</t>
  </si>
  <si>
    <t>NSE:SUNDRMFAST</t>
  </si>
  <si>
    <t>NSE:CUB</t>
  </si>
  <si>
    <t>NSE:EIHOTEL</t>
  </si>
  <si>
    <t>NSE:GRANULES</t>
  </si>
  <si>
    <t>NSE:AETHER</t>
  </si>
  <si>
    <t>NSE:SAGILITY</t>
  </si>
  <si>
    <t>NSE:CARBORUNIV</t>
  </si>
  <si>
    <t>NSE:ASTRAZEN</t>
  </si>
  <si>
    <t>NSE:SUNTV</t>
  </si>
  <si>
    <t>NSE:URBANCO</t>
  </si>
  <si>
    <t>NSE:HBLENGINE</t>
  </si>
  <si>
    <t>NSE:ATUL</t>
  </si>
  <si>
    <t>NSE:CAMS</t>
  </si>
  <si>
    <t>NSE:HATSUN</t>
  </si>
  <si>
    <t>NSE:DEEPAKFERT</t>
  </si>
  <si>
    <t>NSE:DIACABS</t>
  </si>
  <si>
    <t>NSE:SHRIPISTON</t>
  </si>
  <si>
    <t>NSE:GESHIP</t>
  </si>
  <si>
    <t>NSE:CAPLIPOINT</t>
  </si>
  <si>
    <t>NSE:TRITURBINE</t>
  </si>
  <si>
    <t>NSE:KAJARIACER</t>
  </si>
  <si>
    <t>NSE:BAYERCROP</t>
  </si>
  <si>
    <t>NSE:BRIGADE</t>
  </si>
  <si>
    <t>NSE:SAMMAANCAP</t>
  </si>
  <si>
    <t>NSE:ERIS</t>
  </si>
  <si>
    <t>NSE:CHENNPETRO</t>
  </si>
  <si>
    <t>NSE:ONESOURCE</t>
  </si>
  <si>
    <t>NSE:JYOTICNC</t>
  </si>
  <si>
    <t>NSE:ZYDUSWELL</t>
  </si>
  <si>
    <t>NSE:CHOICEIN</t>
  </si>
  <si>
    <t>NSE:CASTROLIND</t>
  </si>
  <si>
    <t>NSE:SARDAEN</t>
  </si>
  <si>
    <t>NSE:JSWCEMENT</t>
  </si>
  <si>
    <t>NSE:ELGIEQUIP</t>
  </si>
  <si>
    <t>NSE:GMDCLTD</t>
  </si>
  <si>
    <t>NSE:OLAELEC</t>
  </si>
  <si>
    <t>NSE:CHALET</t>
  </si>
  <si>
    <t>NSE:CENTURYPLY</t>
  </si>
  <si>
    <t>NSE:AARTIIND</t>
  </si>
  <si>
    <t>NSE:ASTRAMICRO</t>
  </si>
  <si>
    <t>NSE:TDPOWERSYS</t>
  </si>
  <si>
    <t>NSE:MTARTECH</t>
  </si>
  <si>
    <t>NSE:PGEL</t>
  </si>
  <si>
    <t>NSE:CHAMBLFERT</t>
  </si>
  <si>
    <t>NSE:EMAMILTD</t>
  </si>
  <si>
    <t>NSE:ECLERX</t>
  </si>
  <si>
    <t>NSE:ABDL</t>
  </si>
  <si>
    <t>NSE:INOXINDIA</t>
  </si>
  <si>
    <t>NSE:LMW</t>
  </si>
  <si>
    <t>NSE:POLYMED</t>
  </si>
  <si>
    <t>NSE:J&amp;KBANK</t>
  </si>
  <si>
    <t>NSE:TATACHEM</t>
  </si>
  <si>
    <t>NSE:TRAVELFOOD</t>
  </si>
  <si>
    <t>NSE:CMPDI</t>
  </si>
  <si>
    <t>NSE:VTL</t>
  </si>
  <si>
    <t>NSE:MINDACORP</t>
  </si>
  <si>
    <t>NSE:CROMPTON</t>
  </si>
  <si>
    <t>NSE:ARE&amp;M</t>
  </si>
  <si>
    <t>NSE:TBOTEK</t>
  </si>
  <si>
    <t>NSE:GRWRHITECH</t>
  </si>
  <si>
    <t>NSE:RATNAMANI</t>
  </si>
  <si>
    <t>NSE:THELEELA</t>
  </si>
  <si>
    <t>NSE:PSB</t>
  </si>
  <si>
    <t>NSE:JINDALSAW</t>
  </si>
  <si>
    <t>NSE:NATCOPHARM</t>
  </si>
  <si>
    <t>NSE:KPITTECH</t>
  </si>
  <si>
    <t>NSE:GPIL</t>
  </si>
  <si>
    <t>NSE:COHANCE</t>
  </si>
  <si>
    <t>NSE:THANGAMAYL</t>
  </si>
  <si>
    <t>NSE:KFINTECH</t>
  </si>
  <si>
    <t>NSE:FIVESTAR</t>
  </si>
  <si>
    <t>NSE:DCMSHRIRAM</t>
  </si>
  <si>
    <t>NSE:NIVABUPA</t>
  </si>
  <si>
    <t>NSE:BIKAJI</t>
  </si>
  <si>
    <t>NSE:PINELABS</t>
  </si>
  <si>
    <t>NSE:KANSAINER</t>
  </si>
  <si>
    <t>NSE:ABREL</t>
  </si>
  <si>
    <t>NSE:BHARATCOAL</t>
  </si>
  <si>
    <t>NSE:BASF</t>
  </si>
  <si>
    <t>NSE:NAVA</t>
  </si>
  <si>
    <t>NSE:APLLTD</t>
  </si>
  <si>
    <t>NSE:CLEANMAX</t>
  </si>
  <si>
    <t>NSE:HAPPYFORGE</t>
  </si>
  <si>
    <t>NSE:SYNGENE</t>
  </si>
  <si>
    <t>NSE:JBMA</t>
  </si>
  <si>
    <t>NSE:CIEINDIA</t>
  </si>
  <si>
    <t>NSE:RAINBOW</t>
  </si>
  <si>
    <t>NSE:CCL</t>
  </si>
  <si>
    <t>NSE:AEQUS</t>
  </si>
  <si>
    <t>NSE:PARADEEP</t>
  </si>
  <si>
    <t>NSE:IGIL</t>
  </si>
  <si>
    <t>NSE:AGARWALEYE</t>
  </si>
  <si>
    <t>NSE:USHAMART</t>
  </si>
  <si>
    <t>NSE:FINCABLES</t>
  </si>
  <si>
    <t>NSE:WELSPUNLIV</t>
  </si>
  <si>
    <t>NSE:KSB</t>
  </si>
  <si>
    <t>NSE:JUBLPHARMA</t>
  </si>
  <si>
    <t>NSE:MAHSCOOTER</t>
  </si>
  <si>
    <t>NSE:CONCORDBIO</t>
  </si>
  <si>
    <t>NSE:KIRLOSBROS</t>
  </si>
  <si>
    <t>NSE:GALLANTT</t>
  </si>
  <si>
    <t>NSE:AZAD</t>
  </si>
  <si>
    <t>NSE:FINEORG</t>
  </si>
  <si>
    <t>NSE:SOBHA</t>
  </si>
  <si>
    <t>NSE:ZENTEC</t>
  </si>
  <si>
    <t>NSE:HONASA</t>
  </si>
  <si>
    <t>NSE:VENTIVE</t>
  </si>
  <si>
    <t>NSE:BEML</t>
  </si>
  <si>
    <t>NSE:LTFOODS</t>
  </si>
  <si>
    <t>NSE:ALIVUS</t>
  </si>
  <si>
    <t>NSE:SHADOWFAX</t>
  </si>
  <si>
    <t>NSE:PRIVISCL</t>
  </si>
  <si>
    <t>NSE:DEVYANI</t>
  </si>
  <si>
    <t>NSE:AMAGI</t>
  </si>
  <si>
    <t>NSE:SHAILY</t>
  </si>
  <si>
    <t>NSE:FRACTAL</t>
  </si>
  <si>
    <t>NSE:UJJIVANSFB</t>
  </si>
  <si>
    <t>NSE:APOLLO</t>
  </si>
  <si>
    <t>NSE:CANHLIFE</t>
  </si>
  <si>
    <t>NSE:VOGL</t>
  </si>
  <si>
    <t>NSE:CEATLTD</t>
  </si>
  <si>
    <t>NSE:VIJAYA</t>
  </si>
  <si>
    <t>NSE:ANURAS</t>
  </si>
  <si>
    <t>NSE:VGUARD</t>
  </si>
  <si>
    <t>NSE:DOMS</t>
  </si>
  <si>
    <t>NSE:INGERRAND</t>
  </si>
  <si>
    <t>NSE:PRUDENT</t>
  </si>
  <si>
    <t>NSE:SCI</t>
  </si>
  <si>
    <t>NSE:SKFINDUS</t>
  </si>
  <si>
    <t>NSE:EIDPARRY</t>
  </si>
  <si>
    <t>NSE:VINATIORGA</t>
  </si>
  <si>
    <t>NSE:INOXWIND</t>
  </si>
  <si>
    <t>NSE:VEDPOWER</t>
  </si>
  <si>
    <t>NSE:TMB</t>
  </si>
  <si>
    <t>NSE:JSWDULUX</t>
  </si>
  <si>
    <t>NSE:BBOX</t>
  </si>
  <si>
    <t>NSE:SPLPETRO</t>
  </si>
  <si>
    <t>NSE:CARTRADE</t>
  </si>
  <si>
    <t>NSE:APTUS</t>
  </si>
  <si>
    <t>NSE:SWANDEF</t>
  </si>
  <si>
    <t>NSE:CORONA</t>
  </si>
  <si>
    <t>NSE:GRAPHITE</t>
  </si>
  <si>
    <t>NSE:LLOYDSENGG</t>
  </si>
  <si>
    <t>NSE:ACE</t>
  </si>
  <si>
    <t>NSE:HEG</t>
  </si>
  <si>
    <t>NSE:PARKHOSPS</t>
  </si>
  <si>
    <t>NSE:VISL</t>
  </si>
  <si>
    <t>NSE:NSLNISP</t>
  </si>
  <si>
    <t>NSE:TRIDENT</t>
  </si>
  <si>
    <t>NSE:NAZARA</t>
  </si>
  <si>
    <t>NSE:JPPOWER</t>
  </si>
  <si>
    <t>NSE:PCBL</t>
  </si>
  <si>
    <t>NSE:ENGINERSIN</t>
  </si>
  <si>
    <t>NSE:JSWHL</t>
  </si>
  <si>
    <t>NSE:KEC</t>
  </si>
  <si>
    <t>NSE:BLUESTONE</t>
  </si>
  <si>
    <t>NSE:HOMEFIRST</t>
  </si>
  <si>
    <t>NSE:INDGN</t>
  </si>
  <si>
    <t>NSE:BALRAMCHIN</t>
  </si>
  <si>
    <t>NSE:WABAG</t>
  </si>
  <si>
    <t>NSE:INDIACEM</t>
  </si>
  <si>
    <t>NSE:NUVOCO</t>
  </si>
  <si>
    <t>NSE:AVANTIFEED</t>
  </si>
  <si>
    <t>NSE:BLUEDART</t>
  </si>
  <si>
    <t>NSE:SOUTHBANK</t>
  </si>
  <si>
    <t>NSE:AVALON</t>
  </si>
  <si>
    <t>NSE:METROPOLIS</t>
  </si>
  <si>
    <t>NSE:LLOYDSENT</t>
  </si>
  <si>
    <t>NSE:JAINREC</t>
  </si>
  <si>
    <t>NSE:SHILPAMED</t>
  </si>
  <si>
    <t>NSE:GRAVITA</t>
  </si>
  <si>
    <t>NSE:SEDEMAC</t>
  </si>
  <si>
    <t>NSE:IRCON</t>
  </si>
  <si>
    <t>NSE:ATLANTAELE</t>
  </si>
  <si>
    <t>NSE:SIGMAADV</t>
  </si>
  <si>
    <t>NSE:IEX</t>
  </si>
  <si>
    <t>NSE:RKFORGE</t>
  </si>
  <si>
    <t>NSE:JUBLINGREA</t>
  </si>
  <si>
    <t>NSE:MARKSANS</t>
  </si>
  <si>
    <t>NSE:JMFINANCIL</t>
  </si>
  <si>
    <t>NSE:UTLSOLAR</t>
  </si>
  <si>
    <t>NSE:UTIAMC</t>
  </si>
  <si>
    <t>NSE:ZENSARTECH</t>
  </si>
  <si>
    <t>NSE:ABLBL</t>
  </si>
  <si>
    <t>NSE:SIGNATURE</t>
  </si>
  <si>
    <t>NSE:JKTYRE</t>
  </si>
  <si>
    <t>NSE:TI</t>
  </si>
  <si>
    <t>NSE:TECHNOE</t>
  </si>
  <si>
    <t>NSE:TEGA</t>
  </si>
  <si>
    <t>NSE:TITAGARH</t>
  </si>
  <si>
    <t>NSE:PVRINOX</t>
  </si>
  <si>
    <t>NSE:FIRSTCRY</t>
  </si>
  <si>
    <t>NSE:JWL</t>
  </si>
  <si>
    <t>NSE:MGL</t>
  </si>
  <si>
    <t>NSE:VIYASH</t>
  </si>
  <si>
    <t>NSE:ZEEL</t>
  </si>
  <si>
    <t>NSE:PGHL</t>
  </si>
  <si>
    <t>NSE:EDELWEISS</t>
  </si>
  <si>
    <t>NSE:CANFINHOME</t>
  </si>
  <si>
    <t>NSE:RATEGAIN</t>
  </si>
  <si>
    <t>NSE:OLECTRA</t>
  </si>
  <si>
    <t>NSE:JLHL</t>
  </si>
  <si>
    <t>NSE:BLUEJET</t>
  </si>
  <si>
    <t>NSE:INDIAMART</t>
  </si>
  <si>
    <t>NSE:AAVAS</t>
  </si>
  <si>
    <t>NSE:KTKBANK</t>
  </si>
  <si>
    <t>NSE:GODREJAGRO</t>
  </si>
  <si>
    <t>NSE:LUMAXTECH</t>
  </si>
  <si>
    <t>NSE:IIFLCAPS</t>
  </si>
  <si>
    <t>NSE:E2E</t>
  </si>
  <si>
    <t>NSE:SANOFICONR</t>
  </si>
  <si>
    <t>NSE:SHREEJISPG</t>
  </si>
  <si>
    <t>NSE:BBTC</t>
  </si>
  <si>
    <t>NSE:ASKAUTOLTD</t>
  </si>
  <si>
    <t>NSE:VARROC</t>
  </si>
  <si>
    <t>NSE:AKUMS</t>
  </si>
  <si>
    <t>NSE:SANDUMA</t>
  </si>
  <si>
    <t>NSE:WEWORK</t>
  </si>
  <si>
    <t>NSE:TIMETECHNO</t>
  </si>
  <si>
    <t>NSE:RITES</t>
  </si>
  <si>
    <t>NSE:WHIRLPOOL</t>
  </si>
  <si>
    <t>NSE:MANORAMA</t>
  </si>
  <si>
    <t>NSE:PARAS</t>
  </si>
  <si>
    <t>NSE:INTELLECT</t>
  </si>
  <si>
    <t>NSE:SAREGAMA</t>
  </si>
  <si>
    <t>NSE:MANYAVAR</t>
  </si>
  <si>
    <t>NSE:FINPIPE</t>
  </si>
  <si>
    <t>NSE:RELAXO</t>
  </si>
  <si>
    <t>NSE:TSFINV</t>
  </si>
  <si>
    <t>NSE:VOLTAMP</t>
  </si>
  <si>
    <t>NSE:HCG</t>
  </si>
  <si>
    <t>NSE:SBFC</t>
  </si>
  <si>
    <t>NSE:AFCONS</t>
  </si>
  <si>
    <t>NSE:SKYGOLD</t>
  </si>
  <si>
    <t>NSE:SUDEEPPHRM</t>
  </si>
  <si>
    <t>NSE:BLACKBUCK</t>
  </si>
  <si>
    <t>NSE:BLS</t>
  </si>
  <si>
    <t>NSE:LOTUSDEV</t>
  </si>
  <si>
    <t>NSE:RPOWER</t>
  </si>
  <si>
    <t>NSE:SWANCORP</t>
  </si>
  <si>
    <t>NSE:KIRLPNU</t>
  </si>
  <si>
    <t>NSE:PGIL</t>
  </si>
  <si>
    <t>NSE:WAAREERTL</t>
  </si>
  <si>
    <t>NSE:GENUSPOWER</t>
  </si>
  <si>
    <t>NSE:STAR</t>
  </si>
  <si>
    <t>NSE:CYIENT</t>
  </si>
  <si>
    <t>NSE:ELECON</t>
  </si>
  <si>
    <t>NSE:MMTC</t>
  </si>
  <si>
    <t>NSE:THYROCARE</t>
  </si>
  <si>
    <t>NSE:ALKYLAMINE</t>
  </si>
  <si>
    <t>NSE:RAILTEL</t>
  </si>
  <si>
    <t>NSE:TEJASNET</t>
  </si>
  <si>
    <t>NSE:BANCOINDIA</t>
  </si>
  <si>
    <t>NSE:PNGJL</t>
  </si>
  <si>
    <t>NSE:SONATSOFTW</t>
  </si>
  <si>
    <t>NSE:VESUVIUS</t>
  </si>
  <si>
    <t>NSE:PCJEWELLER</t>
  </si>
  <si>
    <t>NSE:BATAINDIA</t>
  </si>
  <si>
    <t>NSE:TARIL</t>
  </si>
  <si>
    <t>NSE:NCC</t>
  </si>
  <si>
    <t>NSE:SGMART</t>
  </si>
  <si>
    <t>NSE:TTKPRESTIG</t>
  </si>
  <si>
    <t>NSE:QPOWER</t>
  </si>
  <si>
    <t>NSE:IXIGO</t>
  </si>
  <si>
    <t>NSE:EUREKAFORB</t>
  </si>
  <si>
    <t>NSE:SUVEN</t>
  </si>
  <si>
    <t>NSE:ESABINDIA</t>
  </si>
  <si>
    <t>NSE:LEMONTREE</t>
  </si>
  <si>
    <t>NSE:RELIGARE</t>
  </si>
  <si>
    <t>NSE:EQUITASBNK</t>
  </si>
  <si>
    <t>NSE:SFL</t>
  </si>
  <si>
    <t>NSE:GRINFRA</t>
  </si>
  <si>
    <t>NSE:TIPSMUSIC</t>
  </si>
  <si>
    <t>NSE:EMBDL</t>
  </si>
  <si>
    <t>NSE:PRICOLLTD</t>
  </si>
  <si>
    <t>NSE:MEDPLUS</t>
  </si>
  <si>
    <t>NSE:BSOFT</t>
  </si>
  <si>
    <t>NSE:MAHLIFE</t>
  </si>
  <si>
    <t>NSE:JAYNECOIND</t>
  </si>
  <si>
    <t>NSE:AVL</t>
  </si>
  <si>
    <t>NSE:SMLMAH</t>
  </si>
  <si>
    <t>NSE:WELENT</t>
  </si>
  <si>
    <t>NSE:STARCEMENT</t>
  </si>
  <si>
    <t>NSE:POWERMECH</t>
  </si>
  <si>
    <t>NSE:SUDARSCHEM</t>
  </si>
  <si>
    <t>NSE:KAMAHOLD</t>
  </si>
  <si>
    <t>NSE:KRBL</t>
  </si>
  <si>
    <t>NSE:RHIM</t>
  </si>
  <si>
    <t>NSE:V2RETAIL</t>
  </si>
  <si>
    <t>NSE:ICIL</t>
  </si>
  <si>
    <t>NSE:NEWGEN</t>
  </si>
  <si>
    <t>NSE:INDIASHLTR</t>
  </si>
  <si>
    <t>NSE:WESTLIFE</t>
  </si>
  <si>
    <t>NSE:CERA</t>
  </si>
  <si>
    <t>NSE:TANLA</t>
  </si>
  <si>
    <t>NSE:GAEL</t>
  </si>
  <si>
    <t>NSE:YATHARTH</t>
  </si>
  <si>
    <t>NSE:KIRLFER</t>
  </si>
  <si>
    <t>NSE:IMFA</t>
  </si>
  <si>
    <t>NSE:BORORENEW</t>
  </si>
  <si>
    <t>NSE:TTML</t>
  </si>
  <si>
    <t>NSE:CLEAN</t>
  </si>
  <si>
    <t>NSE:GMRP&amp;UI</t>
  </si>
  <si>
    <t>NSE:INDIAGLYCO</t>
  </si>
  <si>
    <t>NSE:SJS</t>
  </si>
  <si>
    <t>NSE:SANOFI</t>
  </si>
  <si>
    <t>NSE:ORKLAINDIA</t>
  </si>
  <si>
    <t>NSE:SAFARI</t>
  </si>
  <si>
    <t>NSE:CELLO</t>
  </si>
  <si>
    <t>NSE:MAHSEAMLES</t>
  </si>
  <si>
    <t>NSE:NESCO</t>
  </si>
  <si>
    <t>NSE:RAIN</t>
  </si>
  <si>
    <t>NSE:GNFC</t>
  </si>
  <si>
    <t>NSE:ELANTAS</t>
  </si>
  <si>
    <t>NSE:MIDHANI</t>
  </si>
  <si>
    <t>NSE:SHARDACROP</t>
  </si>
  <si>
    <t>NSE:HMT</t>
  </si>
  <si>
    <t>NSE:KPIGREEN</t>
  </si>
  <si>
    <t>NSE:ABFRL</t>
  </si>
  <si>
    <t>NSE:REDTAPE</t>
  </si>
  <si>
    <t>NSE:SKFINDIA</t>
  </si>
  <si>
    <t>NSE:JYOTHYLAB</t>
  </si>
  <si>
    <t>NSE:KRN</t>
  </si>
  <si>
    <t>NSE:JSLL</t>
  </si>
  <si>
    <t>NSE:GARFIBRES</t>
  </si>
  <si>
    <t>NSE:GPPL</t>
  </si>
  <si>
    <t>NSE:KWIL</t>
  </si>
  <si>
    <t>NSE:PICCADIL</t>
  </si>
  <si>
    <t>NSE:OMNI</t>
  </si>
  <si>
    <t>NSE:TCI</t>
  </si>
  <si>
    <t>NSE:EPL</t>
  </si>
  <si>
    <t>NSE:KINGFA</t>
  </si>
  <si>
    <t>NSE:JKPAPER</t>
  </si>
  <si>
    <t>NSE:RCF</t>
  </si>
  <si>
    <t>NSE:BENGALASM</t>
  </si>
  <si>
    <t>NSE:DYNAMATECH</t>
  </si>
  <si>
    <t>NSE:MBAPL</t>
  </si>
  <si>
    <t>NSE:JKLAKSHMI</t>
  </si>
  <si>
    <t>NSE:SUPRIYA</t>
  </si>
  <si>
    <t>NSE:DBL</t>
  </si>
  <si>
    <t>NSE:HNDFDS</t>
  </si>
  <si>
    <t>NSE:SUPRAJIT</t>
  </si>
  <si>
    <t>NSE:BALAMINES</t>
  </si>
  <si>
    <t>NSE:GALAXYSURF</t>
  </si>
  <si>
    <t>NSE:ETHOSLTD</t>
  </si>
  <si>
    <t>NSE:BIRLACORPN</t>
  </si>
  <si>
    <t>NSE:BAJAJCON</t>
  </si>
  <si>
    <t>NSE:NEPHROPLUS</t>
  </si>
  <si>
    <t>NSE:INOXGREEN</t>
  </si>
  <si>
    <t>NSE:PRECWIRE</t>
  </si>
  <si>
    <t>NSE:CAMPUS</t>
  </si>
  <si>
    <t>NSE:TRANSRAILL</t>
  </si>
  <si>
    <t>NSE:ASHAPURMIN</t>
  </si>
  <si>
    <t>NSE:POWERICA</t>
  </si>
  <si>
    <t>NSE:SPARC</t>
  </si>
  <si>
    <t>NSE:FDC</t>
  </si>
  <si>
    <t>NSE:GOKULAGRO</t>
  </si>
  <si>
    <t>NSE:AJAXENGG</t>
  </si>
  <si>
    <t>NSE:SENCO</t>
  </si>
  <si>
    <t>NSE:AXISCADES</t>
  </si>
  <si>
    <t>NSE:SUNFLAG</t>
  </si>
  <si>
    <t>NSE:LATENTVIEW</t>
  </si>
  <si>
    <t>NSE:ACI</t>
  </si>
  <si>
    <t>NSE:PAISALO</t>
  </si>
  <si>
    <t>NSE:KOVAI</t>
  </si>
  <si>
    <t>NSE:MAPMYINDIA</t>
  </si>
  <si>
    <t>NSE:VIKRAMSOLR</t>
  </si>
  <si>
    <t>NSE:MAXESTATES</t>
  </si>
  <si>
    <t>NSE:GREENLAM</t>
  </si>
  <si>
    <t>NSE:SHAKTIPUMP</t>
  </si>
  <si>
    <t>NSE:IBULLSLTD</t>
  </si>
  <si>
    <t>NSE:BECTORFOOD</t>
  </si>
  <si>
    <t>NSE:GSFC</t>
  </si>
  <si>
    <t>NSE:PNCINFRA</t>
  </si>
  <si>
    <t>NSE:UNIMECH</t>
  </si>
  <si>
    <t>NSE:DODLA</t>
  </si>
  <si>
    <t>NSE:KENNAMET</t>
  </si>
  <si>
    <t>NSE:VMART</t>
  </si>
  <si>
    <t>NSE:GANESHHOU</t>
  </si>
  <si>
    <t>NSE:IONEXCHANG</t>
  </si>
  <si>
    <t>NSE:KALPATARU</t>
  </si>
  <si>
    <t>NSE:KUSUMGAR</t>
  </si>
  <si>
    <t>NSE:DBREALTY</t>
  </si>
  <si>
    <t>NSE:FIEMIND</t>
  </si>
  <si>
    <t>NSE:JUSTDIAL</t>
  </si>
  <si>
    <t>NSE:JSFB</t>
  </si>
  <si>
    <t>NSE:ISGEC</t>
  </si>
  <si>
    <t>NSE:KMEW</t>
  </si>
  <si>
    <t>NSE:AARTIPHARM</t>
  </si>
  <si>
    <t>NSE:EBGNG</t>
  </si>
  <si>
    <t>NSE:ARVINDFASN</t>
  </si>
  <si>
    <t>NSE:SENORES</t>
  </si>
  <si>
    <t>NSE:ITDC</t>
  </si>
  <si>
    <t>NSE:DCBBANK</t>
  </si>
  <si>
    <t>NSE:GOKEX</t>
  </si>
  <si>
    <t>NSE:CEIGALL</t>
  </si>
  <si>
    <t>NSE:SIS</t>
  </si>
  <si>
    <t>NSE:TVSSCS</t>
  </si>
  <si>
    <t>NSE:SKIPPER</t>
  </si>
  <si>
    <t>NSE:SAPPHIRE</t>
  </si>
  <si>
    <t>NSE:CORDELIA</t>
  </si>
  <si>
    <t>NSE:ALOKINDS</t>
  </si>
  <si>
    <t>NSE:TIIL</t>
  </si>
  <si>
    <t>NSE:MASTEK</t>
  </si>
  <si>
    <t>NSE:MASFIN</t>
  </si>
  <si>
    <t>NSE:FEDFINA</t>
  </si>
  <si>
    <t>NSE:AEROFLEX</t>
  </si>
  <si>
    <t>NSE:HAPPSTMNDS</t>
  </si>
  <si>
    <t>NSE:STYLAMIND</t>
  </si>
  <si>
    <t>NSE:PRAJIND</t>
  </si>
  <si>
    <t>NSE:CSBBANK</t>
  </si>
  <si>
    <t>NSE:MOIL</t>
  </si>
  <si>
    <t>NSE:OPTIEMUS</t>
  </si>
  <si>
    <t>NSE:KSHINTL</t>
  </si>
  <si>
    <t>NSE:GOLDIAM</t>
  </si>
  <si>
    <t>NSE:KRISHANA</t>
  </si>
  <si>
    <t>NSE:LCL</t>
  </si>
  <si>
    <t>NSE:HCC</t>
  </si>
  <si>
    <t>NSE:STYL</t>
  </si>
  <si>
    <t>NSE:NIRLON</t>
  </si>
  <si>
    <t>NSE:RPEL</t>
  </si>
  <si>
    <t>NSE:INNOVACAP</t>
  </si>
  <si>
    <t>NSE:GREAVESCOT</t>
  </si>
  <si>
    <t>NSE:NEOGEN</t>
  </si>
  <si>
    <t>NSE:CCAVENUE</t>
  </si>
  <si>
    <t>NSE:SAATVIKGL</t>
  </si>
  <si>
    <t>NSE:AHLUCONT</t>
  </si>
  <si>
    <t>NSE:RPTECH</t>
  </si>
  <si>
    <t>NSE:SETL</t>
  </si>
  <si>
    <t>NSE:ENTERO</t>
  </si>
  <si>
    <t>NSE:SMARTWORKS</t>
  </si>
  <si>
    <t>NSE:TIMEX</t>
  </si>
  <si>
    <t>NSE:PRSMJOHNSN</t>
  </si>
  <si>
    <t>NSE:KISSHT</t>
  </si>
  <si>
    <t>NSE:BALUFORGE</t>
  </si>
  <si>
    <t>NSE:SUBROS</t>
  </si>
  <si>
    <t>NSE:IFBIND</t>
  </si>
  <si>
    <t>NSE:CYIENTDLM</t>
  </si>
  <si>
    <t>NSE:INDIGOPNTS</t>
  </si>
  <si>
    <t>NSE:GULFOILLUB</t>
  </si>
  <si>
    <t>NSE:JAIBALAJI</t>
  </si>
  <si>
    <t>NSE:SHILCTECH</t>
  </si>
  <si>
    <t>NSE:JAMNAAUTO</t>
  </si>
  <si>
    <t>NSE:CENTUM</t>
  </si>
  <si>
    <t>NSE:SURYAROSNI</t>
  </si>
  <si>
    <t>NSE:CRAMC</t>
  </si>
  <si>
    <t>NSE:PTC</t>
  </si>
  <si>
    <t>NSE:VADILALIND</t>
  </si>
  <si>
    <t>NSE:CARERATING</t>
  </si>
  <si>
    <t>NSE:PDSL</t>
  </si>
  <si>
    <t>NSE:DEEDEV</t>
  </si>
  <si>
    <t>NSE:LGBBROSLTD</t>
  </si>
  <si>
    <t>NSE:RUSTOMJEE</t>
  </si>
  <si>
    <t>NSE:GOODLUCK</t>
  </si>
  <si>
    <t>NSE:EMIL</t>
  </si>
  <si>
    <t>NSE:ORCHPHARMA</t>
  </si>
  <si>
    <t>NSE:SHARDAMOTR</t>
  </si>
  <si>
    <t>NSE:PURVA</t>
  </si>
  <si>
    <t>NSE:QUESS</t>
  </si>
  <si>
    <t>NSE:LXCHEM</t>
  </si>
  <si>
    <t>NSE:BLISSGVS</t>
  </si>
  <si>
    <t>NSE:LUMAXIND</t>
  </si>
  <si>
    <t>NSE:GUJALKALI</t>
  </si>
  <si>
    <t>NSE:BANSALWIRE</t>
  </si>
  <si>
    <t>NSE:DATAMATICS</t>
  </si>
  <si>
    <t>NSE:THOMASCOOK</t>
  </si>
  <si>
    <t>NSE:TRIVENI</t>
  </si>
  <si>
    <t>NSE:SSWL</t>
  </si>
  <si>
    <t>NSE:GVPIL</t>
  </si>
  <si>
    <t>NSE:PILANIINVS</t>
  </si>
  <si>
    <t>NSE:SWSOLAR</t>
  </si>
  <si>
    <t>NSE:CMRGREEN</t>
  </si>
  <si>
    <t>NSE:RBA</t>
  </si>
  <si>
    <t>NSE:ICRA</t>
  </si>
  <si>
    <t>NSE:SYMPHONY</t>
  </si>
  <si>
    <t>NSE:ARTEMISMED</t>
  </si>
  <si>
    <t>NSE:TFCILTD</t>
  </si>
  <si>
    <t>NSE:UNIVCABLES</t>
  </si>
  <si>
    <t>NSE:EPIGRAL</t>
  </si>
  <si>
    <t>NSE:RTNPOWER</t>
  </si>
  <si>
    <t>NSE:RENUKA</t>
  </si>
  <si>
    <t>NSE:YASHO</t>
  </si>
  <si>
    <t>NSE:VRLLOG</t>
  </si>
  <si>
    <t>NSE:NORTHARC</t>
  </si>
  <si>
    <t>NSE:MPSLTD</t>
  </si>
  <si>
    <t>NSE:DHANUKA</t>
  </si>
  <si>
    <t>NSE:HIRECT</t>
  </si>
  <si>
    <t>NSE:AGI</t>
  </si>
  <si>
    <t>NSE:FCL</t>
  </si>
  <si>
    <t>NSE:RPGLIFE</t>
  </si>
  <si>
    <t>NSE:RESPONIND</t>
  </si>
  <si>
    <t>NSE:SGFIN</t>
  </si>
  <si>
    <t>NSE:NETWORK18</t>
  </si>
  <si>
    <t>NSE:WPIL</t>
  </si>
  <si>
    <t>NSE:TEXRAIL</t>
  </si>
  <si>
    <t>NSE:HAWKINCOOK</t>
  </si>
  <si>
    <t>NSE:VAIBHAVGBL</t>
  </si>
  <si>
    <t>NSE:SUNTECK</t>
  </si>
  <si>
    <t>NSE:PACEDIGITK</t>
  </si>
  <si>
    <t>NSE:ZOTA</t>
  </si>
  <si>
    <t>NSE:NACLIND</t>
  </si>
  <si>
    <t>NSE:MHRIL</t>
  </si>
  <si>
    <t>NSE:SWARAJENG</t>
  </si>
  <si>
    <t>NSE:ELECTCAST</t>
  </si>
  <si>
    <t>NSE:BANARISUG</t>
  </si>
  <si>
    <t>NSE:STYRENIX</t>
  </si>
  <si>
    <t>NSE:ANUP</t>
  </si>
  <si>
    <t>NSE:MSTCLTD</t>
  </si>
  <si>
    <t>NSE:IDEAFORGE</t>
  </si>
  <si>
    <t>NSE:JUNIPER</t>
  </si>
  <si>
    <t>NSE:RTNINDIA</t>
  </si>
  <si>
    <t>NSE:RAYMONDLSL</t>
  </si>
  <si>
    <t>NSE:MIDWESTLTD</t>
  </si>
  <si>
    <t>NSE:SBCL</t>
  </si>
  <si>
    <t>NSE:AVANTEL</t>
  </si>
  <si>
    <t>NSE:IOLCP</t>
  </si>
  <si>
    <t>NSE:SHOPERSTOP</t>
  </si>
  <si>
    <t>NSE:63MOONS</t>
  </si>
  <si>
    <t>NSE:RAYMONDREL</t>
  </si>
  <si>
    <t>NSE:COCKERILL</t>
  </si>
  <si>
    <t>NSE:VIPIND</t>
  </si>
  <si>
    <t>NSE:RALLIS</t>
  </si>
  <si>
    <t>NSE:CMSINFO</t>
  </si>
  <si>
    <t>NSE:LASERPOWER</t>
  </si>
  <si>
    <t>NSE:WEBELSOLAR</t>
  </si>
  <si>
    <t>NSE:RAMRAT</t>
  </si>
  <si>
    <t>NSE:MUTHOOTMF</t>
  </si>
  <si>
    <t>NSE:TATVA</t>
  </si>
  <si>
    <t>NSE:REFEX</t>
  </si>
  <si>
    <t>NSE:WAKEFIT</t>
  </si>
  <si>
    <t>NSE:KIRLOSIND</t>
  </si>
  <si>
    <t>NSE:VISHNU</t>
  </si>
  <si>
    <t>NSE:SOTL</t>
  </si>
  <si>
    <t>NSE:AYE</t>
  </si>
  <si>
    <t>NSE:MAHLOG</t>
  </si>
  <si>
    <t>NSE:KDDL</t>
  </si>
  <si>
    <t>NSE:AURIONPRO</t>
  </si>
  <si>
    <t>NSE:TARC</t>
  </si>
  <si>
    <t>NSE:MOSCHIP</t>
  </si>
  <si>
    <t>NSE:INDOSTAR</t>
  </si>
  <si>
    <t>NSE:GHCL</t>
  </si>
  <si>
    <t>NSE:KSCL</t>
  </si>
  <si>
    <t>NSE:SANATHAN</t>
  </si>
  <si>
    <t>NSE:POCL</t>
  </si>
  <si>
    <t>NSE:BAJAJHIND</t>
  </si>
  <si>
    <t>NSE:SAMHI</t>
  </si>
  <si>
    <t>NSE:MANINDS</t>
  </si>
  <si>
    <t>NSE:NRBBEARING</t>
  </si>
  <si>
    <t>NSE:MANINFRA</t>
  </si>
  <si>
    <t>NSE:CAPILLARY</t>
  </si>
  <si>
    <t>NSE:ASHIANA</t>
  </si>
  <si>
    <t>NSE:GUFICBIO</t>
  </si>
  <si>
    <t>NSE:JTEKTINDIA</t>
  </si>
  <si>
    <t>NSE:GUJTHEM</t>
  </si>
  <si>
    <t>NSE:SHAREINDIA</t>
  </si>
  <si>
    <t>NSE:DECNGOLD</t>
  </si>
  <si>
    <t>NSE:GMMPFAUDLR</t>
  </si>
  <si>
    <t>NSE:PSPPROJECT</t>
  </si>
  <si>
    <t>NSE:FOSECOIND</t>
  </si>
  <si>
    <t>NSE:EIEL</t>
  </si>
  <si>
    <t>NSE:RAYMOND</t>
  </si>
  <si>
    <t>NSE:AARTIDRUGS</t>
  </si>
  <si>
    <t>NSE:VSTTILLERS</t>
  </si>
  <si>
    <t>NSE:KERNEX</t>
  </si>
  <si>
    <t>NSE:JINDWORLD</t>
  </si>
  <si>
    <t>NSE:EMUDHRA</t>
  </si>
  <si>
    <t>NSE:BAJAJELEC</t>
  </si>
  <si>
    <t>NSE:HEMIPROP</t>
  </si>
  <si>
    <t>NSE:DEEPINDS</t>
  </si>
  <si>
    <t>NSE:KSL</t>
  </si>
  <si>
    <t>NSE:AGIIL</t>
  </si>
  <si>
    <t>NSE:NOVARTIND</t>
  </si>
  <si>
    <t>NSE:BOSCH-HCIL</t>
  </si>
  <si>
    <t>NSE:SANDHAR</t>
  </si>
  <si>
    <t>NSE:BHAGCHEM</t>
  </si>
  <si>
    <t>NSE:SINDHUTRAD</t>
  </si>
  <si>
    <t>NSE:VSTIND</t>
  </si>
  <si>
    <t>NSE:WSTCSTPAPR</t>
  </si>
  <si>
    <t>NSE:OSWALPUMPS</t>
  </si>
  <si>
    <t>NSE:LUXIND</t>
  </si>
  <si>
    <t>NSE:ROLEXRINGS</t>
  </si>
  <si>
    <t>NSE:ORIENTELEC</t>
  </si>
  <si>
    <t>NSE:DBCORP</t>
  </si>
  <si>
    <t>NSE:SEAMECLTD</t>
  </si>
  <si>
    <t>NSE:SPECTRUM</t>
  </si>
  <si>
    <t>NSE:ELLEN</t>
  </si>
  <si>
    <t>NSE:INDIQUBE</t>
  </si>
  <si>
    <t>NSE:MARINE</t>
  </si>
  <si>
    <t>NSE:ASHIKAG</t>
  </si>
  <si>
    <t>NSE:INDOTECH</t>
  </si>
  <si>
    <t>NSE:HARSHA</t>
  </si>
  <si>
    <t>NSE:JKIL</t>
  </si>
  <si>
    <t>NSE:CMLL</t>
  </si>
  <si>
    <t>NSE:TRUALT</t>
  </si>
  <si>
    <t>NSE:UNICHEMLAB</t>
  </si>
  <si>
    <t>NSE:ROSSTECH</t>
  </si>
  <si>
    <t>NSE:PREMEXPLN</t>
  </si>
  <si>
    <t>NSE:GREENPLY</t>
  </si>
  <si>
    <t>NSE:SANGHVIMOV</t>
  </si>
  <si>
    <t>NSE:SAMBHV</t>
  </si>
  <si>
    <t>NSE:TURTLEMINT</t>
  </si>
  <si>
    <t>NSE:ADVENZYMES</t>
  </si>
  <si>
    <t>NSE:XPROINDIA</t>
  </si>
  <si>
    <t>NSE:HGINFRA</t>
  </si>
  <si>
    <t>NSE:NFL</t>
  </si>
  <si>
    <t>NSE:PITTIENG</t>
  </si>
  <si>
    <t>NSE:GRAUWEIL</t>
  </si>
  <si>
    <t>NSE:POLYPLEX</t>
  </si>
  <si>
    <t>NSE:HEIDELBERG</t>
  </si>
  <si>
    <t>NSE:VENUSPIPES</t>
  </si>
  <si>
    <t>NSE:WHEELS</t>
  </si>
  <si>
    <t>NSE:KNRCON</t>
  </si>
  <si>
    <t>NSE:KOLTEPATIL</t>
  </si>
  <si>
    <t>NSE:CRIZAC</t>
  </si>
  <si>
    <t>NSE:ROUTE</t>
  </si>
  <si>
    <t>NSE:ASHOKA</t>
  </si>
  <si>
    <t>NSE:UFLEX</t>
  </si>
  <si>
    <t>NSE:WELSPLSOL</t>
  </si>
  <si>
    <t>NSE:GOPAL</t>
  </si>
  <si>
    <t>NSE:FUSION</t>
  </si>
  <si>
    <t>NSE:INDRAMEDCO</t>
  </si>
  <si>
    <t>NSE:CARYSIL</t>
  </si>
  <si>
    <t>NSE:RELTD</t>
  </si>
  <si>
    <t>NSE:SMSPHARMA</t>
  </si>
  <si>
    <t>NSE:NIITMTS</t>
  </si>
  <si>
    <t>NSE:SEIL</t>
  </si>
  <si>
    <t>NSE:UNIPARTS</t>
  </si>
  <si>
    <t>NSE:FILATEX</t>
  </si>
  <si>
    <t>NSE:MAYURUNIQ</t>
  </si>
  <si>
    <t>NSE:ARSSBL</t>
  </si>
  <si>
    <t>NSE:RML</t>
  </si>
  <si>
    <t>NSE:DREDGECORP</t>
  </si>
  <si>
    <t>NSE:JASH</t>
  </si>
  <si>
    <t>NSE:NPST</t>
  </si>
  <si>
    <t>NSE:GANECOS</t>
  </si>
  <si>
    <t>NSE:APCOTEXIND</t>
  </si>
  <si>
    <t>NSE:SHANTIGEAR</t>
  </si>
  <si>
    <t>NSE:STEELCAS</t>
  </si>
  <si>
    <t>NSE:MOREPENLAB</t>
  </si>
  <si>
    <t>NSE:EUROPRATIK</t>
  </si>
  <si>
    <t>NSE:RSYSTEMS</t>
  </si>
  <si>
    <t>NSE:RPSGVENT</t>
  </si>
  <si>
    <t>NSE:MONARCH</t>
  </si>
  <si>
    <t>NSE:CHEMPLASTS</t>
  </si>
  <si>
    <t>NSE:SANGAMIND</t>
  </si>
  <si>
    <t>NSE:HERITGFOOD</t>
  </si>
  <si>
    <t>NSE:KKCL</t>
  </si>
  <si>
    <t>NSE:NITINSPIN</t>
  </si>
  <si>
    <t>NSE:CARRARO</t>
  </si>
  <si>
    <t>NSE:INTERARCH</t>
  </si>
  <si>
    <t>NSE:WONDERLA</t>
  </si>
  <si>
    <t>NSE:STALLION</t>
  </si>
  <si>
    <t>NSE:BUILDPRO</t>
  </si>
  <si>
    <t>NSE:TVSSRICHAK</t>
  </si>
  <si>
    <t>NSE:DPABHUSHAN</t>
  </si>
  <si>
    <t>NSE:ELPROINTL</t>
  </si>
  <si>
    <t>NSE:ADFFOODS</t>
  </si>
  <si>
    <t>NSE:NAVNETEDUL</t>
  </si>
  <si>
    <t>NSE:HLEGLAS</t>
  </si>
  <si>
    <t>NSE:JTLIND</t>
  </si>
  <si>
    <t>NSE:VSSL</t>
  </si>
  <si>
    <t>NSE:BALMLAWRIE</t>
  </si>
  <si>
    <t>NSE:DIVGIITTS</t>
  </si>
  <si>
    <t>NSE:DCAL</t>
  </si>
  <si>
    <t>NSE:WINDMACHIN</t>
  </si>
  <si>
    <t>NSE:PRINCEPIPE</t>
  </si>
  <si>
    <t>NSE:KITEX</t>
  </si>
  <si>
    <t>NSE:POKARNA</t>
  </si>
  <si>
    <t>NSE:ANTELOPUS</t>
  </si>
  <si>
    <t>NSE:BEPL</t>
  </si>
  <si>
    <t>NSE:EFCIL</t>
  </si>
  <si>
    <t>NSE:TCPLPACK</t>
  </si>
  <si>
    <t>NSE:MAITHANALL</t>
  </si>
  <si>
    <t>NSE:BBL</t>
  </si>
  <si>
    <t>NSE:DALMIASUG</t>
  </si>
  <si>
    <t>NSE:INDOTHAI</t>
  </si>
  <si>
    <t>NSE:NSIL</t>
  </si>
  <si>
    <t>NSE:RAMCOIND</t>
  </si>
  <si>
    <t>NSE:BOROLTD</t>
  </si>
  <si>
    <t>NSE:ORIENTCEM</t>
  </si>
  <si>
    <t>NSE:TECHNVISN</t>
  </si>
  <si>
    <t>NSE:ROSSARI</t>
  </si>
  <si>
    <t>NSE:DDEVPLSTIK</t>
  </si>
  <si>
    <t>NSE:JINDALPOLY</t>
  </si>
  <si>
    <t>NSE:DIAMONDYD</t>
  </si>
  <si>
    <t>NSE:SUNCLAY</t>
  </si>
  <si>
    <t>NSE:SASKEN</t>
  </si>
  <si>
    <t>NSE:ZAGGLE</t>
  </si>
  <si>
    <t>NSE:PANAMAPET</t>
  </si>
  <si>
    <t>NSE:UFBL</t>
  </si>
  <si>
    <t>NSE:NOCIL</t>
  </si>
  <si>
    <t>NSE:SIYSIL</t>
  </si>
  <si>
    <t>NSE:BLSE</t>
  </si>
  <si>
    <t>NSE:FLAIR</t>
  </si>
  <si>
    <t>NSE:HIKAL</t>
  </si>
  <si>
    <t>NSE:BNAGROCHEM</t>
  </si>
  <si>
    <t>NSE:AUTOAXLES</t>
  </si>
  <si>
    <t>NSE:VIMTALABS</t>
  </si>
  <si>
    <t>NSE:ARVSMART</t>
  </si>
  <si>
    <t>NSE:NITCO</t>
  </si>
  <si>
    <t>NSE:GSPCROP</t>
  </si>
  <si>
    <t>NSE:PATELENG</t>
  </si>
  <si>
    <t>NSE:HUBTOWN</t>
  </si>
  <si>
    <t>NSE:KIRIINDUS</t>
  </si>
  <si>
    <t>NSE:JUBLCPL</t>
  </si>
  <si>
    <t>NSE:PARAGMILK</t>
  </si>
  <si>
    <t>NSE:EPACKPEB</t>
  </si>
  <si>
    <t>NSE:NILKAMAL</t>
  </si>
  <si>
    <t>NSE:KPL</t>
  </si>
  <si>
    <t>NSE:MEDIASSIST</t>
  </si>
  <si>
    <t>NSE:IMAGICAA</t>
  </si>
  <si>
    <t>NSE:SATIN</t>
  </si>
  <si>
    <t>NSE:INDNIPPON</t>
  </si>
  <si>
    <t>NSE:CONFIPET</t>
  </si>
  <si>
    <t>NSE:MMFL</t>
  </si>
  <si>
    <t>NSE:FMGOETZE</t>
  </si>
  <si>
    <t>NSE:MARATHON</t>
  </si>
  <si>
    <t>NSE:GKENERGY</t>
  </si>
  <si>
    <t>NSE:RAMKY</t>
  </si>
  <si>
    <t>NSE:ARKADE</t>
  </si>
  <si>
    <t>NSE:MANGLMCEM</t>
  </si>
  <si>
    <t>NSE:PARKHOTELS</t>
  </si>
  <si>
    <t>NSE:MUFIN</t>
  </si>
  <si>
    <t>NSE:UTKARSHBNK</t>
  </si>
  <si>
    <t>NSE:PANACEABIO</t>
  </si>
  <si>
    <t>NSE:STOVEKRAFT</t>
  </si>
  <si>
    <t>NSE:SILVERTUC</t>
  </si>
  <si>
    <t>NSE:SPORTKING</t>
  </si>
  <si>
    <t>NSE:GLOBUSSPR</t>
  </si>
  <si>
    <t>NSE:ADVAIT</t>
  </si>
  <si>
    <t>NSE:FISCHER</t>
  </si>
  <si>
    <t>NSE:TALBROAUTO</t>
  </si>
  <si>
    <t>NSE:ADOR</t>
  </si>
  <si>
    <t>NSE:RAJRATAN</t>
  </si>
  <si>
    <t>NSE:BOMDYEING</t>
  </si>
  <si>
    <t>NSE:SUNDROP</t>
  </si>
  <si>
    <t>NSE:RAJESHEXPO</t>
  </si>
  <si>
    <t>NSE:PROTEAN</t>
  </si>
  <si>
    <t>NSE:GIPCL</t>
  </si>
  <si>
    <t>NSE:ELITECON</t>
  </si>
  <si>
    <t>NSE:RANEHOLDIN</t>
  </si>
  <si>
    <t>NSE:VERANDA</t>
  </si>
  <si>
    <t>NSE:SPAL</t>
  </si>
  <si>
    <t>NSE:EVEREADY</t>
  </si>
  <si>
    <t>NSE:AJMERA</t>
  </si>
  <si>
    <t>NSE:SOLARA</t>
  </si>
  <si>
    <t>NSE:INA</t>
  </si>
  <si>
    <t>NSE:CAMLINFINE</t>
  </si>
  <si>
    <t>NSE:JNKINDIA</t>
  </si>
  <si>
    <t>NSE:RHETAN</t>
  </si>
  <si>
    <t>NSE:VEEDOL</t>
  </si>
  <si>
    <t>NSE:SAIPARENT</t>
  </si>
  <si>
    <t>NSE:REPCOHOME</t>
  </si>
  <si>
    <t>NSE:EASEMYTRIP</t>
  </si>
  <si>
    <t>NSE:KICL</t>
  </si>
  <si>
    <t>NSE:ORISSAMINE</t>
  </si>
  <si>
    <t>NSE:SIRCA</t>
  </si>
  <si>
    <t>NSE:TASTYBITE</t>
  </si>
  <si>
    <t>NSE:GREENPANEL</t>
  </si>
  <si>
    <t>NSE:SIKA</t>
  </si>
  <si>
    <t>NSE:DRAGARWQ</t>
  </si>
  <si>
    <t>NSE:RISHABH</t>
  </si>
  <si>
    <t>NSE:VINDHYATEL</t>
  </si>
  <si>
    <t>NSE:ORIENTHOT</t>
  </si>
  <si>
    <t>NSE:COSMOFIRST</t>
  </si>
  <si>
    <t>NSE:ALEMBICLTD</t>
  </si>
  <si>
    <t>NSE:KNACK</t>
  </si>
  <si>
    <t>NSE:NELCO</t>
  </si>
  <si>
    <t>NSE:BETA</t>
  </si>
  <si>
    <t>NSE:GNA</t>
  </si>
  <si>
    <t>NSE:THEJO</t>
  </si>
  <si>
    <t>NSE:EMSLIMITED</t>
  </si>
  <si>
    <t>NSE:PIXTRANS</t>
  </si>
  <si>
    <t>NSE:SHK</t>
  </si>
  <si>
    <t>NSE:TAJGVK</t>
  </si>
  <si>
    <t>NSE:SAGCEM</t>
  </si>
  <si>
    <t>NSE:APOLLOPIPE</t>
  </si>
  <si>
    <t>NSE:BRIGHOTEL</t>
  </si>
  <si>
    <t>NSE:HUHTAMAKI</t>
  </si>
  <si>
    <t>NSE:SAKSOFT</t>
  </si>
  <si>
    <t>NSE:LANDMARK</t>
  </si>
  <si>
    <t>NSE:MOLDTKPAC</t>
  </si>
  <si>
    <t>NSE:PENIND</t>
  </si>
  <si>
    <t>NSE:ELCIDIN</t>
  </si>
  <si>
    <t>NSE:PRAKASH</t>
  </si>
  <si>
    <t>NSE:EPACK</t>
  </si>
  <si>
    <t>NSE:EXICOM</t>
  </si>
  <si>
    <t>NSE:GANDHAR</t>
  </si>
  <si>
    <t>NSE:RAMCOSYS</t>
  </si>
  <si>
    <t>NSE:ESAFSFB</t>
  </si>
  <si>
    <t>NSE:VINCOFE</t>
  </si>
  <si>
    <t>NSE:SHRINGARMS</t>
  </si>
  <si>
    <t>NSE:BFUTILITIE</t>
  </si>
  <si>
    <t>NSE:JISLJALEQS</t>
  </si>
  <si>
    <t>NSE:NIBE</t>
  </si>
  <si>
    <t>NSE:HPL</t>
  </si>
  <si>
    <t>NSE:HINDOILEXP</t>
  </si>
  <si>
    <t>NSE:GEOJITFSL</t>
  </si>
  <si>
    <t>NSE:BHARATRAS</t>
  </si>
  <si>
    <t>NSE:HONDAPOWER</t>
  </si>
  <si>
    <t>NSE:PARACABLES</t>
  </si>
  <si>
    <t>NSE:PRABHA</t>
  </si>
  <si>
    <t>NSE:VENUSREM</t>
  </si>
  <si>
    <t>NSE:VENKEYS</t>
  </si>
  <si>
    <t>NSE:HESTERBIO</t>
  </si>
  <si>
    <t>NSE:TIRUMALCHM</t>
  </si>
  <si>
    <t>NSE:SPANDANA</t>
  </si>
  <si>
    <t>NSE:KCP</t>
  </si>
  <si>
    <t>NSE:KPEL</t>
  </si>
  <si>
    <t>NSE:TCIEXP</t>
  </si>
  <si>
    <t>NSE:BGRENERGY</t>
  </si>
  <si>
    <t>NSE:AEROPLANE</t>
  </si>
  <si>
    <t>NSE:TEAMLEASE</t>
  </si>
  <si>
    <t>NSE:KLBRENG-B</t>
  </si>
  <si>
    <t>NSE:STYLEBAAZA</t>
  </si>
  <si>
    <t>NSE:INDIANHUME</t>
  </si>
  <si>
    <t>NSE:CANTABIL</t>
  </si>
  <si>
    <t>NSE:GMBREW</t>
  </si>
  <si>
    <t>NSE:UEL</t>
  </si>
  <si>
    <t>NSE:JAYKAY</t>
  </si>
  <si>
    <t>NSE:LAOPALA</t>
  </si>
  <si>
    <t>NSE:BAJEL</t>
  </si>
  <si>
    <t>NSE:MUKANDLTD</t>
  </si>
  <si>
    <t>NSE:ARMANFIN</t>
  </si>
  <si>
    <t>NSE:SANSTAR</t>
  </si>
  <si>
    <t>NSE:INDOCO</t>
  </si>
  <si>
    <t>NSE:NGLFINE</t>
  </si>
  <si>
    <t>NSE:DCXINDIA</t>
  </si>
  <si>
    <t>NSE:TINNARUBR</t>
  </si>
  <si>
    <t>NSE:SOMANYCERA</t>
  </si>
  <si>
    <t>NSE:TIL</t>
  </si>
  <si>
    <t>NSE:SBC</t>
  </si>
  <si>
    <t>NSE:GOCLCORP</t>
  </si>
  <si>
    <t>NSE:AWFIS</t>
  </si>
  <si>
    <t>NSE:JGCHEM</t>
  </si>
  <si>
    <t>NSE:SAKAR</t>
  </si>
  <si>
    <t>NSE:HGS</t>
  </si>
  <si>
    <t>NSE:INDSWFTLAB</t>
  </si>
  <si>
    <t>NSE:VIDYAWIRES</t>
  </si>
  <si>
    <t>NSE:MSPL</t>
  </si>
  <si>
    <t>NSE:NDRAUTO</t>
  </si>
  <si>
    <t>NSE:SERVOTECH</t>
  </si>
  <si>
    <t>NSE:ASIANENE</t>
  </si>
  <si>
    <t>NSE:ALGOQUANT</t>
  </si>
  <si>
    <t>NSE:GOODYEAR</t>
  </si>
  <si>
    <t>NSE:SCILAL</t>
  </si>
  <si>
    <t>NSE:RICOAUTO</t>
  </si>
  <si>
    <t>NSE:DYCL</t>
  </si>
  <si>
    <t>NSE:HATHWAY</t>
  </si>
  <si>
    <t>NSE:MARSONS</t>
  </si>
  <si>
    <t>NSE:EIHAHOTELS</t>
  </si>
  <si>
    <t>NSE:BCG</t>
  </si>
  <si>
    <t>NSE:SIMPLEXINF</t>
  </si>
  <si>
    <t>NSE:INSECTICID</t>
  </si>
  <si>
    <t>NSE:VIKRAN</t>
  </si>
  <si>
    <t>NSE:GRMOVER</t>
  </si>
  <si>
    <t>NSE:TBZ</t>
  </si>
  <si>
    <t>NSE:HINDWAREAP</t>
  </si>
  <si>
    <t>NSE:CAPACITE</t>
  </si>
  <si>
    <t>NSE:GRANDOAK</t>
  </si>
  <si>
    <t>NSE:NUCLEUS</t>
  </si>
  <si>
    <t>NSE:WINDLAS</t>
  </si>
  <si>
    <t>NSE:KRISHNADEF</t>
  </si>
  <si>
    <t>NSE:JINDRILL</t>
  </si>
  <si>
    <t>NSE:JAICORPLTD</t>
  </si>
  <si>
    <t>NSE:PFS</t>
  </si>
  <si>
    <t>NSE:DISAQ</t>
  </si>
  <si>
    <t>NSE:IPL</t>
  </si>
  <si>
    <t>NSE:GOCOLORS</t>
  </si>
  <si>
    <t>NSE:CEINSYS</t>
  </si>
  <si>
    <t>NSE:NITTAGELA</t>
  </si>
  <si>
    <t>NSE:SHALBY</t>
  </si>
  <si>
    <t>NSE:JAYBARMARU</t>
  </si>
  <si>
    <t>NSE:STUDDS</t>
  </si>
  <si>
    <t>NSE:BLUSPRING</t>
  </si>
  <si>
    <t>NSE:MCLOUD</t>
  </si>
  <si>
    <t>NSE:SURYODAY</t>
  </si>
  <si>
    <t>NSE:HITECH</t>
  </si>
  <si>
    <t>NSE:KOTIC</t>
  </si>
  <si>
    <t>NSE:BFINVEST</t>
  </si>
  <si>
    <t>NSE:KRSNAA</t>
  </si>
  <si>
    <t>NSE:ACCELYA</t>
  </si>
  <si>
    <t>NSE:MTNL</t>
  </si>
  <si>
    <t>NSE:SMCGLOBAL</t>
  </si>
  <si>
    <t>NSE:AURUM</t>
  </si>
  <si>
    <t>NSE:DELTACORP</t>
  </si>
  <si>
    <t>NSE:MBEL</t>
  </si>
  <si>
    <t>NSE:TARSONS</t>
  </si>
  <si>
    <t>NSE:YATRA</t>
  </si>
  <si>
    <t>NSE:MAHASTEEL</t>
  </si>
  <si>
    <t>NSE:VIDHIING</t>
  </si>
  <si>
    <t>NSE:WENDT</t>
  </si>
  <si>
    <t>NSE:SUMMITSEC</t>
  </si>
  <si>
    <t>NSE:5PAISA</t>
  </si>
  <si>
    <t>NSE:SOLARWORLD</t>
  </si>
  <si>
    <t>NSE:ASIANTILES</t>
  </si>
  <si>
    <t>NSE:INFOBEAN</t>
  </si>
  <si>
    <t>NSE:MOBIKWIK</t>
  </si>
  <si>
    <t>NSE:SPMLINFRA</t>
  </si>
  <si>
    <t>NSE:GARUDA</t>
  </si>
  <si>
    <t>NSE:DLINKINDIA</t>
  </si>
  <si>
    <t>NSE:WEL</t>
  </si>
  <si>
    <t>NSE:FRONTSP</t>
  </si>
  <si>
    <t>NSE:OMAXE</t>
  </si>
  <si>
    <t>NSE:GTLINFRA</t>
  </si>
  <si>
    <t>NSE:DOLPHIN</t>
  </si>
  <si>
    <t>NSE:WALCHANNAG</t>
  </si>
  <si>
    <t>NSE:DSSL</t>
  </si>
  <si>
    <t>NSE:SHANTIGOLD</t>
  </si>
  <si>
    <t>NSE:BLIL</t>
  </si>
  <si>
    <t>NSE:VOEPL</t>
  </si>
  <si>
    <t>NSE:MMWL</t>
  </si>
  <si>
    <t>NSE:PAUSHAKLTD</t>
  </si>
  <si>
    <t>NSE:SUMEETINDS</t>
  </si>
  <si>
    <t>NSE:IKIO</t>
  </si>
  <si>
    <t>NSE:NAVKARCORP</t>
  </si>
  <si>
    <t>NSE:SESHAPAPER</t>
  </si>
  <si>
    <t>NSE:JAGSNPHARM</t>
  </si>
  <si>
    <t>NSE:PNBGILTS</t>
  </si>
  <si>
    <t>NSE:SIGNPOST</t>
  </si>
  <si>
    <t>NSE:ARFIN</t>
  </si>
  <si>
    <t>NSE:ONEPOINT</t>
  </si>
  <si>
    <t>NSE:DIGITIDE</t>
  </si>
  <si>
    <t>NSE:IFGLEXPOR</t>
  </si>
  <si>
    <t>NSE:GPTINFRA</t>
  </si>
  <si>
    <t>NSE:DOLLAR</t>
  </si>
  <si>
    <t>NSE:SDBL</t>
  </si>
  <si>
    <t>NSE:CNL</t>
  </si>
  <si>
    <t>NSE:AMRUTANJAN</t>
  </si>
  <si>
    <t>NSE:RACLGEAR</t>
  </si>
  <si>
    <t>NSE:IZMO</t>
  </si>
  <si>
    <t>NSE:UGROCAP</t>
  </si>
  <si>
    <t>NSE:AYMSYNTEX</t>
  </si>
  <si>
    <t>NSE:FERMENTA</t>
  </si>
  <si>
    <t>NSE:INDORAMA</t>
  </si>
  <si>
    <t>NSE:ONIDA</t>
  </si>
  <si>
    <t>NSE:ASTEC</t>
  </si>
  <si>
    <t>NSE:MACPOWER</t>
  </si>
  <si>
    <t>NSE:NINSYS</t>
  </si>
  <si>
    <t>NSE:TEXINFRA</t>
  </si>
  <si>
    <t>NSE:IGPL</t>
  </si>
  <si>
    <t>NSE:ASALCBR</t>
  </si>
  <si>
    <t>NSE:ALLTIME</t>
  </si>
  <si>
    <t>NSE:TTKHLTCARE</t>
  </si>
  <si>
    <t>NSE:KAPSTON</t>
  </si>
  <si>
    <t>NSE:SULA</t>
  </si>
  <si>
    <t>NSE:DIFFNKG</t>
  </si>
  <si>
    <t>NSE:SHRIRAMPPS</t>
  </si>
  <si>
    <t>NSE:GNRL</t>
  </si>
  <si>
    <t>NSE:STEELXIND</t>
  </si>
  <si>
    <t>NSE:ATULAUTO</t>
  </si>
  <si>
    <t>NSE:IGARASHI</t>
  </si>
  <si>
    <t>NSE:CLSEL</t>
  </si>
  <si>
    <t>NSE:PUNJABCHEM</t>
  </si>
  <si>
    <t>NSE:BOROSCI</t>
  </si>
  <si>
    <t>NSE:GALAPREC</t>
  </si>
  <si>
    <t>NSE:MOTISONS</t>
  </si>
  <si>
    <t>NSE:GPTHEALTH</t>
  </si>
  <si>
    <t>NSE:BHARATSE</t>
  </si>
  <si>
    <t>NSE:JAGRAN</t>
  </si>
  <si>
    <t>NSE:QUADFUTURE</t>
  </si>
  <si>
    <t>NSE:KABRAEXTRU</t>
  </si>
  <si>
    <t>NSE:TCC</t>
  </si>
  <si>
    <t>NSE:MOL</t>
  </si>
  <si>
    <t>NSE:KALAMANDIR</t>
  </si>
  <si>
    <t>NSE:DCW</t>
  </si>
  <si>
    <t>NSE:UDS</t>
  </si>
  <si>
    <t>NSE:PNGSREVA</t>
  </si>
  <si>
    <t>NSE:SPIC</t>
  </si>
  <si>
    <t>NSE:IMPAL</t>
  </si>
  <si>
    <t>NSE:AEROENTER</t>
  </si>
  <si>
    <t>NSE:BHARATWIRE</t>
  </si>
  <si>
    <t>NSE:PASHUPATI</t>
  </si>
  <si>
    <t>NSE:ZSARACOM</t>
  </si>
  <si>
    <t>NSE:GODAVARIB</t>
  </si>
  <si>
    <t>NSE:CENTENKA</t>
  </si>
  <si>
    <t>NSE:PRECAM</t>
  </si>
  <si>
    <t>NSE:CAPITALSFB</t>
  </si>
  <si>
    <t>NSE:FINOPB</t>
  </si>
  <si>
    <t>NSE:SKMEGGPROD</t>
  </si>
  <si>
    <t>NSE:SURAKSHA</t>
  </si>
  <si>
    <t>NSE:ICEMAKE</t>
  </si>
  <si>
    <t>NSE:NIITLTD</t>
  </si>
  <si>
    <t>NSE:DEN</t>
  </si>
  <si>
    <t>NSE:FAZE3Q</t>
  </si>
  <si>
    <t>NSE:RATNAVEER</t>
  </si>
  <si>
    <t>NSE:BUTTERFLY</t>
  </si>
  <si>
    <t>NSE:ELECTHERM</t>
  </si>
  <si>
    <t>NSE:JYOTISTRUC</t>
  </si>
  <si>
    <t>NSE:SHREEPUSHK</t>
  </si>
  <si>
    <t>NSE:RUPA</t>
  </si>
  <si>
    <t>NSE:ASIANHOTNR</t>
  </si>
  <si>
    <t>NSE:MANAKCOAT</t>
  </si>
  <si>
    <t>NSE:WAAREEINDO</t>
  </si>
  <si>
    <t>NSE:ROTO</t>
  </si>
  <si>
    <t>NSE:DHANBANK</t>
  </si>
  <si>
    <t>NSE:KROSS</t>
  </si>
  <si>
    <t>NSE:RGL</t>
  </si>
  <si>
    <t>NSE:RUBYMILLS</t>
  </si>
  <si>
    <t>NSE:EXPLEOSOL</t>
  </si>
  <si>
    <t>NSE:PLATIND</t>
  </si>
  <si>
    <t>NSE:EXCELINDUS</t>
  </si>
  <si>
    <t>NSE:ALLDIGI</t>
  </si>
  <si>
    <t>NSE:SYNCOMF</t>
  </si>
  <si>
    <t>NSE:GULPOLY</t>
  </si>
  <si>
    <t>NSE:BLKASHYAP</t>
  </si>
  <si>
    <t>NSE:OAL</t>
  </si>
  <si>
    <t>NSE:GYFTR</t>
  </si>
  <si>
    <t>NSE:TAALTECH</t>
  </si>
  <si>
    <t>NSE:BHAGYANGR</t>
  </si>
  <si>
    <t>NSE:ANDHRAPAP</t>
  </si>
  <si>
    <t>NSE:AWHCL</t>
  </si>
  <si>
    <t>NSE:HARIOMPIPE</t>
  </si>
  <si>
    <t>NSE:INDOBORAX</t>
  </si>
  <si>
    <t>NSE:ALLCARGO</t>
  </si>
  <si>
    <t>NSE:AGL</t>
  </si>
  <si>
    <t>NSE:DOLATALGO</t>
  </si>
  <si>
    <t>NSE:EKC</t>
  </si>
  <si>
    <t>NSE:ORIENTTECH</t>
  </si>
  <si>
    <t>NSE:STLNETWORK</t>
  </si>
  <si>
    <t>NSE:MENONBE</t>
  </si>
  <si>
    <t>NSE:RSL</t>
  </si>
  <si>
    <t>NSE:GCSL</t>
  </si>
  <si>
    <t>NSE:LAXMIDENTL</t>
  </si>
  <si>
    <t>NSE:GREENPOWER</t>
  </si>
  <si>
    <t>NSE:APEX</t>
  </si>
  <si>
    <t>NSE:RAJRILTD</t>
  </si>
  <si>
    <t>NSE:LINCOLN</t>
  </si>
  <si>
    <t>NSE:CENTRUM</t>
  </si>
  <si>
    <t>NSE:ARIHANT</t>
  </si>
  <si>
    <t>NSE:SRM</t>
  </si>
  <si>
    <t>NSE:GENESYS</t>
  </si>
  <si>
    <t>NSE:SEPC</t>
  </si>
  <si>
    <t>NSE:BAJAJHCARE</t>
  </si>
  <si>
    <t>NSE:ARIHANTSUP</t>
  </si>
  <si>
    <t>NSE:ULTRAMAR</t>
  </si>
  <si>
    <t>NSE:RIIL</t>
  </si>
  <si>
    <t>NSE:UNITECH</t>
  </si>
  <si>
    <t>NSE:GRPLTD</t>
  </si>
  <si>
    <t>NSE:AKCAPIT</t>
  </si>
  <si>
    <t>NSE:MANALIPETC</t>
  </si>
  <si>
    <t>NSE:ANDHRSUGAR</t>
  </si>
  <si>
    <t>NSE:INDPRUD</t>
  </si>
  <si>
    <t>NSE:ALICON</t>
  </si>
  <si>
    <t>NSE:INVPRECQ</t>
  </si>
  <si>
    <t>NSE:AMNPLST</t>
  </si>
  <si>
    <t>NSE:ARROWGREEN</t>
  </si>
  <si>
    <t>NSE:JINDALPHOT</t>
  </si>
  <si>
    <t>NSE:AVTNPL</t>
  </si>
  <si>
    <t>NSE:GHCLTEXTIL</t>
  </si>
  <si>
    <t>NSE:VHL</t>
  </si>
  <si>
    <t>NSE:BCLIND</t>
  </si>
  <si>
    <t>NSE:MONTECARLO</t>
  </si>
  <si>
    <t>NSE:DAMCAPITAL</t>
  </si>
  <si>
    <t>NSE:HITECHGEAR</t>
  </si>
  <si>
    <t>NSE:JPOLYINVST</t>
  </si>
  <si>
    <t>NSE:TEMBO</t>
  </si>
  <si>
    <t>NSE:3BBLACKBIO</t>
  </si>
  <si>
    <t>NSE:CREST</t>
  </si>
  <si>
    <t>NSE:MADRASFERT</t>
  </si>
  <si>
    <t>NSE:SHREDIGCEM</t>
  </si>
  <si>
    <t>NSE:MWL</t>
  </si>
  <si>
    <t>NSE:GANDHITUBE</t>
  </si>
  <si>
    <t>NSE:STEL</t>
  </si>
  <si>
    <t>NSE:IRMENERGY</t>
  </si>
  <si>
    <t>NSE:NELCAST</t>
  </si>
  <si>
    <t>NSE:ARIS</t>
  </si>
  <si>
    <t>NSE:TNPL</t>
  </si>
  <si>
    <t>NSE:JARO</t>
  </si>
  <si>
    <t>NSE:FAIRCHEMOR</t>
  </si>
  <si>
    <t>NSE:SALZERELEC</t>
  </si>
  <si>
    <t>NSE:LGHL</t>
  </si>
  <si>
    <t>NSE:EIMCOELECO</t>
  </si>
  <si>
    <t>NSE:WANBURY</t>
  </si>
  <si>
    <t>NSE:AFSL</t>
  </si>
  <si>
    <t>NSE:SALASAR</t>
  </si>
  <si>
    <t>NSE:BALAJITELE</t>
  </si>
  <si>
    <t>NSE:SUYOG</t>
  </si>
  <si>
    <t>NSE:NAHARSPING</t>
  </si>
  <si>
    <t>NSE:MUNJALAU</t>
  </si>
  <si>
    <t>NSE:RSWM</t>
  </si>
  <si>
    <t>NSE:MASTERTR</t>
  </si>
  <si>
    <t>NSE:AVADHSUGAR</t>
  </si>
  <si>
    <t>NSE:IRISDOREME</t>
  </si>
  <si>
    <t>NSE:BIRLANU</t>
  </si>
  <si>
    <t>NSE:GKSL</t>
  </si>
  <si>
    <t>NSE:GEMAROMA</t>
  </si>
  <si>
    <t>NSE:GAUDIUMIVF</t>
  </si>
  <si>
    <t>NSE:MAMATA</t>
  </si>
  <si>
    <t>NSE:HIMATSEIDE</t>
  </si>
  <si>
    <t>NSE:BIL</t>
  </si>
  <si>
    <t>NSE:WEALTH</t>
  </si>
  <si>
    <t>NSE:SIGACHI</t>
  </si>
  <si>
    <t>NSE:ZUARI</t>
  </si>
  <si>
    <t>NSE:SOLEX</t>
  </si>
  <si>
    <t>NSE:AMBIKCO</t>
  </si>
  <si>
    <t>NSE:HEALTHX</t>
  </si>
  <si>
    <t>NSE:YUKEN</t>
  </si>
  <si>
    <t>NSE:GKWLIMITED</t>
  </si>
  <si>
    <t>NSE:PRECOT</t>
  </si>
  <si>
    <t>NSE:THEMISMED</t>
  </si>
  <si>
    <t>NSE:MAXIND</t>
  </si>
  <si>
    <t>NSE:KAMDHENU</t>
  </si>
  <si>
    <t>NSE:CONSOFINVT</t>
  </si>
  <si>
    <t>NSE:MAFATIND</t>
  </si>
  <si>
    <t>NSE:ASTAR</t>
  </si>
  <si>
    <t>NSE:DENTA</t>
  </si>
  <si>
    <t>NSE:UNIECOM</t>
  </si>
  <si>
    <t>NSE:RAJOOENG</t>
  </si>
  <si>
    <t>NSE:PRIMESECU</t>
  </si>
  <si>
    <t>NSE:SGIL</t>
  </si>
  <si>
    <t>NSE:SURAJEST</t>
  </si>
  <si>
    <t>NSE:GAYAPROJ</t>
  </si>
  <si>
    <t>NSE:BHAGERIA</t>
  </si>
  <si>
    <t>NSE:INDOAMIN</t>
  </si>
  <si>
    <t>NSE:MICEL</t>
  </si>
  <si>
    <t>NSE:KRISHIVAL</t>
  </si>
  <si>
    <t>NSE:KOPRAN</t>
  </si>
  <si>
    <t>NSE:WCIL</t>
  </si>
  <si>
    <t>NSE:ESTER</t>
  </si>
  <si>
    <t>NSE:IFBAGRO</t>
  </si>
  <si>
    <t>NSE:STERTOOLS</t>
  </si>
  <si>
    <t>NSE:CONTROLPR</t>
  </si>
  <si>
    <t>NSE:KECL</t>
  </si>
  <si>
    <t>NSE:TVSELECT</t>
  </si>
  <si>
    <t>NSE:TIRUPATIFL</t>
  </si>
  <si>
    <t>NSE:VHLTD</t>
  </si>
  <si>
    <t>NSE:DHARMAJ</t>
  </si>
  <si>
    <t>NSE:MATRIMONY</t>
  </si>
  <si>
    <t>NSE:SWELECTES</t>
  </si>
  <si>
    <t>NSE:PDMJEPAPER</t>
  </si>
  <si>
    <t>NSE:SICALLOG</t>
  </si>
  <si>
    <t>NSE:STANLEY</t>
  </si>
  <si>
    <t>NSE:BSHSL</t>
  </si>
  <si>
    <t>NSE:EXCELSOFT</t>
  </si>
  <si>
    <t>NSE:BODALCHEM</t>
  </si>
  <si>
    <t>NSE:DHAMPURSUG</t>
  </si>
  <si>
    <t>NSE:PRADPME</t>
  </si>
  <si>
    <t>NSE:MCCHRLS-B</t>
  </si>
  <si>
    <t>NSE:FINKURVE</t>
  </si>
  <si>
    <t>NSE:SCODATUBES</t>
  </si>
  <si>
    <t>NSE:LIKHITHA</t>
  </si>
  <si>
    <t>NSE:MODISONLTD</t>
  </si>
  <si>
    <t>NSE:NDTV</t>
  </si>
  <si>
    <t>NSE:HEXATRADEX</t>
  </si>
  <si>
    <t>NSE:JITFINFRA</t>
  </si>
  <si>
    <t>NSE:TNPETRO</t>
  </si>
  <si>
    <t>NSE:VLSFINANCE</t>
  </si>
  <si>
    <t>NSE:BORANA</t>
  </si>
  <si>
    <t>NSE:KOKUYOCMLN</t>
  </si>
  <si>
    <t>NSE:SEJALLTD</t>
  </si>
  <si>
    <t>NSE:OMINFRAL</t>
  </si>
  <si>
    <t>NSE:ARIHANTCAP</t>
  </si>
  <si>
    <t>NSE:COMSYN</t>
  </si>
  <si>
    <t>NSE:ROHLTD</t>
  </si>
  <si>
    <t>NSE:FEDDERSHOL</t>
  </si>
  <si>
    <t>NSE:UTTAMSUGAR</t>
  </si>
  <si>
    <t>NSE:RADHIKAJWE</t>
  </si>
  <si>
    <t>NSE:ORICONENT</t>
  </si>
  <si>
    <t>NSE:REGAAL</t>
  </si>
  <si>
    <t>NSE:DVL</t>
  </si>
  <si>
    <t>NSE:KRYSTAL</t>
  </si>
  <si>
    <t>NSE:SYSTMTXC</t>
  </si>
  <si>
    <t>NSE:GANESHBE</t>
  </si>
  <si>
    <t>NSE:SUDARCOLOR</t>
  </si>
  <si>
    <t>NSE:SALSTEEL</t>
  </si>
  <si>
    <t>NSE:SRHHYPOLTD</t>
  </si>
  <si>
    <t>NSE:SVLL</t>
  </si>
  <si>
    <t>NSE:QUICKHEAL</t>
  </si>
  <si>
    <t>NSE:OCCLLTD</t>
  </si>
  <si>
    <t>NSE:RITCO</t>
  </si>
  <si>
    <t>NSE:SARLAPOLY</t>
  </si>
  <si>
    <t>NSE:BAJAJST</t>
  </si>
  <si>
    <t>NSE:NCLIND</t>
  </si>
  <si>
    <t>NSE:KOTHARIPET</t>
  </si>
  <si>
    <t>NSE:MVGJL</t>
  </si>
  <si>
    <t>NSE:RAMBHAJO</t>
  </si>
  <si>
    <t>NSE:SUPREMEINF</t>
  </si>
  <si>
    <t>NSE:CIFL</t>
  </si>
  <si>
    <t>NSE:RMDRIP</t>
  </si>
  <si>
    <t>NSE:ECOSMOBLTY</t>
  </si>
  <si>
    <t>NSE:NRAIL</t>
  </si>
  <si>
    <t>NSE:ADVANCE</t>
  </si>
  <si>
    <t>NSE:ANUHPHR</t>
  </si>
  <si>
    <t>NSE:ADVENTHTL</t>
  </si>
  <si>
    <t>NSE:GICHSGFIN</t>
  </si>
  <si>
    <t>NSE:ASAL</t>
  </si>
  <si>
    <t>NSE:VELJAN</t>
  </si>
  <si>
    <t>NSE:HEXAGON</t>
  </si>
  <si>
    <t>NSE:SADHNANIQ</t>
  </si>
  <si>
    <t>NSE:MEIL</t>
  </si>
  <si>
    <t>NSE:EIFFL</t>
  </si>
  <si>
    <t>NSE:SOUTHWEST</t>
  </si>
  <si>
    <t>NSE:DECCANCE</t>
  </si>
  <si>
    <t>NSE:INDOFARM</t>
  </si>
  <si>
    <t>NSE:PRAVEG</t>
  </si>
  <si>
    <t>NSE:PVSL</t>
  </si>
  <si>
    <t>NSE:ZUARIIND</t>
  </si>
  <si>
    <t>NSE:HARDWYN</t>
  </si>
  <si>
    <t>NSE:MODIS</t>
  </si>
  <si>
    <t>NSE:RAJPALAYAM</t>
  </si>
  <si>
    <t>NSE:BIRLAMONEY</t>
  </si>
  <si>
    <t>NSE:ELDEHSG</t>
  </si>
  <si>
    <t>NSE:PATELRMART</t>
  </si>
  <si>
    <t>NSE:KELLTONTEC</t>
  </si>
  <si>
    <t>NSE:BEEKAY</t>
  </si>
  <si>
    <t>NSE:BAJAJINDEF</t>
  </si>
  <si>
    <t>NSE:PROSTARM</t>
  </si>
  <si>
    <t>NSE:VALIANTORG</t>
  </si>
  <si>
    <t>NSE:AGARIND</t>
  </si>
  <si>
    <t>NSE:MMP</t>
  </si>
  <si>
    <t>NSE:SANDESH</t>
  </si>
  <si>
    <t>NSE:VASCONEQ</t>
  </si>
  <si>
    <t>NSE:TRANSPEK</t>
  </si>
  <si>
    <t>NSE:VISAKAIND</t>
  </si>
  <si>
    <t>NSE:LOKESHMACH</t>
  </si>
  <si>
    <t>NSE:XCHANGING</t>
  </si>
  <si>
    <t>NSE:NRL</t>
  </si>
  <si>
    <t>NSE:GEECEE</t>
  </si>
  <si>
    <t>NSE:MAANALU</t>
  </si>
  <si>
    <t>NSE:PREMIERPOL</t>
  </si>
  <si>
    <t>NSE:VIVIANA</t>
  </si>
  <si>
    <t>NSE:STCINDIA</t>
  </si>
  <si>
    <t>NSE:GLOSTERLTD</t>
  </si>
  <si>
    <t>NSE:GANESHCP</t>
  </si>
  <si>
    <t>NSE:BLAL</t>
  </si>
  <si>
    <t>NSE:HERANBA</t>
  </si>
  <si>
    <t>NSE:DPSCLTD</t>
  </si>
  <si>
    <t>NSE:EVERESTIND</t>
  </si>
  <si>
    <t>NSE:DMCC</t>
  </si>
  <si>
    <t>NSE:MAGADSUGAR</t>
  </si>
  <si>
    <t>NSE:UNITEDPOLY</t>
  </si>
  <si>
    <t>NSE:PVP</t>
  </si>
  <si>
    <t>NSE:HMVL</t>
  </si>
  <si>
    <t>NSE:SUBEXLTD</t>
  </si>
  <si>
    <t>NSE:CCCL</t>
  </si>
  <si>
    <t>NSE:PANACHE</t>
  </si>
  <si>
    <t>NSE:JAYAGROGN</t>
  </si>
  <si>
    <t>NSE:WELINV</t>
  </si>
  <si>
    <t>NSE:DWARKESH</t>
  </si>
  <si>
    <t>NSE:KUANTUM</t>
  </si>
  <si>
    <t>NSE:MANBA</t>
  </si>
  <si>
    <t>NSE:INNOVISION</t>
  </si>
  <si>
    <t>NSE:20MICRONS</t>
  </si>
  <si>
    <t>NSE:TVTODAY</t>
  </si>
  <si>
    <t>NSE:BESTAGRO</t>
  </si>
  <si>
    <t>NSE:INNOVANA</t>
  </si>
  <si>
    <t>NSE:MUKKA</t>
  </si>
  <si>
    <t>NSE:RAMASTEEL</t>
  </si>
  <si>
    <t>NSE:ONMOBILE</t>
  </si>
  <si>
    <t>NSE:GTPL</t>
  </si>
  <si>
    <t>NSE:SAURASHCEM</t>
  </si>
  <si>
    <t>NSE:EMKAY</t>
  </si>
  <si>
    <t>NSE:KSOLVES</t>
  </si>
  <si>
    <t>NSE:MERCURYEV</t>
  </si>
  <si>
    <t>NSE:PYRAMID</t>
  </si>
  <si>
    <t>NSE:FABTECH</t>
  </si>
  <si>
    <t>NSE:EMAMIPAP</t>
  </si>
  <si>
    <t>NSE:LAXMIINDIA</t>
  </si>
  <si>
    <t>NSE:XTRANET</t>
  </si>
  <si>
    <t>NSE:NAHARPOLY</t>
  </si>
  <si>
    <t>NSE:UNIENTER</t>
  </si>
  <si>
    <t>NSE:KILITCH</t>
  </si>
  <si>
    <t>NSE:NBIFIN</t>
  </si>
  <si>
    <t>NSE:DBOL</t>
  </si>
  <si>
    <t>NSE:ONWARDTEC</t>
  </si>
  <si>
    <t>NSE:ADSL</t>
  </si>
  <si>
    <t>NSE:AQYLON</t>
  </si>
  <si>
    <t>NSE:VAKRANGEE</t>
  </si>
  <si>
    <t>NSE:CHEVIOT</t>
  </si>
  <si>
    <t>NSE:HALDYNGL</t>
  </si>
  <si>
    <t>NSE:SCPL</t>
  </si>
  <si>
    <t>NSE:COFFEEDAY</t>
  </si>
  <si>
    <t>NSE:BIGBLOC</t>
  </si>
  <si>
    <t>NSE:CHEMCON</t>
  </si>
  <si>
    <t>NSE:SPECIALITY</t>
  </si>
  <si>
    <t>NSE:ABINFRA</t>
  </si>
  <si>
    <t>NSE:SNOWMAN</t>
  </si>
  <si>
    <t>NSE:ORBTEXP</t>
  </si>
  <si>
    <t>NSE:DCMSIL</t>
  </si>
  <si>
    <t>NSE:PPL</t>
  </si>
  <si>
    <t>NSE:SHINDL</t>
  </si>
  <si>
    <t>NSE:PROZONER</t>
  </si>
  <si>
    <t>NSE:AHLWEST</t>
  </si>
  <si>
    <t>NSE:HINDCOMPOS</t>
  </si>
  <si>
    <t>NSE:SUTLEJTEX</t>
  </si>
  <si>
    <t>NSE:KANORICHEM</t>
  </si>
  <si>
    <t>NSE:BAFNAPH</t>
  </si>
  <si>
    <t>NSE:MINDTECK</t>
  </si>
  <si>
    <t>NSE:GLOTTIS</t>
  </si>
  <si>
    <t>NSE:TPLPLASTEH</t>
  </si>
  <si>
    <t>NSE:SATIA</t>
  </si>
  <si>
    <t>NSE:MALLCOM</t>
  </si>
  <si>
    <t>NSE:PRIMO</t>
  </si>
  <si>
    <t>NSE:BIRLACABLE</t>
  </si>
  <si>
    <t>NSE:CHEMBONDCH</t>
  </si>
  <si>
    <t>NSE:ATL</t>
  </si>
  <si>
    <t>NSE:LINC</t>
  </si>
  <si>
    <t>NSE:ZIMLAB</t>
  </si>
  <si>
    <t>NSE:ZFSTEERING</t>
  </si>
  <si>
    <t>NSE:SHIVAUM</t>
  </si>
  <si>
    <t>NSE:RBZJEWEL</t>
  </si>
  <si>
    <t>NSE:TREL</t>
  </si>
  <si>
    <t>NSE:CEWATER</t>
  </si>
  <si>
    <t>NSE:SOFTTECH</t>
  </si>
  <si>
    <t>NSE:OMPOWER</t>
  </si>
  <si>
    <t>NSE:HTMEDIA</t>
  </si>
  <si>
    <t>NSE:PANSARI</t>
  </si>
  <si>
    <t>NSE:SIGMA</t>
  </si>
  <si>
    <t>NSE:BLACKROSE</t>
  </si>
  <si>
    <t>NSE:NILE</t>
  </si>
  <si>
    <t>NSE:KRONOX</t>
  </si>
  <si>
    <t>NSE:SHALPAINTS</t>
  </si>
  <si>
    <t>NSE:VISACHROME</t>
  </si>
  <si>
    <t>NSE:HITECHCORP</t>
  </si>
  <si>
    <t>NSE:MUNJALSHOW</t>
  </si>
  <si>
    <t>NSE:REPRO</t>
  </si>
  <si>
    <t>NSE:MCLEODRUSS</t>
  </si>
  <si>
    <t>NSE:CSM</t>
  </si>
  <si>
    <t>NSE:KIRANVYPAR</t>
  </si>
  <si>
    <t>NSE:CHEMFAB</t>
  </si>
  <si>
    <t>NSE:MUFTI</t>
  </si>
  <si>
    <t>NSE:APTECHT</t>
  </si>
  <si>
    <t>NSE:GLOBAL</t>
  </si>
  <si>
    <t>NSE:MGEL</t>
  </si>
  <si>
    <t>NSE:DISHTV</t>
  </si>
  <si>
    <t>NSE:SHREERAMA</t>
  </si>
  <si>
    <t>NSE:PTL</t>
  </si>
  <si>
    <t>NSE:KNAGRI</t>
  </si>
  <si>
    <t>NSE:PASUPTAC</t>
  </si>
  <si>
    <t>NSE:UNIVPHOTO</t>
  </si>
  <si>
    <t>NSE:MODINATUR</t>
  </si>
  <si>
    <t>NSE:MANCREDIT</t>
  </si>
  <si>
    <t>NSE:RKSWAMY</t>
  </si>
  <si>
    <t>NSE:DHUNINV</t>
  </si>
  <si>
    <t>NSE:ENIL</t>
  </si>
  <si>
    <t>NSE:PENINLAND</t>
  </si>
  <si>
    <t>NSE:SUKHJITS</t>
  </si>
  <si>
    <t>NSE:OSWALAGRO</t>
  </si>
  <si>
    <t>NSE:GFLLIMITED</t>
  </si>
  <si>
    <t>NSE:IRIS</t>
  </si>
  <si>
    <t>NSE:THEINVEST</t>
  </si>
  <si>
    <t>NSE:SAYAJIHOTL</t>
  </si>
  <si>
    <t>NSE:KANPRPLA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</si>
</sst>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0000"/>
    <numFmt numFmtId="165" formatCode="0.0"/>
    <numFmt numFmtId="166" formatCode="mmm&quot; &quot;d&quot;, &quot;yy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  <font>
      <b/>
      <sz val="8.0"/>
      <color theme="1"/>
      <name val="Calibri"/>
    </font>
    <font>
      <color rgb="FF1F1F1F"/>
      <name val="&quot;Google Sans Mono&quot;"/>
    </font>
    <font>
      <u/>
      <sz val="8.0"/>
      <color rgb="FF1155CC"/>
      <name val="Calibri"/>
    </font>
    <font>
      <u/>
      <sz val="8.0"/>
      <color rgb="FF1155CC"/>
      <name val="Calibri"/>
    </font>
    <font>
      <sz val="8.0"/>
      <color theme="1"/>
      <name val="Calibri"/>
    </font>
    <font>
      <sz val="9.0"/>
      <color rgb="FF444746"/>
      <name val="&quot;Google Sans Mono&quot;"/>
    </font>
    <font>
      <sz val="8.0"/>
      <color rgb="FF000000"/>
      <name val="Calibri"/>
    </font>
    <font>
      <sz val="8.0"/>
      <color rgb="FF3C4043"/>
      <name val="Calibri"/>
    </font>
    <font>
      <sz val="8.0"/>
      <color theme="1"/>
      <name val="Arial"/>
      <scheme val="minor"/>
    </font>
    <font>
      <u/>
      <sz val="8.0"/>
      <color rgb="FF1155CC"/>
      <name val="Calibri"/>
    </font>
    <font>
      <u/>
      <sz val="8.0"/>
      <color rgb="FF1155CC"/>
      <name val="Calibri"/>
    </font>
    <font>
      <b/>
      <sz val="8.0"/>
      <color rgb="FF000000"/>
      <name val="Calibri"/>
    </font>
    <font>
      <u/>
      <sz val="8.0"/>
      <color rgb="FF1155CC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0F4F9"/>
        <bgColor rgb="FFF0F4F9"/>
      </patternFill>
    </fill>
    <fill>
      <patternFill patternType="solid">
        <fgColor rgb="FFDDE3EA"/>
        <bgColor rgb="FFDDE3EA"/>
      </patternFill>
    </fill>
    <fill>
      <patternFill patternType="solid">
        <fgColor rgb="FFF8F8F8"/>
        <bgColor rgb="FFF8F8F8"/>
      </patternFill>
    </fill>
    <fill>
      <patternFill patternType="solid">
        <fgColor rgb="FFEBF7F1"/>
        <bgColor rgb="FFEBF7F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3" numFmtId="0" xfId="0" applyAlignment="1" applyFill="1" applyFont="1">
      <alignment readingOrder="0" vertical="bottom"/>
    </xf>
    <xf borderId="0" fillId="0" fontId="1" numFmtId="0" xfId="0" applyFont="1"/>
    <xf borderId="0" fillId="3" fontId="3" numFmtId="0" xfId="0" applyAlignment="1" applyFont="1">
      <alignment vertical="bottom"/>
    </xf>
    <xf borderId="1" fillId="3" fontId="3" numFmtId="0" xfId="0" applyAlignment="1" applyBorder="1" applyFont="1">
      <alignment vertical="bottom"/>
    </xf>
    <xf borderId="0" fillId="0" fontId="1" numFmtId="0" xfId="0" applyFont="1"/>
    <xf borderId="1" fillId="3" fontId="3" numFmtId="0" xfId="0" applyAlignment="1" applyBorder="1" applyFont="1">
      <alignment horizontal="center" readingOrder="0" vertical="bottom"/>
    </xf>
    <xf borderId="0" fillId="4" fontId="4" numFmtId="0" xfId="0" applyFill="1" applyFont="1"/>
    <xf borderId="1" fillId="3" fontId="3" numFmtId="0" xfId="0" applyAlignment="1" applyBorder="1" applyFont="1">
      <alignment horizontal="center" readingOrder="0" shrinkToFit="0" vertical="bottom" wrapText="1"/>
    </xf>
    <xf borderId="2" fillId="3" fontId="3" numFmtId="0" xfId="0" applyAlignment="1" applyBorder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6" numFmtId="164" xfId="0" applyAlignment="1" applyFont="1" applyNumberFormat="1">
      <alignment horizontal="center" vertical="bottom"/>
    </xf>
    <xf borderId="0" fillId="3" fontId="7" numFmtId="0" xfId="0" applyAlignment="1" applyFont="1">
      <alignment horizontal="center" readingOrder="0" vertical="bottom"/>
    </xf>
    <xf borderId="0" fillId="5" fontId="8" numFmtId="0" xfId="0" applyFill="1" applyFont="1"/>
    <xf borderId="0" fillId="4" fontId="4" numFmtId="2" xfId="0" applyFont="1" applyNumberFormat="1"/>
    <xf borderId="0" fillId="3" fontId="9" numFmtId="1" xfId="0" applyAlignment="1" applyFont="1" applyNumberFormat="1">
      <alignment readingOrder="0" shrinkToFit="0" vertical="bottom" wrapText="0"/>
    </xf>
    <xf borderId="0" fillId="6" fontId="7" numFmtId="1" xfId="0" applyAlignment="1" applyFill="1" applyFont="1" applyNumberFormat="1">
      <alignment horizontal="left" readingOrder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7" fontId="7" numFmtId="0" xfId="0" applyAlignment="1" applyFont="1">
      <alignment horizontal="center" vertical="bottom"/>
    </xf>
    <xf borderId="0" fillId="3" fontId="7" numFmtId="0" xfId="0" applyAlignment="1" applyFont="1">
      <alignment horizontal="center" readingOrder="0" vertical="bottom"/>
    </xf>
    <xf borderId="0" fillId="8" fontId="7" numFmtId="1" xfId="0" applyAlignment="1" applyFill="1" applyFont="1" applyNumberFormat="1">
      <alignment horizontal="left" readingOrder="0"/>
    </xf>
    <xf borderId="0" fillId="3" fontId="7" numFmtId="0" xfId="0" applyAlignment="1" applyFont="1">
      <alignment horizontal="right" vertical="bottom"/>
    </xf>
    <xf borderId="0" fillId="0" fontId="9" numFmtId="1" xfId="0" applyAlignment="1" applyFont="1" applyNumberFormat="1">
      <alignment readingOrder="0" shrinkToFit="0" vertical="bottom" wrapText="0"/>
    </xf>
    <xf borderId="0" fillId="3" fontId="7" numFmtId="0" xfId="0" applyAlignment="1" applyFont="1">
      <alignment horizontal="center" vertical="bottom"/>
    </xf>
    <xf borderId="0" fillId="3" fontId="7" numFmtId="0" xfId="0" applyFont="1"/>
    <xf borderId="0" fillId="3" fontId="9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9" fontId="7" numFmtId="1" xfId="0" applyAlignment="1" applyFill="1" applyFont="1" applyNumberFormat="1">
      <alignment horizontal="left" readingOrder="0"/>
    </xf>
    <xf borderId="0" fillId="9" fontId="7" numFmtId="0" xfId="0" applyAlignment="1" applyFont="1">
      <alignment readingOrder="0"/>
    </xf>
    <xf borderId="0" fillId="0" fontId="10" numFmtId="1" xfId="0" applyAlignment="1" applyFont="1" applyNumberFormat="1">
      <alignment readingOrder="0" shrinkToFit="0" vertical="bottom" wrapText="0"/>
    </xf>
    <xf borderId="0" fillId="3" fontId="7" numFmtId="0" xfId="0" applyAlignment="1" applyFont="1">
      <alignment horizontal="center" readingOrder="0" vertical="bottom"/>
    </xf>
    <xf borderId="0" fillId="3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3" fontId="9" numFmtId="1" xfId="0" applyAlignment="1" applyFont="1" applyNumberFormat="1">
      <alignment horizontal="center" readingOrder="0"/>
    </xf>
    <xf borderId="0" fillId="3" fontId="11" numFmtId="0" xfId="0" applyFont="1"/>
    <xf borderId="0" fillId="3" fontId="11" numFmtId="0" xfId="0" applyFont="1"/>
    <xf borderId="0" fillId="3" fontId="3" numFmtId="0" xfId="0" applyFont="1"/>
    <xf borderId="0" fillId="3" fontId="9" numFmtId="165" xfId="0" applyAlignment="1" applyFont="1" applyNumberFormat="1">
      <alignment horizontal="center" vertical="bottom"/>
    </xf>
    <xf borderId="0" fillId="3" fontId="9" numFmtId="1" xfId="0" applyAlignment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3" fontId="7" numFmtId="1" xfId="0" applyAlignment="1" applyFont="1" applyNumberFormat="1">
      <alignment vertical="bottom"/>
    </xf>
    <xf borderId="0" fillId="9" fontId="7" numFmtId="0" xfId="0" applyAlignment="1" applyFont="1">
      <alignment horizontal="center" vertical="bottom"/>
    </xf>
    <xf borderId="0" fillId="9" fontId="9" numFmtId="0" xfId="0" applyAlignment="1" applyFont="1">
      <alignment horizontal="center" vertical="bottom"/>
    </xf>
    <xf borderId="0" fillId="3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1" fillId="3" fontId="7" numFmtId="0" xfId="0" applyAlignment="1" applyBorder="1" applyFont="1">
      <alignment vertical="bottom"/>
    </xf>
    <xf borderId="1" fillId="3" fontId="9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right" vertical="bottom"/>
    </xf>
    <xf borderId="1" fillId="3" fontId="12" numFmtId="0" xfId="0" applyAlignment="1" applyBorder="1" applyFont="1">
      <alignment horizontal="center" vertical="bottom"/>
    </xf>
    <xf borderId="1" fillId="3" fontId="9" numFmtId="1" xfId="0" applyAlignment="1" applyBorder="1" applyFont="1" applyNumberFormat="1">
      <alignment horizontal="center" vertical="bottom"/>
    </xf>
    <xf borderId="1" fillId="3" fontId="9" numFmtId="165" xfId="0" applyAlignment="1" applyBorder="1" applyFont="1" applyNumberFormat="1">
      <alignment horizontal="center" readingOrder="0" vertical="bottom"/>
    </xf>
    <xf borderId="1" fillId="3" fontId="7" numFmtId="0" xfId="0" applyAlignment="1" applyBorder="1" applyFont="1">
      <alignment vertical="bottom"/>
    </xf>
    <xf borderId="1" fillId="3" fontId="9" numFmtId="1" xfId="0" applyAlignment="1" applyBorder="1" applyFont="1" applyNumberFormat="1">
      <alignment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vertical="bottom"/>
    </xf>
    <xf borderId="0" fillId="10" fontId="7" numFmtId="0" xfId="0" applyAlignment="1" applyFill="1" applyFont="1">
      <alignment vertical="bottom"/>
    </xf>
    <xf borderId="0" fillId="10" fontId="7" numFmtId="0" xfId="0" applyAlignment="1" applyFont="1">
      <alignment vertical="bottom"/>
    </xf>
    <xf borderId="0" fillId="10" fontId="7" numFmtId="0" xfId="0" applyAlignment="1" applyFont="1">
      <alignment horizontal="center" vertical="bottom"/>
    </xf>
    <xf borderId="0" fillId="10" fontId="9" numFmtId="0" xfId="0" applyAlignment="1" applyFont="1">
      <alignment horizontal="center" vertical="bottom"/>
    </xf>
    <xf borderId="0" fillId="9" fontId="7" numFmtId="0" xfId="0" applyFont="1"/>
    <xf borderId="0" fillId="9" fontId="13" numFmtId="0" xfId="0" applyAlignment="1" applyFont="1">
      <alignment horizontal="center" vertical="bottom"/>
    </xf>
    <xf borderId="0" fillId="9" fontId="9" numFmtId="1" xfId="0" applyAlignment="1" applyFont="1" applyNumberFormat="1">
      <alignment horizontal="center" readingOrder="0"/>
    </xf>
    <xf borderId="0" fillId="9" fontId="7" numFmtId="0" xfId="0" applyAlignment="1" applyFont="1">
      <alignment horizontal="center" readingOrder="0" vertical="bottom"/>
    </xf>
    <xf borderId="0" fillId="9" fontId="7" numFmtId="0" xfId="0" applyAlignment="1" applyFont="1">
      <alignment horizontal="right" vertical="bottom"/>
    </xf>
    <xf borderId="0" fillId="3" fontId="14" numFmtId="1" xfId="0" applyAlignment="1" applyFont="1" applyNumberFormat="1">
      <alignment horizontal="center" readingOrder="0"/>
    </xf>
    <xf borderId="0" fillId="9" fontId="14" numFmtId="1" xfId="0" applyAlignment="1" applyFont="1" applyNumberFormat="1">
      <alignment horizontal="center" readingOrder="0"/>
    </xf>
    <xf borderId="0" fillId="11" fontId="7" numFmtId="0" xfId="0" applyAlignment="1" applyFill="1" applyFont="1">
      <alignment vertical="bottom"/>
    </xf>
    <xf borderId="0" fillId="11" fontId="9" numFmtId="1" xfId="0" applyAlignment="1" applyFont="1" applyNumberFormat="1">
      <alignment readingOrder="0" shrinkToFit="0" vertical="bottom" wrapText="0"/>
    </xf>
    <xf borderId="0" fillId="11" fontId="7" numFmtId="0" xfId="0" applyAlignment="1" applyFont="1">
      <alignment vertical="bottom"/>
    </xf>
    <xf borderId="0" fillId="11" fontId="7" numFmtId="0" xfId="0" applyAlignment="1" applyFont="1">
      <alignment horizontal="center" vertical="bottom"/>
    </xf>
    <xf borderId="0" fillId="11" fontId="9" numFmtId="0" xfId="0" applyAlignment="1" applyFont="1">
      <alignment horizontal="center" vertical="bottom"/>
    </xf>
    <xf borderId="0" fillId="11" fontId="7" numFmtId="0" xfId="0" applyAlignment="1" applyFont="1">
      <alignment horizontal="center" readingOrder="0" vertical="bottom"/>
    </xf>
    <xf borderId="0" fillId="11" fontId="9" numFmtId="165" xfId="0" applyAlignment="1" applyFont="1" applyNumberFormat="1">
      <alignment horizontal="center" vertical="bottom"/>
    </xf>
    <xf borderId="0" fillId="11" fontId="7" numFmtId="0" xfId="0" applyAlignment="1" applyFont="1">
      <alignment horizontal="right" vertical="bottom"/>
    </xf>
    <xf borderId="0" fillId="11" fontId="7" numFmtId="0" xfId="0" applyAlignment="1" applyFont="1">
      <alignment horizontal="right" readingOrder="0" vertical="bottom"/>
    </xf>
    <xf borderId="0" fillId="11" fontId="7" numFmtId="10" xfId="0" applyAlignment="1" applyFont="1" applyNumberFormat="1">
      <alignment horizontal="right" vertical="bottom"/>
    </xf>
    <xf borderId="0" fillId="11" fontId="15" numFmtId="0" xfId="0" applyAlignment="1" applyFont="1">
      <alignment horizontal="center" vertical="bottom"/>
    </xf>
    <xf borderId="0" fillId="11" fontId="7" numFmtId="1" xfId="0" applyAlignment="1" applyFont="1" applyNumberFormat="1">
      <alignment vertical="bottom"/>
    </xf>
    <xf borderId="0" fillId="11" fontId="9" numFmtId="1" xfId="0" applyAlignment="1" applyFont="1" applyNumberFormat="1">
      <alignment horizontal="center" readingOrder="0"/>
    </xf>
    <xf borderId="0" fillId="11" fontId="7" numFmtId="1" xfId="0" applyAlignment="1" applyFont="1" applyNumberFormat="1">
      <alignment readingOrder="0" vertical="bottom"/>
    </xf>
    <xf borderId="0" fillId="9" fontId="7" numFmtId="0" xfId="0" applyAlignment="1" applyFont="1">
      <alignment vertical="bottom"/>
    </xf>
    <xf borderId="0" fillId="9" fontId="7" numFmtId="0" xfId="0" applyAlignment="1" applyFont="1">
      <alignment vertical="bottom"/>
    </xf>
    <xf borderId="0" fillId="9" fontId="7" numFmtId="0" xfId="0" applyAlignment="1" applyFont="1">
      <alignment horizontal="center" vertical="bottom"/>
    </xf>
    <xf borderId="0" fillId="9" fontId="9" numFmtId="165" xfId="0" applyAlignment="1" applyFont="1" applyNumberFormat="1">
      <alignment horizontal="center" vertical="bottom"/>
    </xf>
    <xf borderId="0" fillId="9" fontId="7" numFmtId="10" xfId="0" applyAlignment="1" applyFont="1" applyNumberFormat="1">
      <alignment horizontal="right" vertical="bottom"/>
    </xf>
    <xf borderId="0" fillId="0" fontId="7" numFmtId="1" xfId="0" applyAlignment="1" applyFont="1" applyNumberFormat="1">
      <alignment vertical="bottom"/>
    </xf>
    <xf borderId="0" fillId="0" fontId="7" numFmtId="1" xfId="0" applyAlignment="1" applyFont="1" applyNumberFormat="1">
      <alignment readingOrder="0" vertical="bottom"/>
    </xf>
    <xf borderId="0" fillId="9" fontId="7" numFmtId="0" xfId="0" applyAlignment="1" applyFont="1">
      <alignment horizontal="center" vertical="bottom"/>
    </xf>
    <xf borderId="0" fillId="9" fontId="7" numFmtId="166" xfId="0" applyAlignment="1" applyFont="1" applyNumberFormat="1">
      <alignment horizontal="right" readingOrder="0" vertical="bottom"/>
    </xf>
    <xf borderId="0" fillId="9" fontId="7" numFmtId="0" xfId="0" applyAlignment="1" applyFont="1">
      <alignment readingOrder="0" vertical="bottom"/>
    </xf>
    <xf borderId="0" fillId="9" fontId="7" numFmtId="0" xfId="0" applyAlignment="1" applyFont="1">
      <alignment readingOrder="0" vertical="bottom"/>
    </xf>
    <xf borderId="0" fillId="0" fontId="9" numFmtId="1" xfId="0" applyAlignment="1" applyFont="1" applyNumberFormat="1">
      <alignment horizontal="right" readingOrder="0" shrinkToFit="0" vertical="bottom" wrapText="0"/>
    </xf>
    <xf borderId="0" fillId="9" fontId="11" numFmtId="0" xfId="0" applyFont="1"/>
    <xf borderId="0" fillId="0" fontId="7" numFmtId="0" xfId="0" applyFont="1"/>
    <xf borderId="0" fillId="0" fontId="7" numFmtId="0" xfId="0" applyAlignment="1" applyFont="1">
      <alignment horizontal="right" vertical="bottom"/>
    </xf>
    <xf borderId="3" fillId="0" fontId="7" numFmtId="0" xfId="0" applyBorder="1" applyFont="1"/>
    <xf borderId="4" fillId="0" fontId="7" numFmtId="0" xfId="0" applyBorder="1" applyFont="1"/>
    <xf borderId="0" fillId="12" fontId="1" numFmtId="0" xfId="0" applyFill="1" applyFont="1"/>
    <xf borderId="0" fillId="12" fontId="1" numFmtId="0" xfId="0" applyFont="1"/>
    <xf borderId="0" fillId="13" fontId="1" numFmtId="0" xfId="0" applyFill="1" applyFon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12" max="12" width="18.13"/>
    <col customWidth="1" min="13" max="13" width="19.75"/>
    <col customWidth="1" min="14" max="14" width="16.63"/>
    <col customWidth="1" min="15" max="15" width="17.88"/>
    <col customWidth="1" min="21" max="21" width="23.25"/>
    <col customWidth="1" min="25" max="25" width="2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15</v>
      </c>
      <c r="P1" s="1" t="s">
        <v>16</v>
      </c>
      <c r="Q1" s="1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1" t="s">
        <v>22</v>
      </c>
      <c r="W1" s="2" t="s">
        <v>23</v>
      </c>
      <c r="X1" s="2" t="s">
        <v>24</v>
      </c>
      <c r="Y1" s="2" t="s">
        <v>25</v>
      </c>
    </row>
    <row r="2">
      <c r="A2" s="4" t="s">
        <v>26</v>
      </c>
      <c r="B2" s="7">
        <f>IFERROR(__xludf.DUMMYFUNCTION("GOOGLEFINANCE(A2, ""price"")"),1320.5)</f>
        <v>1320.5</v>
      </c>
      <c r="C2" s="7">
        <f>IFERROR(__xludf.DUMMYFUNCTION("GOOGLEFINANCE(A2, ""changepct"")"),-0.26)</f>
        <v>-0.26</v>
      </c>
      <c r="D2" s="9">
        <f>IFERROR(__xludf.DUMMYFUNCTION("GOOGLEFINANCE(A2, ""priceopen"")"),1323.9)</f>
        <v>1323.9</v>
      </c>
      <c r="E2" s="9">
        <f>IFERROR(__xludf.DUMMYFUNCTION("GOOGLEFINANCE(A2, ""high"")"),1329.0)</f>
        <v>1329</v>
      </c>
      <c r="F2" s="9">
        <f>IFERROR(__xludf.DUMMYFUNCTION("GOOGLEFINANCE(A2, ""low"")"),1309.2)</f>
        <v>1309.2</v>
      </c>
      <c r="G2" s="9">
        <f>IFERROR(__xludf.DUMMYFUNCTION("GOOGLEFINANCE(A2, ""price"")"),1320.5)</f>
        <v>1320.5</v>
      </c>
      <c r="H2" s="9">
        <f>IFERROR(__xludf.DUMMYFUNCTION("MAX(INDEX(GOOGLEFINANCE(A2, ""high"", TODAY()-30, TODAY()), 0, 2))"),1345.9)</f>
        <v>1345.9</v>
      </c>
      <c r="I2" s="9">
        <f>IFERROR(__xludf.DUMMYFUNCTION("MIN(INDEX(GOOGLEFINANCE(A2, ""low"", TODAY()-30, TODAY()), 0, 2))"),1249.8)</f>
        <v>1249.8</v>
      </c>
      <c r="J2" s="9">
        <f>IFERROR(__xludf.DUMMYFUNCTION("GOOGLEFINANCE(A2, ""high52"")"),1611.8)</f>
        <v>1611.8</v>
      </c>
      <c r="K2" s="9">
        <f>IFERROR(__xludf.DUMMYFUNCTION("GOOGLEFINANCE(A2, ""low52"")"),1249.8)</f>
        <v>1249.8</v>
      </c>
      <c r="L2" s="9">
        <f t="shared" ref="L2:L1699" si="1">(J2 - B2) / J2</f>
        <v>0.1807296191</v>
      </c>
      <c r="M2" s="9">
        <f t="shared" ref="M2:M1699" si="2">(B2 - K2) / K2</f>
        <v>0.05656905105</v>
      </c>
      <c r="N2" s="9">
        <f t="shared" ref="N2:N1699" si="3">(E2 - F2) / F2</f>
        <v>0.01512373969</v>
      </c>
      <c r="O2" s="9">
        <f t="shared" ref="O2:O1699" si="4">IFERROR((B2 - I2) / (H2 - I2), 0)</f>
        <v>0.7356919875</v>
      </c>
      <c r="P2" s="9">
        <f>IFERROR(__xludf.DUMMYFUNCTION("GOOGLEFINANCE(A2, ""pe"")"),23.91)</f>
        <v>23.91</v>
      </c>
      <c r="Q2" s="9">
        <f>IFERROR(__xludf.DUMMYFUNCTION("IFERROR(GOOGLEFINANCE(A2, ""volume"") / GOOGLEFINANCE(A2, ""volumeavg""), 0)"),0.0)</f>
        <v>0</v>
      </c>
      <c r="R2" s="9">
        <f>IFERROR(__xludf.DUMMYFUNCTION("AVERAGE(INDEX(GOOGLEFINANCE(A2, ""price"", TODAY()-30, TODAY()), 0, 2))"),1301.2608695652175)</f>
        <v>1301.26087</v>
      </c>
      <c r="S2" s="9">
        <f>IFERROR(__xludf.DUMMYFUNCTION("AVERAGE(INDEX(GOOGLEFINANCE(A2, ""price"", TODAY()-75, TODAY()), 0, 2))"),1302.2150943396225)</f>
        <v>1302.215094</v>
      </c>
      <c r="T2" s="9">
        <f>IFERROR(__xludf.DUMMYFUNCTION("AVERAGE(INDEX(GOOGLEFINANCE(A2, ""price"", TODAY()-300, TODAY()), 0, 2))"),1406.913366336634)</f>
        <v>1406.913366</v>
      </c>
      <c r="U2" s="9">
        <f t="shared" ref="U2:U1699" si="5">(B2 - R2) / R2</f>
        <v>0.01478499115</v>
      </c>
      <c r="V2" s="15">
        <f>IFERROR(__xludf.DUMMYFUNCTION("LET(hist, GOOGLEFINANCE(A2, ""price"", TODAY()-30, TODAY()), prices, QUERY(hist, ""select Col2 offset 1"", 0), count, ROWS(prices), IF(count&lt;15, NA(), LET(changes, MAP(SEQUENCE(count-1), LAMBDA(i, INDEX(prices, i+1) - INDEX(prices, i))), gains, MAP(change"&amp;"s, LAMBDA(c, MAX(c, 0))), losses, MAP(changes, LAMBDA(c, MAX(-c, 0))), avg_gain, AVERAGE(CHOOSEROWS(gains, SEQUENCE(14, 1, count-14))), avg_loss, AVERAGE(CHOOSEROWS(losses, SEQUENCE(14, 1, count-14))), rs, IFERROR(avg_gain / avg_loss, 0), IF(avg_loss=0, 1"&amp;"00, 100 - (100 / (1 + rs))))))"),65.67328918322298)</f>
        <v>65.67328918</v>
      </c>
      <c r="W2" s="16" t="str">
        <f>IFERROR(__xludf.DUMMYFUNCTION("IFERROR(GOOGLEFINANCE(A2, ""volume"") / GOOGLEFINANCE(A2, ""volumeavg""), )"),"")</f>
        <v/>
      </c>
      <c r="X2" s="9">
        <f>IFERROR(__xludf.DUMMYFUNCTION("B2 * GOOGLEFINANCE(A2, ""volume"")"),1.0433286346E10)</f>
        <v>10433286346</v>
      </c>
      <c r="Y2" s="9">
        <f>IFERROR(__xludf.DUMMYFUNCTION("IFERROR(((B2 - GOOGLEFINANCE(A2, ""priceopen"")) / GOOGLEFINANCE(A2, ""priceopen"")) * GOOGLEFINANCE(A2, ""volume""), 0)"),-20291.14041846115)</f>
        <v>-20291.14042</v>
      </c>
    </row>
    <row r="3">
      <c r="A3" s="4" t="s">
        <v>43</v>
      </c>
      <c r="B3" s="7">
        <f>IFERROR(__xludf.DUMMYFUNCTION("GOOGLEFINANCE(A3, ""price"")"),1917.5)</f>
        <v>1917.5</v>
      </c>
      <c r="C3" s="7">
        <f>IFERROR(__xludf.DUMMYFUNCTION("GOOGLEFINANCE(A3, ""changepct"")"),0.12)</f>
        <v>0.12</v>
      </c>
      <c r="D3" s="9">
        <f>IFERROR(__xludf.DUMMYFUNCTION("GOOGLEFINANCE(A3, ""priceopen"")"),1908.6)</f>
        <v>1908.6</v>
      </c>
      <c r="E3" s="9">
        <f>IFERROR(__xludf.DUMMYFUNCTION("GOOGLEFINANCE(A3, ""high"")"),1945.0)</f>
        <v>1945</v>
      </c>
      <c r="F3" s="9">
        <f>IFERROR(__xludf.DUMMYFUNCTION("GOOGLEFINANCE(A3, ""low"")"),1901.3)</f>
        <v>1901.3</v>
      </c>
      <c r="G3" s="9">
        <f>IFERROR(__xludf.DUMMYFUNCTION("GOOGLEFINANCE(A3, ""price"")"),1917.5)</f>
        <v>1917.5</v>
      </c>
      <c r="H3" s="9">
        <f>IFERROR(__xludf.DUMMYFUNCTION("MAX(INDEX(GOOGLEFINANCE(A3, ""high"", TODAY()-30, TODAY()), 0, 2))"),2031.0)</f>
        <v>2031</v>
      </c>
      <c r="I3" s="9">
        <f>IFERROR(__xludf.DUMMYFUNCTION("MIN(INDEX(GOOGLEFINANCE(A3, ""low"", TODAY()-30, TODAY()), 0, 2))"),1878.0)</f>
        <v>1878</v>
      </c>
      <c r="J3" s="9">
        <f>IFERROR(__xludf.DUMMYFUNCTION("GOOGLEFINANCE(A3, ""high52"")"),2174.5)</f>
        <v>2174.5</v>
      </c>
      <c r="K3" s="9">
        <f>IFERROR(__xludf.DUMMYFUNCTION("GOOGLEFINANCE(A3, ""low52"")"),1740.5)</f>
        <v>1740.5</v>
      </c>
      <c r="L3" s="9">
        <f t="shared" si="1"/>
        <v>0.1181880892</v>
      </c>
      <c r="M3" s="9">
        <f t="shared" si="2"/>
        <v>0.1016949153</v>
      </c>
      <c r="N3" s="9">
        <f t="shared" si="3"/>
        <v>0.02298427392</v>
      </c>
      <c r="O3" s="9">
        <f t="shared" si="4"/>
        <v>0.2581699346</v>
      </c>
      <c r="P3" s="9">
        <f>IFERROR(__xludf.DUMMYFUNCTION("GOOGLEFINANCE(A3, ""pe"")"),40.08)</f>
        <v>40.08</v>
      </c>
      <c r="Q3" s="9">
        <f>IFERROR(__xludf.DUMMYFUNCTION("IFERROR(GOOGLEFINANCE(A3, ""volume"") / GOOGLEFINANCE(A3, ""volumeavg""), 0)"),0.0)</f>
        <v>0</v>
      </c>
      <c r="R3" s="9">
        <f>IFERROR(__xludf.DUMMYFUNCTION("AVERAGE(INDEX(GOOGLEFINANCE(A3, ""price"", TODAY()-30, TODAY()), 0, 2))"),1937.8130434782609)</f>
        <v>1937.813043</v>
      </c>
      <c r="S3" s="9">
        <f>IFERROR(__xludf.DUMMYFUNCTION("AVERAGE(INDEX(GOOGLEFINANCE(A3, ""price"", TODAY()-75, TODAY()), 0, 2))"),1892.445283018868)</f>
        <v>1892.445283</v>
      </c>
      <c r="T3" s="9">
        <f>IFERROR(__xludf.DUMMYFUNCTION("AVERAGE(INDEX(GOOGLEFINANCE(A3, ""price"", TODAY()-300, TODAY()), 0, 2))"),1952.1539603960384)</f>
        <v>1952.15396</v>
      </c>
      <c r="U3" s="9">
        <f t="shared" si="5"/>
        <v>-0.01048245781</v>
      </c>
      <c r="V3" s="15">
        <f>IFERROR(__xludf.DUMMYFUNCTION("LET(hist, GOOGLEFINANCE(A3, ""price"", TODAY()-30, TODAY()), prices, QUERY(hist, ""select Col2 offset 1"", 0), count, ROWS(prices), IF(count&lt;15, NA(), LET(changes, MAP(SEQUENCE(count-1), LAMBDA(i, INDEX(prices, i+1) - INDEX(prices, i))), gains, MAP(change"&amp;"s, LAMBDA(c, MAX(c, 0))), losses, MAP(changes, LAMBDA(c, MAX(-c, 0))), avg_gain, AVERAGE(CHOOSEROWS(gains, SEQUENCE(14, 1, count-14))), avg_loss, AVERAGE(CHOOSEROWS(losses, SEQUENCE(14, 1, count-14))), rs, IFERROR(avg_gain / avg_loss, 0), IF(avg_loss=0, 1"&amp;"00, 100 - (100 / (1 + rs))))))"),52.91909924937447)</f>
        <v>52.91909925</v>
      </c>
      <c r="W3" s="16" t="str">
        <f>IFERROR(__xludf.DUMMYFUNCTION("IFERROR(GOOGLEFINANCE(A3, ""volume"") / GOOGLEFINANCE(A3, ""volumeavg""), )"),"")</f>
        <v/>
      </c>
      <c r="X3" s="9">
        <f>IFERROR(__xludf.DUMMYFUNCTION("B3 * GOOGLEFINANCE(A3, ""volume"")"),2.08454435475E10)</f>
        <v>20845443548</v>
      </c>
      <c r="Y3" s="9">
        <f>IFERROR(__xludf.DUMMYFUNCTION("IFERROR(((B3 - GOOGLEFINANCE(A3, ""priceopen"")) / GOOGLEFINANCE(A3, ""priceopen"")) * GOOGLEFINANCE(A3, ""volume""), 0)"),50693.33401446138)</f>
        <v>50693.33401</v>
      </c>
    </row>
    <row r="4">
      <c r="A4" s="4" t="s">
        <v>49</v>
      </c>
      <c r="B4" s="7">
        <f>IFERROR(__xludf.DUMMYFUNCTION("GOOGLEFINANCE(A4, ""price"")"),728.0)</f>
        <v>728</v>
      </c>
      <c r="C4" s="7">
        <f>IFERROR(__xludf.DUMMYFUNCTION("GOOGLEFINANCE(A4, ""changepct"")"),-0.14)</f>
        <v>-0.14</v>
      </c>
      <c r="D4" s="9">
        <f>IFERROR(__xludf.DUMMYFUNCTION("GOOGLEFINANCE(A4, ""priceopen"")"),729.0)</f>
        <v>729</v>
      </c>
      <c r="E4" s="9">
        <f>IFERROR(__xludf.DUMMYFUNCTION("GOOGLEFINANCE(A4, ""high"")"),730.65)</f>
        <v>730.65</v>
      </c>
      <c r="F4" s="9">
        <f>IFERROR(__xludf.DUMMYFUNCTION("GOOGLEFINANCE(A4, ""low"")"),722.0)</f>
        <v>722</v>
      </c>
      <c r="G4" s="9">
        <f>IFERROR(__xludf.DUMMYFUNCTION("GOOGLEFINANCE(A4, ""price"")"),728.0)</f>
        <v>728</v>
      </c>
      <c r="H4" s="9">
        <f>IFERROR(__xludf.DUMMYFUNCTION("MAX(INDEX(GOOGLEFINANCE(A4, ""high"", TODAY()-30, TODAY()), 0, 2))"),823.7)</f>
        <v>823.7</v>
      </c>
      <c r="I4" s="9">
        <f>IFERROR(__xludf.DUMMYFUNCTION("MIN(INDEX(GOOGLEFINANCE(A4, ""low"", TODAY()-30, TODAY()), 0, 2))"),722.0)</f>
        <v>722</v>
      </c>
      <c r="J4" s="9">
        <f>IFERROR(__xludf.DUMMYFUNCTION("GOOGLEFINANCE(A4, ""high52"")"),1020.5)</f>
        <v>1020.5</v>
      </c>
      <c r="K4" s="9">
        <f>IFERROR(__xludf.DUMMYFUNCTION("GOOGLEFINANCE(A4, ""low52"")"),722.0)</f>
        <v>722</v>
      </c>
      <c r="L4" s="9">
        <f t="shared" si="1"/>
        <v>0.2866242038</v>
      </c>
      <c r="M4" s="9">
        <f t="shared" si="2"/>
        <v>0.008310249307</v>
      </c>
      <c r="N4" s="9">
        <f t="shared" si="3"/>
        <v>0.01198060942</v>
      </c>
      <c r="O4" s="9">
        <f t="shared" si="4"/>
        <v>0.05899705015</v>
      </c>
      <c r="P4" s="9">
        <f>IFERROR(__xludf.DUMMYFUNCTION("GOOGLEFINANCE(A4, ""pe"")"),14.22)</f>
        <v>14.22</v>
      </c>
      <c r="Q4" s="9">
        <f>IFERROR(__xludf.DUMMYFUNCTION("IFERROR(GOOGLEFINANCE(A4, ""volume"") / GOOGLEFINANCE(A4, ""volumeavg""), 0)"),0.0)</f>
        <v>0</v>
      </c>
      <c r="R4" s="9">
        <f>IFERROR(__xludf.DUMMYFUNCTION("AVERAGE(INDEX(GOOGLEFINANCE(A4, ""price"", TODAY()-30, TODAY()), 0, 2))"),759.2391304347826)</f>
        <v>759.2391304</v>
      </c>
      <c r="S4" s="9">
        <f>IFERROR(__xludf.DUMMYFUNCTION("AVERAGE(INDEX(GOOGLEFINANCE(A4, ""price"", TODAY()-75, TODAY()), 0, 2))"),771.2150943396226)</f>
        <v>771.2150943</v>
      </c>
      <c r="T4" s="9">
        <f>IFERROR(__xludf.DUMMYFUNCTION("AVERAGE(INDEX(GOOGLEFINANCE(A4, ""price"", TODAY()-300, TODAY()), 0, 2))"),866.9517326732669)</f>
        <v>866.9517327</v>
      </c>
      <c r="U4" s="9">
        <f t="shared" si="5"/>
        <v>-0.04114531138</v>
      </c>
      <c r="V4" s="15">
        <f>IFERROR(__xludf.DUMMYFUNCTION("LET(hist, GOOGLEFINANCE(A4, ""price"", TODAY()-30, TODAY()), prices, QUERY(hist, ""select Col2 offset 1"", 0), count, ROWS(prices), IF(count&lt;15, NA(), LET(changes, MAP(SEQUENCE(count-1), LAMBDA(i, INDEX(prices, i+1) - INDEX(prices, i))), gains, MAP(change"&amp;"s, LAMBDA(c, MAX(c, 0))), losses, MAP(changes, LAMBDA(c, MAX(-c, 0))), avg_gain, AVERAGE(CHOOSEROWS(gains, SEQUENCE(14, 1, count-14))), avg_loss, AVERAGE(CHOOSEROWS(losses, SEQUENCE(14, 1, count-14))), rs, IFERROR(avg_gain / avg_loss, 0), IF(avg_loss=0, 1"&amp;"00, 100 - (100 / (1 + rs))))))"),35.972328977709495)</f>
        <v>35.97232898</v>
      </c>
      <c r="W4" s="16" t="str">
        <f>IFERROR(__xludf.DUMMYFUNCTION("IFERROR(GOOGLEFINANCE(A4, ""volume"") / GOOGLEFINANCE(A4, ""volumeavg""), )"),"")</f>
        <v/>
      </c>
      <c r="X4" s="9">
        <f>IFERROR(__xludf.DUMMYFUNCTION("B4 * GOOGLEFINANCE(A4, ""volume"")"),1.9651032856E10)</f>
        <v>19651032856</v>
      </c>
      <c r="Y4" s="9">
        <f>IFERROR(__xludf.DUMMYFUNCTION("IFERROR(((B4 - GOOGLEFINANCE(A4, ""priceopen"")) / GOOGLEFINANCE(A4, ""priceopen"")) * GOOGLEFINANCE(A4, ""volume""), 0)"),-37027.677640603564)</f>
        <v>-37027.67764</v>
      </c>
    </row>
    <row r="5">
      <c r="A5" s="4" t="s">
        <v>52</v>
      </c>
      <c r="B5" s="7">
        <f>IFERROR(__xludf.DUMMYFUNCTION("GOOGLEFINANCE(A5, ""price"")"),1426.1)</f>
        <v>1426.1</v>
      </c>
      <c r="C5" s="7">
        <f>IFERROR(__xludf.DUMMYFUNCTION("GOOGLEFINANCE(A5, ""changepct"")"),-0.24)</f>
        <v>-0.24</v>
      </c>
      <c r="D5" s="9">
        <f>IFERROR(__xludf.DUMMYFUNCTION("GOOGLEFINANCE(A5, ""priceopen"")"),1429.4)</f>
        <v>1429.4</v>
      </c>
      <c r="E5" s="9">
        <f>IFERROR(__xludf.DUMMYFUNCTION("GOOGLEFINANCE(A5, ""high"")"),1435.0)</f>
        <v>1435</v>
      </c>
      <c r="F5" s="9">
        <f>IFERROR(__xludf.DUMMYFUNCTION("GOOGLEFINANCE(A5, ""low"")"),1418.6)</f>
        <v>1418.6</v>
      </c>
      <c r="G5" s="9">
        <f>IFERROR(__xludf.DUMMYFUNCTION("GOOGLEFINANCE(A5, ""price"")"),1426.1)</f>
        <v>1426.1</v>
      </c>
      <c r="H5" s="9">
        <f>IFERROR(__xludf.DUMMYFUNCTION("MAX(INDEX(GOOGLEFINANCE(A5, ""high"", TODAY()-30, TODAY()), 0, 2))"),1480.0)</f>
        <v>1480</v>
      </c>
      <c r="I5" s="9">
        <f>IFERROR(__xludf.DUMMYFUNCTION("MIN(INDEX(GOOGLEFINANCE(A5, ""low"", TODAY()-30, TODAY()), 0, 2))"),1386.3)</f>
        <v>1386.3</v>
      </c>
      <c r="J5" s="9">
        <f>IFERROR(__xludf.DUMMYFUNCTION("GOOGLEFINANCE(A5, ""high52"")"),1480.0)</f>
        <v>1480</v>
      </c>
      <c r="K5" s="9">
        <f>IFERROR(__xludf.DUMMYFUNCTION("GOOGLEFINANCE(A5, ""low52"")"),1187.6)</f>
        <v>1187.6</v>
      </c>
      <c r="L5" s="9">
        <f t="shared" si="1"/>
        <v>0.03641891892</v>
      </c>
      <c r="M5" s="9">
        <f t="shared" si="2"/>
        <v>0.2008251937</v>
      </c>
      <c r="N5" s="9">
        <f t="shared" si="3"/>
        <v>0.01156069364</v>
      </c>
      <c r="O5" s="9">
        <f t="shared" si="4"/>
        <v>0.4247598719</v>
      </c>
      <c r="P5" s="9">
        <f>IFERROR(__xludf.DUMMYFUNCTION("GOOGLEFINANCE(A5, ""pe"")"),18.43)</f>
        <v>18.43</v>
      </c>
      <c r="Q5" s="9">
        <f>IFERROR(__xludf.DUMMYFUNCTION("IFERROR(GOOGLEFINANCE(A5, ""volume"") / GOOGLEFINANCE(A5, ""volumeavg""), 0)"),0.0)</f>
        <v>0</v>
      </c>
      <c r="R5" s="9">
        <f>IFERROR(__xludf.DUMMYFUNCTION("AVERAGE(INDEX(GOOGLEFINANCE(A5, ""price"", TODAY()-30, TODAY()), 0, 2))"),1436.8434782608697)</f>
        <v>1436.843478</v>
      </c>
      <c r="S5" s="9">
        <f>IFERROR(__xludf.DUMMYFUNCTION("AVERAGE(INDEX(GOOGLEFINANCE(A5, ""price"", TODAY()-75, TODAY()), 0, 2))"),1379.2377358490564)</f>
        <v>1379.237736</v>
      </c>
      <c r="T5" s="9">
        <f>IFERROR(__xludf.DUMMYFUNCTION("AVERAGE(INDEX(GOOGLEFINANCE(A5, ""price"", TODAY()-300, TODAY()), 0, 2))"),1351.9519801980196)</f>
        <v>1351.95198</v>
      </c>
      <c r="U5" s="9">
        <f t="shared" si="5"/>
        <v>-0.007477138897</v>
      </c>
      <c r="V5" s="15">
        <f>IFERROR(__xludf.DUMMYFUNCTION("LET(hist, GOOGLEFINANCE(A5, ""price"", TODAY()-30, TODAY()), prices, QUERY(hist, ""select Col2 offset 1"", 0), count, ROWS(prices), IF(count&lt;15, NA(), LET(changes, MAP(SEQUENCE(count-1), LAMBDA(i, INDEX(prices, i+1) - INDEX(prices, i))), gains, MAP(change"&amp;"s, LAMBDA(c, MAX(c, 0))), losses, MAP(changes, LAMBDA(c, MAX(-c, 0))), avg_gain, AVERAGE(CHOOSEROWS(gains, SEQUENCE(14, 1, count-14))), avg_loss, AVERAGE(CHOOSEROWS(losses, SEQUENCE(14, 1, count-14))), rs, IFERROR(avg_gain / avg_loss, 0), IF(avg_loss=0, 1"&amp;"00, 100 - (100 / (1 + rs))))))"),48.929889298893045)</f>
        <v>48.9298893</v>
      </c>
      <c r="W5" s="16" t="str">
        <f>IFERROR(__xludf.DUMMYFUNCTION("IFERROR(GOOGLEFINANCE(A5, ""volume"") / GOOGLEFINANCE(A5, ""volumeavg""), )"),"")</f>
        <v/>
      </c>
      <c r="X5" s="9">
        <f>IFERROR(__xludf.DUMMYFUNCTION("B5 * GOOGLEFINANCE(A5, ""volume"")"),1.16964914313E10)</f>
        <v>11696491431</v>
      </c>
      <c r="Y5" s="9">
        <f>IFERROR(__xludf.DUMMYFUNCTION("IFERROR(((B5 - GOOGLEFINANCE(A5, ""priceopen"")) / GOOGLEFINANCE(A5, ""priceopen"")) * GOOGLEFINANCE(A5, ""volume""), 0)"),-18935.02091786868)</f>
        <v>-18935.02092</v>
      </c>
    </row>
    <row r="6">
      <c r="A6" s="4" t="s">
        <v>58</v>
      </c>
      <c r="B6" s="7">
        <f>IFERROR(__xludf.DUMMYFUNCTION("GOOGLEFINANCE(A6, ""price"")"),1080.5)</f>
        <v>1080.5</v>
      </c>
      <c r="C6" s="7">
        <f>IFERROR(__xludf.DUMMYFUNCTION("GOOGLEFINANCE(A6, ""changepct"")"),1.36)</f>
        <v>1.36</v>
      </c>
      <c r="D6" s="9">
        <f>IFERROR(__xludf.DUMMYFUNCTION("GOOGLEFINANCE(A6, ""priceopen"")"),1066.0)</f>
        <v>1066</v>
      </c>
      <c r="E6" s="9">
        <f>IFERROR(__xludf.DUMMYFUNCTION("GOOGLEFINANCE(A6, ""high"")"),1085.5)</f>
        <v>1085.5</v>
      </c>
      <c r="F6" s="9">
        <f>IFERROR(__xludf.DUMMYFUNCTION("GOOGLEFINANCE(A6, ""low"")"),1066.0)</f>
        <v>1066</v>
      </c>
      <c r="G6" s="9">
        <f>IFERROR(__xludf.DUMMYFUNCTION("GOOGLEFINANCE(A6, ""price"")"),1080.5)</f>
        <v>1080.5</v>
      </c>
      <c r="H6" s="9">
        <f>IFERROR(__xludf.DUMMYFUNCTION("MAX(INDEX(GOOGLEFINANCE(A6, ""high"", TODAY()-30, TODAY()), 0, 2))"),1124.5)</f>
        <v>1124.5</v>
      </c>
      <c r="I6" s="9">
        <f>IFERROR(__xludf.DUMMYFUNCTION("MIN(INDEX(GOOGLEFINANCE(A6, ""low"", TODAY()-30, TODAY()), 0, 2))"),1000.8)</f>
        <v>1000.8</v>
      </c>
      <c r="J6" s="9">
        <f>IFERROR(__xludf.DUMMYFUNCTION("GOOGLEFINANCE(A6, ""high52"")"),1234.7)</f>
        <v>1234.7</v>
      </c>
      <c r="K6" s="9">
        <f>IFERROR(__xludf.DUMMYFUNCTION("GOOGLEFINANCE(A6, ""low52"")"),798.5)</f>
        <v>798.5</v>
      </c>
      <c r="L6" s="9">
        <f t="shared" si="1"/>
        <v>0.1248886369</v>
      </c>
      <c r="M6" s="9">
        <f t="shared" si="2"/>
        <v>0.3531621791</v>
      </c>
      <c r="N6" s="9">
        <f t="shared" si="3"/>
        <v>0.01829268293</v>
      </c>
      <c r="O6" s="9">
        <f t="shared" si="4"/>
        <v>0.6443007276</v>
      </c>
      <c r="P6" s="9">
        <f>IFERROR(__xludf.DUMMYFUNCTION("GOOGLEFINANCE(A6, ""pe"")"),11.58)</f>
        <v>11.58</v>
      </c>
      <c r="Q6" s="9">
        <f>IFERROR(__xludf.DUMMYFUNCTION("IFERROR(GOOGLEFINANCE(A6, ""volume"") / GOOGLEFINANCE(A6, ""volumeavg""), 0)"),0.0)</f>
        <v>0</v>
      </c>
      <c r="R6" s="9">
        <f>IFERROR(__xludf.DUMMYFUNCTION("AVERAGE(INDEX(GOOGLEFINANCE(A6, ""price"", TODAY()-30, TODAY()), 0, 2))"),1041.7)</f>
        <v>1041.7</v>
      </c>
      <c r="S6" s="9">
        <f>IFERROR(__xludf.DUMMYFUNCTION("AVERAGE(INDEX(GOOGLEFINANCE(A6, ""price"", TODAY()-75, TODAY()), 0, 2))"),1026.520754716981)</f>
        <v>1026.520755</v>
      </c>
      <c r="T6" s="9">
        <f>IFERROR(__xludf.DUMMYFUNCTION("AVERAGE(INDEX(GOOGLEFINANCE(A6, ""price"", TODAY()-300, TODAY()), 0, 2))"),1028.7346534653468)</f>
        <v>1028.734653</v>
      </c>
      <c r="U6" s="9">
        <f t="shared" si="5"/>
        <v>0.0372468081</v>
      </c>
      <c r="V6" s="15">
        <f>IFERROR(__xludf.DUMMYFUNCTION("LET(hist, GOOGLEFINANCE(A6, ""price"", TODAY()-30, TODAY()), prices, QUERY(hist, ""select Col2 offset 1"", 0), count, ROWS(prices), IF(count&lt;15, NA(), LET(changes, MAP(SEQUENCE(count-1), LAMBDA(i, INDEX(prices, i+1) - INDEX(prices, i))), gains, MAP(change"&amp;"s, LAMBDA(c, MAX(c, 0))), losses, MAP(changes, LAMBDA(c, MAX(-c, 0))), avg_gain, AVERAGE(CHOOSEROWS(gains, SEQUENCE(14, 1, count-14))), avg_loss, AVERAGE(CHOOSEROWS(losses, SEQUENCE(14, 1, count-14))), rs, IFERROR(avg_gain / avg_loss, 0), IF(avg_loss=0, 1"&amp;"00, 100 - (100 / (1 + rs))))))"),72.94973544973544)</f>
        <v>72.94973545</v>
      </c>
      <c r="W6" s="16" t="str">
        <f>IFERROR(__xludf.DUMMYFUNCTION("IFERROR(GOOGLEFINANCE(A6, ""volume"") / GOOGLEFINANCE(A6, ""volumeavg""), )"),"")</f>
        <v/>
      </c>
      <c r="X6" s="9">
        <f>IFERROR(__xludf.DUMMYFUNCTION("B6 * GOOGLEFINANCE(A6, ""volume"")"),1.9096672721E10)</f>
        <v>19096672721</v>
      </c>
      <c r="Y6" s="9">
        <f>IFERROR(__xludf.DUMMYFUNCTION("IFERROR(((B6 - GOOGLEFINANCE(A6, ""priceopen"")) / GOOGLEFINANCE(A6, ""priceopen"")) * GOOGLEFINANCE(A6, ""volume""), 0)"),240405.13039399625)</f>
        <v>240405.1304</v>
      </c>
    </row>
    <row r="7">
      <c r="A7" s="4" t="s">
        <v>62</v>
      </c>
      <c r="B7" s="7">
        <f>IFERROR(__xludf.DUMMYFUNCTION("GOOGLEFINANCE(A7, ""price"")"),2339.0)</f>
        <v>2339</v>
      </c>
      <c r="C7" s="7">
        <f>IFERROR(__xludf.DUMMYFUNCTION("GOOGLEFINANCE(A7, ""changepct"")"),-4.36)</f>
        <v>-4.36</v>
      </c>
      <c r="D7" s="9">
        <f>IFERROR(__xludf.DUMMYFUNCTION("GOOGLEFINANCE(A7, ""priceopen"")"),2445.7)</f>
        <v>2445.7</v>
      </c>
      <c r="E7" s="9">
        <f>IFERROR(__xludf.DUMMYFUNCTION("GOOGLEFINANCE(A7, ""high"")"),2445.8)</f>
        <v>2445.8</v>
      </c>
      <c r="F7" s="9">
        <f>IFERROR(__xludf.DUMMYFUNCTION("GOOGLEFINANCE(A7, ""low"")"),2300.1)</f>
        <v>2300.1</v>
      </c>
      <c r="G7" s="9">
        <f>IFERROR(__xludf.DUMMYFUNCTION("GOOGLEFINANCE(A7, ""price"")"),2339.0)</f>
        <v>2339</v>
      </c>
      <c r="H7" s="9">
        <f>IFERROR(__xludf.DUMMYFUNCTION("MAX(INDEX(GOOGLEFINANCE(A7, ""high"", TODAY()-30, TODAY()), 0, 2))"),2495.0)</f>
        <v>2495</v>
      </c>
      <c r="I7" s="9">
        <f>IFERROR(__xludf.DUMMYFUNCTION("MIN(INDEX(GOOGLEFINANCE(A7, ""low"", TODAY()-30, TODAY()), 0, 2))"),2065.1)</f>
        <v>2065.1</v>
      </c>
      <c r="J7" s="9">
        <f>IFERROR(__xludf.DUMMYFUNCTION("GOOGLEFINANCE(A7, ""high52"")"),3350.0)</f>
        <v>3350</v>
      </c>
      <c r="K7" s="9">
        <f>IFERROR(__xludf.DUMMYFUNCTION("GOOGLEFINANCE(A7, ""low52"")"),1976.8)</f>
        <v>1976.8</v>
      </c>
      <c r="L7" s="9">
        <f t="shared" si="1"/>
        <v>0.3017910448</v>
      </c>
      <c r="M7" s="9">
        <f t="shared" si="2"/>
        <v>0.1832254148</v>
      </c>
      <c r="N7" s="9">
        <f t="shared" si="3"/>
        <v>0.06334507195</v>
      </c>
      <c r="O7" s="9">
        <f t="shared" si="4"/>
        <v>0.6371249128</v>
      </c>
      <c r="P7" s="9">
        <f>IFERROR(__xludf.DUMMYFUNCTION("GOOGLEFINANCE(A7, ""pe"")"),16.99)</f>
        <v>16.99</v>
      </c>
      <c r="Q7" s="9">
        <f>IFERROR(__xludf.DUMMYFUNCTION("IFERROR(GOOGLEFINANCE(A7, ""volume"") / GOOGLEFINANCE(A7, ""volumeavg""), 0)"),0.0)</f>
        <v>0</v>
      </c>
      <c r="R7" s="9">
        <f>IFERROR(__xludf.DUMMYFUNCTION("AVERAGE(INDEX(GOOGLEFINANCE(A7, ""price"", TODAY()-30, TODAY()), 0, 2))"),2328.265217391304)</f>
        <v>2328.265217</v>
      </c>
      <c r="S7" s="9">
        <f>IFERROR(__xludf.DUMMYFUNCTION("AVERAGE(INDEX(GOOGLEFINANCE(A7, ""price"", TODAY()-75, TODAY()), 0, 2))"),2224.432075471698)</f>
        <v>2224.432075</v>
      </c>
      <c r="T7" s="9">
        <f>IFERROR(__xludf.DUMMYFUNCTION("AVERAGE(INDEX(GOOGLEFINANCE(A7, ""price"", TODAY()-300, TODAY()), 0, 2))"),2673.922277227723)</f>
        <v>2673.922277</v>
      </c>
      <c r="U7" s="9">
        <f t="shared" si="5"/>
        <v>0.004610635648</v>
      </c>
      <c r="V7" s="15">
        <f>IFERROR(__xludf.DUMMYFUNCTION("LET(hist, GOOGLEFINANCE(A7, ""price"", TODAY()-30, TODAY()), prices, QUERY(hist, ""select Col2 offset 1"", 0), count, ROWS(prices), IF(count&lt;15, NA(), LET(changes, MAP(SEQUENCE(count-1), LAMBDA(i, INDEX(prices, i+1) - INDEX(prices, i))), gains, MAP(change"&amp;"s, LAMBDA(c, MAX(c, 0))), losses, MAP(changes, LAMBDA(c, MAX(-c, 0))), avg_gain, AVERAGE(CHOOSEROWS(gains, SEQUENCE(14, 1, count-14))), avg_loss, AVERAGE(CHOOSEROWS(losses, SEQUENCE(14, 1, count-14))), rs, IFERROR(avg_gain / avg_loss, 0), IF(avg_loss=0, 1"&amp;"00, 100 - (100 / (1 + rs))))))"),57.456017872102755)</f>
        <v>57.45601787</v>
      </c>
      <c r="W7" s="16" t="str">
        <f>IFERROR(__xludf.DUMMYFUNCTION("IFERROR(GOOGLEFINANCE(A7, ""volume"") / GOOGLEFINANCE(A7, ""volumeavg""), )"),"")</f>
        <v/>
      </c>
      <c r="X7" s="9">
        <f>IFERROR(__xludf.DUMMYFUNCTION("B7 * GOOGLEFINANCE(A7, ""volume"")"),1.6425971333E10)</f>
        <v>16425971333</v>
      </c>
      <c r="Y7" s="9">
        <f>IFERROR(__xludf.DUMMYFUNCTION("IFERROR(((B7 - GOOGLEFINANCE(A7, ""priceopen"")) / GOOGLEFINANCE(A7, ""priceopen"")) * GOOGLEFINANCE(A7, ""volume""), 0)"),-306381.17303839343)</f>
        <v>-306381.173</v>
      </c>
    </row>
    <row r="8">
      <c r="A8" s="4" t="s">
        <v>72</v>
      </c>
      <c r="B8" s="7">
        <f>IFERROR(__xludf.DUMMYFUNCTION("GOOGLEFINANCE(A8, ""price"")"),1088.0)</f>
        <v>1088</v>
      </c>
      <c r="C8" s="7">
        <f>IFERROR(__xludf.DUMMYFUNCTION("GOOGLEFINANCE(A8, ""changepct"")"),-0.48)</f>
        <v>-0.48</v>
      </c>
      <c r="D8" s="9">
        <f>IFERROR(__xludf.DUMMYFUNCTION("GOOGLEFINANCE(A8, ""priceopen"")"),1093.0)</f>
        <v>1093</v>
      </c>
      <c r="E8" s="9">
        <f>IFERROR(__xludf.DUMMYFUNCTION("GOOGLEFINANCE(A8, ""high"")"),1094.7)</f>
        <v>1094.7</v>
      </c>
      <c r="F8" s="9">
        <f>IFERROR(__xludf.DUMMYFUNCTION("GOOGLEFINANCE(A8, ""low"")"),1080.0)</f>
        <v>1080</v>
      </c>
      <c r="G8" s="9">
        <f>IFERROR(__xludf.DUMMYFUNCTION("GOOGLEFINANCE(A8, ""price"")"),1088.0)</f>
        <v>1088</v>
      </c>
      <c r="H8" s="9">
        <f>IFERROR(__xludf.DUMMYFUNCTION("MAX(INDEX(GOOGLEFINANCE(A8, ""high"", TODAY()-30, TODAY()), 0, 2))"),1176.4)</f>
        <v>1176.4</v>
      </c>
      <c r="I8" s="9">
        <f>IFERROR(__xludf.DUMMYFUNCTION("MIN(INDEX(GOOGLEFINANCE(A8, ""low"", TODAY()-30, TODAY()), 0, 2))"),995.2)</f>
        <v>995.2</v>
      </c>
      <c r="J8" s="9">
        <f>IFERROR(__xludf.DUMMYFUNCTION("GOOGLEFINANCE(A8, ""high52"")"),1176.4)</f>
        <v>1176.4</v>
      </c>
      <c r="K8" s="9">
        <f>IFERROR(__xludf.DUMMYFUNCTION("GOOGLEFINANCE(A8, ""low52"")"),787.9)</f>
        <v>787.9</v>
      </c>
      <c r="L8" s="9">
        <f t="shared" si="1"/>
        <v>0.07514450867</v>
      </c>
      <c r="M8" s="9">
        <f t="shared" si="2"/>
        <v>0.3808858992</v>
      </c>
      <c r="N8" s="9">
        <f t="shared" si="3"/>
        <v>0.01361111111</v>
      </c>
      <c r="O8" s="9">
        <f t="shared" si="4"/>
        <v>0.5121412804</v>
      </c>
      <c r="P8" s="9">
        <f>IFERROR(__xludf.DUMMYFUNCTION("GOOGLEFINANCE(A8, ""pe"")"),33.39)</f>
        <v>33.39</v>
      </c>
      <c r="Q8" s="9">
        <f>IFERROR(__xludf.DUMMYFUNCTION("IFERROR(GOOGLEFINANCE(A8, ""volume"") / GOOGLEFINANCE(A8, ""volumeavg""), 0)"),0.0)</f>
        <v>0</v>
      </c>
      <c r="R8" s="9">
        <f>IFERROR(__xludf.DUMMYFUNCTION("AVERAGE(INDEX(GOOGLEFINANCE(A8, ""price"", TODAY()-30, TODAY()), 0, 2))"),1074.3304347826086)</f>
        <v>1074.330435</v>
      </c>
      <c r="S8" s="9">
        <f>IFERROR(__xludf.DUMMYFUNCTION("AVERAGE(INDEX(GOOGLEFINANCE(A8, ""price"", TODAY()-75, TODAY()), 0, 2))"),1005.6849056603776)</f>
        <v>1005.684906</v>
      </c>
      <c r="T8" s="9">
        <f>IFERROR(__xludf.DUMMYFUNCTION("AVERAGE(INDEX(GOOGLEFINANCE(A8, ""price"", TODAY()-300, TODAY()), 0, 2))"),977.277475247524)</f>
        <v>977.2774752</v>
      </c>
      <c r="U8" s="9">
        <f t="shared" si="5"/>
        <v>0.01272379966</v>
      </c>
      <c r="V8" s="15">
        <f>IFERROR(__xludf.DUMMYFUNCTION("LET(hist, GOOGLEFINANCE(A8, ""price"", TODAY()-30, TODAY()), prices, QUERY(hist, ""select Col2 offset 1"", 0), count, ROWS(prices), IF(count&lt;15, NA(), LET(changes, MAP(SEQUENCE(count-1), LAMBDA(i, INDEX(prices, i+1) - INDEX(prices, i))), gains, MAP(change"&amp;"s, LAMBDA(c, MAX(c, 0))), losses, MAP(changes, LAMBDA(c, MAX(-c, 0))), avg_gain, AVERAGE(CHOOSEROWS(gains, SEQUENCE(14, 1, count-14))), avg_loss, AVERAGE(CHOOSEROWS(losses, SEQUENCE(14, 1, count-14))), rs, IFERROR(avg_gain / avg_loss, 0), IF(avg_loss=0, 1"&amp;"00, 100 - (100 / (1 + rs))))))"),59.13978494623657)</f>
        <v>59.13978495</v>
      </c>
      <c r="W8" s="16" t="str">
        <f>IFERROR(__xludf.DUMMYFUNCTION("IFERROR(GOOGLEFINANCE(A8, ""volume"") / GOOGLEFINANCE(A8, ""volumeavg""), )"),"")</f>
        <v/>
      </c>
      <c r="X8" s="9">
        <f>IFERROR(__xludf.DUMMYFUNCTION("B8 * GOOGLEFINANCE(A8, ""volume"")"),7.675668096E9)</f>
        <v>7675668096</v>
      </c>
      <c r="Y8" s="9">
        <f>IFERROR(__xludf.DUMMYFUNCTION("IFERROR(((B8 - GOOGLEFINANCE(A8, ""priceopen"")) / GOOGLEFINANCE(A8, ""priceopen"")) * GOOGLEFINANCE(A8, ""volume""), 0)"),-32272.8362305581)</f>
        <v>-32272.83623</v>
      </c>
    </row>
    <row r="9">
      <c r="A9" s="4" t="s">
        <v>79</v>
      </c>
      <c r="B9" s="7">
        <f>IFERROR(__xludf.DUMMYFUNCTION("GOOGLEFINANCE(A9, ""price"")"),4023.0)</f>
        <v>4023</v>
      </c>
      <c r="C9" s="7">
        <f>IFERROR(__xludf.DUMMYFUNCTION("GOOGLEFINANCE(A9, ""changepct"")"),-0.36)</f>
        <v>-0.36</v>
      </c>
      <c r="D9" s="9">
        <f>IFERROR(__xludf.DUMMYFUNCTION("GOOGLEFINANCE(A9, ""priceopen"")"),4038.0)</f>
        <v>4038</v>
      </c>
      <c r="E9" s="9">
        <f>IFERROR(__xludf.DUMMYFUNCTION("GOOGLEFINANCE(A9, ""high"")"),4044.1)</f>
        <v>4044.1</v>
      </c>
      <c r="F9" s="9">
        <f>IFERROR(__xludf.DUMMYFUNCTION("GOOGLEFINANCE(A9, ""low"")"),3990.0)</f>
        <v>3990</v>
      </c>
      <c r="G9" s="9">
        <f>IFERROR(__xludf.DUMMYFUNCTION("GOOGLEFINANCE(A9, ""price"")"),4023.0)</f>
        <v>4023</v>
      </c>
      <c r="H9" s="9">
        <f>IFERROR(__xludf.DUMMYFUNCTION("MAX(INDEX(GOOGLEFINANCE(A9, ""high"", TODAY()-30, TODAY()), 0, 2))"),4080.0)</f>
        <v>4080</v>
      </c>
      <c r="I9" s="9">
        <f>IFERROR(__xludf.DUMMYFUNCTION("MIN(INDEX(GOOGLEFINANCE(A9, ""low"", TODAY()-30, TODAY()), 0, 2))"),3720.0)</f>
        <v>3720</v>
      </c>
      <c r="J9" s="9">
        <f>IFERROR(__xludf.DUMMYFUNCTION("GOOGLEFINANCE(A9, ""high52"")"),4440.0)</f>
        <v>4440</v>
      </c>
      <c r="K9" s="9">
        <f>IFERROR(__xludf.DUMMYFUNCTION("GOOGLEFINANCE(A9, ""low52"")"),3288.1)</f>
        <v>3288.1</v>
      </c>
      <c r="L9" s="9">
        <f t="shared" si="1"/>
        <v>0.09391891892</v>
      </c>
      <c r="M9" s="9">
        <f t="shared" si="2"/>
        <v>0.2235029348</v>
      </c>
      <c r="N9" s="9">
        <f t="shared" si="3"/>
        <v>0.01355889724</v>
      </c>
      <c r="O9" s="9">
        <f t="shared" si="4"/>
        <v>0.8416666667</v>
      </c>
      <c r="P9" s="9">
        <f>IFERROR(__xludf.DUMMYFUNCTION("GOOGLEFINANCE(A9, ""pe"")"),33.37)</f>
        <v>33.37</v>
      </c>
      <c r="Q9" s="9">
        <f>IFERROR(__xludf.DUMMYFUNCTION("IFERROR(GOOGLEFINANCE(A9, ""volume"") / GOOGLEFINANCE(A9, ""volumeavg""), 0)"),0.0)</f>
        <v>0</v>
      </c>
      <c r="R9" s="9">
        <f>IFERROR(__xludf.DUMMYFUNCTION("AVERAGE(INDEX(GOOGLEFINANCE(A9, ""price"", TODAY()-30, TODAY()), 0, 2))"),3913.269565217391)</f>
        <v>3913.269565</v>
      </c>
      <c r="S9" s="9">
        <f>IFERROR(__xludf.DUMMYFUNCTION("AVERAGE(INDEX(GOOGLEFINANCE(A9, ""price"", TODAY()-75, TODAY()), 0, 2))"),3991.1867924528296)</f>
        <v>3991.186792</v>
      </c>
      <c r="T9" s="9">
        <f>IFERROR(__xludf.DUMMYFUNCTION("AVERAGE(INDEX(GOOGLEFINANCE(A9, ""price"", TODAY()-300, TODAY()), 0, 2))"),3974.428217821782)</f>
        <v>3974.428218</v>
      </c>
      <c r="U9" s="9">
        <f t="shared" si="5"/>
        <v>0.0280406021</v>
      </c>
      <c r="V9" s="15">
        <f>IFERROR(__xludf.DUMMYFUNCTION("LET(hist, GOOGLEFINANCE(A9, ""price"", TODAY()-30, TODAY()), prices, QUERY(hist, ""select Col2 offset 1"", 0), count, ROWS(prices), IF(count&lt;15, NA(), LET(changes, MAP(SEQUENCE(count-1), LAMBDA(i, INDEX(prices, i+1) - INDEX(prices, i))), gains, MAP(change"&amp;"s, LAMBDA(c, MAX(c, 0))), losses, MAP(changes, LAMBDA(c, MAX(-c, 0))), avg_gain, AVERAGE(CHOOSEROWS(gains, SEQUENCE(14, 1, count-14))), avg_loss, AVERAGE(CHOOSEROWS(losses, SEQUENCE(14, 1, count-14))), rs, IFERROR(avg_gain / avg_loss, 0), IF(avg_loss=0, 1"&amp;"00, 100 - (100 / (1 + rs))))))"),75.70009033423662)</f>
        <v>75.70009033</v>
      </c>
      <c r="W9" s="16" t="str">
        <f>IFERROR(__xludf.DUMMYFUNCTION("IFERROR(GOOGLEFINANCE(A9, ""volume"") / GOOGLEFINANCE(A9, ""volumeavg""), )"),"")</f>
        <v/>
      </c>
      <c r="X9" s="9">
        <f>IFERROR(__xludf.DUMMYFUNCTION("B9 * GOOGLEFINANCE(A9, ""volume"")"),8.957704329E9)</f>
        <v>8957704329</v>
      </c>
      <c r="Y9" s="9">
        <f>IFERROR(__xludf.DUMMYFUNCTION("IFERROR(((B9 - GOOGLEFINANCE(A9, ""priceopen"")) / GOOGLEFINANCE(A9, ""priceopen"")) * GOOGLEFINANCE(A9, ""volume""), 0)"),-8271.25928677563)</f>
        <v>-8271.259287</v>
      </c>
    </row>
    <row r="10">
      <c r="A10" s="4" t="s">
        <v>85</v>
      </c>
      <c r="B10" s="7">
        <f>IFERROR(__xludf.DUMMYFUNCTION("GOOGLEFINANCE(A10, ""price"")"),416.1)</f>
        <v>416.1</v>
      </c>
      <c r="C10" s="7">
        <f>IFERROR(__xludf.DUMMYFUNCTION("GOOGLEFINANCE(A10, ""changepct"")"),2.49)</f>
        <v>2.49</v>
      </c>
      <c r="D10" s="9">
        <f>IFERROR(__xludf.DUMMYFUNCTION("GOOGLEFINANCE(A10, ""priceopen"")"),409.0)</f>
        <v>409</v>
      </c>
      <c r="E10" s="9">
        <f>IFERROR(__xludf.DUMMYFUNCTION("GOOGLEFINANCE(A10, ""high"")"),417.0)</f>
        <v>417</v>
      </c>
      <c r="F10" s="9">
        <f>IFERROR(__xludf.DUMMYFUNCTION("GOOGLEFINANCE(A10, ""low"")"),404.7)</f>
        <v>404.7</v>
      </c>
      <c r="G10" s="9">
        <f>IFERROR(__xludf.DUMMYFUNCTION("GOOGLEFINANCE(A10, ""price"")"),416.1)</f>
        <v>416.1</v>
      </c>
      <c r="H10" s="9">
        <f>IFERROR(__xludf.DUMMYFUNCTION("MAX(INDEX(GOOGLEFINANCE(A10, ""high"", TODAY()-30, TODAY()), 0, 2))"),447.6)</f>
        <v>447.6</v>
      </c>
      <c r="I10" s="9">
        <f>IFERROR(__xludf.DUMMYFUNCTION("MIN(INDEX(GOOGLEFINANCE(A10, ""low"", TODAY()-30, TODAY()), 0, 2))"),385.9)</f>
        <v>385.9</v>
      </c>
      <c r="J10" s="9">
        <f>IFERROR(__xludf.DUMMYFUNCTION("GOOGLEFINANCE(A10, ""high52"")"),468.48)</f>
        <v>468.48</v>
      </c>
      <c r="K10" s="9">
        <f>IFERROR(__xludf.DUMMYFUNCTION("GOOGLEFINANCE(A10, ""low52"")"),360.75)</f>
        <v>360.75</v>
      </c>
      <c r="L10" s="9">
        <f t="shared" si="1"/>
        <v>0.1118084016</v>
      </c>
      <c r="M10" s="9">
        <f t="shared" si="2"/>
        <v>0.1534303534</v>
      </c>
      <c r="N10" s="9">
        <f t="shared" si="3"/>
        <v>0.03039288362</v>
      </c>
      <c r="O10" s="9">
        <f t="shared" si="4"/>
        <v>0.489465154</v>
      </c>
      <c r="P10" s="9">
        <f>IFERROR(__xludf.DUMMYFUNCTION("GOOGLEFINANCE(A10, ""pe"")"),6.3)</f>
        <v>6.3</v>
      </c>
      <c r="Q10" s="9">
        <f>IFERROR(__xludf.DUMMYFUNCTION("IFERROR(GOOGLEFINANCE(A10, ""volume"") / GOOGLEFINANCE(A10, ""volumeavg""), 0)"),0.0)</f>
        <v>0</v>
      </c>
      <c r="R10" s="9">
        <f>IFERROR(__xludf.DUMMYFUNCTION("AVERAGE(INDEX(GOOGLEFINANCE(A10, ""price"", TODAY()-30, TODAY()), 0, 2))"),419.5586956521739)</f>
        <v>419.5586957</v>
      </c>
      <c r="S10" s="9">
        <f>IFERROR(__xludf.DUMMYFUNCTION("AVERAGE(INDEX(GOOGLEFINANCE(A10, ""price"", TODAY()-75, TODAY()), 0, 2))"),419.57452830188674)</f>
        <v>419.5745283</v>
      </c>
      <c r="T10" s="9">
        <f>IFERROR(__xludf.DUMMYFUNCTION("AVERAGE(INDEX(GOOGLEFINANCE(A10, ""price"", TODAY()-300, TODAY()), 0, 2))"),420.4626732673267)</f>
        <v>420.4626733</v>
      </c>
      <c r="U10" s="9">
        <f t="shared" si="5"/>
        <v>-0.008243651456</v>
      </c>
      <c r="V10" s="15">
        <f>IFERROR(__xludf.DUMMYFUNCTION("LET(hist, GOOGLEFINANCE(A10,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rs))))))"),47.60087241003273)</f>
        <v>47.60087241</v>
      </c>
      <c r="W10" s="16" t="str">
        <f>IFERROR(__xludf.DUMMYFUNCTION("IFERROR(GOOGLEFINANCE(A10, ""volume"") / GOOGLEFINANCE(A10, ""volumeavg""), )"),"")</f>
        <v/>
      </c>
      <c r="X10" s="9">
        <f>IFERROR(__xludf.DUMMYFUNCTION("B10 * GOOGLEFINANCE(A10, ""volume"")"),8.7204382194E9)</f>
        <v>8720438219</v>
      </c>
      <c r="Y10" s="9">
        <f>IFERROR(__xludf.DUMMYFUNCTION("IFERROR(((B10 - GOOGLEFINANCE(A10, ""priceopen"")) / GOOGLEFINANCE(A10, ""priceopen"")) * GOOGLEFINANCE(A10, ""volume""), 0)"),363810.83960880316)</f>
        <v>363810.8396</v>
      </c>
    </row>
    <row r="11">
      <c r="A11" s="4" t="s">
        <v>87</v>
      </c>
      <c r="B11" s="7">
        <f>IFERROR(__xludf.DUMMYFUNCTION("GOOGLEFINANCE(A11, ""price"")"),2056.9)</f>
        <v>2056.9</v>
      </c>
      <c r="C11" s="7">
        <f>IFERROR(__xludf.DUMMYFUNCTION("GOOGLEFINANCE(A11, ""changepct"")"),-0.39)</f>
        <v>-0.39</v>
      </c>
      <c r="D11" s="9">
        <f>IFERROR(__xludf.DUMMYFUNCTION("GOOGLEFINANCE(A11, ""priceopen"")"),2065.0)</f>
        <v>2065</v>
      </c>
      <c r="E11" s="9">
        <f>IFERROR(__xludf.DUMMYFUNCTION("GOOGLEFINANCE(A11, ""high"")"),2072.1)</f>
        <v>2072.1</v>
      </c>
      <c r="F11" s="9">
        <f>IFERROR(__xludf.DUMMYFUNCTION("GOOGLEFINANCE(A11, ""low"")"),2050.1)</f>
        <v>2050.1</v>
      </c>
      <c r="G11" s="9">
        <f>IFERROR(__xludf.DUMMYFUNCTION("GOOGLEFINANCE(A11, ""price"")"),2056.9)</f>
        <v>2056.9</v>
      </c>
      <c r="H11" s="9">
        <f>IFERROR(__xludf.DUMMYFUNCTION("MAX(INDEX(GOOGLEFINANCE(A11, ""high"", TODAY()-30, TODAY()), 0, 2))"),2213.0)</f>
        <v>2213</v>
      </c>
      <c r="I11" s="9">
        <f>IFERROR(__xludf.DUMMYFUNCTION("MIN(INDEX(GOOGLEFINANCE(A11, ""low"", TODAY()-30, TODAY()), 0, 2))"),2016.0)</f>
        <v>2016</v>
      </c>
      <c r="J11" s="9">
        <f>IFERROR(__xludf.DUMMYFUNCTION("GOOGLEFINANCE(A11, ""high52"")"),2715.44)</f>
        <v>2715.44</v>
      </c>
      <c r="K11" s="9">
        <f>IFERROR(__xludf.DUMMYFUNCTION("GOOGLEFINANCE(A11, ""low52"")"),2016.0)</f>
        <v>2016</v>
      </c>
      <c r="L11" s="9">
        <f t="shared" si="1"/>
        <v>0.2425168665</v>
      </c>
      <c r="M11" s="9">
        <f t="shared" si="2"/>
        <v>0.02028769841</v>
      </c>
      <c r="N11" s="9">
        <f t="shared" si="3"/>
        <v>0.01073118384</v>
      </c>
      <c r="O11" s="9">
        <f t="shared" si="4"/>
        <v>0.2076142132</v>
      </c>
      <c r="P11" s="9">
        <f>IFERROR(__xludf.DUMMYFUNCTION("GOOGLEFINANCE(A11, ""pe"")"),32.31)</f>
        <v>32.31</v>
      </c>
      <c r="Q11" s="9">
        <f>IFERROR(__xludf.DUMMYFUNCTION("IFERROR(GOOGLEFINANCE(A11, ""volume"") / GOOGLEFINANCE(A11, ""volumeavg""), 0)"),0.0)</f>
        <v>0</v>
      </c>
      <c r="R11" s="9">
        <f>IFERROR(__xludf.DUMMYFUNCTION("AVERAGE(INDEX(GOOGLEFINANCE(A11, ""price"", TODAY()-30, TODAY()), 0, 2))"),2111.908695652174)</f>
        <v>2111.908696</v>
      </c>
      <c r="S11" s="9">
        <f>IFERROR(__xludf.DUMMYFUNCTION("AVERAGE(INDEX(GOOGLEFINANCE(A11, ""price"", TODAY()-75, TODAY()), 0, 2))"),2137.1056603773586)</f>
        <v>2137.10566</v>
      </c>
      <c r="T11" s="9">
        <f>IFERROR(__xludf.DUMMYFUNCTION("AVERAGE(INDEX(GOOGLEFINANCE(A11, ""price"", TODAY()-300, TODAY()), 0, 2))"),2272.6490099009893)</f>
        <v>2272.64901</v>
      </c>
      <c r="U11" s="9">
        <f t="shared" si="5"/>
        <v>-0.02604690997</v>
      </c>
      <c r="V11" s="15">
        <f>IFERROR(__xludf.DUMMYFUNCTION("LET(hist, GOOGLEFINANCE(A11,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rs))))))"),39.133304003519555)</f>
        <v>39.133304</v>
      </c>
      <c r="W11" s="16" t="str">
        <f>IFERROR(__xludf.DUMMYFUNCTION("IFERROR(GOOGLEFINANCE(A11, ""volume"") / GOOGLEFINANCE(A11, ""volumeavg""), )"),"")</f>
        <v/>
      </c>
      <c r="X11" s="9">
        <f>IFERROR(__xludf.DUMMYFUNCTION("B11 * GOOGLEFINANCE(A11, ""volume"")"),2.0476912587E9)</f>
        <v>2047691259</v>
      </c>
      <c r="Y11" s="9">
        <f>IFERROR(__xludf.DUMMYFUNCTION("IFERROR(((B11 - GOOGLEFINANCE(A11, ""priceopen"")) / GOOGLEFINANCE(A11, ""priceopen"")) * GOOGLEFINANCE(A11, ""volume""), 0)"),-3904.957046004799)</f>
        <v>-3904.957046</v>
      </c>
    </row>
    <row r="12">
      <c r="A12" s="4" t="s">
        <v>92</v>
      </c>
      <c r="B12" s="7">
        <f>IFERROR(__xludf.DUMMYFUNCTION("GOOGLEFINANCE(A12, ""price"")"),1936.0)</f>
        <v>1936</v>
      </c>
      <c r="C12" s="7">
        <f>IFERROR(__xludf.DUMMYFUNCTION("GOOGLEFINANCE(A12, ""changepct"")"),-0.31)</f>
        <v>-0.31</v>
      </c>
      <c r="D12" s="9">
        <f>IFERROR(__xludf.DUMMYFUNCTION("GOOGLEFINANCE(A12, ""priceopen"")"),1942.0)</f>
        <v>1942</v>
      </c>
      <c r="E12" s="9">
        <f>IFERROR(__xludf.DUMMYFUNCTION("GOOGLEFINANCE(A12, ""high"")"),1945.7)</f>
        <v>1945.7</v>
      </c>
      <c r="F12" s="9">
        <f>IFERROR(__xludf.DUMMYFUNCTION("GOOGLEFINANCE(A12, ""low"")"),1926.8)</f>
        <v>1926.8</v>
      </c>
      <c r="G12" s="9">
        <f>IFERROR(__xludf.DUMMYFUNCTION("GOOGLEFINANCE(A12, ""price"")"),1936.0)</f>
        <v>1936</v>
      </c>
      <c r="H12" s="9">
        <f>IFERROR(__xludf.DUMMYFUNCTION("MAX(INDEX(GOOGLEFINANCE(A12, ""high"", TODAY()-30, TODAY()), 0, 2))"),2046.9)</f>
        <v>2046.9</v>
      </c>
      <c r="I12" s="9">
        <f>IFERROR(__xludf.DUMMYFUNCTION("MIN(INDEX(GOOGLEFINANCE(A12, ""low"", TODAY()-30, TODAY()), 0, 2))"),1910.0)</f>
        <v>1910</v>
      </c>
      <c r="J12" s="9">
        <f>IFERROR(__xludf.DUMMYFUNCTION("GOOGLEFINANCE(A12, ""high52"")"),2046.9)</f>
        <v>2046.9</v>
      </c>
      <c r="K12" s="9">
        <f>IFERROR(__xludf.DUMMYFUNCTION("GOOGLEFINANCE(A12, ""low52"")"),1548.0)</f>
        <v>1548</v>
      </c>
      <c r="L12" s="9">
        <f t="shared" si="1"/>
        <v>0.05417949094</v>
      </c>
      <c r="M12" s="9">
        <f t="shared" si="2"/>
        <v>0.2506459948</v>
      </c>
      <c r="N12" s="9">
        <f t="shared" si="3"/>
        <v>0.009809009757</v>
      </c>
      <c r="O12" s="9">
        <f t="shared" si="4"/>
        <v>0.1899196494</v>
      </c>
      <c r="P12" s="9">
        <f>IFERROR(__xludf.DUMMYFUNCTION("GOOGLEFINANCE(A12, ""pe"")"),38.38)</f>
        <v>38.38</v>
      </c>
      <c r="Q12" s="9">
        <f>IFERROR(__xludf.DUMMYFUNCTION("IFERROR(GOOGLEFINANCE(A12, ""volume"") / GOOGLEFINANCE(A12, ""volumeavg""), 0)"),0.0)</f>
        <v>0</v>
      </c>
      <c r="R12" s="9">
        <f>IFERROR(__xludf.DUMMYFUNCTION("AVERAGE(INDEX(GOOGLEFINANCE(A12, ""price"", TODAY()-30, TODAY()), 0, 2))"),1955.6695652173914)</f>
        <v>1955.669565</v>
      </c>
      <c r="S12" s="9">
        <f>IFERROR(__xludf.DUMMYFUNCTION("AVERAGE(INDEX(GOOGLEFINANCE(A12, ""price"", TODAY()-75, TODAY()), 0, 2))"),1890.3603773584905)</f>
        <v>1890.360377</v>
      </c>
      <c r="T12" s="9">
        <f>IFERROR(__xludf.DUMMYFUNCTION("AVERAGE(INDEX(GOOGLEFINANCE(A12, ""price"", TODAY()-300, TODAY()), 0, 2))"),1783.7094059405943)</f>
        <v>1783.709406</v>
      </c>
      <c r="U12" s="9">
        <f t="shared" si="5"/>
        <v>-0.01005771403</v>
      </c>
      <c r="V12" s="15">
        <f>IFERROR(__xludf.DUMMYFUNCTION("LET(hist, GOOGLEFINANCE(A12,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rs))))))"),46.81528662420382)</f>
        <v>46.81528662</v>
      </c>
      <c r="W12" s="16" t="str">
        <f>IFERROR(__xludf.DUMMYFUNCTION("IFERROR(GOOGLEFINANCE(A12, ""volume"") / GOOGLEFINANCE(A12, ""volumeavg""), )"),"")</f>
        <v/>
      </c>
      <c r="X12" s="9">
        <f>IFERROR(__xludf.DUMMYFUNCTION("B12 * GOOGLEFINANCE(A12, ""volume"")"),2.974437488E9)</f>
        <v>2974437488</v>
      </c>
      <c r="Y12" s="9">
        <f>IFERROR(__xludf.DUMMYFUNCTION("IFERROR(((B12 - GOOGLEFINANCE(A12, ""priceopen"")) / GOOGLEFINANCE(A12, ""priceopen"")) * GOOGLEFINANCE(A12, ""volume""), 0)"),-4746.806385169928)</f>
        <v>-4746.806385</v>
      </c>
    </row>
    <row r="13">
      <c r="A13" s="4" t="s">
        <v>98</v>
      </c>
      <c r="B13" s="7">
        <f>IFERROR(__xludf.DUMMYFUNCTION("GOOGLEFINANCE(A13, ""price"")"),1171.8)</f>
        <v>1171.8</v>
      </c>
      <c r="C13" s="7">
        <f>IFERROR(__xludf.DUMMYFUNCTION("GOOGLEFINANCE(A13, ""changepct"")"),-1.59)</f>
        <v>-1.59</v>
      </c>
      <c r="D13" s="9">
        <f>IFERROR(__xludf.DUMMYFUNCTION("GOOGLEFINANCE(A13, ""priceopen"")"),1185.6)</f>
        <v>1185.6</v>
      </c>
      <c r="E13" s="9">
        <f>IFERROR(__xludf.DUMMYFUNCTION("GOOGLEFINANCE(A13, ""high"")"),1190.4)</f>
        <v>1190.4</v>
      </c>
      <c r="F13" s="9">
        <f>IFERROR(__xludf.DUMMYFUNCTION("GOOGLEFINANCE(A13, ""low"")"),1163.3)</f>
        <v>1163.3</v>
      </c>
      <c r="G13" s="9">
        <f>IFERROR(__xludf.DUMMYFUNCTION("GOOGLEFINANCE(A13, ""price"")"),1171.8)</f>
        <v>1171.8</v>
      </c>
      <c r="H13" s="9">
        <f>IFERROR(__xludf.DUMMYFUNCTION("MAX(INDEX(GOOGLEFINANCE(A13, ""high"", TODAY()-30, TODAY()), 0, 2))"),1195.0)</f>
        <v>1195</v>
      </c>
      <c r="I13" s="9">
        <f>IFERROR(__xludf.DUMMYFUNCTION("MIN(INDEX(GOOGLEFINANCE(A13, ""low"", TODAY()-30, TODAY()), 0, 2))"),1013.9)</f>
        <v>1013.9</v>
      </c>
      <c r="J13" s="9">
        <f>IFERROR(__xludf.DUMMYFUNCTION("GOOGLEFINANCE(A13, ""high52"")"),1728.0)</f>
        <v>1728</v>
      </c>
      <c r="K13" s="9">
        <f>IFERROR(__xludf.DUMMYFUNCTION("GOOGLEFINANCE(A13, ""low52"")"),982.4)</f>
        <v>982.4</v>
      </c>
      <c r="L13" s="9">
        <f t="shared" si="1"/>
        <v>0.321875</v>
      </c>
      <c r="M13" s="9">
        <f t="shared" si="2"/>
        <v>0.1927931596</v>
      </c>
      <c r="N13" s="9">
        <f t="shared" si="3"/>
        <v>0.02329579644</v>
      </c>
      <c r="O13" s="9">
        <f t="shared" si="4"/>
        <v>0.8718939812</v>
      </c>
      <c r="P13" s="9">
        <f>IFERROR(__xludf.DUMMYFUNCTION("GOOGLEFINANCE(A13, ""pe"")"),15.83)</f>
        <v>15.83</v>
      </c>
      <c r="Q13" s="9">
        <f>IFERROR(__xludf.DUMMYFUNCTION("IFERROR(GOOGLEFINANCE(A13, ""volume"") / GOOGLEFINANCE(A13, ""volumeavg""), 0)"),0.0)</f>
        <v>0</v>
      </c>
      <c r="R13" s="9">
        <f>IFERROR(__xludf.DUMMYFUNCTION("AVERAGE(INDEX(GOOGLEFINANCE(A13, ""price"", TODAY()-30, TODAY()), 0, 2))"),1121.2521739130434)</f>
        <v>1121.252174</v>
      </c>
      <c r="S13" s="9">
        <f>IFERROR(__xludf.DUMMYFUNCTION("AVERAGE(INDEX(GOOGLEFINANCE(A13, ""price"", TODAY()-75, TODAY()), 0, 2))"),1113.3735849056602)</f>
        <v>1113.373585</v>
      </c>
      <c r="T13" s="9">
        <f>IFERROR(__xludf.DUMMYFUNCTION("AVERAGE(INDEX(GOOGLEFINANCE(A13, ""price"", TODAY()-300, TODAY()), 0, 2))"),1344.1386138613861)</f>
        <v>1344.138614</v>
      </c>
      <c r="U13" s="9">
        <f t="shared" si="5"/>
        <v>0.0450815858</v>
      </c>
      <c r="V13" s="15">
        <f>IFERROR(__xludf.DUMMYFUNCTION("LET(hist, GOOGLEFINANCE(A13,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rs))))))"),74.29218573046428)</f>
        <v>74.29218573</v>
      </c>
      <c r="W13" s="16" t="str">
        <f>IFERROR(__xludf.DUMMYFUNCTION("IFERROR(GOOGLEFINANCE(A13, ""volume"") / GOOGLEFINANCE(A13, ""volumeavg""), )"),"")</f>
        <v/>
      </c>
      <c r="X13" s="9">
        <f>IFERROR(__xludf.DUMMYFUNCTION("B13 * GOOGLEFINANCE(A13, ""volume"")"),8.8233926886E9)</f>
        <v>8823392689</v>
      </c>
      <c r="Y13" s="9">
        <f>IFERROR(__xludf.DUMMYFUNCTION("IFERROR(((B13 - GOOGLEFINANCE(A13, ""priceopen"")) / GOOGLEFINANCE(A13, ""priceopen"")) * GOOGLEFINANCE(A13, ""volume""), 0)"),-87644.16548582968)</f>
        <v>-87644.16549</v>
      </c>
    </row>
    <row r="14">
      <c r="A14" s="4" t="s">
        <v>105</v>
      </c>
      <c r="B14" s="7">
        <f>IFERROR(__xludf.DUMMYFUNCTION("GOOGLEFINANCE(A14, ""price"")"),13901.0)</f>
        <v>13901</v>
      </c>
      <c r="C14" s="7">
        <f>IFERROR(__xludf.DUMMYFUNCTION("GOOGLEFINANCE(A14, ""changepct"")"),-0.64)</f>
        <v>-0.64</v>
      </c>
      <c r="D14" s="9">
        <f>IFERROR(__xludf.DUMMYFUNCTION("GOOGLEFINANCE(A14, ""priceopen"")"),13990.0)</f>
        <v>13990</v>
      </c>
      <c r="E14" s="9">
        <f>IFERROR(__xludf.DUMMYFUNCTION("GOOGLEFINANCE(A14, ""high"")"),14067.0)</f>
        <v>14067</v>
      </c>
      <c r="F14" s="9">
        <f>IFERROR(__xludf.DUMMYFUNCTION("GOOGLEFINANCE(A14, ""low"")"),13875.0)</f>
        <v>13875</v>
      </c>
      <c r="G14" s="9">
        <f>IFERROR(__xludf.DUMMYFUNCTION("GOOGLEFINANCE(A14, ""price"")"),13901.0)</f>
        <v>13901</v>
      </c>
      <c r="H14" s="9">
        <f>IFERROR(__xludf.DUMMYFUNCTION("MAX(INDEX(GOOGLEFINANCE(A14, ""high"", TODAY()-30, TODAY()), 0, 2))"),14440.0)</f>
        <v>14440</v>
      </c>
      <c r="I14" s="9">
        <f>IFERROR(__xludf.DUMMYFUNCTION("MIN(INDEX(GOOGLEFINANCE(A14, ""low"", TODAY()-30, TODAY()), 0, 2))"),13197.0)</f>
        <v>13197</v>
      </c>
      <c r="J14" s="9">
        <f>IFERROR(__xludf.DUMMYFUNCTION("GOOGLEFINANCE(A14, ""high52"")"),17370.0)</f>
        <v>17370</v>
      </c>
      <c r="K14" s="9">
        <f>IFERROR(__xludf.DUMMYFUNCTION("GOOGLEFINANCE(A14, ""low52"")"),12201.0)</f>
        <v>12201</v>
      </c>
      <c r="L14" s="9">
        <f t="shared" si="1"/>
        <v>0.1997121474</v>
      </c>
      <c r="M14" s="9">
        <f t="shared" si="2"/>
        <v>0.1393328416</v>
      </c>
      <c r="N14" s="9">
        <f t="shared" si="3"/>
        <v>0.01383783784</v>
      </c>
      <c r="O14" s="9">
        <f t="shared" si="4"/>
        <v>0.5663716814</v>
      </c>
      <c r="P14" s="9">
        <f>IFERROR(__xludf.DUMMYFUNCTION("GOOGLEFINANCE(A14, ""pe"")"),30.49)</f>
        <v>30.49</v>
      </c>
      <c r="Q14" s="9">
        <f>IFERROR(__xludf.DUMMYFUNCTION("IFERROR(GOOGLEFINANCE(A14, ""volume"") / GOOGLEFINANCE(A14, ""volumeavg""), 0)"),0.0)</f>
        <v>0</v>
      </c>
      <c r="R14" s="9">
        <f>IFERROR(__xludf.DUMMYFUNCTION("AVERAGE(INDEX(GOOGLEFINANCE(A14, ""price"", TODAY()-30, TODAY()), 0, 2))"),13841.0)</f>
        <v>13841</v>
      </c>
      <c r="S14" s="9">
        <f>IFERROR(__xludf.DUMMYFUNCTION("AVERAGE(INDEX(GOOGLEFINANCE(A14, ""price"", TODAY()-75, TODAY()), 0, 2))"),13682.981132075472)</f>
        <v>13682.98113</v>
      </c>
      <c r="T14" s="9">
        <f>IFERROR(__xludf.DUMMYFUNCTION("AVERAGE(INDEX(GOOGLEFINANCE(A14, ""price"", TODAY()-300, TODAY()), 0, 2))"),14549.044554455446)</f>
        <v>14549.04455</v>
      </c>
      <c r="U14" s="9">
        <f t="shared" si="5"/>
        <v>0.004334946897</v>
      </c>
      <c r="V14" s="15">
        <f>IFERROR(__xludf.DUMMYFUNCTION("LET(hist, GOOGLEFINANCE(A14,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rs))))))"),66.97841726618705)</f>
        <v>66.97841727</v>
      </c>
      <c r="W14" s="16" t="str">
        <f>IFERROR(__xludf.DUMMYFUNCTION("IFERROR(GOOGLEFINANCE(A14, ""volume"") / GOOGLEFINANCE(A14, ""volumeavg""), )"),"")</f>
        <v/>
      </c>
      <c r="X14" s="9">
        <f>IFERROR(__xludf.DUMMYFUNCTION("B14 * GOOGLEFINANCE(A14, ""volume"")"),4.926625608E9)</f>
        <v>4926625608</v>
      </c>
      <c r="Y14" s="9">
        <f>IFERROR(__xludf.DUMMYFUNCTION("IFERROR(((B14 - GOOGLEFINANCE(A14, ""priceopen"")) / GOOGLEFINANCE(A14, ""priceopen"")) * GOOGLEFINANCE(A14, ""volume""), 0)"),-2254.632737669764)</f>
        <v>-2254.632738</v>
      </c>
    </row>
    <row r="15">
      <c r="A15" s="4" t="s">
        <v>110</v>
      </c>
      <c r="B15" s="7">
        <f>IFERROR(__xludf.DUMMYFUNCTION("GOOGLEFINANCE(A15, ""price"")"),5072.9)</f>
        <v>5072.9</v>
      </c>
      <c r="C15" s="7">
        <f>IFERROR(__xludf.DUMMYFUNCTION("GOOGLEFINANCE(A15, ""changepct"")"),-1.07)</f>
        <v>-1.07</v>
      </c>
      <c r="D15" s="9">
        <f>IFERROR(__xludf.DUMMYFUNCTION("GOOGLEFINANCE(A15, ""priceopen"")"),5128.0)</f>
        <v>5128</v>
      </c>
      <c r="E15" s="9">
        <f>IFERROR(__xludf.DUMMYFUNCTION("GOOGLEFINANCE(A15, ""high"")"),5128.0)</f>
        <v>5128</v>
      </c>
      <c r="F15" s="9">
        <f>IFERROR(__xludf.DUMMYFUNCTION("GOOGLEFINANCE(A15, ""low"")"),4992.0)</f>
        <v>4992</v>
      </c>
      <c r="G15" s="9">
        <f>IFERROR(__xludf.DUMMYFUNCTION("GOOGLEFINANCE(A15, ""price"")"),5072.9)</f>
        <v>5072.9</v>
      </c>
      <c r="H15" s="9">
        <f>IFERROR(__xludf.DUMMYFUNCTION("MAX(INDEX(GOOGLEFINANCE(A15, ""high"", TODAY()-30, TODAY()), 0, 2))"),5168.0)</f>
        <v>5168</v>
      </c>
      <c r="I15" s="9">
        <f>IFERROR(__xludf.DUMMYFUNCTION("MIN(INDEX(GOOGLEFINANCE(A15, ""low"", TODAY()-30, TODAY()), 0, 2))"),4524.4)</f>
        <v>4524.4</v>
      </c>
      <c r="J15" s="9">
        <f>IFERROR(__xludf.DUMMYFUNCTION("GOOGLEFINANCE(A15, ""high52"")"),5168.0)</f>
        <v>5168</v>
      </c>
      <c r="K15" s="9">
        <f>IFERROR(__xludf.DUMMYFUNCTION("GOOGLEFINANCE(A15, ""low52"")"),3303.1)</f>
        <v>3303.1</v>
      </c>
      <c r="L15" s="9">
        <f t="shared" si="1"/>
        <v>0.01840170279</v>
      </c>
      <c r="M15" s="9">
        <f t="shared" si="2"/>
        <v>0.5357997033</v>
      </c>
      <c r="N15" s="9">
        <f t="shared" si="3"/>
        <v>0.02724358974</v>
      </c>
      <c r="O15" s="9">
        <f t="shared" si="4"/>
        <v>0.8522374145</v>
      </c>
      <c r="P15" s="9">
        <f>IFERROR(__xludf.DUMMYFUNCTION("GOOGLEFINANCE(A15, ""pe"")"),78.19)</f>
        <v>78.19</v>
      </c>
      <c r="Q15" s="9">
        <f>IFERROR(__xludf.DUMMYFUNCTION("IFERROR(GOOGLEFINANCE(A15, ""volume"") / GOOGLEFINANCE(A15, ""volumeavg""), 0)"),0.0)</f>
        <v>0</v>
      </c>
      <c r="R15" s="9">
        <f>IFERROR(__xludf.DUMMYFUNCTION("AVERAGE(INDEX(GOOGLEFINANCE(A15, ""price"", TODAY()-30, TODAY()), 0, 2))"),4813.265217391304)</f>
        <v>4813.265217</v>
      </c>
      <c r="S15" s="9">
        <f>IFERROR(__xludf.DUMMYFUNCTION("AVERAGE(INDEX(GOOGLEFINANCE(A15, ""price"", TODAY()-75, TODAY()), 0, 2))"),4527.381132075472)</f>
        <v>4527.381132</v>
      </c>
      <c r="T15" s="9">
        <f>IFERROR(__xludf.DUMMYFUNCTION("AVERAGE(INDEX(GOOGLEFINANCE(A15, ""price"", TODAY()-300, TODAY()), 0, 2))"),4196.375247524751)</f>
        <v>4196.375248</v>
      </c>
      <c r="U15" s="9">
        <f t="shared" si="5"/>
        <v>0.05394150766</v>
      </c>
      <c r="V15" s="15">
        <f>IFERROR(__xludf.DUMMYFUNCTION("LET(hist, GOOGLEFINANCE(A15,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rs))))))"),75.4272692745917)</f>
        <v>75.42726927</v>
      </c>
      <c r="W15" s="16" t="str">
        <f>IFERROR(__xludf.DUMMYFUNCTION("IFERROR(GOOGLEFINANCE(A15, ""volume"") / GOOGLEFINANCE(A15, ""volumeavg""), )"),"")</f>
        <v/>
      </c>
      <c r="X15" s="9">
        <f>IFERROR(__xludf.DUMMYFUNCTION("B15 * GOOGLEFINANCE(A15, ""volume"")"),5.606350945299999E9)</f>
        <v>5606350945</v>
      </c>
      <c r="Y15" s="9">
        <f>IFERROR(__xludf.DUMMYFUNCTION("IFERROR(((B15 - GOOGLEFINANCE(A15, ""priceopen"")) / GOOGLEFINANCE(A15, ""priceopen"")) * GOOGLEFINANCE(A15, ""volume""), 0)"),-11874.834379875274)</f>
        <v>-11874.83438</v>
      </c>
    </row>
    <row r="16">
      <c r="A16" s="4" t="s">
        <v>118</v>
      </c>
      <c r="B16" s="7">
        <f>IFERROR(__xludf.DUMMYFUNCTION("GOOGLEFINANCE(A16, ""price"")"),3417.0)</f>
        <v>3417</v>
      </c>
      <c r="C16" s="7">
        <f>IFERROR(__xludf.DUMMYFUNCTION("GOOGLEFINANCE(A16, ""changepct"")"),-1.25)</f>
        <v>-1.25</v>
      </c>
      <c r="D16" s="9">
        <f>IFERROR(__xludf.DUMMYFUNCTION("GOOGLEFINANCE(A16, ""priceopen"")"),3460.0)</f>
        <v>3460</v>
      </c>
      <c r="E16" s="9">
        <f>IFERROR(__xludf.DUMMYFUNCTION("GOOGLEFINANCE(A16, ""high"")"),3471.8)</f>
        <v>3471.8</v>
      </c>
      <c r="F16" s="9">
        <f>IFERROR(__xludf.DUMMYFUNCTION("GOOGLEFINANCE(A16, ""low"")"),3403.6)</f>
        <v>3403.6</v>
      </c>
      <c r="G16" s="9">
        <f>IFERROR(__xludf.DUMMYFUNCTION("GOOGLEFINANCE(A16, ""price"")"),3417.0)</f>
        <v>3417</v>
      </c>
      <c r="H16" s="9">
        <f>IFERROR(__xludf.DUMMYFUNCTION("MAX(INDEX(GOOGLEFINANCE(A16, ""high"", TODAY()-30, TODAY()), 0, 2))"),3534.6)</f>
        <v>3534.6</v>
      </c>
      <c r="I16" s="9">
        <f>IFERROR(__xludf.DUMMYFUNCTION("MIN(INDEX(GOOGLEFINANCE(A16, ""low"", TODAY()-30, TODAY()), 0, 2))"),3079.4)</f>
        <v>3079.4</v>
      </c>
      <c r="J16" s="9">
        <f>IFERROR(__xludf.DUMMYFUNCTION("GOOGLEFINANCE(A16, ""high52"")"),3839.9)</f>
        <v>3839.9</v>
      </c>
      <c r="K16" s="9">
        <f>IFERROR(__xludf.DUMMYFUNCTION("GOOGLEFINANCE(A16, ""low52"")"),2896.0)</f>
        <v>2896</v>
      </c>
      <c r="L16" s="9">
        <f t="shared" si="1"/>
        <v>0.1101330764</v>
      </c>
      <c r="M16" s="9">
        <f t="shared" si="2"/>
        <v>0.1799033149</v>
      </c>
      <c r="N16" s="9">
        <f t="shared" si="3"/>
        <v>0.02003760724</v>
      </c>
      <c r="O16" s="9">
        <f t="shared" si="4"/>
        <v>0.7416520211</v>
      </c>
      <c r="P16" s="9">
        <f>IFERROR(__xludf.DUMMYFUNCTION("GOOGLEFINANCE(A16, ""pe"")"),20.78)</f>
        <v>20.78</v>
      </c>
      <c r="Q16" s="9">
        <f>IFERROR(__xludf.DUMMYFUNCTION("IFERROR(GOOGLEFINANCE(A16, ""volume"") / GOOGLEFINANCE(A16, ""volumeavg""), 0)"),0.0)</f>
        <v>0</v>
      </c>
      <c r="R16" s="9">
        <f>IFERROR(__xludf.DUMMYFUNCTION("AVERAGE(INDEX(GOOGLEFINANCE(A16, ""price"", TODAY()-30, TODAY()), 0, 2))"),3286.3782608695656)</f>
        <v>3286.378261</v>
      </c>
      <c r="S16" s="9">
        <f>IFERROR(__xludf.DUMMYFUNCTION("AVERAGE(INDEX(GOOGLEFINANCE(A16, ""price"", TODAY()-75, TODAY()), 0, 2))"),3167.9943396226413)</f>
        <v>3167.99434</v>
      </c>
      <c r="T16" s="9">
        <f>IFERROR(__xludf.DUMMYFUNCTION("AVERAGE(INDEX(GOOGLEFINANCE(A16, ""price"", TODAY()-300, TODAY()), 0, 2))"),3365.558910891089)</f>
        <v>3365.558911</v>
      </c>
      <c r="U16" s="9">
        <f t="shared" si="5"/>
        <v>0.03974641041</v>
      </c>
      <c r="V16" s="15">
        <f>IFERROR(__xludf.DUMMYFUNCTION("LET(hist, GOOGLEFINANCE(A16,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rs))))))"),61.83154170635463)</f>
        <v>61.83154171</v>
      </c>
      <c r="W16" s="16" t="str">
        <f>IFERROR(__xludf.DUMMYFUNCTION("IFERROR(GOOGLEFINANCE(A16, ""volume"") / GOOGLEFINANCE(A16, ""volumeavg""), )"),"")</f>
        <v/>
      </c>
      <c r="X16" s="9">
        <f>IFERROR(__xludf.DUMMYFUNCTION("B16 * GOOGLEFINANCE(A16, ""volume"")"),6.267058194E9)</f>
        <v>6267058194</v>
      </c>
      <c r="Y16" s="9">
        <f>IFERROR(__xludf.DUMMYFUNCTION("IFERROR(((B16 - GOOGLEFINANCE(A16, ""priceopen"")) / GOOGLEFINANCE(A16, ""priceopen"")) * GOOGLEFINANCE(A16, ""volume""), 0)"),-22793.50462427746)</f>
        <v>-22793.50462</v>
      </c>
    </row>
    <row r="17">
      <c r="A17" s="4" t="s">
        <v>124</v>
      </c>
      <c r="B17" s="7">
        <f>IFERROR(__xludf.DUMMYFUNCTION("GOOGLEFINANCE(A17, ""price"")"),206.15)</f>
        <v>206.15</v>
      </c>
      <c r="C17" s="7">
        <f>IFERROR(__xludf.DUMMYFUNCTION("GOOGLEFINANCE(A17, ""changepct"")"),-1.36)</f>
        <v>-1.36</v>
      </c>
      <c r="D17" s="9">
        <f>IFERROR(__xludf.DUMMYFUNCTION("GOOGLEFINANCE(A17, ""priceopen"")"),209.0)</f>
        <v>209</v>
      </c>
      <c r="E17" s="9">
        <f>IFERROR(__xludf.DUMMYFUNCTION("GOOGLEFINANCE(A17, ""high"")"),209.69)</f>
        <v>209.69</v>
      </c>
      <c r="F17" s="9">
        <f>IFERROR(__xludf.DUMMYFUNCTION("GOOGLEFINANCE(A17, ""low"")"),205.02)</f>
        <v>205.02</v>
      </c>
      <c r="G17" s="9">
        <f>IFERROR(__xludf.DUMMYFUNCTION("GOOGLEFINANCE(A17, ""price"")"),206.15)</f>
        <v>206.15</v>
      </c>
      <c r="H17" s="9">
        <f>IFERROR(__xludf.DUMMYFUNCTION("MAX(INDEX(GOOGLEFINANCE(A17, ""high"", TODAY()-30, TODAY()), 0, 2))"),228.94)</f>
        <v>228.94</v>
      </c>
      <c r="I17" s="9">
        <f>IFERROR(__xludf.DUMMYFUNCTION("MIN(INDEX(GOOGLEFINANCE(A17, ""low"", TODAY()-30, TODAY()), 0, 2))"),205.02)</f>
        <v>205.02</v>
      </c>
      <c r="J17" s="9">
        <f>IFERROR(__xludf.DUMMYFUNCTION("GOOGLEFINANCE(A17, ""high52"")"),254.2)</f>
        <v>254.2</v>
      </c>
      <c r="K17" s="9">
        <f>IFERROR(__xludf.DUMMYFUNCTION("GOOGLEFINANCE(A17, ""low52"")"),116.22)</f>
        <v>116.22</v>
      </c>
      <c r="L17" s="9">
        <f t="shared" si="1"/>
        <v>0.1890243902</v>
      </c>
      <c r="M17" s="9">
        <f t="shared" si="2"/>
        <v>0.7737910859</v>
      </c>
      <c r="N17" s="9">
        <f t="shared" si="3"/>
        <v>0.02277826554</v>
      </c>
      <c r="O17" s="9">
        <f t="shared" si="4"/>
        <v>0.04724080268</v>
      </c>
      <c r="P17" s="9">
        <f>IFERROR(__xludf.DUMMYFUNCTION("GOOGLEFINANCE(A17, ""pe"")"),27.71)</f>
        <v>27.71</v>
      </c>
      <c r="Q17" s="9">
        <f>IFERROR(__xludf.DUMMYFUNCTION("IFERROR(GOOGLEFINANCE(A17, ""volume"") / GOOGLEFINANCE(A17, ""volumeavg""), 0)"),0.0)</f>
        <v>0</v>
      </c>
      <c r="R17" s="9">
        <f>IFERROR(__xludf.DUMMYFUNCTION("AVERAGE(INDEX(GOOGLEFINANCE(A17, ""price"", TODAY()-30, TODAY()), 0, 2))"),213.18086956521734)</f>
        <v>213.1808696</v>
      </c>
      <c r="S17" s="9">
        <f>IFERROR(__xludf.DUMMYFUNCTION("AVERAGE(INDEX(GOOGLEFINANCE(A17, ""price"", TODAY()-75, TODAY()), 0, 2))"),220.4584905660377)</f>
        <v>220.4584906</v>
      </c>
      <c r="T17" s="9">
        <f>IFERROR(__xludf.DUMMYFUNCTION("AVERAGE(INDEX(GOOGLEFINANCE(A17, ""price"", TODAY()-300, TODAY()), 0, 2))"),177.87014851485142)</f>
        <v>177.8701485</v>
      </c>
      <c r="U17" s="9">
        <f t="shared" si="5"/>
        <v>-0.03298077158</v>
      </c>
      <c r="V17" s="15">
        <f>IFERROR(__xludf.DUMMYFUNCTION("LET(hist, GOOGLEFINANCE(A17,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rs))))))"),39.789555728760774)</f>
        <v>39.78955573</v>
      </c>
      <c r="W17" s="16" t="str">
        <f>IFERROR(__xludf.DUMMYFUNCTION("IFERROR(GOOGLEFINANCE(A17, ""volume"") / GOOGLEFINANCE(A17, ""volumeavg""), )"),"")</f>
        <v/>
      </c>
      <c r="X17" s="9">
        <f>IFERROR(__xludf.DUMMYFUNCTION("B17 * GOOGLEFINANCE(A17, ""volume"")"),2.87449519805E9)</f>
        <v>2874495198</v>
      </c>
      <c r="Y17" s="9">
        <f>IFERROR(__xludf.DUMMYFUNCTION("IFERROR(((B17 - GOOGLEFINANCE(A17, ""priceopen"")) / GOOGLEFINANCE(A17, ""priceopen"")) * GOOGLEFINANCE(A17, ""volume""), 0)"),-190141.45909090873)</f>
        <v>-190141.4591</v>
      </c>
    </row>
    <row r="18">
      <c r="A18" s="4" t="s">
        <v>133</v>
      </c>
      <c r="B18" s="7">
        <f>IFERROR(__xludf.DUMMYFUNCTION("GOOGLEFINANCE(A18, ""price"")"),2980.0)</f>
        <v>2980</v>
      </c>
      <c r="C18" s="7">
        <f>IFERROR(__xludf.DUMMYFUNCTION("GOOGLEFINANCE(A18, ""changepct"")"),-0.52)</f>
        <v>-0.52</v>
      </c>
      <c r="D18" s="9">
        <f>IFERROR(__xludf.DUMMYFUNCTION("GOOGLEFINANCE(A18, ""priceopen"")"),3020.0)</f>
        <v>3020</v>
      </c>
      <c r="E18" s="9">
        <f>IFERROR(__xludf.DUMMYFUNCTION("GOOGLEFINANCE(A18, ""high"")"),3020.0)</f>
        <v>3020</v>
      </c>
      <c r="F18" s="9">
        <f>IFERROR(__xludf.DUMMYFUNCTION("GOOGLEFINANCE(A18, ""low"")"),2943.0)</f>
        <v>2943</v>
      </c>
      <c r="G18" s="9">
        <f>IFERROR(__xludf.DUMMYFUNCTION("GOOGLEFINANCE(A18, ""price"")"),2980.0)</f>
        <v>2980</v>
      </c>
      <c r="H18" s="9">
        <f>IFERROR(__xludf.DUMMYFUNCTION("MAX(INDEX(GOOGLEFINANCE(A18, ""high"", TODAY()-30, TODAY()), 0, 2))"),3219.7)</f>
        <v>3219.7</v>
      </c>
      <c r="I18" s="9">
        <f>IFERROR(__xludf.DUMMYFUNCTION("MIN(INDEX(GOOGLEFINANCE(A18, ""low"", TODAY()-30, TODAY()), 0, 2))"),2943.0)</f>
        <v>2943</v>
      </c>
      <c r="J18" s="9">
        <f>IFERROR(__xludf.DUMMYFUNCTION("GOOGLEFINANCE(A18, ""high52"")"),3245.0)</f>
        <v>3245</v>
      </c>
      <c r="K18" s="9">
        <f>IFERROR(__xludf.DUMMYFUNCTION("GOOGLEFINANCE(A18, ""low52"")"),1753.0)</f>
        <v>1753</v>
      </c>
      <c r="L18" s="9">
        <f t="shared" si="1"/>
        <v>0.08166409861</v>
      </c>
      <c r="M18" s="9">
        <f t="shared" si="2"/>
        <v>0.6999429549</v>
      </c>
      <c r="N18" s="9">
        <f t="shared" si="3"/>
        <v>0.02616377846</v>
      </c>
      <c r="O18" s="9">
        <f t="shared" si="4"/>
        <v>0.1337188291</v>
      </c>
      <c r="P18" s="9">
        <f>IFERROR(__xludf.DUMMYFUNCTION("GOOGLEFINANCE(A18, ""pe"")"),48.06)</f>
        <v>48.06</v>
      </c>
      <c r="Q18" s="9">
        <f>IFERROR(__xludf.DUMMYFUNCTION("IFERROR(GOOGLEFINANCE(A18, ""volume"") / GOOGLEFINANCE(A18, ""volumeavg""), 0)"),0.0)</f>
        <v>0</v>
      </c>
      <c r="R18" s="9">
        <f>IFERROR(__xludf.DUMMYFUNCTION("AVERAGE(INDEX(GOOGLEFINANCE(A18, ""price"", TODAY()-30, TODAY()), 0, 2))"),3074.1913043478266)</f>
        <v>3074.191304</v>
      </c>
      <c r="S18" s="9">
        <f>IFERROR(__xludf.DUMMYFUNCTION("AVERAGE(INDEX(GOOGLEFINANCE(A18, ""price"", TODAY()-75, TODAY()), 0, 2))"),3044.011320754717)</f>
        <v>3044.011321</v>
      </c>
      <c r="T18" s="9">
        <f>IFERROR(__xludf.DUMMYFUNCTION("AVERAGE(INDEX(GOOGLEFINANCE(A18, ""price"", TODAY()-300, TODAY()), 0, 2))"),2460.0832178217825)</f>
        <v>2460.083218</v>
      </c>
      <c r="U18" s="9">
        <f t="shared" si="5"/>
        <v>-0.03063937635</v>
      </c>
      <c r="V18" s="15">
        <f>IFERROR(__xludf.DUMMYFUNCTION("LET(hist, GOOGLEFINANCE(A18,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rs))))))"),45.782714335300206)</f>
        <v>45.78271434</v>
      </c>
      <c r="W18" s="16" t="str">
        <f>IFERROR(__xludf.DUMMYFUNCTION("IFERROR(GOOGLEFINANCE(A18, ""volume"") / GOOGLEFINANCE(A18, ""volumeavg""), )"),"")</f>
        <v/>
      </c>
      <c r="X18" s="9">
        <f>IFERROR(__xludf.DUMMYFUNCTION("B18 * GOOGLEFINANCE(A18, ""volume"")"),3.45816484E9)</f>
        <v>3458164840</v>
      </c>
      <c r="Y18" s="9">
        <f>IFERROR(__xludf.DUMMYFUNCTION("IFERROR(((B18 - GOOGLEFINANCE(A18, ""priceopen"")) / GOOGLEFINANCE(A18, ""priceopen"")) * GOOGLEFINANCE(A18, ""volume""), 0)"),-15370.30463576159)</f>
        <v>-15370.30464</v>
      </c>
    </row>
    <row r="19">
      <c r="A19" s="4" t="s">
        <v>142</v>
      </c>
      <c r="B19" s="7">
        <f>IFERROR(__xludf.DUMMYFUNCTION("GOOGLEFINANCE(A19, ""price"")"),392.65)</f>
        <v>392.65</v>
      </c>
      <c r="C19" s="7">
        <f>IFERROR(__xludf.DUMMYFUNCTION("GOOGLEFINANCE(A19, ""changepct"")"),-0.06)</f>
        <v>-0.06</v>
      </c>
      <c r="D19" s="9">
        <f>IFERROR(__xludf.DUMMYFUNCTION("GOOGLEFINANCE(A19, ""priceopen"")"),391.0)</f>
        <v>391</v>
      </c>
      <c r="E19" s="9">
        <f>IFERROR(__xludf.DUMMYFUNCTION("GOOGLEFINANCE(A19, ""high"")"),394.25)</f>
        <v>394.25</v>
      </c>
      <c r="F19" s="9">
        <f>IFERROR(__xludf.DUMMYFUNCTION("GOOGLEFINANCE(A19, ""low"")"),387.5)</f>
        <v>387.5</v>
      </c>
      <c r="G19" s="9">
        <f>IFERROR(__xludf.DUMMYFUNCTION("GOOGLEFINANCE(A19, ""price"")"),392.65)</f>
        <v>392.65</v>
      </c>
      <c r="H19" s="9">
        <f>IFERROR(__xludf.DUMMYFUNCTION("MAX(INDEX(GOOGLEFINANCE(A19, ""high"", TODAY()-30, TODAY()), 0, 2))"),400.0)</f>
        <v>400</v>
      </c>
      <c r="I19" s="9">
        <f>IFERROR(__xludf.DUMMYFUNCTION("MIN(INDEX(GOOGLEFINANCE(A19, ""low"", TODAY()-30, TODAY()), 0, 2))"),375.1)</f>
        <v>375.1</v>
      </c>
      <c r="J19" s="9">
        <f>IFERROR(__xludf.DUMMYFUNCTION("GOOGLEFINANCE(A19, ""high52"")"),453.2)</f>
        <v>453.2</v>
      </c>
      <c r="K19" s="9">
        <f>IFERROR(__xludf.DUMMYFUNCTION("GOOGLEFINANCE(A19, ""low52"")"),345.5)</f>
        <v>345.5</v>
      </c>
      <c r="L19" s="9">
        <f t="shared" si="1"/>
        <v>0.1336054722</v>
      </c>
      <c r="M19" s="9">
        <f t="shared" si="2"/>
        <v>0.1364688857</v>
      </c>
      <c r="N19" s="9">
        <f t="shared" si="3"/>
        <v>0.01741935484</v>
      </c>
      <c r="O19" s="9">
        <f t="shared" si="4"/>
        <v>0.7048192771</v>
      </c>
      <c r="P19" s="9">
        <f>IFERROR(__xludf.DUMMYFUNCTION("GOOGLEFINANCE(A19, ""pe"")"),19.24)</f>
        <v>19.24</v>
      </c>
      <c r="Q19" s="9">
        <f>IFERROR(__xludf.DUMMYFUNCTION("IFERROR(GOOGLEFINANCE(A19, ""volume"") / GOOGLEFINANCE(A19, ""volumeavg""), 0)"),0.0)</f>
        <v>0</v>
      </c>
      <c r="R19" s="9">
        <f>IFERROR(__xludf.DUMMYFUNCTION("AVERAGE(INDEX(GOOGLEFINANCE(A19, ""price"", TODAY()-30, TODAY()), 0, 2))"),387.9586956521739)</f>
        <v>387.9586957</v>
      </c>
      <c r="S19" s="9">
        <f>IFERROR(__xludf.DUMMYFUNCTION("AVERAGE(INDEX(GOOGLEFINANCE(A19, ""price"", TODAY()-75, TODAY()), 0, 2))"),389.78018867924527)</f>
        <v>389.7801887</v>
      </c>
      <c r="T19" s="9">
        <f>IFERROR(__xludf.DUMMYFUNCTION("AVERAGE(INDEX(GOOGLEFINANCE(A19, ""price"", TODAY()-300, TODAY()), 0, 2))"),402.8597524752473)</f>
        <v>402.8597525</v>
      </c>
      <c r="U19" s="9">
        <f t="shared" si="5"/>
        <v>0.01209227786</v>
      </c>
      <c r="V19" s="15">
        <f>IFERROR(__xludf.DUMMYFUNCTION("LET(hist, GOOGLEFINANCE(A19,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rs))))))"),60.687593423019386)</f>
        <v>60.68759342</v>
      </c>
      <c r="W19" s="16" t="str">
        <f>IFERROR(__xludf.DUMMYFUNCTION("IFERROR(GOOGLEFINANCE(A19, ""volume"") / GOOGLEFINANCE(A19, ""volumeavg""), )"),"")</f>
        <v/>
      </c>
      <c r="X19" s="9">
        <f>IFERROR(__xludf.DUMMYFUNCTION("B19 * GOOGLEFINANCE(A19, ""volume"")"),4.2144985661E9)</f>
        <v>4214498566</v>
      </c>
      <c r="Y19" s="9">
        <f>IFERROR(__xludf.DUMMYFUNCTION("IFERROR(((B19 - GOOGLEFINANCE(A19, ""priceopen"")) / GOOGLEFINANCE(A19, ""priceopen"")) * GOOGLEFINANCE(A19, ""volume""), 0)"),45294.71125319631)</f>
        <v>45294.71125</v>
      </c>
    </row>
    <row r="20">
      <c r="A20" s="4" t="s">
        <v>148</v>
      </c>
      <c r="B20" s="7">
        <f>IFERROR(__xludf.DUMMYFUNCTION("GOOGLEFINANCE(A20, ""price"")"),1225.0)</f>
        <v>1225</v>
      </c>
      <c r="C20" s="7">
        <f>IFERROR(__xludf.DUMMYFUNCTION("GOOGLEFINANCE(A20, ""changepct"")"),-0.39)</f>
        <v>-0.39</v>
      </c>
      <c r="D20" s="9">
        <f>IFERROR(__xludf.DUMMYFUNCTION("GOOGLEFINANCE(A20, ""priceopen"")"),1230.0)</f>
        <v>1230</v>
      </c>
      <c r="E20" s="9">
        <f>IFERROR(__xludf.DUMMYFUNCTION("GOOGLEFINANCE(A20, ""high"")"),1234.9)</f>
        <v>1234.9</v>
      </c>
      <c r="F20" s="9">
        <f>IFERROR(__xludf.DUMMYFUNCTION("GOOGLEFINANCE(A20, ""low"")"),1216.9)</f>
        <v>1216.9</v>
      </c>
      <c r="G20" s="9">
        <f>IFERROR(__xludf.DUMMYFUNCTION("GOOGLEFINANCE(A20, ""price"")"),1225.0)</f>
        <v>1225</v>
      </c>
      <c r="H20" s="9">
        <f>IFERROR(__xludf.DUMMYFUNCTION("MAX(INDEX(GOOGLEFINANCE(A20, ""high"", TODAY()-30, TODAY()), 0, 2))"),1348.0)</f>
        <v>1348</v>
      </c>
      <c r="I20" s="9">
        <f>IFERROR(__xludf.DUMMYFUNCTION("MIN(INDEX(GOOGLEFINANCE(A20, ""low"", TODAY()-30, TODAY()), 0, 2))"),1210.6)</f>
        <v>1210.6</v>
      </c>
      <c r="J20" s="9">
        <f>IFERROR(__xludf.DUMMYFUNCTION("GOOGLEFINANCE(A20, ""high52"")"),1418.3)</f>
        <v>1418.3</v>
      </c>
      <c r="K20" s="9">
        <f>IFERROR(__xludf.DUMMYFUNCTION("GOOGLEFINANCE(A20, ""low52"")"),1042.5)</f>
        <v>1042.5</v>
      </c>
      <c r="L20" s="9">
        <f t="shared" si="1"/>
        <v>0.1362899246</v>
      </c>
      <c r="M20" s="9">
        <f t="shared" si="2"/>
        <v>0.175059952</v>
      </c>
      <c r="N20" s="9">
        <f t="shared" si="3"/>
        <v>0.01479168379</v>
      </c>
      <c r="O20" s="9">
        <f t="shared" si="4"/>
        <v>0.1048034934</v>
      </c>
      <c r="P20" s="9">
        <f>IFERROR(__xludf.DUMMYFUNCTION("GOOGLEFINANCE(A20, ""pe"")"),13.78)</f>
        <v>13.78</v>
      </c>
      <c r="Q20" s="9">
        <f>IFERROR(__xludf.DUMMYFUNCTION("IFERROR(GOOGLEFINANCE(A20, ""volume"") / GOOGLEFINANCE(A20, ""volumeavg""), 0)"),0.0)</f>
        <v>0</v>
      </c>
      <c r="R20" s="9">
        <f>IFERROR(__xludf.DUMMYFUNCTION("AVERAGE(INDEX(GOOGLEFINANCE(A20, ""price"", TODAY()-30, TODAY()), 0, 2))"),1257.4739130434784)</f>
        <v>1257.473913</v>
      </c>
      <c r="S20" s="9">
        <f>IFERROR(__xludf.DUMMYFUNCTION("AVERAGE(INDEX(GOOGLEFINANCE(A20, ""price"", TODAY()-75, TODAY()), 0, 2))"),1296.9603773584906)</f>
        <v>1296.960377</v>
      </c>
      <c r="T20" s="9">
        <f>IFERROR(__xludf.DUMMYFUNCTION("AVERAGE(INDEX(GOOGLEFINANCE(A20, ""price"", TODAY()-300, TODAY()), 0, 2))"),1285.7019801980198)</f>
        <v>1285.70198</v>
      </c>
      <c r="U20" s="9">
        <f t="shared" si="5"/>
        <v>-0.02582472106</v>
      </c>
      <c r="V20" s="15">
        <f>IFERROR(__xludf.DUMMYFUNCTION("LET(hist, GOOGLEFINANCE(A20,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rs))))))"),52.58875739644971)</f>
        <v>52.5887574</v>
      </c>
      <c r="W20" s="16" t="str">
        <f>IFERROR(__xludf.DUMMYFUNCTION("IFERROR(GOOGLEFINANCE(A20, ""volume"") / GOOGLEFINANCE(A20, ""volumeavg""), )"),"")</f>
        <v/>
      </c>
      <c r="X20" s="9">
        <f>IFERROR(__xludf.DUMMYFUNCTION("B20 * GOOGLEFINANCE(A20, ""volume"")"),8.843129225E9)</f>
        <v>8843129225</v>
      </c>
      <c r="Y20" s="9">
        <f>IFERROR(__xludf.DUMMYFUNCTION("IFERROR(((B20 - GOOGLEFINANCE(A20, ""priceopen"")) / GOOGLEFINANCE(A20, ""priceopen"")) * GOOGLEFINANCE(A20, ""volume""), 0)"),-29345.04471544716)</f>
        <v>-29345.04472</v>
      </c>
    </row>
    <row r="21">
      <c r="A21" s="4" t="s">
        <v>155</v>
      </c>
      <c r="B21" s="7">
        <f>IFERROR(__xludf.DUMMYFUNCTION("GOOGLEFINANCE(A21, ""price"")"),1657.2)</f>
        <v>1657.2</v>
      </c>
      <c r="C21" s="7">
        <f>IFERROR(__xludf.DUMMYFUNCTION("GOOGLEFINANCE(A21, ""changepct"")"),-0.66)</f>
        <v>-0.66</v>
      </c>
      <c r="D21" s="9">
        <f>IFERROR(__xludf.DUMMYFUNCTION("GOOGLEFINANCE(A21, ""priceopen"")"),1669.8)</f>
        <v>1669.8</v>
      </c>
      <c r="E21" s="9">
        <f>IFERROR(__xludf.DUMMYFUNCTION("GOOGLEFINANCE(A21, ""high"")"),1672.7)</f>
        <v>1672.7</v>
      </c>
      <c r="F21" s="9">
        <f>IFERROR(__xludf.DUMMYFUNCTION("GOOGLEFINANCE(A21, ""low"")"),1640.4)</f>
        <v>1640.4</v>
      </c>
      <c r="G21" s="9">
        <f>IFERROR(__xludf.DUMMYFUNCTION("GOOGLEFINANCE(A21, ""price"")"),1657.2)</f>
        <v>1657.2</v>
      </c>
      <c r="H21" s="9">
        <f>IFERROR(__xludf.DUMMYFUNCTION("MAX(INDEX(GOOGLEFINANCE(A21, ""high"", TODAY()-30, TODAY()), 0, 2))"),1859.7)</f>
        <v>1859.7</v>
      </c>
      <c r="I21" s="9">
        <f>IFERROR(__xludf.DUMMYFUNCTION("MIN(INDEX(GOOGLEFINANCE(A21, ""low"", TODAY()-30, TODAY()), 0, 2))"),1640.4)</f>
        <v>1640.4</v>
      </c>
      <c r="J21" s="9">
        <f>IFERROR(__xludf.DUMMYFUNCTION("GOOGLEFINANCE(A21, ""high52"")"),1891.1)</f>
        <v>1891.1</v>
      </c>
      <c r="K21" s="9">
        <f>IFERROR(__xludf.DUMMYFUNCTION("GOOGLEFINANCE(A21, ""low52"")"),1290.5)</f>
        <v>1290.5</v>
      </c>
      <c r="L21" s="9">
        <f t="shared" si="1"/>
        <v>0.123684628</v>
      </c>
      <c r="M21" s="9">
        <f t="shared" si="2"/>
        <v>0.2841534289</v>
      </c>
      <c r="N21" s="9">
        <f t="shared" si="3"/>
        <v>0.01969031943</v>
      </c>
      <c r="O21" s="9">
        <f t="shared" si="4"/>
        <v>0.07660738714</v>
      </c>
      <c r="P21" s="9">
        <f>IFERROR(__xludf.DUMMYFUNCTION("GOOGLEFINANCE(A21, ""pe"")"),28.28)</f>
        <v>28.28</v>
      </c>
      <c r="Q21" s="9">
        <f>IFERROR(__xludf.DUMMYFUNCTION("IFERROR(GOOGLEFINANCE(A21, ""volume"") / GOOGLEFINANCE(A21, ""volumeavg""), 0)"),0.0)</f>
        <v>0</v>
      </c>
      <c r="R21" s="9">
        <f>IFERROR(__xludf.DUMMYFUNCTION("AVERAGE(INDEX(GOOGLEFINANCE(A21, ""price"", TODAY()-30, TODAY()), 0, 2))"),1752.9391304347826)</f>
        <v>1752.93913</v>
      </c>
      <c r="S21" s="9">
        <f>IFERROR(__xludf.DUMMYFUNCTION("AVERAGE(INDEX(GOOGLEFINANCE(A21, ""price"", TODAY()-75, TODAY()), 0, 2))"),1789.7188679245278)</f>
        <v>1789.718868</v>
      </c>
      <c r="T21" s="9">
        <f>IFERROR(__xludf.DUMMYFUNCTION("AVERAGE(INDEX(GOOGLEFINANCE(A21, ""price"", TODAY()-300, TODAY()), 0, 2))"),1583.9019801980198)</f>
        <v>1583.90198</v>
      </c>
      <c r="U21" s="9">
        <f t="shared" si="5"/>
        <v>-0.05461634621</v>
      </c>
      <c r="V21" s="15">
        <f>IFERROR(__xludf.DUMMYFUNCTION("LET(hist, GOOGLEFINANCE(A21,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rs))))))"),23.167848699763653)</f>
        <v>23.1678487</v>
      </c>
      <c r="W21" s="16" t="str">
        <f>IFERROR(__xludf.DUMMYFUNCTION("IFERROR(GOOGLEFINANCE(A21, ""volume"") / GOOGLEFINANCE(A21, ""volumeavg""), )"),"")</f>
        <v/>
      </c>
      <c r="X21" s="9">
        <f>IFERROR(__xludf.DUMMYFUNCTION("B21 * GOOGLEFINANCE(A21, ""volume"")"),2.476751688E9)</f>
        <v>2476751688</v>
      </c>
      <c r="Y21" s="9">
        <f>IFERROR(__xludf.DUMMYFUNCTION("IFERROR(((B21 - GOOGLEFINANCE(A21, ""priceopen"")) / GOOGLEFINANCE(A21, ""priceopen"")) * GOOGLEFINANCE(A21, ""volume""), 0)"),-11277.520661156943)</f>
        <v>-11277.52066</v>
      </c>
    </row>
    <row r="22">
      <c r="A22" s="4" t="s">
        <v>162</v>
      </c>
      <c r="B22" s="7">
        <f>IFERROR(__xludf.DUMMYFUNCTION("GOOGLEFINANCE(A22, ""price"")"),1360.0)</f>
        <v>1360</v>
      </c>
      <c r="C22" s="7">
        <f>IFERROR(__xludf.DUMMYFUNCTION("GOOGLEFINANCE(A22, ""changepct"")"),-0.4)</f>
        <v>-0.4</v>
      </c>
      <c r="D22" s="9">
        <f>IFERROR(__xludf.DUMMYFUNCTION("GOOGLEFINANCE(A22, ""priceopen"")"),1370.0)</f>
        <v>1370</v>
      </c>
      <c r="E22" s="9">
        <f>IFERROR(__xludf.DUMMYFUNCTION("GOOGLEFINANCE(A22, ""high"")"),1370.0)</f>
        <v>1370</v>
      </c>
      <c r="F22" s="9">
        <f>IFERROR(__xludf.DUMMYFUNCTION("GOOGLEFINANCE(A22, ""low"")"),1340.4)</f>
        <v>1340.4</v>
      </c>
      <c r="G22" s="9">
        <f>IFERROR(__xludf.DUMMYFUNCTION("GOOGLEFINANCE(A22, ""price"")"),1360.0)</f>
        <v>1360</v>
      </c>
      <c r="H22" s="9">
        <f>IFERROR(__xludf.DUMMYFUNCTION("MAX(INDEX(GOOGLEFINANCE(A22, ""high"", TODAY()-30, TODAY()), 0, 2))"),1379.8)</f>
        <v>1379.8</v>
      </c>
      <c r="I22" s="9">
        <f>IFERROR(__xludf.DUMMYFUNCTION("MIN(INDEX(GOOGLEFINANCE(A22, ""low"", TODAY()-30, TODAY()), 0, 2))"),1144.5)</f>
        <v>1144.5</v>
      </c>
      <c r="J22" s="9">
        <f>IFERROR(__xludf.DUMMYFUNCTION("GOOGLEFINANCE(A22, ""high52"")"),1780.1)</f>
        <v>1780.1</v>
      </c>
      <c r="K22" s="9">
        <f>IFERROR(__xludf.DUMMYFUNCTION("GOOGLEFINANCE(A22, ""low52"")"),1030.0)</f>
        <v>1030</v>
      </c>
      <c r="L22" s="9">
        <f t="shared" si="1"/>
        <v>0.2359979776</v>
      </c>
      <c r="M22" s="9">
        <f t="shared" si="2"/>
        <v>0.3203883495</v>
      </c>
      <c r="N22" s="9">
        <f t="shared" si="3"/>
        <v>0.02208296031</v>
      </c>
      <c r="O22" s="9">
        <f t="shared" si="4"/>
        <v>0.9158521037</v>
      </c>
      <c r="P22" s="9">
        <f>IFERROR(__xludf.DUMMYFUNCTION("GOOGLEFINANCE(A22, ""pe"")"),21.17)</f>
        <v>21.17</v>
      </c>
      <c r="Q22" s="9">
        <f>IFERROR(__xludf.DUMMYFUNCTION("IFERROR(GOOGLEFINANCE(A22, ""volume"") / GOOGLEFINANCE(A22, ""volumeavg""), 0)"),0.0)</f>
        <v>0</v>
      </c>
      <c r="R22" s="9">
        <f>IFERROR(__xludf.DUMMYFUNCTION("AVERAGE(INDEX(GOOGLEFINANCE(A22, ""price"", TODAY()-30, TODAY()), 0, 2))"),1291.126086956522)</f>
        <v>1291.126087</v>
      </c>
      <c r="S22" s="9">
        <f>IFERROR(__xludf.DUMMYFUNCTION("AVERAGE(INDEX(GOOGLEFINANCE(A22, ""price"", TODAY()-75, TODAY()), 0, 2))"),1204.7358490566037)</f>
        <v>1204.735849</v>
      </c>
      <c r="T22" s="9">
        <f>IFERROR(__xludf.DUMMYFUNCTION("AVERAGE(INDEX(GOOGLEFINANCE(A22, ""price"", TODAY()-300, TODAY()), 0, 2))"),1409.6594059405952)</f>
        <v>1409.659406</v>
      </c>
      <c r="U22" s="9">
        <f t="shared" si="5"/>
        <v>0.05334406433</v>
      </c>
      <c r="V22" s="15">
        <f>IFERROR(__xludf.DUMMYFUNCTION("LET(hist, GOOGLEFINANCE(A22,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rs))))))"),77.90106333795656)</f>
        <v>77.90106334</v>
      </c>
      <c r="W22" s="16" t="str">
        <f>IFERROR(__xludf.DUMMYFUNCTION("IFERROR(GOOGLEFINANCE(A22, ""volume"") / GOOGLEFINANCE(A22, ""volumeavg""), )"),"")</f>
        <v/>
      </c>
      <c r="X22" s="9">
        <f>IFERROR(__xludf.DUMMYFUNCTION("B22 * GOOGLEFINANCE(A22, ""volume"")"),1.92911648E9)</f>
        <v>1929116480</v>
      </c>
      <c r="Y22" s="9">
        <f>IFERROR(__xludf.DUMMYFUNCTION("IFERROR(((B22 - GOOGLEFINANCE(A22, ""priceopen"")) / GOOGLEFINANCE(A22, ""priceopen"")) * GOOGLEFINANCE(A22, ""volume""), 0)"),-10353.78102189781)</f>
        <v>-10353.78102</v>
      </c>
    </row>
    <row r="23">
      <c r="A23" s="4" t="s">
        <v>169</v>
      </c>
      <c r="B23" s="7">
        <f>IFERROR(__xludf.DUMMYFUNCTION("GOOGLEFINANCE(A23, ""price"")"),276.5)</f>
        <v>276.5</v>
      </c>
      <c r="C23" s="7">
        <f>IFERROR(__xludf.DUMMYFUNCTION("GOOGLEFINANCE(A23, ""changepct"")"),-0.9)</f>
        <v>-0.9</v>
      </c>
      <c r="D23" s="9">
        <f>IFERROR(__xludf.DUMMYFUNCTION("GOOGLEFINANCE(A23, ""priceopen"")"),279.0)</f>
        <v>279</v>
      </c>
      <c r="E23" s="9">
        <f>IFERROR(__xludf.DUMMYFUNCTION("GOOGLEFINANCE(A23, ""high"")"),279.55)</f>
        <v>279.55</v>
      </c>
      <c r="F23" s="9">
        <f>IFERROR(__xludf.DUMMYFUNCTION("GOOGLEFINANCE(A23, ""low"")"),275.4)</f>
        <v>275.4</v>
      </c>
      <c r="G23" s="9">
        <f>IFERROR(__xludf.DUMMYFUNCTION("GOOGLEFINANCE(A23, ""price"")"),276.5)</f>
        <v>276.5</v>
      </c>
      <c r="H23" s="9">
        <f>IFERROR(__xludf.DUMMYFUNCTION("MAX(INDEX(GOOGLEFINANCE(A23, ""high"", TODAY()-30, TODAY()), 0, 2))"),292.55)</f>
        <v>292.55</v>
      </c>
      <c r="I23" s="9">
        <f>IFERROR(__xludf.DUMMYFUNCTION("MIN(INDEX(GOOGLEFINANCE(A23, ""low"", TODAY()-30, TODAY()), 0, 2))"),275.0)</f>
        <v>275</v>
      </c>
      <c r="J23" s="9">
        <f>IFERROR(__xludf.DUMMYFUNCTION("GOOGLEFINANCE(A23, ""high52"")"),427.0)</f>
        <v>427</v>
      </c>
      <c r="K23" s="9">
        <f>IFERROR(__xludf.DUMMYFUNCTION("GOOGLEFINANCE(A23, ""low52"")"),275.0)</f>
        <v>275</v>
      </c>
      <c r="L23" s="9">
        <f t="shared" si="1"/>
        <v>0.3524590164</v>
      </c>
      <c r="M23" s="9">
        <f t="shared" si="2"/>
        <v>0.005454545455</v>
      </c>
      <c r="N23" s="9">
        <f t="shared" si="3"/>
        <v>0.01506899056</v>
      </c>
      <c r="O23" s="9">
        <f t="shared" si="4"/>
        <v>0.08547008547</v>
      </c>
      <c r="P23" s="9">
        <f>IFERROR(__xludf.DUMMYFUNCTION("GOOGLEFINANCE(A23, ""pe"")"),17.46)</f>
        <v>17.46</v>
      </c>
      <c r="Q23" s="9">
        <f>IFERROR(__xludf.DUMMYFUNCTION("IFERROR(GOOGLEFINANCE(A23, ""volume"") / GOOGLEFINANCE(A23, ""volumeavg""), 0)"),0.0)</f>
        <v>0</v>
      </c>
      <c r="R23" s="9">
        <f>IFERROR(__xludf.DUMMYFUNCTION("AVERAGE(INDEX(GOOGLEFINANCE(A23, ""price"", TODAY()-30, TODAY()), 0, 2))"),282.46521739130435)</f>
        <v>282.4652174</v>
      </c>
      <c r="S23" s="9">
        <f>IFERROR(__xludf.DUMMYFUNCTION("AVERAGE(INDEX(GOOGLEFINANCE(A23, ""price"", TODAY()-75, TODAY()), 0, 2))"),284.5264150943396)</f>
        <v>284.5264151</v>
      </c>
      <c r="T23" s="9">
        <f>IFERROR(__xludf.DUMMYFUNCTION("AVERAGE(INDEX(GOOGLEFINANCE(A23, ""price"", TODAY()-300, TODAY()), 0, 2))"),329.9477611940297)</f>
        <v>329.9477612</v>
      </c>
      <c r="U23" s="9">
        <f t="shared" si="5"/>
        <v>-0.02111841396</v>
      </c>
      <c r="V23" s="15">
        <f>IFERROR(__xludf.DUMMYFUNCTION("LET(hist, GOOGLEFINANCE(A23,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rs))))))"),42.39290989660265)</f>
        <v>42.3929099</v>
      </c>
      <c r="W23" s="16" t="str">
        <f>IFERROR(__xludf.DUMMYFUNCTION("IFERROR(GOOGLEFINANCE(A23, ""volume"") / GOOGLEFINANCE(A23, ""volumeavg""), )"),"")</f>
        <v/>
      </c>
      <c r="X23" s="9">
        <f>IFERROR(__xludf.DUMMYFUNCTION("B23 * GOOGLEFINANCE(A23, ""volume"")"),3.492420624E9)</f>
        <v>3492420624</v>
      </c>
      <c r="Y23" s="9">
        <f>IFERROR(__xludf.DUMMYFUNCTION("IFERROR(((B23 - GOOGLEFINANCE(A23, ""priceopen"")) / GOOGLEFINANCE(A23, ""priceopen"")) * GOOGLEFINANCE(A23, ""volume""), 0)"),-113179.35483870967)</f>
        <v>-113179.3548</v>
      </c>
    </row>
    <row r="24">
      <c r="A24" s="4" t="s">
        <v>176</v>
      </c>
      <c r="B24" s="7">
        <f>IFERROR(__xludf.DUMMYFUNCTION("GOOGLEFINANCE(A24, ""price"")"),11835.0)</f>
        <v>11835</v>
      </c>
      <c r="C24" s="7">
        <f>IFERROR(__xludf.DUMMYFUNCTION("GOOGLEFINANCE(A24, ""changepct"")"),0.47)</f>
        <v>0.47</v>
      </c>
      <c r="D24" s="9">
        <f>IFERROR(__xludf.DUMMYFUNCTION("GOOGLEFINANCE(A24, ""priceopen"")"),11790.0)</f>
        <v>11790</v>
      </c>
      <c r="E24" s="9">
        <f>IFERROR(__xludf.DUMMYFUNCTION("GOOGLEFINANCE(A24, ""high"")"),11891.0)</f>
        <v>11891</v>
      </c>
      <c r="F24" s="9">
        <f>IFERROR(__xludf.DUMMYFUNCTION("GOOGLEFINANCE(A24, ""low"")"),11650.0)</f>
        <v>11650</v>
      </c>
      <c r="G24" s="9">
        <f>IFERROR(__xludf.DUMMYFUNCTION("GOOGLEFINANCE(A24, ""price"")"),11835.0)</f>
        <v>11835</v>
      </c>
      <c r="H24" s="9">
        <f>IFERROR(__xludf.DUMMYFUNCTION("MAX(INDEX(GOOGLEFINANCE(A24, ""high"", TODAY()-30, TODAY()), 0, 2))"),12239.0)</f>
        <v>12239</v>
      </c>
      <c r="I24" s="9">
        <f>IFERROR(__xludf.DUMMYFUNCTION("MIN(INDEX(GOOGLEFINANCE(A24, ""low"", TODAY()-30, TODAY()), 0, 2))"),11355.0)</f>
        <v>11355</v>
      </c>
      <c r="J24" s="9">
        <f>IFERROR(__xludf.DUMMYFUNCTION("GOOGLEFINANCE(A24, ""high52"")"),13110.0)</f>
        <v>13110</v>
      </c>
      <c r="K24" s="9">
        <f>IFERROR(__xludf.DUMMYFUNCTION("GOOGLEFINANCE(A24, ""low52"")"),10325.0)</f>
        <v>10325</v>
      </c>
      <c r="L24" s="9">
        <f t="shared" si="1"/>
        <v>0.09725400458</v>
      </c>
      <c r="M24" s="9">
        <f t="shared" si="2"/>
        <v>0.1462469734</v>
      </c>
      <c r="N24" s="9">
        <f t="shared" si="3"/>
        <v>0.02068669528</v>
      </c>
      <c r="O24" s="9">
        <f t="shared" si="4"/>
        <v>0.5429864253</v>
      </c>
      <c r="P24" s="9">
        <f>IFERROR(__xludf.DUMMYFUNCTION("GOOGLEFINANCE(A24, ""pe"")"),40.78)</f>
        <v>40.78</v>
      </c>
      <c r="Q24" s="9">
        <f>IFERROR(__xludf.DUMMYFUNCTION("IFERROR(GOOGLEFINANCE(A24, ""volume"") / GOOGLEFINANCE(A24, ""volumeavg""), 0)"),0.0)</f>
        <v>0</v>
      </c>
      <c r="R24" s="9">
        <f>IFERROR(__xludf.DUMMYFUNCTION("AVERAGE(INDEX(GOOGLEFINANCE(A24, ""price"", TODAY()-30, TODAY()), 0, 2))"),11903.869565217392)</f>
        <v>11903.86957</v>
      </c>
      <c r="S24" s="9">
        <f>IFERROR(__xludf.DUMMYFUNCTION("AVERAGE(INDEX(GOOGLEFINANCE(A24, ""price"", TODAY()-75, TODAY()), 0, 2))"),11567.056603773584)</f>
        <v>11567.0566</v>
      </c>
      <c r="T24" s="9">
        <f>IFERROR(__xludf.DUMMYFUNCTION("AVERAGE(INDEX(GOOGLEFINANCE(A24, ""price"", TODAY()-300, TODAY()), 0, 2))"),11809.113861386139)</f>
        <v>11809.11386</v>
      </c>
      <c r="U24" s="9">
        <f t="shared" si="5"/>
        <v>-0.005785477138</v>
      </c>
      <c r="V24" s="15">
        <f>IFERROR(__xludf.DUMMYFUNCTION("LET(hist, GOOGLEFINANCE(A24,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rs))))))"),49.34464148033924)</f>
        <v>49.34464148</v>
      </c>
      <c r="W24" s="16" t="str">
        <f>IFERROR(__xludf.DUMMYFUNCTION("IFERROR(GOOGLEFINANCE(A24, ""volume"") / GOOGLEFINANCE(A24, ""volumeavg""), )"),"")</f>
        <v/>
      </c>
      <c r="X24" s="9">
        <f>IFERROR(__xludf.DUMMYFUNCTION("B24 * GOOGLEFINANCE(A24, ""volume"")"),3.883217355E9)</f>
        <v>3883217355</v>
      </c>
      <c r="Y24" s="9">
        <f>IFERROR(__xludf.DUMMYFUNCTION("IFERROR(((B24 - GOOGLEFINANCE(A24, ""priceopen"")) / GOOGLEFINANCE(A24, ""priceopen"")) * GOOGLEFINANCE(A24, ""volume""), 0)"),1252.3396946564885)</f>
        <v>1252.339695</v>
      </c>
    </row>
    <row r="25">
      <c r="A25" s="4" t="s">
        <v>183</v>
      </c>
      <c r="B25" s="7">
        <f>IFERROR(__xludf.DUMMYFUNCTION("GOOGLEFINANCE(A25, ""price"")"),338.5)</f>
        <v>338.5</v>
      </c>
      <c r="C25" s="7">
        <f>IFERROR(__xludf.DUMMYFUNCTION("GOOGLEFINANCE(A25, ""changepct"")"),0.01)</f>
        <v>0.01</v>
      </c>
      <c r="D25" s="9">
        <f>IFERROR(__xludf.DUMMYFUNCTION("GOOGLEFINANCE(A25, ""priceopen"")"),338.45)</f>
        <v>338.45</v>
      </c>
      <c r="E25" s="9">
        <f>IFERROR(__xludf.DUMMYFUNCTION("GOOGLEFINANCE(A25, ""high"")"),341.35)</f>
        <v>341.35</v>
      </c>
      <c r="F25" s="9">
        <f>IFERROR(__xludf.DUMMYFUNCTION("GOOGLEFINANCE(A25, ""low"")"),335.35)</f>
        <v>335.35</v>
      </c>
      <c r="G25" s="9">
        <f>IFERROR(__xludf.DUMMYFUNCTION("GOOGLEFINANCE(A25, ""price"")"),338.5)</f>
        <v>338.5</v>
      </c>
      <c r="H25" s="9">
        <f>IFERROR(__xludf.DUMMYFUNCTION("MAX(INDEX(GOOGLEFINANCE(A25, ""high"", TODAY()-30, TODAY()), 0, 2))"),355.0)</f>
        <v>355</v>
      </c>
      <c r="I25" s="9">
        <f>IFERROR(__xludf.DUMMYFUNCTION("MIN(INDEX(GOOGLEFINANCE(A25, ""low"", TODAY()-30, TODAY()), 0, 2))"),335.35)</f>
        <v>335.35</v>
      </c>
      <c r="J25" s="9">
        <f>IFERROR(__xludf.DUMMYFUNCTION("GOOGLEFINANCE(A25, ""high52"")"),414.4)</f>
        <v>414.4</v>
      </c>
      <c r="K25" s="9">
        <f>IFERROR(__xludf.DUMMYFUNCTION("GOOGLEFINANCE(A25, ""low52"")"),315.55)</f>
        <v>315.55</v>
      </c>
      <c r="L25" s="9">
        <f t="shared" si="1"/>
        <v>0.1831563707</v>
      </c>
      <c r="M25" s="9">
        <f t="shared" si="2"/>
        <v>0.0727301537</v>
      </c>
      <c r="N25" s="9">
        <f t="shared" si="3"/>
        <v>0.01789175488</v>
      </c>
      <c r="O25" s="9">
        <f t="shared" si="4"/>
        <v>0.1603053435</v>
      </c>
      <c r="P25" s="9">
        <f>IFERROR(__xludf.DUMMYFUNCTION("GOOGLEFINANCE(A25, ""pe"")"),11.82)</f>
        <v>11.82</v>
      </c>
      <c r="Q25" s="9">
        <f>IFERROR(__xludf.DUMMYFUNCTION("IFERROR(GOOGLEFINANCE(A25, ""volume"") / GOOGLEFINANCE(A25, ""volumeavg""), 0)"),0.0)</f>
        <v>0</v>
      </c>
      <c r="R25" s="9">
        <f>IFERROR(__xludf.DUMMYFUNCTION("AVERAGE(INDEX(GOOGLEFINANCE(A25, ""price"", TODAY()-30, TODAY()), 0, 2))"),345.7)</f>
        <v>345.7</v>
      </c>
      <c r="S25" s="9">
        <f>IFERROR(__xludf.DUMMYFUNCTION("AVERAGE(INDEX(GOOGLEFINANCE(A25, ""price"", TODAY()-75, TODAY()), 0, 2))"),353.1103773584907)</f>
        <v>353.1103774</v>
      </c>
      <c r="T25" s="9">
        <f>IFERROR(__xludf.DUMMYFUNCTION("AVERAGE(INDEX(GOOGLEFINANCE(A25, ""price"", TODAY()-300, TODAY()), 0, 2))"),357.0891089108913)</f>
        <v>357.0891089</v>
      </c>
      <c r="U25" s="9">
        <f t="shared" si="5"/>
        <v>-0.02082730691</v>
      </c>
      <c r="V25" s="15">
        <f>IFERROR(__xludf.DUMMYFUNCTION("LET(hist, GOOGLEFINANCE(A25,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rs))))))"),39.978094194961635)</f>
        <v>39.97809419</v>
      </c>
      <c r="W25" s="16" t="str">
        <f>IFERROR(__xludf.DUMMYFUNCTION("IFERROR(GOOGLEFINANCE(A25, ""volume"") / GOOGLEFINANCE(A25, ""volumeavg""), )"),"")</f>
        <v/>
      </c>
      <c r="X25" s="9">
        <f>IFERROR(__xludf.DUMMYFUNCTION("B25 * GOOGLEFINANCE(A25, ""volume"")"),3.436690304E9)</f>
        <v>3436690304</v>
      </c>
      <c r="Y25" s="9">
        <f>IFERROR(__xludf.DUMMYFUNCTION("IFERROR(((B25 - GOOGLEFINANCE(A25, ""priceopen"")) / GOOGLEFINANCE(A25, ""priceopen"")) * GOOGLEFINANCE(A25, ""volume""), 0)"),1499.8824050823323)</f>
        <v>1499.882405</v>
      </c>
    </row>
    <row r="26">
      <c r="A26" s="4" t="s">
        <v>190</v>
      </c>
      <c r="B26" s="7">
        <f>IFERROR(__xludf.DUMMYFUNCTION("GOOGLEFINANCE(A26, ""price"")"),2009.6)</f>
        <v>2009.6</v>
      </c>
      <c r="C26" s="7">
        <f>IFERROR(__xludf.DUMMYFUNCTION("GOOGLEFINANCE(A26, ""changepct"")"),-1.1)</f>
        <v>-1.1</v>
      </c>
      <c r="D26" s="9">
        <f>IFERROR(__xludf.DUMMYFUNCTION("GOOGLEFINANCE(A26, ""priceopen"")"),2023.0)</f>
        <v>2023</v>
      </c>
      <c r="E26" s="9">
        <f>IFERROR(__xludf.DUMMYFUNCTION("GOOGLEFINANCE(A26, ""high"")"),2028.4)</f>
        <v>2028.4</v>
      </c>
      <c r="F26" s="9">
        <f>IFERROR(__xludf.DUMMYFUNCTION("GOOGLEFINANCE(A26, ""low"")"),2006.1)</f>
        <v>2006.1</v>
      </c>
      <c r="G26" s="9">
        <f>IFERROR(__xludf.DUMMYFUNCTION("GOOGLEFINANCE(A26, ""price"")"),2009.6)</f>
        <v>2009.6</v>
      </c>
      <c r="H26" s="9">
        <f>IFERROR(__xludf.DUMMYFUNCTION("MAX(INDEX(GOOGLEFINANCE(A26, ""high"", TODAY()-30, TODAY()), 0, 2))"),2118.5)</f>
        <v>2118.5</v>
      </c>
      <c r="I26" s="9">
        <f>IFERROR(__xludf.DUMMYFUNCTION("MIN(INDEX(GOOGLEFINANCE(A26, ""low"", TODAY()-30, TODAY()), 0, 2))"),1822.0)</f>
        <v>1822</v>
      </c>
      <c r="J26" s="9">
        <f>IFERROR(__xludf.DUMMYFUNCTION("GOOGLEFINANCE(A26, ""high52"")"),2195.0)</f>
        <v>2195</v>
      </c>
      <c r="K26" s="9">
        <f>IFERROR(__xludf.DUMMYFUNCTION("GOOGLEFINANCE(A26, ""low52"")"),1597.0)</f>
        <v>1597</v>
      </c>
      <c r="L26" s="9">
        <f t="shared" si="1"/>
        <v>0.08446469248</v>
      </c>
      <c r="M26" s="9">
        <f t="shared" si="2"/>
        <v>0.2583594239</v>
      </c>
      <c r="N26" s="9">
        <f t="shared" si="3"/>
        <v>0.01111609591</v>
      </c>
      <c r="O26" s="9">
        <f t="shared" si="4"/>
        <v>0.6327150084</v>
      </c>
      <c r="P26" s="9">
        <f>IFERROR(__xludf.DUMMYFUNCTION("GOOGLEFINANCE(A26, ""pe"")"),31.91)</f>
        <v>31.91</v>
      </c>
      <c r="Q26" s="9">
        <f>IFERROR(__xludf.DUMMYFUNCTION("IFERROR(GOOGLEFINANCE(A26, ""volume"") / GOOGLEFINANCE(A26, ""volumeavg""), 0)"),0.0)</f>
        <v>0</v>
      </c>
      <c r="R26" s="9">
        <f>IFERROR(__xludf.DUMMYFUNCTION("AVERAGE(INDEX(GOOGLEFINANCE(A26, ""price"", TODAY()-30, TODAY()), 0, 2))"),1951.460869565218)</f>
        <v>1951.46087</v>
      </c>
      <c r="S26" s="9">
        <f>IFERROR(__xludf.DUMMYFUNCTION("AVERAGE(INDEX(GOOGLEFINANCE(A26, ""price"", TODAY()-75, TODAY()), 0, 2))"),1851.4490566037728)</f>
        <v>1851.449057</v>
      </c>
      <c r="T26" s="9">
        <f>IFERROR(__xludf.DUMMYFUNCTION("AVERAGE(INDEX(GOOGLEFINANCE(A26, ""price"", TODAY()-300, TODAY()), 0, 2))"),1918.965841584158)</f>
        <v>1918.965842</v>
      </c>
      <c r="U26" s="9">
        <f t="shared" si="5"/>
        <v>0.02979261913</v>
      </c>
      <c r="V26" s="15">
        <f>IFERROR(__xludf.DUMMYFUNCTION("LET(hist, GOOGLEFINANCE(A26,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rs))))))"),66.03865916320038)</f>
        <v>66.03865916</v>
      </c>
      <c r="W26" s="16" t="str">
        <f>IFERROR(__xludf.DUMMYFUNCTION("IFERROR(GOOGLEFINANCE(A26, ""volume"") / GOOGLEFINANCE(A26, ""volumeavg""), )"),"")</f>
        <v/>
      </c>
      <c r="X26" s="9">
        <f>IFERROR(__xludf.DUMMYFUNCTION("B26 * GOOGLEFINANCE(A26, ""volume"")"),1.1475760512E9)</f>
        <v>1147576051</v>
      </c>
      <c r="Y26" s="9">
        <f>IFERROR(__xludf.DUMMYFUNCTION("IFERROR(((B26 - GOOGLEFINANCE(A26, ""priceopen"")) / GOOGLEFINANCE(A26, ""priceopen"")) * GOOGLEFINANCE(A26, ""volume""), 0)"),-3782.51596638658)</f>
        <v>-3782.515966</v>
      </c>
    </row>
    <row r="27">
      <c r="A27" s="4" t="s">
        <v>195</v>
      </c>
      <c r="B27" s="7">
        <f>IFERROR(__xludf.DUMMYFUNCTION("GOOGLEFINANCE(A27, ""price"")"),11731.0)</f>
        <v>11731</v>
      </c>
      <c r="C27" s="7">
        <f>IFERROR(__xludf.DUMMYFUNCTION("GOOGLEFINANCE(A27, ""changepct"")"),0.12)</f>
        <v>0.12</v>
      </c>
      <c r="D27" s="9">
        <f>IFERROR(__xludf.DUMMYFUNCTION("GOOGLEFINANCE(A27, ""priceopen"")"),11729.0)</f>
        <v>11729</v>
      </c>
      <c r="E27" s="9">
        <f>IFERROR(__xludf.DUMMYFUNCTION("GOOGLEFINANCE(A27, ""high"")"),11819.0)</f>
        <v>11819</v>
      </c>
      <c r="F27" s="9">
        <f>IFERROR(__xludf.DUMMYFUNCTION("GOOGLEFINANCE(A27, ""low"")"),11678.0)</f>
        <v>11678</v>
      </c>
      <c r="G27" s="9">
        <f>IFERROR(__xludf.DUMMYFUNCTION("GOOGLEFINANCE(A27, ""price"")"),11731.0)</f>
        <v>11731</v>
      </c>
      <c r="H27" s="9">
        <f>IFERROR(__xludf.DUMMYFUNCTION("MAX(INDEX(GOOGLEFINANCE(A27, ""high"", TODAY()-30, TODAY()), 0, 2))"),11863.0)</f>
        <v>11863</v>
      </c>
      <c r="I27" s="9">
        <f>IFERROR(__xludf.DUMMYFUNCTION("MIN(INDEX(GOOGLEFINANCE(A27, ""low"", TODAY()-30, TODAY()), 0, 2))"),10030.5)</f>
        <v>10030.5</v>
      </c>
      <c r="J27" s="9">
        <f>IFERROR(__xludf.DUMMYFUNCTION("GOOGLEFINANCE(A27, ""high52"")"),11863.0)</f>
        <v>11863</v>
      </c>
      <c r="K27" s="9">
        <f>IFERROR(__xludf.DUMMYFUNCTION("GOOGLEFINANCE(A27, ""low52"")"),8180.0)</f>
        <v>8180</v>
      </c>
      <c r="L27" s="9">
        <f t="shared" si="1"/>
        <v>0.01112703363</v>
      </c>
      <c r="M27" s="9">
        <f t="shared" si="2"/>
        <v>0.4341075795</v>
      </c>
      <c r="N27" s="9">
        <f t="shared" si="3"/>
        <v>0.01207398527</v>
      </c>
      <c r="O27" s="9">
        <f t="shared" si="4"/>
        <v>0.9279672578</v>
      </c>
      <c r="P27" s="9">
        <f>IFERROR(__xludf.DUMMYFUNCTION("GOOGLEFINANCE(A27, ""pe"")"),27.9)</f>
        <v>27.9</v>
      </c>
      <c r="Q27" s="9">
        <f>IFERROR(__xludf.DUMMYFUNCTION("IFERROR(GOOGLEFINANCE(A27, ""volume"") / GOOGLEFINANCE(A27, ""volumeavg""), 0)"),0.0)</f>
        <v>0</v>
      </c>
      <c r="R27" s="9">
        <f>IFERROR(__xludf.DUMMYFUNCTION("AVERAGE(INDEX(GOOGLEFINANCE(A27, ""price"", TODAY()-30, TODAY()), 0, 2))"),11150.54347826087)</f>
        <v>11150.54348</v>
      </c>
      <c r="S27" s="9">
        <f>IFERROR(__xludf.DUMMYFUNCTION("AVERAGE(INDEX(GOOGLEFINANCE(A27, ""price"", TODAY()-75, TODAY()), 0, 2))"),10539.735849056604)</f>
        <v>10539.73585</v>
      </c>
      <c r="T27" s="9">
        <f>IFERROR(__xludf.DUMMYFUNCTION("AVERAGE(INDEX(GOOGLEFINANCE(A27, ""price"", TODAY()-300, TODAY()), 0, 2))"),9734.24504950495)</f>
        <v>9734.24505</v>
      </c>
      <c r="U27" s="9">
        <f t="shared" si="5"/>
        <v>0.05205634352</v>
      </c>
      <c r="V27" s="15">
        <f>IFERROR(__xludf.DUMMYFUNCTION("LET(hist, GOOGLEFINANCE(A27,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rs))))))"),62.23920070526006)</f>
        <v>62.23920071</v>
      </c>
      <c r="W27" s="16" t="str">
        <f>IFERROR(__xludf.DUMMYFUNCTION("IFERROR(GOOGLEFINANCE(A27, ""volume"") / GOOGLEFINANCE(A27, ""volumeavg""), )"),"")</f>
        <v/>
      </c>
      <c r="X27" s="9">
        <f>IFERROR(__xludf.DUMMYFUNCTION("B27 * GOOGLEFINANCE(A27, ""volume"")"),2.770768352E9)</f>
        <v>2770768352</v>
      </c>
      <c r="Y27" s="9">
        <f>IFERROR(__xludf.DUMMYFUNCTION("IFERROR(((B27 - GOOGLEFINANCE(A27, ""priceopen"")) / GOOGLEFINANCE(A27, ""priceopen"")) * GOOGLEFINANCE(A27, ""volume""), 0)"),40.274874243328505)</f>
        <v>40.27487424</v>
      </c>
    </row>
    <row r="28">
      <c r="A28" s="4" t="s">
        <v>203</v>
      </c>
      <c r="B28" s="7">
        <f>IFERROR(__xludf.DUMMYFUNCTION("GOOGLEFINANCE(A28, ""price"")"),4990.0)</f>
        <v>4990</v>
      </c>
      <c r="C28" s="7">
        <f>IFERROR(__xludf.DUMMYFUNCTION("GOOGLEFINANCE(A28, ""changepct"")"),1.65)</f>
        <v>1.65</v>
      </c>
      <c r="D28" s="9">
        <f>IFERROR(__xludf.DUMMYFUNCTION("GOOGLEFINANCE(A28, ""priceopen"")"),4909.0)</f>
        <v>4909</v>
      </c>
      <c r="E28" s="9">
        <f>IFERROR(__xludf.DUMMYFUNCTION("GOOGLEFINANCE(A28, ""high"")"),5055.0)</f>
        <v>5055</v>
      </c>
      <c r="F28" s="9">
        <f>IFERROR(__xludf.DUMMYFUNCTION("GOOGLEFINANCE(A28, ""low"")"),4803.4)</f>
        <v>4803.4</v>
      </c>
      <c r="G28" s="9">
        <f>IFERROR(__xludf.DUMMYFUNCTION("GOOGLEFINANCE(A28, ""price"")"),4990.0)</f>
        <v>4990</v>
      </c>
      <c r="H28" s="9">
        <f>IFERROR(__xludf.DUMMYFUNCTION("MAX(INDEX(GOOGLEFINANCE(A28, ""high"", TODAY()-30, TODAY()), 0, 2))"),5055.0)</f>
        <v>5055</v>
      </c>
      <c r="I28" s="9">
        <f>IFERROR(__xludf.DUMMYFUNCTION("MIN(INDEX(GOOGLEFINANCE(A28, ""low"", TODAY()-30, TODAY()), 0, 2))"),4392.0)</f>
        <v>4392</v>
      </c>
      <c r="J28" s="9">
        <f>IFERROR(__xludf.DUMMYFUNCTION("GOOGLEFINANCE(A28, ""high52"")"),5055.0)</f>
        <v>5055</v>
      </c>
      <c r="K28" s="9">
        <f>IFERROR(__xludf.DUMMYFUNCTION("GOOGLEFINANCE(A28, ""low52"")"),3479.1)</f>
        <v>3479.1</v>
      </c>
      <c r="L28" s="9">
        <f t="shared" si="1"/>
        <v>0.01285855589</v>
      </c>
      <c r="M28" s="9">
        <f t="shared" si="2"/>
        <v>0.4342789802</v>
      </c>
      <c r="N28" s="9">
        <f t="shared" si="3"/>
        <v>0.05237956448</v>
      </c>
      <c r="O28" s="9">
        <f t="shared" si="4"/>
        <v>0.9019607843</v>
      </c>
      <c r="P28" s="9">
        <f>IFERROR(__xludf.DUMMYFUNCTION("GOOGLEFINANCE(A28, ""pe"")"),36.61)</f>
        <v>36.61</v>
      </c>
      <c r="Q28" s="9">
        <f>IFERROR(__xludf.DUMMYFUNCTION("IFERROR(GOOGLEFINANCE(A28, ""volume"") / GOOGLEFINANCE(A28, ""volumeavg""), 0)"),0.0)</f>
        <v>0</v>
      </c>
      <c r="R28" s="9">
        <f>IFERROR(__xludf.DUMMYFUNCTION("AVERAGE(INDEX(GOOGLEFINANCE(A28, ""price"", TODAY()-30, TODAY()), 0, 2))"),4643.178260869566)</f>
        <v>4643.178261</v>
      </c>
      <c r="S28" s="9">
        <f>IFERROR(__xludf.DUMMYFUNCTION("AVERAGE(INDEX(GOOGLEFINANCE(A28, ""price"", TODAY()-75, TODAY()), 0, 2))"),4473.081132075471)</f>
        <v>4473.081132</v>
      </c>
      <c r="T28" s="9">
        <f>IFERROR(__xludf.DUMMYFUNCTION("AVERAGE(INDEX(GOOGLEFINANCE(A28, ""price"", TODAY()-300, TODAY()), 0, 2))"),4375.308910891091)</f>
        <v>4375.308911</v>
      </c>
      <c r="U28" s="9">
        <f t="shared" si="5"/>
        <v>0.0746949007</v>
      </c>
      <c r="V28" s="15">
        <f>IFERROR(__xludf.DUMMYFUNCTION("LET(hist, GOOGLEFINANCE(A28,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rs))))))"),79.42681678607977)</f>
        <v>79.42681679</v>
      </c>
      <c r="W28" s="16" t="str">
        <f>IFERROR(__xludf.DUMMYFUNCTION("IFERROR(GOOGLEFINANCE(A28, ""volume"") / GOOGLEFINANCE(A28, ""volumeavg""), )"),"")</f>
        <v/>
      </c>
      <c r="X28" s="9">
        <f>IFERROR(__xludf.DUMMYFUNCTION("B28 * GOOGLEFINANCE(A28, ""volume"")"),1.447681834E10)</f>
        <v>14476818340</v>
      </c>
      <c r="Y28" s="9">
        <f>IFERROR(__xludf.DUMMYFUNCTION("IFERROR(((B28 - GOOGLEFINANCE(A28, ""priceopen"")) / GOOGLEFINANCE(A28, ""priceopen"")) * GOOGLEFINANCE(A28, ""volume""), 0)"),47870.125483805255)</f>
        <v>47870.12548</v>
      </c>
    </row>
    <row r="29">
      <c r="A29" s="4" t="s">
        <v>208</v>
      </c>
      <c r="B29" s="7">
        <f>IFERROR(__xludf.DUMMYFUNCTION("GOOGLEFINANCE(A29, ""price"")"),1268.6)</f>
        <v>1268.6</v>
      </c>
      <c r="C29" s="7">
        <f>IFERROR(__xludf.DUMMYFUNCTION("GOOGLEFINANCE(A29, ""changepct"")"),-1.15)</f>
        <v>-1.15</v>
      </c>
      <c r="D29" s="9">
        <f>IFERROR(__xludf.DUMMYFUNCTION("GOOGLEFINANCE(A29, ""priceopen"")"),1285.9)</f>
        <v>1285.9</v>
      </c>
      <c r="E29" s="9">
        <f>IFERROR(__xludf.DUMMYFUNCTION("GOOGLEFINANCE(A29, ""high"")"),1288.9)</f>
        <v>1288.9</v>
      </c>
      <c r="F29" s="9">
        <f>IFERROR(__xludf.DUMMYFUNCTION("GOOGLEFINANCE(A29, ""low"")"),1268.2)</f>
        <v>1268.2</v>
      </c>
      <c r="G29" s="9">
        <f>IFERROR(__xludf.DUMMYFUNCTION("GOOGLEFINANCE(A29, ""price"")"),1268.6)</f>
        <v>1268.6</v>
      </c>
      <c r="H29" s="9">
        <f>IFERROR(__xludf.DUMMYFUNCTION("MAX(INDEX(GOOGLEFINANCE(A29, ""high"", TODAY()-30, TODAY()), 0, 2))"),1335.0)</f>
        <v>1335</v>
      </c>
      <c r="I29" s="9">
        <f>IFERROR(__xludf.DUMMYFUNCTION("MIN(INDEX(GOOGLEFINANCE(A29, ""low"", TODAY()-30, TODAY()), 0, 2))"),1218.0)</f>
        <v>1218</v>
      </c>
      <c r="J29" s="9">
        <f>IFERROR(__xludf.DUMMYFUNCTION("GOOGLEFINANCE(A29, ""high52"")"),1335.0)</f>
        <v>1335</v>
      </c>
      <c r="K29" s="9">
        <f>IFERROR(__xludf.DUMMYFUNCTION("GOOGLEFINANCE(A29, ""low52"")"),1022.3)</f>
        <v>1022.3</v>
      </c>
      <c r="L29" s="9">
        <f t="shared" si="1"/>
        <v>0.04973782772</v>
      </c>
      <c r="M29" s="9">
        <f t="shared" si="2"/>
        <v>0.2409273207</v>
      </c>
      <c r="N29" s="9">
        <f t="shared" si="3"/>
        <v>0.01632234663</v>
      </c>
      <c r="O29" s="9">
        <f t="shared" si="4"/>
        <v>0.4324786325</v>
      </c>
      <c r="P29" s="9">
        <f>IFERROR(__xludf.DUMMYFUNCTION("GOOGLEFINANCE(A29, ""pe"")"),12.51)</f>
        <v>12.51</v>
      </c>
      <c r="Q29" s="9">
        <f>IFERROR(__xludf.DUMMYFUNCTION("IFERROR(GOOGLEFINANCE(A29, ""volume"") / GOOGLEFINANCE(A29, ""volumeavg""), 0)"),0.0)</f>
        <v>0</v>
      </c>
      <c r="R29" s="9">
        <f>IFERROR(__xludf.DUMMYFUNCTION("AVERAGE(INDEX(GOOGLEFINANCE(A29, ""price"", TODAY()-30, TODAY()), 0, 2))"),1267.0565217391304)</f>
        <v>1267.056522</v>
      </c>
      <c r="S29" s="9">
        <f>IFERROR(__xludf.DUMMYFUNCTION("AVERAGE(INDEX(GOOGLEFINANCE(A29, ""price"", TODAY()-75, TODAY()), 0, 2))"),1264.8358490566043)</f>
        <v>1264.835849</v>
      </c>
      <c r="T29" s="9">
        <f>IFERROR(__xludf.DUMMYFUNCTION("AVERAGE(INDEX(GOOGLEFINANCE(A29, ""price"", TODAY()-300, TODAY()), 0, 2))"),1212.7410891089105)</f>
        <v>1212.741089</v>
      </c>
      <c r="U29" s="9">
        <f t="shared" si="5"/>
        <v>0.001218160543</v>
      </c>
      <c r="V29" s="15">
        <f>IFERROR(__xludf.DUMMYFUNCTION("LET(hist, GOOGLEFINANCE(A29,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rs))))))"),56.39701663798048)</f>
        <v>56.39701664</v>
      </c>
      <c r="W29" s="16" t="str">
        <f>IFERROR(__xludf.DUMMYFUNCTION("IFERROR(GOOGLEFINANCE(A29, ""volume"") / GOOGLEFINANCE(A29, ""volumeavg""), )"),"")</f>
        <v/>
      </c>
      <c r="X29" s="9">
        <f>IFERROR(__xludf.DUMMYFUNCTION("B29 * GOOGLEFINANCE(A29, ""volume"")"),1.0941370536E9)</f>
        <v>1094137054</v>
      </c>
      <c r="Y29" s="9">
        <f>IFERROR(__xludf.DUMMYFUNCTION("IFERROR(((B29 - GOOGLEFINANCE(A29, ""priceopen"")) / GOOGLEFINANCE(A29, ""priceopen"")) * GOOGLEFINANCE(A29, ""volume""), 0)"),-11603.417684112415)</f>
        <v>-11603.41768</v>
      </c>
    </row>
    <row r="30">
      <c r="A30" s="4" t="s">
        <v>217</v>
      </c>
      <c r="B30" s="7">
        <f>IFERROR(__xludf.DUMMYFUNCTION("GOOGLEFINANCE(A30, ""price"")"),239.45)</f>
        <v>239.45</v>
      </c>
      <c r="C30" s="7">
        <f>IFERROR(__xludf.DUMMYFUNCTION("GOOGLEFINANCE(A30, ""changepct"")"),0.0)</f>
        <v>0</v>
      </c>
      <c r="D30" s="9">
        <f>IFERROR(__xludf.DUMMYFUNCTION("GOOGLEFINANCE(A30, ""priceopen"")"),240.0)</f>
        <v>240</v>
      </c>
      <c r="E30" s="9">
        <f>IFERROR(__xludf.DUMMYFUNCTION("GOOGLEFINANCE(A30, ""high"")"),241.33)</f>
        <v>241.33</v>
      </c>
      <c r="F30" s="9">
        <f>IFERROR(__xludf.DUMMYFUNCTION("GOOGLEFINANCE(A30, ""low"")"),238.65)</f>
        <v>238.65</v>
      </c>
      <c r="G30" s="9">
        <f>IFERROR(__xludf.DUMMYFUNCTION("GOOGLEFINANCE(A30, ""price"")"),239.45)</f>
        <v>239.45</v>
      </c>
      <c r="H30" s="9">
        <f>IFERROR(__xludf.DUMMYFUNCTION("MAX(INDEX(GOOGLEFINANCE(A30, ""high"", TODAY()-30, TODAY()), 0, 2))"),254.2)</f>
        <v>254.2</v>
      </c>
      <c r="I30" s="9">
        <f>IFERROR(__xludf.DUMMYFUNCTION("MIN(INDEX(GOOGLEFINANCE(A30, ""low"", TODAY()-30, TODAY()), 0, 2))"),236.09)</f>
        <v>236.09</v>
      </c>
      <c r="J30" s="9">
        <f>IFERROR(__xludf.DUMMYFUNCTION("GOOGLEFINANCE(A30, ""high52"")"),307.5)</f>
        <v>307.5</v>
      </c>
      <c r="K30" s="9">
        <f>IFERROR(__xludf.DUMMYFUNCTION("GOOGLEFINANCE(A30, ""low52"")"),227.65)</f>
        <v>227.65</v>
      </c>
      <c r="L30" s="9">
        <f t="shared" si="1"/>
        <v>0.221300813</v>
      </c>
      <c r="M30" s="9">
        <f t="shared" si="2"/>
        <v>0.05183395563</v>
      </c>
      <c r="N30" s="9">
        <f t="shared" si="3"/>
        <v>0.01122983449</v>
      </c>
      <c r="O30" s="9">
        <f t="shared" si="4"/>
        <v>0.1855328548</v>
      </c>
      <c r="P30" s="9">
        <f>IFERROR(__xludf.DUMMYFUNCTION("GOOGLEFINANCE(A30, ""pe"")"),6.92)</f>
        <v>6.92</v>
      </c>
      <c r="Q30" s="9">
        <f>IFERROR(__xludf.DUMMYFUNCTION("IFERROR(GOOGLEFINANCE(A30, ""volume"") / GOOGLEFINANCE(A30, ""volumeavg""), 0)"),0.0)</f>
        <v>0</v>
      </c>
      <c r="R30" s="9">
        <f>IFERROR(__xludf.DUMMYFUNCTION("AVERAGE(INDEX(GOOGLEFINANCE(A30, ""price"", TODAY()-30, TODAY()), 0, 2))"),243.92)</f>
        <v>243.92</v>
      </c>
      <c r="S30" s="9">
        <f>IFERROR(__xludf.DUMMYFUNCTION("AVERAGE(INDEX(GOOGLEFINANCE(A30, ""price"", TODAY()-75, TODAY()), 0, 2))"),246.6422641509434)</f>
        <v>246.6422642</v>
      </c>
      <c r="T30" s="9">
        <f>IFERROR(__xludf.DUMMYFUNCTION("AVERAGE(INDEX(GOOGLEFINANCE(A30, ""price"", TODAY()-300, TODAY()), 0, 2))"),258.7419306930694)</f>
        <v>258.7419307</v>
      </c>
      <c r="U30" s="9">
        <f t="shared" si="5"/>
        <v>-0.01832568055</v>
      </c>
      <c r="V30" s="15">
        <f>IFERROR(__xludf.DUMMYFUNCTION("LET(hist, GOOGLEFINANCE(A30,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rs))))))"),24.905802562170294)</f>
        <v>24.90580256</v>
      </c>
      <c r="W30" s="16" t="str">
        <f>IFERROR(__xludf.DUMMYFUNCTION("IFERROR(GOOGLEFINANCE(A30, ""volume"") / GOOGLEFINANCE(A30, ""volumeavg""), )"),"")</f>
        <v/>
      </c>
      <c r="X30" s="9">
        <f>IFERROR(__xludf.DUMMYFUNCTION("B30 * GOOGLEFINANCE(A30, ""volume"")"),2.56097449965E9)</f>
        <v>2560974500</v>
      </c>
      <c r="Y30" s="9">
        <f>IFERROR(__xludf.DUMMYFUNCTION("IFERROR(((B30 - GOOGLEFINANCE(A30, ""priceopen"")) / GOOGLEFINANCE(A30, ""priceopen"")) * GOOGLEFINANCE(A30, ""volume""), 0)"),-24509.918125000506)</f>
        <v>-24509.91813</v>
      </c>
    </row>
    <row r="31">
      <c r="A31" s="4" t="s">
        <v>225</v>
      </c>
      <c r="B31" s="7">
        <f>IFERROR(__xludf.DUMMYFUNCTION("GOOGLEFINANCE(A31, ""price"")"),314.5)</f>
        <v>314.5</v>
      </c>
      <c r="C31" s="7">
        <f>IFERROR(__xludf.DUMMYFUNCTION("GOOGLEFINANCE(A31, ""changepct"")"),-1.1)</f>
        <v>-1.1</v>
      </c>
      <c r="D31" s="9">
        <f>IFERROR(__xludf.DUMMYFUNCTION("GOOGLEFINANCE(A31, ""priceopen"")"),318.95)</f>
        <v>318.95</v>
      </c>
      <c r="E31" s="9">
        <f>IFERROR(__xludf.DUMMYFUNCTION("GOOGLEFINANCE(A31, ""high"")"),318.95)</f>
        <v>318.95</v>
      </c>
      <c r="F31" s="9">
        <f>IFERROR(__xludf.DUMMYFUNCTION("GOOGLEFINANCE(A31, ""low"")"),312.6)</f>
        <v>312.6</v>
      </c>
      <c r="G31" s="9">
        <f>IFERROR(__xludf.DUMMYFUNCTION("GOOGLEFINANCE(A31, ""price"")"),314.5)</f>
        <v>314.5</v>
      </c>
      <c r="H31" s="9">
        <f>IFERROR(__xludf.DUMMYFUNCTION("MAX(INDEX(GOOGLEFINANCE(A31, ""high"", TODAY()-30, TODAY()), 0, 2))"),319.7)</f>
        <v>319.7</v>
      </c>
      <c r="I31" s="9">
        <f>IFERROR(__xludf.DUMMYFUNCTION("MIN(INDEX(GOOGLEFINANCE(A31, ""low"", TODAY()-30, TODAY()), 0, 2))"),275.55)</f>
        <v>275.55</v>
      </c>
      <c r="J31" s="9">
        <f>IFERROR(__xludf.DUMMYFUNCTION("GOOGLEFINANCE(A31, ""high52"")"),368.45)</f>
        <v>368.45</v>
      </c>
      <c r="K31" s="9">
        <f>IFERROR(__xludf.DUMMYFUNCTION("GOOGLEFINANCE(A31, ""low52"")"),212.6)</f>
        <v>212.6</v>
      </c>
      <c r="L31" s="9">
        <f t="shared" si="1"/>
        <v>0.1464242095</v>
      </c>
      <c r="M31" s="9">
        <f t="shared" si="2"/>
        <v>0.479303857</v>
      </c>
      <c r="N31" s="9">
        <f t="shared" si="3"/>
        <v>0.02031349968</v>
      </c>
      <c r="O31" s="9">
        <f t="shared" si="4"/>
        <v>0.8822197055</v>
      </c>
      <c r="P31" s="9">
        <f>IFERROR(__xludf.DUMMYFUNCTION("GOOGLEFINANCE(A31, ""pe"")"),664.58)</f>
        <v>664.58</v>
      </c>
      <c r="Q31" s="9">
        <f>IFERROR(__xludf.DUMMYFUNCTION("IFERROR(GOOGLEFINANCE(A31, ""volume"") / GOOGLEFINANCE(A31, ""volumeavg""), 0)"),0.0)</f>
        <v>0</v>
      </c>
      <c r="R31" s="9">
        <f>IFERROR(__xludf.DUMMYFUNCTION("AVERAGE(INDEX(GOOGLEFINANCE(A31, ""price"", TODAY()-30, TODAY()), 0, 2))"),300.00652173913045)</f>
        <v>300.0065217</v>
      </c>
      <c r="S31" s="9">
        <f>IFERROR(__xludf.DUMMYFUNCTION("AVERAGE(INDEX(GOOGLEFINANCE(A31, ""price"", TODAY()-75, TODAY()), 0, 2))"),278.26)</f>
        <v>278.26</v>
      </c>
      <c r="T31" s="9">
        <f>IFERROR(__xludf.DUMMYFUNCTION("AVERAGE(INDEX(GOOGLEFINANCE(A31, ""price"", TODAY()-300, TODAY()), 0, 2))"),274.9387562189054)</f>
        <v>274.9387562</v>
      </c>
      <c r="U31" s="9">
        <f t="shared" si="5"/>
        <v>0.04831054397</v>
      </c>
      <c r="V31" s="15">
        <f>IFERROR(__xludf.DUMMYFUNCTION("LET(hist, GOOGLEFINANCE(A31,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rs))))))"),66.07036374478236)</f>
        <v>66.07036374</v>
      </c>
      <c r="W31" s="16" t="str">
        <f>IFERROR(__xludf.DUMMYFUNCTION("IFERROR(GOOGLEFINANCE(A31, ""volume"") / GOOGLEFINANCE(A31, ""volumeavg""), )"),"")</f>
        <v/>
      </c>
      <c r="X31" s="9">
        <f>IFERROR(__xludf.DUMMYFUNCTION("B31 * GOOGLEFINANCE(A31, ""volume"")"),6.2826881895E9)</f>
        <v>6282688190</v>
      </c>
      <c r="Y31" s="9">
        <f>IFERROR(__xludf.DUMMYFUNCTION("IFERROR(((B31 - GOOGLEFINANCE(A31, ""priceopen"")) / GOOGLEFINANCE(A31, ""priceopen"")) * GOOGLEFINANCE(A31, ""volume""), 0)"),-278716.2312274644)</f>
        <v>-278716.2312</v>
      </c>
    </row>
    <row r="32">
      <c r="A32" s="4" t="s">
        <v>233</v>
      </c>
      <c r="B32" s="7">
        <f>IFERROR(__xludf.DUMMYFUNCTION("GOOGLEFINANCE(A32, ""price"")"),1498.8)</f>
        <v>1498.8</v>
      </c>
      <c r="C32" s="7">
        <f>IFERROR(__xludf.DUMMYFUNCTION("GOOGLEFINANCE(A32, ""changepct"")"),0.38)</f>
        <v>0.38</v>
      </c>
      <c r="D32" s="9">
        <f>IFERROR(__xludf.DUMMYFUNCTION("GOOGLEFINANCE(A32, ""priceopen"")"),1503.0)</f>
        <v>1503</v>
      </c>
      <c r="E32" s="9">
        <f>IFERROR(__xludf.DUMMYFUNCTION("GOOGLEFINANCE(A32, ""high"")"),1515.7)</f>
        <v>1515.7</v>
      </c>
      <c r="F32" s="9">
        <f>IFERROR(__xludf.DUMMYFUNCTION("GOOGLEFINANCE(A32, ""low"")"),1495.3)</f>
        <v>1495.3</v>
      </c>
      <c r="G32" s="9">
        <f>IFERROR(__xludf.DUMMYFUNCTION("GOOGLEFINANCE(A32, ""price"")"),1498.8)</f>
        <v>1498.8</v>
      </c>
      <c r="H32" s="9">
        <f>IFERROR(__xludf.DUMMYFUNCTION("MAX(INDEX(GOOGLEFINANCE(A32, ""high"", TODAY()-30, TODAY()), 0, 2))"),1553.0)</f>
        <v>1553</v>
      </c>
      <c r="I32" s="9">
        <f>IFERROR(__xludf.DUMMYFUNCTION("MIN(INDEX(GOOGLEFINANCE(A32, ""low"", TODAY()-30, TODAY()), 0, 2))"),1405.1)</f>
        <v>1405.1</v>
      </c>
      <c r="J32" s="9">
        <f>IFERROR(__xludf.DUMMYFUNCTION("GOOGLEFINANCE(A32, ""high52"")"),1553.0)</f>
        <v>1553</v>
      </c>
      <c r="K32" s="9">
        <f>IFERROR(__xludf.DUMMYFUNCTION("GOOGLEFINANCE(A32, ""low52"")"),1084.7)</f>
        <v>1084.7</v>
      </c>
      <c r="L32" s="9">
        <f t="shared" si="1"/>
        <v>0.03490019317</v>
      </c>
      <c r="M32" s="9">
        <f t="shared" si="2"/>
        <v>0.3817645432</v>
      </c>
      <c r="N32" s="9">
        <f t="shared" si="3"/>
        <v>0.01364274727</v>
      </c>
      <c r="O32" s="9">
        <f t="shared" si="4"/>
        <v>0.6335361731</v>
      </c>
      <c r="P32" s="9">
        <f>IFERROR(__xludf.DUMMYFUNCTION("GOOGLEFINANCE(A32, ""pe"")"),75.8)</f>
        <v>75.8</v>
      </c>
      <c r="Q32" s="9">
        <f>IFERROR(__xludf.DUMMYFUNCTION("IFERROR(GOOGLEFINANCE(A32, ""volume"") / GOOGLEFINANCE(A32, ""volumeavg""), 0)"),0.0)</f>
        <v>0</v>
      </c>
      <c r="R32" s="9">
        <f>IFERROR(__xludf.DUMMYFUNCTION("AVERAGE(INDEX(GOOGLEFINANCE(A32, ""price"", TODAY()-30, TODAY()), 0, 2))"),1480.7695652173911)</f>
        <v>1480.769565</v>
      </c>
      <c r="S32" s="9">
        <f>IFERROR(__xludf.DUMMYFUNCTION("AVERAGE(INDEX(GOOGLEFINANCE(A32, ""price"", TODAY()-75, TODAY()), 0, 2))"),1443.6037735849056)</f>
        <v>1443.603774</v>
      </c>
      <c r="T32" s="9">
        <f>IFERROR(__xludf.DUMMYFUNCTION("AVERAGE(INDEX(GOOGLEFINANCE(A32, ""price"", TODAY()-300, TODAY()), 0, 2))"),1334.8425742574254)</f>
        <v>1334.842574</v>
      </c>
      <c r="U32" s="9">
        <f t="shared" si="5"/>
        <v>0.01217639477</v>
      </c>
      <c r="V32" s="15">
        <f>IFERROR(__xludf.DUMMYFUNCTION("LET(hist, GOOGLEFINANCE(A32,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rs))))))"),64.50662739322529)</f>
        <v>64.50662739</v>
      </c>
      <c r="W32" s="16" t="str">
        <f>IFERROR(__xludf.DUMMYFUNCTION("IFERROR(GOOGLEFINANCE(A32, ""volume"") / GOOGLEFINANCE(A32, ""volumeavg""), )"),"")</f>
        <v/>
      </c>
      <c r="X32" s="9">
        <f>IFERROR(__xludf.DUMMYFUNCTION("B32 * GOOGLEFINANCE(A32, ""volume"")"),2.9834828027999997E9)</f>
        <v>2983482803</v>
      </c>
      <c r="Y32" s="9">
        <f>IFERROR(__xludf.DUMMYFUNCTION("IFERROR(((B32 - GOOGLEFINANCE(A32, ""priceopen"")) / GOOGLEFINANCE(A32, ""priceopen"")) * GOOGLEFINANCE(A32, ""volume""), 0)"),-5562.501796407247)</f>
        <v>-5562.501796</v>
      </c>
    </row>
    <row r="33">
      <c r="A33" s="4" t="s">
        <v>242</v>
      </c>
      <c r="B33" s="7">
        <f>IFERROR(__xludf.DUMMYFUNCTION("GOOGLEFINANCE(A33, ""price"")"),404.3)</f>
        <v>404.3</v>
      </c>
      <c r="C33" s="7">
        <f>IFERROR(__xludf.DUMMYFUNCTION("GOOGLEFINANCE(A33, ""changepct"")"),-0.38)</f>
        <v>-0.38</v>
      </c>
      <c r="D33" s="9">
        <f>IFERROR(__xludf.DUMMYFUNCTION("GOOGLEFINANCE(A33, ""priceopen"")"),406.0)</f>
        <v>406</v>
      </c>
      <c r="E33" s="9">
        <f>IFERROR(__xludf.DUMMYFUNCTION("GOOGLEFINANCE(A33, ""high"")"),406.25)</f>
        <v>406.25</v>
      </c>
      <c r="F33" s="9">
        <f>IFERROR(__xludf.DUMMYFUNCTION("GOOGLEFINANCE(A33, ""low"")"),399.3)</f>
        <v>399.3</v>
      </c>
      <c r="G33" s="9">
        <f>IFERROR(__xludf.DUMMYFUNCTION("GOOGLEFINANCE(A33, ""price"")"),404.3)</f>
        <v>404.3</v>
      </c>
      <c r="H33" s="9">
        <f>IFERROR(__xludf.DUMMYFUNCTION("MAX(INDEX(GOOGLEFINANCE(A33, ""high"", TODAY()-30, TODAY()), 0, 2))"),414.3)</f>
        <v>414.3</v>
      </c>
      <c r="I33" s="9">
        <f>IFERROR(__xludf.DUMMYFUNCTION("MIN(INDEX(GOOGLEFINANCE(A33, ""low"", TODAY()-30, TODAY()), 0, 2))"),382.2)</f>
        <v>382.2</v>
      </c>
      <c r="J33" s="9">
        <f>IFERROR(__xludf.DUMMYFUNCTION("GOOGLEFINANCE(A33, ""high52"")"),473.45)</f>
        <v>473.45</v>
      </c>
      <c r="K33" s="9">
        <f>IFERROR(__xludf.DUMMYFUNCTION("GOOGLEFINANCE(A33, ""low52"")"),361.2)</f>
        <v>361.2</v>
      </c>
      <c r="L33" s="9">
        <f t="shared" si="1"/>
        <v>0.1460555497</v>
      </c>
      <c r="M33" s="9">
        <f t="shared" si="2"/>
        <v>0.119324474</v>
      </c>
      <c r="N33" s="9">
        <f t="shared" si="3"/>
        <v>0.01740545955</v>
      </c>
      <c r="O33" s="9">
        <f t="shared" si="4"/>
        <v>0.6884735202</v>
      </c>
      <c r="P33" s="9">
        <f>IFERROR(__xludf.DUMMYFUNCTION("GOOGLEFINANCE(A33, ""pe"")"),48.14)</f>
        <v>48.14</v>
      </c>
      <c r="Q33" s="9">
        <f>IFERROR(__xludf.DUMMYFUNCTION("IFERROR(GOOGLEFINANCE(A33, ""volume"") / GOOGLEFINANCE(A33, ""volumeavg""), 0)"),0.0)</f>
        <v>0</v>
      </c>
      <c r="R33" s="9">
        <f>IFERROR(__xludf.DUMMYFUNCTION("AVERAGE(INDEX(GOOGLEFINANCE(A33, ""price"", TODAY()-30, TODAY()), 0, 2))"),401.30000000000007)</f>
        <v>401.3</v>
      </c>
      <c r="S33" s="9">
        <f>IFERROR(__xludf.DUMMYFUNCTION("AVERAGE(INDEX(GOOGLEFINANCE(A33, ""price"", TODAY()-75, TODAY()), 0, 2))"),408.1764150943397)</f>
        <v>408.1764151</v>
      </c>
      <c r="T33" s="9">
        <f>IFERROR(__xludf.DUMMYFUNCTION("AVERAGE(INDEX(GOOGLEFINANCE(A33, ""price"", TODAY()-300, TODAY()), 0, 2))"),419.72500000000014)</f>
        <v>419.725</v>
      </c>
      <c r="U33" s="9">
        <f t="shared" si="5"/>
        <v>0.007475703962</v>
      </c>
      <c r="V33" s="15">
        <f>IFERROR(__xludf.DUMMYFUNCTION("LET(hist, GOOGLEFINANCE(A33,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rs))))))"),50.348953140578224)</f>
        <v>50.34895314</v>
      </c>
      <c r="W33" s="16" t="str">
        <f>IFERROR(__xludf.DUMMYFUNCTION("IFERROR(GOOGLEFINANCE(A33, ""volume"") / GOOGLEFINANCE(A33, ""volumeavg""), )"),"")</f>
        <v/>
      </c>
      <c r="X33" s="9">
        <f>IFERROR(__xludf.DUMMYFUNCTION("B33 * GOOGLEFINANCE(A33, ""volume"")"),5.3067091896E9)</f>
        <v>5306709190</v>
      </c>
      <c r="Y33" s="9">
        <f>IFERROR(__xludf.DUMMYFUNCTION("IFERROR(((B33 - GOOGLEFINANCE(A33, ""priceopen"")) / GOOGLEFINANCE(A33, ""priceopen"")) * GOOGLEFINANCE(A33, ""volume""), 0)"),-54959.71034482722)</f>
        <v>-54959.71034</v>
      </c>
    </row>
    <row r="34">
      <c r="A34" s="4" t="s">
        <v>248</v>
      </c>
      <c r="B34" s="7">
        <f>IFERROR(__xludf.DUMMYFUNCTION("GOOGLEFINANCE(A34, ""price"")"),269.0)</f>
        <v>269</v>
      </c>
      <c r="C34" s="7">
        <f>IFERROR(__xludf.DUMMYFUNCTION("GOOGLEFINANCE(A34, ""changepct"")"),0.39)</f>
        <v>0.39</v>
      </c>
      <c r="D34" s="9">
        <f>IFERROR(__xludf.DUMMYFUNCTION("GOOGLEFINANCE(A34, ""priceopen"")"),267.95)</f>
        <v>267.95</v>
      </c>
      <c r="E34" s="9">
        <f>IFERROR(__xludf.DUMMYFUNCTION("GOOGLEFINANCE(A34, ""high"")"),270.0)</f>
        <v>270</v>
      </c>
      <c r="F34" s="9">
        <f>IFERROR(__xludf.DUMMYFUNCTION("GOOGLEFINANCE(A34, ""low"")"),266.3)</f>
        <v>266.3</v>
      </c>
      <c r="G34" s="9">
        <f>IFERROR(__xludf.DUMMYFUNCTION("GOOGLEFINANCE(A34, ""price"")"),269.0)</f>
        <v>269</v>
      </c>
      <c r="H34" s="9">
        <f>IFERROR(__xludf.DUMMYFUNCTION("MAX(INDEX(GOOGLEFINANCE(A34, ""high"", TODAY()-30, TODAY()), 0, 2))"),294.1)</f>
        <v>294.1</v>
      </c>
      <c r="I34" s="9">
        <f>IFERROR(__xludf.DUMMYFUNCTION("MIN(INDEX(GOOGLEFINANCE(A34, ""low"", TODAY()-30, TODAY()), 0, 2))"),266.3)</f>
        <v>266.3</v>
      </c>
      <c r="J34" s="9">
        <f>IFERROR(__xludf.DUMMYFUNCTION("GOOGLEFINANCE(A34, ""high52"")"),324.95)</f>
        <v>324.95</v>
      </c>
      <c r="K34" s="9">
        <f>IFERROR(__xludf.DUMMYFUNCTION("GOOGLEFINANCE(A34, ""low52"")"),250.0)</f>
        <v>250</v>
      </c>
      <c r="L34" s="9">
        <f t="shared" si="1"/>
        <v>0.1721803354</v>
      </c>
      <c r="M34" s="9">
        <f t="shared" si="2"/>
        <v>0.076</v>
      </c>
      <c r="N34" s="9">
        <f t="shared" si="3"/>
        <v>0.01389410439</v>
      </c>
      <c r="O34" s="9">
        <f t="shared" si="4"/>
        <v>0.09712230216</v>
      </c>
      <c r="P34" s="9">
        <f>IFERROR(__xludf.DUMMYFUNCTION("GOOGLEFINANCE(A34, ""pe"")"),15.74)</f>
        <v>15.74</v>
      </c>
      <c r="Q34" s="9">
        <f>IFERROR(__xludf.DUMMYFUNCTION("IFERROR(GOOGLEFINANCE(A34, ""volume"") / GOOGLEFINANCE(A34, ""volumeavg""), 0)"),0.0)</f>
        <v>0</v>
      </c>
      <c r="R34" s="9">
        <f>IFERROR(__xludf.DUMMYFUNCTION("AVERAGE(INDEX(GOOGLEFINANCE(A34, ""price"", TODAY()-30, TODAY()), 0, 2))"),282.1217391304348)</f>
        <v>282.1217391</v>
      </c>
      <c r="S34" s="9">
        <f>IFERROR(__xludf.DUMMYFUNCTION("AVERAGE(INDEX(GOOGLEFINANCE(A34, ""price"", TODAY()-75, TODAY()), 0, 2))"),284.5716981132076)</f>
        <v>284.5716981</v>
      </c>
      <c r="T34" s="9">
        <f>IFERROR(__xludf.DUMMYFUNCTION("AVERAGE(INDEX(GOOGLEFINANCE(A34, ""price"", TODAY()-300, TODAY()), 0, 2))"),285.7967821782178)</f>
        <v>285.7967822</v>
      </c>
      <c r="U34" s="9">
        <f t="shared" si="5"/>
        <v>-0.04651091111</v>
      </c>
      <c r="V34" s="15">
        <f>IFERROR(__xludf.DUMMYFUNCTION("LET(hist, GOOGLEFINANCE(A34,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rs))))))"),22.902796271637825)</f>
        <v>22.90279627</v>
      </c>
      <c r="W34" s="16" t="str">
        <f>IFERROR(__xludf.DUMMYFUNCTION("IFERROR(GOOGLEFINANCE(A34, ""volume"") / GOOGLEFINANCE(A34, ""volumeavg""), )"),"")</f>
        <v/>
      </c>
      <c r="X34" s="9">
        <f>IFERROR(__xludf.DUMMYFUNCTION("B34 * GOOGLEFINANCE(A34, ""volume"")"),1.802278211E9)</f>
        <v>1802278211</v>
      </c>
      <c r="Y34" s="9">
        <f>IFERROR(__xludf.DUMMYFUNCTION("IFERROR(((B34 - GOOGLEFINANCE(A34, ""priceopen"")) / GOOGLEFINANCE(A34, ""priceopen"")) * GOOGLEFINANCE(A34, ""volume""), 0)"),26254.580891957743)</f>
        <v>26254.58089</v>
      </c>
    </row>
    <row r="35">
      <c r="A35" s="4" t="s">
        <v>259</v>
      </c>
      <c r="B35" s="7">
        <f>IFERROR(__xludf.DUMMYFUNCTION("GOOGLEFINANCE(A35, ""price"")"),2725.0)</f>
        <v>2725</v>
      </c>
      <c r="C35" s="7">
        <f>IFERROR(__xludf.DUMMYFUNCTION("GOOGLEFINANCE(A35, ""changepct"")"),-0.38)</f>
        <v>-0.38</v>
      </c>
      <c r="D35" s="9">
        <f>IFERROR(__xludf.DUMMYFUNCTION("GOOGLEFINANCE(A35, ""priceopen"")"),2733.2)</f>
        <v>2733.2</v>
      </c>
      <c r="E35" s="9">
        <f>IFERROR(__xludf.DUMMYFUNCTION("GOOGLEFINANCE(A35, ""high"")"),2748.4)</f>
        <v>2748.4</v>
      </c>
      <c r="F35" s="9">
        <f>IFERROR(__xludf.DUMMYFUNCTION("GOOGLEFINANCE(A35, ""low"")"),2698.2)</f>
        <v>2698.2</v>
      </c>
      <c r="G35" s="9">
        <f>IFERROR(__xludf.DUMMYFUNCTION("GOOGLEFINANCE(A35, ""price"")"),2725.0)</f>
        <v>2725</v>
      </c>
      <c r="H35" s="9">
        <f>IFERROR(__xludf.DUMMYFUNCTION("MAX(INDEX(GOOGLEFINANCE(A35, ""high"", TODAY()-30, TODAY()), 0, 2))"),2864.0)</f>
        <v>2864</v>
      </c>
      <c r="I35" s="9">
        <f>IFERROR(__xludf.DUMMYFUNCTION("MIN(INDEX(GOOGLEFINANCE(A35, ""low"", TODAY()-30, TODAY()), 0, 2))"),2579.9)</f>
        <v>2579.9</v>
      </c>
      <c r="J35" s="9">
        <f>IFERROR(__xludf.DUMMYFUNCTION("GOOGLEFINANCE(A35, ""high52"")"),2985.7)</f>
        <v>2985.7</v>
      </c>
      <c r="K35" s="9">
        <f>IFERROR(__xludf.DUMMYFUNCTION("GOOGLEFINANCE(A35, ""low52"")"),2115.0)</f>
        <v>2115</v>
      </c>
      <c r="L35" s="9">
        <f t="shared" si="1"/>
        <v>0.08731620725</v>
      </c>
      <c r="M35" s="9">
        <f t="shared" si="2"/>
        <v>0.2884160757</v>
      </c>
      <c r="N35" s="9">
        <f t="shared" si="3"/>
        <v>0.01860499592</v>
      </c>
      <c r="O35" s="9">
        <f t="shared" si="4"/>
        <v>0.5107356565</v>
      </c>
      <c r="P35" s="9">
        <f>IFERROR(__xludf.DUMMYFUNCTION("GOOGLEFINANCE(A35, ""pe"")"),54.85)</f>
        <v>54.85</v>
      </c>
      <c r="Q35" s="9">
        <f>IFERROR(__xludf.DUMMYFUNCTION("IFERROR(GOOGLEFINANCE(A35, ""volume"") / GOOGLEFINANCE(A35, ""volumeavg""), 0)"),0.0)</f>
        <v>0</v>
      </c>
      <c r="R35" s="9">
        <f>IFERROR(__xludf.DUMMYFUNCTION("AVERAGE(INDEX(GOOGLEFINANCE(A35, ""price"", TODAY()-30, TODAY()), 0, 2))"),2716.0391304347827)</f>
        <v>2716.03913</v>
      </c>
      <c r="S35" s="9">
        <f>IFERROR(__xludf.DUMMYFUNCTION("AVERAGE(INDEX(GOOGLEFINANCE(A35, ""price"", TODAY()-75, TODAY()), 0, 2))"),2704.1754716981122)</f>
        <v>2704.175472</v>
      </c>
      <c r="T35" s="9">
        <f>IFERROR(__xludf.DUMMYFUNCTION("AVERAGE(INDEX(GOOGLEFINANCE(A35, ""price"", TODAY()-300, TODAY()), 0, 2))"),2600.2039603960397)</f>
        <v>2600.20396</v>
      </c>
      <c r="U35" s="9">
        <f t="shared" si="5"/>
        <v>0.003299241703</v>
      </c>
      <c r="V35" s="15">
        <f>IFERROR(__xludf.DUMMYFUNCTION("LET(hist, GOOGLEFINANCE(A35,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rs))))))"),60.5826397146254)</f>
        <v>60.58263971</v>
      </c>
      <c r="W35" s="16" t="str">
        <f>IFERROR(__xludf.DUMMYFUNCTION("IFERROR(GOOGLEFINANCE(A35, ""volume"") / GOOGLEFINANCE(A35, ""volumeavg""), )"),"")</f>
        <v/>
      </c>
      <c r="X35" s="9">
        <f>IFERROR(__xludf.DUMMYFUNCTION("B35 * GOOGLEFINANCE(A35, ""volume"")"),1.76627415E9)</f>
        <v>1766274150</v>
      </c>
      <c r="Y35" s="9">
        <f>IFERROR(__xludf.DUMMYFUNCTION("IFERROR(((B35 - GOOGLEFINANCE(A35, ""priceopen"")) / GOOGLEFINANCE(A35, ""priceopen"")) * GOOGLEFINANCE(A35, ""volume""), 0)"),-1944.6168593589503)</f>
        <v>-1944.616859</v>
      </c>
    </row>
    <row r="36">
      <c r="A36" s="4" t="s">
        <v>269</v>
      </c>
      <c r="B36" s="7">
        <f>IFERROR(__xludf.DUMMYFUNCTION("GOOGLEFINANCE(A36, ""price"")"),4036.5)</f>
        <v>4036.5</v>
      </c>
      <c r="C36" s="7">
        <f>IFERROR(__xludf.DUMMYFUNCTION("GOOGLEFINANCE(A36, ""changepct"")"),-0.45)</f>
        <v>-0.45</v>
      </c>
      <c r="D36" s="9">
        <f>IFERROR(__xludf.DUMMYFUNCTION("GOOGLEFINANCE(A36, ""priceopen"")"),4035.0)</f>
        <v>4035</v>
      </c>
      <c r="E36" s="9">
        <f>IFERROR(__xludf.DUMMYFUNCTION("GOOGLEFINANCE(A36, ""high"")"),4068.9)</f>
        <v>4068.9</v>
      </c>
      <c r="F36" s="9">
        <f>IFERROR(__xludf.DUMMYFUNCTION("GOOGLEFINANCE(A36, ""low"")"),4020.0)</f>
        <v>4020</v>
      </c>
      <c r="G36" s="9">
        <f>IFERROR(__xludf.DUMMYFUNCTION("GOOGLEFINANCE(A36, ""price"")"),4036.5)</f>
        <v>4036.5</v>
      </c>
      <c r="H36" s="9">
        <f>IFERROR(__xludf.DUMMYFUNCTION("MAX(INDEX(GOOGLEFINANCE(A36, ""high"", TODAY()-30, TODAY()), 0, 2))"),4124.9)</f>
        <v>4124.9</v>
      </c>
      <c r="I36" s="9">
        <f>IFERROR(__xludf.DUMMYFUNCTION("MIN(INDEX(GOOGLEFINANCE(A36, ""low"", TODAY()-30, TODAY()), 0, 2))"),3755.1)</f>
        <v>3755.1</v>
      </c>
      <c r="J36" s="9">
        <f>IFERROR(__xludf.DUMMYFUNCTION("GOOGLEFINANCE(A36, ""high52"")"),4949.5)</f>
        <v>4949.5</v>
      </c>
      <c r="K36" s="9">
        <f>IFERROR(__xludf.DUMMYFUNCTION("GOOGLEFINANCE(A36, ""low52"")"),3529.0)</f>
        <v>3529</v>
      </c>
      <c r="L36" s="9">
        <f t="shared" si="1"/>
        <v>0.1844630771</v>
      </c>
      <c r="M36" s="9">
        <f t="shared" si="2"/>
        <v>0.1438084443</v>
      </c>
      <c r="N36" s="9">
        <f t="shared" si="3"/>
        <v>0.0121641791</v>
      </c>
      <c r="O36" s="9">
        <f t="shared" si="4"/>
        <v>0.7609518659</v>
      </c>
      <c r="P36" s="9">
        <f>IFERROR(__xludf.DUMMYFUNCTION("GOOGLEFINANCE(A36, ""pe"")"),86.06)</f>
        <v>86.06</v>
      </c>
      <c r="Q36" s="9">
        <f>IFERROR(__xludf.DUMMYFUNCTION("IFERROR(GOOGLEFINANCE(A36, ""volume"") / GOOGLEFINANCE(A36, ""volumeavg""), 0)"),0.0)</f>
        <v>0</v>
      </c>
      <c r="R36" s="9">
        <f>IFERROR(__xludf.DUMMYFUNCTION("AVERAGE(INDEX(GOOGLEFINANCE(A36, ""price"", TODAY()-30, TODAY()), 0, 2))"),3966.4782608695646)</f>
        <v>3966.478261</v>
      </c>
      <c r="S36" s="9">
        <f>IFERROR(__xludf.DUMMYFUNCTION("AVERAGE(INDEX(GOOGLEFINANCE(A36, ""price"", TODAY()-75, TODAY()), 0, 2))"),4078.516981132075)</f>
        <v>4078.516981</v>
      </c>
      <c r="T36" s="9">
        <f>IFERROR(__xludf.DUMMYFUNCTION("AVERAGE(INDEX(GOOGLEFINANCE(A36, ""price"", TODAY()-300, TODAY()), 0, 2))"),4042.059900990097)</f>
        <v>4042.059901</v>
      </c>
      <c r="U36" s="9">
        <f t="shared" si="5"/>
        <v>0.01765337776</v>
      </c>
      <c r="V36" s="15">
        <f>IFERROR(__xludf.DUMMYFUNCTION("LET(hist, GOOGLEFINANCE(A36,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rs))))))"),50.37015102161683)</f>
        <v>50.37015102</v>
      </c>
      <c r="W36" s="16" t="str">
        <f>IFERROR(__xludf.DUMMYFUNCTION("IFERROR(GOOGLEFINANCE(A36, ""volume"") / GOOGLEFINANCE(A36, ""volumeavg""), )"),"")</f>
        <v/>
      </c>
      <c r="X36" s="9">
        <f>IFERROR(__xludf.DUMMYFUNCTION("B36 * GOOGLEFINANCE(A36, ""volume"")"),1.359840339E9)</f>
        <v>1359840339</v>
      </c>
      <c r="Y36" s="9">
        <f>IFERROR(__xludf.DUMMYFUNCTION("IFERROR(((B36 - GOOGLEFINANCE(A36, ""priceopen"")) / GOOGLEFINANCE(A36, ""priceopen"")) * GOOGLEFINANCE(A36, ""volume""), 0)"),125.2364312267658)</f>
        <v>125.2364312</v>
      </c>
    </row>
    <row r="37">
      <c r="A37" s="4" t="s">
        <v>278</v>
      </c>
      <c r="B37" s="7">
        <f>IFERROR(__xludf.DUMMYFUNCTION("GOOGLEFINANCE(A37, ""price"")"),408.75)</f>
        <v>408.75</v>
      </c>
      <c r="C37" s="7">
        <f>IFERROR(__xludf.DUMMYFUNCTION("GOOGLEFINANCE(A37, ""changepct"")"),-0.93)</f>
        <v>-0.93</v>
      </c>
      <c r="D37" s="9">
        <f>IFERROR(__xludf.DUMMYFUNCTION("GOOGLEFINANCE(A37, ""priceopen"")"),412.6)</f>
        <v>412.6</v>
      </c>
      <c r="E37" s="9">
        <f>IFERROR(__xludf.DUMMYFUNCTION("GOOGLEFINANCE(A37, ""high"")"),413.7)</f>
        <v>413.7</v>
      </c>
      <c r="F37" s="9">
        <f>IFERROR(__xludf.DUMMYFUNCTION("GOOGLEFINANCE(A37, ""low"")"),408.2)</f>
        <v>408.2</v>
      </c>
      <c r="G37" s="9">
        <f>IFERROR(__xludf.DUMMYFUNCTION("GOOGLEFINANCE(A37, ""price"")"),408.75)</f>
        <v>408.75</v>
      </c>
      <c r="H37" s="9">
        <f>IFERROR(__xludf.DUMMYFUNCTION("MAX(INDEX(GOOGLEFINANCE(A37, ""high"", TODAY()-30, TODAY()), 0, 2))"),436.5)</f>
        <v>436.5</v>
      </c>
      <c r="I37" s="9">
        <f>IFERROR(__xludf.DUMMYFUNCTION("MIN(INDEX(GOOGLEFINANCE(A37, ""low"", TODAY()-30, TODAY()), 0, 2))"),406.25)</f>
        <v>406.25</v>
      </c>
      <c r="J37" s="9">
        <f>IFERROR(__xludf.DUMMYFUNCTION("GOOGLEFINANCE(A37, ""high52"")"),491.25)</f>
        <v>491.25</v>
      </c>
      <c r="K37" s="9">
        <f>IFERROR(__xludf.DUMMYFUNCTION("GOOGLEFINANCE(A37, ""low52"")"),368.65)</f>
        <v>368.65</v>
      </c>
      <c r="L37" s="9">
        <f t="shared" si="1"/>
        <v>0.1679389313</v>
      </c>
      <c r="M37" s="9">
        <f t="shared" si="2"/>
        <v>0.1087752611</v>
      </c>
      <c r="N37" s="9">
        <f t="shared" si="3"/>
        <v>0.01347378736</v>
      </c>
      <c r="O37" s="9">
        <f t="shared" si="4"/>
        <v>0.0826446281</v>
      </c>
      <c r="P37" s="9">
        <f>IFERROR(__xludf.DUMMYFUNCTION("GOOGLEFINANCE(A37, ""pe"")"),8.07)</f>
        <v>8.07</v>
      </c>
      <c r="Q37" s="9">
        <f>IFERROR(__xludf.DUMMYFUNCTION("IFERROR(GOOGLEFINANCE(A37, ""volume"") / GOOGLEFINANCE(A37, ""volumeavg""), 0)"),0.0)</f>
        <v>0</v>
      </c>
      <c r="R37" s="9">
        <f>IFERROR(__xludf.DUMMYFUNCTION("AVERAGE(INDEX(GOOGLEFINANCE(A37, ""price"", TODAY()-30, TODAY()), 0, 2))"),420.8152173913044)</f>
        <v>420.8152174</v>
      </c>
      <c r="S37" s="9">
        <f>IFERROR(__xludf.DUMMYFUNCTION("AVERAGE(INDEX(GOOGLEFINANCE(A37, ""price"", TODAY()-75, TODAY()), 0, 2))"),436.8018867924528)</f>
        <v>436.8018868</v>
      </c>
      <c r="T37" s="9">
        <f>IFERROR(__xludf.DUMMYFUNCTION("AVERAGE(INDEX(GOOGLEFINANCE(A37, ""price"", TODAY()-300, TODAY()), 0, 2))"),426.39875621890553)</f>
        <v>426.3987562</v>
      </c>
      <c r="U37" s="9">
        <f t="shared" si="5"/>
        <v>-0.02867105773</v>
      </c>
      <c r="V37" s="15">
        <f>IFERROR(__xludf.DUMMYFUNCTION("LET(hist, GOOGLEFINANCE(A37,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rs))))))"),29.479768786127224)</f>
        <v>29.47976879</v>
      </c>
      <c r="W37" s="16" t="str">
        <f>IFERROR(__xludf.DUMMYFUNCTION("IFERROR(GOOGLEFINANCE(A37, ""volume"") / GOOGLEFINANCE(A37, ""volumeavg""), )"),"")</f>
        <v/>
      </c>
      <c r="X37" s="9">
        <f>IFERROR(__xludf.DUMMYFUNCTION("B37 * GOOGLEFINANCE(A37, ""volume"")"),1.67143883625E9)</f>
        <v>1671438836</v>
      </c>
      <c r="Y37" s="9">
        <f>IFERROR(__xludf.DUMMYFUNCTION("IFERROR(((B37 - GOOGLEFINANCE(A37, ""priceopen"")) / GOOGLEFINANCE(A37, ""priceopen"")) * GOOGLEFINANCE(A37, ""volume""), 0)"),-38156.122031023006)</f>
        <v>-38156.12203</v>
      </c>
    </row>
    <row r="38">
      <c r="A38" s="4" t="s">
        <v>285</v>
      </c>
      <c r="B38" s="7">
        <f>IFERROR(__xludf.DUMMYFUNCTION("GOOGLEFINANCE(A38, ""price"")"),1120.0)</f>
        <v>1120</v>
      </c>
      <c r="C38" s="7">
        <f>IFERROR(__xludf.DUMMYFUNCTION("GOOGLEFINANCE(A38, ""changepct"")"),-0.88)</f>
        <v>-0.88</v>
      </c>
      <c r="D38" s="9">
        <f>IFERROR(__xludf.DUMMYFUNCTION("GOOGLEFINANCE(A38, ""priceopen"")"),1135.5)</f>
        <v>1135.5</v>
      </c>
      <c r="E38" s="9">
        <f>IFERROR(__xludf.DUMMYFUNCTION("GOOGLEFINANCE(A38, ""high"")"),1135.5)</f>
        <v>1135.5</v>
      </c>
      <c r="F38" s="9">
        <f>IFERROR(__xludf.DUMMYFUNCTION("GOOGLEFINANCE(A38, ""low"")"),1117.0)</f>
        <v>1117</v>
      </c>
      <c r="G38" s="9">
        <f>IFERROR(__xludf.DUMMYFUNCTION("GOOGLEFINANCE(A38, ""price"")"),1120.0)</f>
        <v>1120</v>
      </c>
      <c r="H38" s="9">
        <f>IFERROR(__xludf.DUMMYFUNCTION("MAX(INDEX(GOOGLEFINANCE(A38, ""high"", TODAY()-30, TODAY()), 0, 2))"),1153.7)</f>
        <v>1153.7</v>
      </c>
      <c r="I38" s="9">
        <f>IFERROR(__xludf.DUMMYFUNCTION("MIN(INDEX(GOOGLEFINANCE(A38, ""low"", TODAY()-30, TODAY()), 0, 2))"),992.9)</f>
        <v>992.9</v>
      </c>
      <c r="J38" s="9">
        <f>IFERROR(__xludf.DUMMYFUNCTION("GOOGLEFINANCE(A38, ""high52"")"),1153.7)</f>
        <v>1153.7</v>
      </c>
      <c r="K38" s="9">
        <f>IFERROR(__xludf.DUMMYFUNCTION("GOOGLEFINANCE(A38, ""low52"")"),566.5)</f>
        <v>566.5</v>
      </c>
      <c r="L38" s="9">
        <f t="shared" si="1"/>
        <v>0.02921036665</v>
      </c>
      <c r="M38" s="9">
        <f t="shared" si="2"/>
        <v>0.9770520741</v>
      </c>
      <c r="N38" s="9">
        <f t="shared" si="3"/>
        <v>0.01656222023</v>
      </c>
      <c r="O38" s="9">
        <f t="shared" si="4"/>
        <v>0.7904228856</v>
      </c>
      <c r="P38" s="9">
        <f>IFERROR(__xludf.DUMMYFUNCTION("GOOGLEFINANCE(A38, ""pe"")"),19.79)</f>
        <v>19.79</v>
      </c>
      <c r="Q38" s="9">
        <f>IFERROR(__xludf.DUMMYFUNCTION("IFERROR(GOOGLEFINANCE(A38, ""volume"") / GOOGLEFINANCE(A38, ""volumeavg""), 0)"),0.0)</f>
        <v>0</v>
      </c>
      <c r="R38" s="9">
        <f>IFERROR(__xludf.DUMMYFUNCTION("AVERAGE(INDEX(GOOGLEFINANCE(A38, ""price"", TODAY()-30, TODAY()), 0, 2))"),1064.3565217391306)</f>
        <v>1064.356522</v>
      </c>
      <c r="S38" s="9">
        <f>IFERROR(__xludf.DUMMYFUNCTION("AVERAGE(INDEX(GOOGLEFINANCE(A38, ""price"", TODAY()-75, TODAY()), 0, 2))"),1020.4726415094339)</f>
        <v>1020.472642</v>
      </c>
      <c r="T38" s="9">
        <f>IFERROR(__xludf.DUMMYFUNCTION("AVERAGE(INDEX(GOOGLEFINANCE(A38, ""price"", TODAY()-300, TODAY()), 0, 2))"),958.722772277228)</f>
        <v>958.7227723</v>
      </c>
      <c r="U38" s="9">
        <f t="shared" si="5"/>
        <v>0.05227898465</v>
      </c>
      <c r="V38" s="15">
        <f>IFERROR(__xludf.DUMMYFUNCTION("LET(hist, GOOGLEFINANCE(A38,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rs))))))"),67.1289355322339)</f>
        <v>67.12893553</v>
      </c>
      <c r="W38" s="16" t="str">
        <f>IFERROR(__xludf.DUMMYFUNCTION("IFERROR(GOOGLEFINANCE(A38, ""volume"") / GOOGLEFINANCE(A38, ""volumeavg""), )"),"")</f>
        <v/>
      </c>
      <c r="X38" s="9">
        <f>IFERROR(__xludf.DUMMYFUNCTION("B38 * GOOGLEFINANCE(A38, ""volume"")"),4.01205728E9)</f>
        <v>4012057280</v>
      </c>
      <c r="Y38" s="9">
        <f>IFERROR(__xludf.DUMMYFUNCTION("IFERROR(((B38 - GOOGLEFINANCE(A38, ""priceopen"")) / GOOGLEFINANCE(A38, ""priceopen"")) * GOOGLEFINANCE(A38, ""volume""), 0)"),-48898.28885953324)</f>
        <v>-48898.28886</v>
      </c>
    </row>
    <row r="39">
      <c r="A39" s="4" t="s">
        <v>294</v>
      </c>
      <c r="B39" s="7">
        <f>IFERROR(__xludf.DUMMYFUNCTION("GOOGLEFINANCE(A39, ""price"")"),185.0)</f>
        <v>185</v>
      </c>
      <c r="C39" s="7">
        <f>IFERROR(__xludf.DUMMYFUNCTION("GOOGLEFINANCE(A39, ""changepct"")"),-1.73)</f>
        <v>-1.73</v>
      </c>
      <c r="D39" s="9">
        <f>IFERROR(__xludf.DUMMYFUNCTION("GOOGLEFINANCE(A39, ""priceopen"")"),188.35)</f>
        <v>188.35</v>
      </c>
      <c r="E39" s="9">
        <f>IFERROR(__xludf.DUMMYFUNCTION("GOOGLEFINANCE(A39, ""high"")"),188.88)</f>
        <v>188.88</v>
      </c>
      <c r="F39" s="9">
        <f>IFERROR(__xludf.DUMMYFUNCTION("GOOGLEFINANCE(A39, ""low"")"),183.6)</f>
        <v>183.6</v>
      </c>
      <c r="G39" s="9">
        <f>IFERROR(__xludf.DUMMYFUNCTION("GOOGLEFINANCE(A39, ""price"")"),185.0)</f>
        <v>185</v>
      </c>
      <c r="H39" s="9">
        <f>IFERROR(__xludf.DUMMYFUNCTION("MAX(INDEX(GOOGLEFINANCE(A39, ""high"", TODAY()-30, TODAY()), 0, 2))"),193.65)</f>
        <v>193.65</v>
      </c>
      <c r="I39" s="9">
        <f>IFERROR(__xludf.DUMMYFUNCTION("MIN(INDEX(GOOGLEFINANCE(A39, ""low"", TODAY()-30, TODAY()), 0, 2))"),181.2)</f>
        <v>181.2</v>
      </c>
      <c r="J39" s="9">
        <f>IFERROR(__xludf.DUMMYFUNCTION("GOOGLEFINANCE(A39, ""high52"")"),224.4)</f>
        <v>224.4</v>
      </c>
      <c r="K39" s="9">
        <f>IFERROR(__xludf.DUMMYFUNCTION("GOOGLEFINANCE(A39, ""low52"")"),153.05)</f>
        <v>153.05</v>
      </c>
      <c r="L39" s="9">
        <f t="shared" si="1"/>
        <v>0.1755793226</v>
      </c>
      <c r="M39" s="9">
        <f t="shared" si="2"/>
        <v>0.2087553087</v>
      </c>
      <c r="N39" s="9">
        <f t="shared" si="3"/>
        <v>0.02875816993</v>
      </c>
      <c r="O39" s="9">
        <f t="shared" si="4"/>
        <v>0.3052208835</v>
      </c>
      <c r="P39" s="9">
        <f>IFERROR(__xludf.DUMMYFUNCTION("GOOGLEFINANCE(A39, ""pe"")"),20.89)</f>
        <v>20.89</v>
      </c>
      <c r="Q39" s="9">
        <f>IFERROR(__xludf.DUMMYFUNCTION("IFERROR(GOOGLEFINANCE(A39, ""volume"") / GOOGLEFINANCE(A39, ""volumeavg""), 0)"),0.0)</f>
        <v>0</v>
      </c>
      <c r="R39" s="9">
        <f>IFERROR(__xludf.DUMMYFUNCTION("AVERAGE(INDEX(GOOGLEFINANCE(A39, ""price"", TODAY()-30, TODAY()), 0, 2))"),187.23217391304348)</f>
        <v>187.2321739</v>
      </c>
      <c r="S39" s="9">
        <f>IFERROR(__xludf.DUMMYFUNCTION("AVERAGE(INDEX(GOOGLEFINANCE(A39, ""price"", TODAY()-75, TODAY()), 0, 2))"),192.77716981132076)</f>
        <v>192.7771698</v>
      </c>
      <c r="T39" s="9">
        <f>IFERROR(__xludf.DUMMYFUNCTION("AVERAGE(INDEX(GOOGLEFINANCE(A39, ""price"", TODAY()-300, TODAY()), 0, 2))"),191.5636138613861)</f>
        <v>191.5636139</v>
      </c>
      <c r="U39" s="9">
        <f t="shared" si="5"/>
        <v>-0.01192195693</v>
      </c>
      <c r="V39" s="15">
        <f>IFERROR(__xludf.DUMMYFUNCTION("LET(hist, GOOGLEFINANCE(A39,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rs))))))"),53.50658597365609)</f>
        <v>53.50658597</v>
      </c>
      <c r="W39" s="16" t="str">
        <f>IFERROR(__xludf.DUMMYFUNCTION("IFERROR(GOOGLEFINANCE(A39, ""volume"") / GOOGLEFINANCE(A39, ""volumeavg""), )"),"")</f>
        <v/>
      </c>
      <c r="X39" s="9">
        <f>IFERROR(__xludf.DUMMYFUNCTION("B39 * GOOGLEFINANCE(A39, ""volume"")"),6.749549065E9)</f>
        <v>6749549065</v>
      </c>
      <c r="Y39" s="9">
        <f>IFERROR(__xludf.DUMMYFUNCTION("IFERROR(((B39 - GOOGLEFINANCE(A39, ""priceopen"")) / GOOGLEFINANCE(A39, ""priceopen"")) * GOOGLEFINANCE(A39, ""volume""), 0)"),-648906.6320679574)</f>
        <v>-648906.6321</v>
      </c>
    </row>
    <row r="40">
      <c r="A40" s="4" t="s">
        <v>301</v>
      </c>
      <c r="B40" s="7">
        <f>IFERROR(__xludf.DUMMYFUNCTION("GOOGLEFINANCE(A40, ""price"")"),584.6)</f>
        <v>584.6</v>
      </c>
      <c r="C40" s="7">
        <f>IFERROR(__xludf.DUMMYFUNCTION("GOOGLEFINANCE(A40, ""changepct"")"),-0.35)</f>
        <v>-0.35</v>
      </c>
      <c r="D40" s="9">
        <f>IFERROR(__xludf.DUMMYFUNCTION("GOOGLEFINANCE(A40, ""priceopen"")"),589.95)</f>
        <v>589.95</v>
      </c>
      <c r="E40" s="9">
        <f>IFERROR(__xludf.DUMMYFUNCTION("GOOGLEFINANCE(A40, ""high"")"),597.8)</f>
        <v>597.8</v>
      </c>
      <c r="F40" s="9">
        <f>IFERROR(__xludf.DUMMYFUNCTION("GOOGLEFINANCE(A40, ""low"")"),576.5)</f>
        <v>576.5</v>
      </c>
      <c r="G40" s="9">
        <f>IFERROR(__xludf.DUMMYFUNCTION("GOOGLEFINANCE(A40, ""price"")"),584.6)</f>
        <v>584.6</v>
      </c>
      <c r="H40" s="9">
        <f>IFERROR(__xludf.DUMMYFUNCTION("MAX(INDEX(GOOGLEFINANCE(A40, ""high"", TODAY()-30, TODAY()), 0, 2))"),608.4)</f>
        <v>608.4</v>
      </c>
      <c r="I40" s="9">
        <f>IFERROR(__xludf.DUMMYFUNCTION("MIN(INDEX(GOOGLEFINANCE(A40, ""low"", TODAY()-30, TODAY()), 0, 2))"),514.95)</f>
        <v>514.95</v>
      </c>
      <c r="J40" s="9">
        <f>IFERROR(__xludf.DUMMYFUNCTION("GOOGLEFINANCE(A40, ""high52"")"),733.0)</f>
        <v>733</v>
      </c>
      <c r="K40" s="9">
        <f>IFERROR(__xludf.DUMMYFUNCTION("GOOGLEFINANCE(A40, ""low52"")"),418.0)</f>
        <v>418</v>
      </c>
      <c r="L40" s="9">
        <f t="shared" si="1"/>
        <v>0.2024556617</v>
      </c>
      <c r="M40" s="9">
        <f t="shared" si="2"/>
        <v>0.3985645933</v>
      </c>
      <c r="N40" s="9">
        <f t="shared" si="3"/>
        <v>0.03694709454</v>
      </c>
      <c r="O40" s="9">
        <f t="shared" si="4"/>
        <v>0.7453183521</v>
      </c>
      <c r="P40" s="9">
        <f>IFERROR(__xludf.DUMMYFUNCTION("GOOGLEFINANCE(A40, ""pe"")"),14.49)</f>
        <v>14.49</v>
      </c>
      <c r="Q40" s="9">
        <f>IFERROR(__xludf.DUMMYFUNCTION("IFERROR(GOOGLEFINANCE(A40, ""volume"") / GOOGLEFINANCE(A40, ""volumeavg""), 0)"),0.0)</f>
        <v>0</v>
      </c>
      <c r="R40" s="9">
        <f>IFERROR(__xludf.DUMMYFUNCTION("AVERAGE(INDEX(GOOGLEFINANCE(A40, ""price"", TODAY()-30, TODAY()), 0, 2))"),548.6391304347825)</f>
        <v>548.6391304</v>
      </c>
      <c r="S40" s="9">
        <f>IFERROR(__xludf.DUMMYFUNCTION("AVERAGE(INDEX(GOOGLEFINANCE(A40, ""price"", TODAY()-75, TODAY()), 0, 2))"),554.4811320754719)</f>
        <v>554.4811321</v>
      </c>
      <c r="T40" s="9">
        <f>IFERROR(__xludf.DUMMYFUNCTION("AVERAGE(INDEX(GOOGLEFINANCE(A40, ""price"", TODAY()-300, TODAY()), 0, 2))"),567.7781094527362)</f>
        <v>567.7781095</v>
      </c>
      <c r="U40" s="9">
        <f t="shared" si="5"/>
        <v>0.06554557918</v>
      </c>
      <c r="V40" s="15">
        <f>IFERROR(__xludf.DUMMYFUNCTION("LET(hist, GOOGLEFINANCE(A40,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rs))))))"),73.06862321968057)</f>
        <v>73.06862322</v>
      </c>
      <c r="W40" s="16" t="str">
        <f>IFERROR(__xludf.DUMMYFUNCTION("IFERROR(GOOGLEFINANCE(A40, ""volume"") / GOOGLEFINANCE(A40, ""volumeavg""), )"),"")</f>
        <v/>
      </c>
      <c r="X40" s="9">
        <f>IFERROR(__xludf.DUMMYFUNCTION("B40 * GOOGLEFINANCE(A40, ""volume"")"),4.4340349118E9)</f>
        <v>4434034912</v>
      </c>
      <c r="Y40" s="9">
        <f>IFERROR(__xludf.DUMMYFUNCTION("IFERROR(((B40 - GOOGLEFINANCE(A40, ""priceopen"")) / GOOGLEFINANCE(A40, ""priceopen"")) * GOOGLEFINANCE(A40, ""volume""), 0)"),-68782.64522417184)</f>
        <v>-68782.64522</v>
      </c>
    </row>
    <row r="41">
      <c r="A41" s="4" t="s">
        <v>309</v>
      </c>
      <c r="B41" s="7">
        <f>IFERROR(__xludf.DUMMYFUNCTION("GOOGLEFINANCE(A41, ""price"")"),1333.0)</f>
        <v>1333</v>
      </c>
      <c r="C41" s="7">
        <f>IFERROR(__xludf.DUMMYFUNCTION("GOOGLEFINANCE(A41, ""changepct"")"),-2.42)</f>
        <v>-2.42</v>
      </c>
      <c r="D41" s="9">
        <f>IFERROR(__xludf.DUMMYFUNCTION("GOOGLEFINANCE(A41, ""priceopen"")"),1370.0)</f>
        <v>1370</v>
      </c>
      <c r="E41" s="9">
        <f>IFERROR(__xludf.DUMMYFUNCTION("GOOGLEFINANCE(A41, ""high"")"),1371.0)</f>
        <v>1371</v>
      </c>
      <c r="F41" s="9">
        <f>IFERROR(__xludf.DUMMYFUNCTION("GOOGLEFINANCE(A41, ""low"")"),1315.0)</f>
        <v>1315</v>
      </c>
      <c r="G41" s="9">
        <f>IFERROR(__xludf.DUMMYFUNCTION("GOOGLEFINANCE(A41, ""price"")"),1333.0)</f>
        <v>1333</v>
      </c>
      <c r="H41" s="9">
        <f>IFERROR(__xludf.DUMMYFUNCTION("MAX(INDEX(GOOGLEFINANCE(A41, ""high"", TODAY()-30, TODAY()), 0, 2))"),1631.5)</f>
        <v>1631.5</v>
      </c>
      <c r="I41" s="9">
        <f>IFERROR(__xludf.DUMMYFUNCTION("MIN(INDEX(GOOGLEFINANCE(A41, ""low"", TODAY()-30, TODAY()), 0, 2))"),1315.0)</f>
        <v>1315</v>
      </c>
      <c r="J41" s="9">
        <f>IFERROR(__xludf.DUMMYFUNCTION("GOOGLEFINANCE(A41, ""high52"")"),1631.5)</f>
        <v>1631.5</v>
      </c>
      <c r="K41" s="9">
        <f>IFERROR(__xludf.DUMMYFUNCTION("GOOGLEFINANCE(A41, ""low52"")"),765.0)</f>
        <v>765</v>
      </c>
      <c r="L41" s="9">
        <f t="shared" si="1"/>
        <v>0.1829604658</v>
      </c>
      <c r="M41" s="9">
        <f t="shared" si="2"/>
        <v>0.7424836601</v>
      </c>
      <c r="N41" s="9">
        <f t="shared" si="3"/>
        <v>0.04258555133</v>
      </c>
      <c r="O41" s="9">
        <f t="shared" si="4"/>
        <v>0.05687203791</v>
      </c>
      <c r="P41" s="9">
        <f>IFERROR(__xludf.DUMMYFUNCTION("GOOGLEFINANCE(A41, ""pe"")"),121.77)</f>
        <v>121.77</v>
      </c>
      <c r="Q41" s="9">
        <f>IFERROR(__xludf.DUMMYFUNCTION("IFERROR(GOOGLEFINANCE(A41, ""volume"") / GOOGLEFINANCE(A41, ""volumeavg""), 0)"),0.0)</f>
        <v>0</v>
      </c>
      <c r="R41" s="9">
        <f>IFERROR(__xludf.DUMMYFUNCTION("AVERAGE(INDEX(GOOGLEFINANCE(A41, ""price"", TODAY()-30, TODAY()), 0, 2))"),1432.4217391304346)</f>
        <v>1432.421739</v>
      </c>
      <c r="S41" s="9">
        <f>IFERROR(__xludf.DUMMYFUNCTION("AVERAGE(INDEX(GOOGLEFINANCE(A41, ""price"", TODAY()-75, TODAY()), 0, 2))"),1470.4132075471698)</f>
        <v>1470.413208</v>
      </c>
      <c r="T41" s="9">
        <f>IFERROR(__xludf.DUMMYFUNCTION("AVERAGE(INDEX(GOOGLEFINANCE(A41, ""price"", TODAY()-300, TODAY()), 0, 2))"),1153.3673267326733)</f>
        <v>1153.367327</v>
      </c>
      <c r="U41" s="9">
        <f t="shared" si="5"/>
        <v>-0.06940814735</v>
      </c>
      <c r="V41" s="15">
        <f>IFERROR(__xludf.DUMMYFUNCTION("LET(hist, GOOGLEFINANCE(A41,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rs))))))"),35.27227722772274)</f>
        <v>35.27227723</v>
      </c>
      <c r="W41" s="16" t="str">
        <f>IFERROR(__xludf.DUMMYFUNCTION("IFERROR(GOOGLEFINANCE(A41, ""volume"") / GOOGLEFINANCE(A41, ""volumeavg""), )"),"")</f>
        <v/>
      </c>
      <c r="X41" s="9">
        <f>IFERROR(__xludf.DUMMYFUNCTION("B41 * GOOGLEFINANCE(A41, ""volume"")"),2.869663738E9)</f>
        <v>2869663738</v>
      </c>
      <c r="Y41" s="9">
        <f>IFERROR(__xludf.DUMMYFUNCTION("IFERROR(((B41 - GOOGLEFINANCE(A41, ""priceopen"")) / GOOGLEFINANCE(A41, ""priceopen"")) * GOOGLEFINANCE(A41, ""volume""), 0)"),-58140.93576642336)</f>
        <v>-58140.93577</v>
      </c>
    </row>
    <row r="42">
      <c r="A42" s="4" t="s">
        <v>319</v>
      </c>
      <c r="B42" s="7">
        <f>IFERROR(__xludf.DUMMYFUNCTION("GOOGLEFINANCE(A42, ""price"")"),1072.0)</f>
        <v>1072</v>
      </c>
      <c r="C42" s="7">
        <f>IFERROR(__xludf.DUMMYFUNCTION("GOOGLEFINANCE(A42, ""changepct"")"),2.18)</f>
        <v>2.18</v>
      </c>
      <c r="D42" s="9">
        <f>IFERROR(__xludf.DUMMYFUNCTION("GOOGLEFINANCE(A42, ""priceopen"")"),1063.2)</f>
        <v>1063.2</v>
      </c>
      <c r="E42" s="9">
        <f>IFERROR(__xludf.DUMMYFUNCTION("GOOGLEFINANCE(A42, ""high"")"),1087.95)</f>
        <v>1087.95</v>
      </c>
      <c r="F42" s="9">
        <f>IFERROR(__xludf.DUMMYFUNCTION("GOOGLEFINANCE(A42, ""low"")"),1056.9)</f>
        <v>1056.9</v>
      </c>
      <c r="G42" s="9">
        <f>IFERROR(__xludf.DUMMYFUNCTION("GOOGLEFINANCE(A42, ""price"")"),1072.0)</f>
        <v>1072</v>
      </c>
      <c r="H42" s="9">
        <f>IFERROR(__xludf.DUMMYFUNCTION("MAX(INDEX(GOOGLEFINANCE(A42, ""high"", TODAY()-30, TODAY()), 0, 2))"),1087.95)</f>
        <v>1087.95</v>
      </c>
      <c r="I42" s="9">
        <f>IFERROR(__xludf.DUMMYFUNCTION("MIN(INDEX(GOOGLEFINANCE(A42, ""low"", TODAY()-30, TODAY()), 0, 2))"),935.1)</f>
        <v>935.1</v>
      </c>
      <c r="J42" s="9">
        <f>IFERROR(__xludf.DUMMYFUNCTION("GOOGLEFINANCE(A42, ""high52"")"),1176.0)</f>
        <v>1176</v>
      </c>
      <c r="K42" s="9">
        <f>IFERROR(__xludf.DUMMYFUNCTION("GOOGLEFINANCE(A42, ""low52"")"),657.5)</f>
        <v>657.5</v>
      </c>
      <c r="L42" s="9">
        <f t="shared" si="1"/>
        <v>0.08843537415</v>
      </c>
      <c r="M42" s="9">
        <f t="shared" si="2"/>
        <v>0.630418251</v>
      </c>
      <c r="N42" s="9">
        <f t="shared" si="3"/>
        <v>0.02937837071</v>
      </c>
      <c r="O42" s="9">
        <f t="shared" si="4"/>
        <v>0.8956493294</v>
      </c>
      <c r="P42" s="9">
        <f>IFERROR(__xludf.DUMMYFUNCTION("GOOGLEFINANCE(A42, ""pe"")"),17.81)</f>
        <v>17.81</v>
      </c>
      <c r="Q42" s="9">
        <f>IFERROR(__xludf.DUMMYFUNCTION("IFERROR(GOOGLEFINANCE(A42, ""volume"") / GOOGLEFINANCE(A42, ""volumeavg""), 0)"),0.0)</f>
        <v>0</v>
      </c>
      <c r="R42" s="9">
        <f>IFERROR(__xludf.DUMMYFUNCTION("AVERAGE(INDEX(GOOGLEFINANCE(A42, ""price"", TODAY()-30, TODAY()), 0, 2))"),985.2239130434782)</f>
        <v>985.223913</v>
      </c>
      <c r="S42" s="9">
        <f>IFERROR(__xludf.DUMMYFUNCTION("AVERAGE(INDEX(GOOGLEFINANCE(A42, ""price"", TODAY()-75, TODAY()), 0, 2))"),1004.2320754716984)</f>
        <v>1004.232075</v>
      </c>
      <c r="T42" s="9">
        <f>IFERROR(__xludf.DUMMYFUNCTION("AVERAGE(INDEX(GOOGLEFINANCE(A42, ""price"", TODAY()-300, TODAY()), 0, 2))"),941.9873762376233)</f>
        <v>941.9873762</v>
      </c>
      <c r="U42" s="9">
        <f t="shared" si="5"/>
        <v>0.08807752817</v>
      </c>
      <c r="V42" s="15">
        <f>IFERROR(__xludf.DUMMYFUNCTION("LET(hist, GOOGLEFINANCE(A42,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rs))))))"),78.80422039859319)</f>
        <v>78.8042204</v>
      </c>
      <c r="W42" s="16" t="str">
        <f>IFERROR(__xludf.DUMMYFUNCTION("IFERROR(GOOGLEFINANCE(A42, ""volume"") / GOOGLEFINANCE(A42, ""volumeavg""), )"),"")</f>
        <v/>
      </c>
      <c r="X42" s="9">
        <f>IFERROR(__xludf.DUMMYFUNCTION("B42 * GOOGLEFINANCE(A42, ""volume"")"),9.419494624E9)</f>
        <v>9419494624</v>
      </c>
      <c r="Y42" s="9">
        <f>IFERROR(__xludf.DUMMYFUNCTION("IFERROR(((B42 - GOOGLEFINANCE(A42, ""priceopen"")) / GOOGLEFINANCE(A42, ""priceopen"")) * GOOGLEFINANCE(A42, ""volume""), 0)"),72727.81188863769)</f>
        <v>72727.81189</v>
      </c>
    </row>
    <row r="43">
      <c r="A43" s="4" t="s">
        <v>327</v>
      </c>
      <c r="B43" s="7">
        <f>IFERROR(__xludf.DUMMYFUNCTION("GOOGLEFINANCE(A43, ""price"")"),8022.0)</f>
        <v>8022</v>
      </c>
      <c r="C43" s="7">
        <f>IFERROR(__xludf.DUMMYFUNCTION("GOOGLEFINANCE(A43, ""changepct"")"),0.28)</f>
        <v>0.28</v>
      </c>
      <c r="D43" s="9">
        <f>IFERROR(__xludf.DUMMYFUNCTION("GOOGLEFINANCE(A43, ""priceopen"")"),8000.5)</f>
        <v>8000.5</v>
      </c>
      <c r="E43" s="9">
        <f>IFERROR(__xludf.DUMMYFUNCTION("GOOGLEFINANCE(A43, ""high"")"),8049.0)</f>
        <v>8049</v>
      </c>
      <c r="F43" s="9">
        <f>IFERROR(__xludf.DUMMYFUNCTION("GOOGLEFINANCE(A43, ""low"")"),7940.0)</f>
        <v>7940</v>
      </c>
      <c r="G43" s="9">
        <f>IFERROR(__xludf.DUMMYFUNCTION("GOOGLEFINANCE(A43, ""price"")"),8022.0)</f>
        <v>8022</v>
      </c>
      <c r="H43" s="9">
        <f>IFERROR(__xludf.DUMMYFUNCTION("MAX(INDEX(GOOGLEFINANCE(A43, ""high"", TODAY()-30, TODAY()), 0, 2))"),8110.0)</f>
        <v>8110</v>
      </c>
      <c r="I43" s="9">
        <f>IFERROR(__xludf.DUMMYFUNCTION("MIN(INDEX(GOOGLEFINANCE(A43, ""low"", TODAY()-30, TODAY()), 0, 2))"),7140.0)</f>
        <v>7140</v>
      </c>
      <c r="J43" s="9">
        <f>IFERROR(__xludf.DUMMYFUNCTION("GOOGLEFINANCE(A43, ""high52"")"),8230.0)</f>
        <v>8230</v>
      </c>
      <c r="K43" s="9">
        <f>IFERROR(__xludf.DUMMYFUNCTION("GOOGLEFINANCE(A43, ""low52"")"),5643.0)</f>
        <v>5643</v>
      </c>
      <c r="L43" s="9">
        <f t="shared" si="1"/>
        <v>0.02527339004</v>
      </c>
      <c r="M43" s="9">
        <f t="shared" si="2"/>
        <v>0.4215842637</v>
      </c>
      <c r="N43" s="9">
        <f t="shared" si="3"/>
        <v>0.0137279597</v>
      </c>
      <c r="O43" s="9">
        <f t="shared" si="4"/>
        <v>0.9092783505</v>
      </c>
      <c r="P43" s="9">
        <f>IFERROR(__xludf.DUMMYFUNCTION("GOOGLEFINANCE(A43, ""pe"")"),38.19)</f>
        <v>38.19</v>
      </c>
      <c r="Q43" s="9">
        <f>IFERROR(__xludf.DUMMYFUNCTION("IFERROR(GOOGLEFINANCE(A43, ""volume"") / GOOGLEFINANCE(A43, ""volumeavg""), 0)"),0.0)</f>
        <v>0</v>
      </c>
      <c r="R43" s="9">
        <f>IFERROR(__xludf.DUMMYFUNCTION("AVERAGE(INDEX(GOOGLEFINANCE(A43, ""price"", TODAY()-30, TODAY()), 0, 2))"),7752.630434782609)</f>
        <v>7752.630435</v>
      </c>
      <c r="S43" s="9">
        <f>IFERROR(__xludf.DUMMYFUNCTION("AVERAGE(INDEX(GOOGLEFINANCE(A43, ""price"", TODAY()-75, TODAY()), 0, 2))"),7522.2169811320755)</f>
        <v>7522.216981</v>
      </c>
      <c r="T43" s="9">
        <f>IFERROR(__xludf.DUMMYFUNCTION("AVERAGE(INDEX(GOOGLEFINANCE(A43, ""price"", TODAY()-300, TODAY()), 0, 2))"),7281.747524752475)</f>
        <v>7281.747525</v>
      </c>
      <c r="U43" s="9">
        <f t="shared" si="5"/>
        <v>0.03474557023</v>
      </c>
      <c r="V43" s="15">
        <f>IFERROR(__xludf.DUMMYFUNCTION("LET(hist, GOOGLEFINANCE(A43,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rs))))))"),64.30755788553954)</f>
        <v>64.30755789</v>
      </c>
      <c r="W43" s="16" t="str">
        <f>IFERROR(__xludf.DUMMYFUNCTION("IFERROR(GOOGLEFINANCE(A43, ""volume"") / GOOGLEFINANCE(A43, ""volumeavg""), )"),"")</f>
        <v/>
      </c>
      <c r="X43" s="9">
        <f>IFERROR(__xludf.DUMMYFUNCTION("B43 * GOOGLEFINANCE(A43, ""volume"")"),2.545236204E9)</f>
        <v>2545236204</v>
      </c>
      <c r="Y43" s="9">
        <f>IFERROR(__xludf.DUMMYFUNCTION("IFERROR(((B43 - GOOGLEFINANCE(A43, ""priceopen"")) / GOOGLEFINANCE(A43, ""priceopen"")) * GOOGLEFINANCE(A43, ""volume""), 0)"),852.6420848696956)</f>
        <v>852.6420849</v>
      </c>
    </row>
    <row r="44">
      <c r="A44" s="4" t="s">
        <v>334</v>
      </c>
      <c r="B44" s="7">
        <f>IFERROR(__xludf.DUMMYFUNCTION("GOOGLEFINANCE(A44, ""price"")"),8474.5)</f>
        <v>8474.5</v>
      </c>
      <c r="C44" s="7">
        <f>IFERROR(__xludf.DUMMYFUNCTION("GOOGLEFINANCE(A44, ""changepct"")"),-1.21)</f>
        <v>-1.21</v>
      </c>
      <c r="D44" s="9">
        <f>IFERROR(__xludf.DUMMYFUNCTION("GOOGLEFINANCE(A44, ""priceopen"")"),8630.0)</f>
        <v>8630</v>
      </c>
      <c r="E44" s="9">
        <f>IFERROR(__xludf.DUMMYFUNCTION("GOOGLEFINANCE(A44, ""high"")"),8674.0)</f>
        <v>8674</v>
      </c>
      <c r="F44" s="9">
        <f>IFERROR(__xludf.DUMMYFUNCTION("GOOGLEFINANCE(A44, ""low"")"),8471.5)</f>
        <v>8471.5</v>
      </c>
      <c r="G44" s="9">
        <f>IFERROR(__xludf.DUMMYFUNCTION("GOOGLEFINANCE(A44, ""price"")"),8474.5)</f>
        <v>8474.5</v>
      </c>
      <c r="H44" s="9">
        <f>IFERROR(__xludf.DUMMYFUNCTION("MAX(INDEX(GOOGLEFINANCE(A44, ""high"", TODAY()-30, TODAY()), 0, 2))"),8674.0)</f>
        <v>8674</v>
      </c>
      <c r="I44" s="9">
        <f>IFERROR(__xludf.DUMMYFUNCTION("MIN(INDEX(GOOGLEFINANCE(A44, ""low"", TODAY()-30, TODAY()), 0, 2))"),6786.5)</f>
        <v>6786.5</v>
      </c>
      <c r="J44" s="9">
        <f>IFERROR(__xludf.DUMMYFUNCTION("GOOGLEFINANCE(A44, ""high52"")"),8674.0)</f>
        <v>8674</v>
      </c>
      <c r="K44" s="9">
        <f>IFERROR(__xludf.DUMMYFUNCTION("GOOGLEFINANCE(A44, ""low52"")"),5636.5)</f>
        <v>5636.5</v>
      </c>
      <c r="L44" s="9">
        <f t="shared" si="1"/>
        <v>0.02299976943</v>
      </c>
      <c r="M44" s="9">
        <f t="shared" si="2"/>
        <v>0.5035039475</v>
      </c>
      <c r="N44" s="9">
        <f t="shared" si="3"/>
        <v>0.02390367703</v>
      </c>
      <c r="O44" s="9">
        <f t="shared" si="4"/>
        <v>0.8943046358</v>
      </c>
      <c r="P44" s="9">
        <f>IFERROR(__xludf.DUMMYFUNCTION("GOOGLEFINANCE(A44, ""pe"")"),76.9)</f>
        <v>76.9</v>
      </c>
      <c r="Q44" s="9">
        <f>IFERROR(__xludf.DUMMYFUNCTION("IFERROR(GOOGLEFINANCE(A44, ""volume"") / GOOGLEFINANCE(A44, ""volumeavg""), 0)"),0.0)</f>
        <v>0</v>
      </c>
      <c r="R44" s="9">
        <f>IFERROR(__xludf.DUMMYFUNCTION("AVERAGE(INDEX(GOOGLEFINANCE(A44, ""price"", TODAY()-30, TODAY()), 0, 2))"),7761.717391304348)</f>
        <v>7761.717391</v>
      </c>
      <c r="S44" s="9">
        <f>IFERROR(__xludf.DUMMYFUNCTION("AVERAGE(INDEX(GOOGLEFINANCE(A44, ""price"", TODAY()-75, TODAY()), 0, 2))"),7149.537735849057)</f>
        <v>7149.537736</v>
      </c>
      <c r="T44" s="9">
        <f>IFERROR(__xludf.DUMMYFUNCTION("AVERAGE(INDEX(GOOGLEFINANCE(A44, ""price"", TODAY()-300, TODAY()), 0, 2))"),6582.527227722772)</f>
        <v>6582.527228</v>
      </c>
      <c r="U44" s="9">
        <f t="shared" si="5"/>
        <v>0.09183310507</v>
      </c>
      <c r="V44" s="15">
        <f>IFERROR(__xludf.DUMMYFUNCTION("LET(hist, GOOGLEFINANCE(A44,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rs))))))"),81.6162109375)</f>
        <v>81.61621094</v>
      </c>
      <c r="W44" s="16" t="str">
        <f>IFERROR(__xludf.DUMMYFUNCTION("IFERROR(GOOGLEFINANCE(A44, ""volume"") / GOOGLEFINANCE(A44, ""volumeavg""), )"),"")</f>
        <v/>
      </c>
      <c r="X44" s="9">
        <f>IFERROR(__xludf.DUMMYFUNCTION("B44 * GOOGLEFINANCE(A44, ""volume"")"),4.7388980275E9)</f>
        <v>4738898028</v>
      </c>
      <c r="Y44" s="9">
        <f>IFERROR(__xludf.DUMMYFUNCTION("IFERROR(((B44 - GOOGLEFINANCE(A44, ""priceopen"")) / GOOGLEFINANCE(A44, ""priceopen"")) * GOOGLEFINANCE(A44, ""volume""), 0)"),-10075.877462340673)</f>
        <v>-10075.87746</v>
      </c>
    </row>
    <row r="45">
      <c r="A45" s="4" t="s">
        <v>344</v>
      </c>
      <c r="B45" s="7">
        <f>IFERROR(__xludf.DUMMYFUNCTION("GOOGLEFINANCE(A45, ""price"")"),3300.0)</f>
        <v>3300</v>
      </c>
      <c r="C45" s="7">
        <f>IFERROR(__xludf.DUMMYFUNCTION("GOOGLEFINANCE(A45, ""changepct"")"),-0.67)</f>
        <v>-0.67</v>
      </c>
      <c r="D45" s="9">
        <f>IFERROR(__xludf.DUMMYFUNCTION("GOOGLEFINANCE(A45, ""priceopen"")"),3325.1)</f>
        <v>3325.1</v>
      </c>
      <c r="E45" s="9">
        <f>IFERROR(__xludf.DUMMYFUNCTION("GOOGLEFINANCE(A45, ""high"")"),3393.9)</f>
        <v>3393.9</v>
      </c>
      <c r="F45" s="9">
        <f>IFERROR(__xludf.DUMMYFUNCTION("GOOGLEFINANCE(A45, ""low"")"),3270.6)</f>
        <v>3270.6</v>
      </c>
      <c r="G45" s="9">
        <f>IFERROR(__xludf.DUMMYFUNCTION("GOOGLEFINANCE(A45, ""price"")"),3300.0)</f>
        <v>3300</v>
      </c>
      <c r="H45" s="9">
        <f>IFERROR(__xludf.DUMMYFUNCTION("MAX(INDEX(GOOGLEFINANCE(A45, ""high"", TODAY()-30, TODAY()), 0, 2))"),3411.1)</f>
        <v>3411.1</v>
      </c>
      <c r="I45" s="9">
        <f>IFERROR(__xludf.DUMMYFUNCTION("MIN(INDEX(GOOGLEFINANCE(A45, ""low"", TODAY()-30, TODAY()), 0, 2))"),3060.0)</f>
        <v>3060</v>
      </c>
      <c r="J45" s="9">
        <f>IFERROR(__xludf.DUMMYFUNCTION("GOOGLEFINANCE(A45, ""high52"")"),3411.1)</f>
        <v>3411.1</v>
      </c>
      <c r="K45" s="9">
        <f>IFERROR(__xludf.DUMMYFUNCTION("GOOGLEFINANCE(A45, ""low52"")"),2502.5)</f>
        <v>2502.5</v>
      </c>
      <c r="L45" s="9">
        <f t="shared" si="1"/>
        <v>0.03257013866</v>
      </c>
      <c r="M45" s="9">
        <f t="shared" si="2"/>
        <v>0.3186813187</v>
      </c>
      <c r="N45" s="9">
        <f t="shared" si="3"/>
        <v>0.03769950468</v>
      </c>
      <c r="O45" s="9">
        <f t="shared" si="4"/>
        <v>0.6835659356</v>
      </c>
      <c r="P45" s="9">
        <f>IFERROR(__xludf.DUMMYFUNCTION("GOOGLEFINANCE(A45, ""pe"")"),45.13)</f>
        <v>45.13</v>
      </c>
      <c r="Q45" s="9">
        <f>IFERROR(__xludf.DUMMYFUNCTION("IFERROR(GOOGLEFINANCE(A45, ""volume"") / GOOGLEFINANCE(A45, ""volumeavg""), 0)"),0.0)</f>
        <v>0</v>
      </c>
      <c r="R45" s="9">
        <f>IFERROR(__xludf.DUMMYFUNCTION("AVERAGE(INDEX(GOOGLEFINANCE(A45, ""price"", TODAY()-30, TODAY()), 0, 2))"),3171.3608695652174)</f>
        <v>3171.36087</v>
      </c>
      <c r="S45" s="9">
        <f>IFERROR(__xludf.DUMMYFUNCTION("AVERAGE(INDEX(GOOGLEFINANCE(A45, ""price"", TODAY()-75, TODAY()), 0, 2))"),3149.192452830188)</f>
        <v>3149.192453</v>
      </c>
      <c r="T45" s="9">
        <f>IFERROR(__xludf.DUMMYFUNCTION("AVERAGE(INDEX(GOOGLEFINANCE(A45, ""price"", TODAY()-300, TODAY()), 0, 2))"),2896.3599009900986)</f>
        <v>2896.359901</v>
      </c>
      <c r="U45" s="9">
        <f t="shared" si="5"/>
        <v>0.04056275389</v>
      </c>
      <c r="V45" s="15">
        <f>IFERROR(__xludf.DUMMYFUNCTION("LET(hist, GOOGLEFINANCE(A45,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rs))))))"),64.53297523127429)</f>
        <v>64.53297523</v>
      </c>
      <c r="W45" s="16" t="str">
        <f>IFERROR(__xludf.DUMMYFUNCTION("IFERROR(GOOGLEFINANCE(A45, ""volume"") / GOOGLEFINANCE(A45, ""volumeavg""), )"),"")</f>
        <v/>
      </c>
      <c r="X45" s="9">
        <f>IFERROR(__xludf.DUMMYFUNCTION("B45 * GOOGLEFINANCE(A45, ""volume"")"),7.6213038E9)</f>
        <v>7621303800</v>
      </c>
      <c r="Y45" s="9">
        <f>IFERROR(__xludf.DUMMYFUNCTION("IFERROR(((B45 - GOOGLEFINANCE(A45, ""priceopen"")) / GOOGLEFINANCE(A45, ""priceopen"")) * GOOGLEFINANCE(A45, ""volume""), 0)"),-17433.490301043516)</f>
        <v>-17433.4903</v>
      </c>
    </row>
    <row r="46">
      <c r="A46" s="4" t="s">
        <v>352</v>
      </c>
      <c r="B46" s="7">
        <f>IFERROR(__xludf.DUMMYFUNCTION("GOOGLEFINANCE(A46, ""price"")"),4351.0)</f>
        <v>4351</v>
      </c>
      <c r="C46" s="7">
        <f>IFERROR(__xludf.DUMMYFUNCTION("GOOGLEFINANCE(A46, ""changepct"")"),-1.11)</f>
        <v>-1.11</v>
      </c>
      <c r="D46" s="9">
        <f>IFERROR(__xludf.DUMMYFUNCTION("GOOGLEFINANCE(A46, ""priceopen"")"),4400.0)</f>
        <v>4400</v>
      </c>
      <c r="E46" s="9">
        <f>IFERROR(__xludf.DUMMYFUNCTION("GOOGLEFINANCE(A46, ""high"")"),4427.8)</f>
        <v>4427.8</v>
      </c>
      <c r="F46" s="9">
        <f>IFERROR(__xludf.DUMMYFUNCTION("GOOGLEFINANCE(A46, ""low"")"),4347.2)</f>
        <v>4347.2</v>
      </c>
      <c r="G46" s="9">
        <f>IFERROR(__xludf.DUMMYFUNCTION("GOOGLEFINANCE(A46, ""price"")"),4351.0)</f>
        <v>4351</v>
      </c>
      <c r="H46" s="9">
        <f>IFERROR(__xludf.DUMMYFUNCTION("MAX(INDEX(GOOGLEFINANCE(A46, ""high"", TODAY()-30, TODAY()), 0, 2))"),4475.0)</f>
        <v>4475</v>
      </c>
      <c r="I46" s="9">
        <f>IFERROR(__xludf.DUMMYFUNCTION("MIN(INDEX(GOOGLEFINANCE(A46, ""low"", TODAY()-30, TODAY()), 0, 2))"),3549.9)</f>
        <v>3549.9</v>
      </c>
      <c r="J46" s="9">
        <f>IFERROR(__xludf.DUMMYFUNCTION("GOOGLEFINANCE(A46, ""high52"")"),4475.0)</f>
        <v>4475</v>
      </c>
      <c r="K46" s="9">
        <f>IFERROR(__xludf.DUMMYFUNCTION("GOOGLEFINANCE(A46, ""low52"")"),2955.5)</f>
        <v>2955.5</v>
      </c>
      <c r="L46" s="9">
        <f t="shared" si="1"/>
        <v>0.02770949721</v>
      </c>
      <c r="M46" s="9">
        <f t="shared" si="2"/>
        <v>0.4721705295</v>
      </c>
      <c r="N46" s="9">
        <f t="shared" si="3"/>
        <v>0.01854066986</v>
      </c>
      <c r="O46" s="9">
        <f t="shared" si="4"/>
        <v>0.8659604367</v>
      </c>
      <c r="P46" s="9">
        <f>IFERROR(__xludf.DUMMYFUNCTION("GOOGLEFINANCE(A46, ""pe"")"),60.3)</f>
        <v>60.3</v>
      </c>
      <c r="Q46" s="9">
        <f>IFERROR(__xludf.DUMMYFUNCTION("IFERROR(GOOGLEFINANCE(A46, ""volume"") / GOOGLEFINANCE(A46, ""volumeavg""), 0)"),0.0)</f>
        <v>0</v>
      </c>
      <c r="R46" s="9">
        <f>IFERROR(__xludf.DUMMYFUNCTION("AVERAGE(INDEX(GOOGLEFINANCE(A46, ""price"", TODAY()-30, TODAY()), 0, 2))"),4038.5826086956517)</f>
        <v>4038.582609</v>
      </c>
      <c r="S46" s="9">
        <f>IFERROR(__xludf.DUMMYFUNCTION("AVERAGE(INDEX(GOOGLEFINANCE(A46, ""price"", TODAY()-75, TODAY()), 0, 2))"),3713.2075471698113)</f>
        <v>3713.207547</v>
      </c>
      <c r="T46" s="9">
        <f>IFERROR(__xludf.DUMMYFUNCTION("AVERAGE(INDEX(GOOGLEFINANCE(A46, ""price"", TODAY()-300, TODAY()), 0, 2))"),3641.669306930693)</f>
        <v>3641.669307</v>
      </c>
      <c r="U46" s="9">
        <f t="shared" si="5"/>
        <v>0.07735817775</v>
      </c>
      <c r="V46" s="15">
        <f>IFERROR(__xludf.DUMMYFUNCTION("LET(hist, GOOGLEFINANCE(A46,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rs))))))"),73.82747068676716)</f>
        <v>73.82747069</v>
      </c>
      <c r="W46" s="16" t="str">
        <f>IFERROR(__xludf.DUMMYFUNCTION("IFERROR(GOOGLEFINANCE(A46, ""volume"") / GOOGLEFINANCE(A46, ""volumeavg""), )"),"")</f>
        <v/>
      </c>
      <c r="X46" s="9">
        <f>IFERROR(__xludf.DUMMYFUNCTION("B46 * GOOGLEFINANCE(A46, ""volume"")"),3.966523885E9)</f>
        <v>3966523885</v>
      </c>
      <c r="Y46" s="9">
        <f>IFERROR(__xludf.DUMMYFUNCTION("IFERROR(((B46 - GOOGLEFINANCE(A46, ""priceopen"")) / GOOGLEFINANCE(A46, ""priceopen"")) * GOOGLEFINANCE(A46, ""volume""), 0)"),-10152.298863636364)</f>
        <v>-10152.29886</v>
      </c>
    </row>
    <row r="47">
      <c r="A47" s="4" t="s">
        <v>356</v>
      </c>
      <c r="B47" s="7">
        <f>IFERROR(__xludf.DUMMYFUNCTION("GOOGLEFINANCE(A47, ""price"")"),5310.0)</f>
        <v>5310</v>
      </c>
      <c r="C47" s="7">
        <f>IFERROR(__xludf.DUMMYFUNCTION("GOOGLEFINANCE(A47, ""changepct"")"),0.49)</f>
        <v>0.49</v>
      </c>
      <c r="D47" s="9">
        <f>IFERROR(__xludf.DUMMYFUNCTION("GOOGLEFINANCE(A47, ""priceopen"")"),5266.5)</f>
        <v>5266.5</v>
      </c>
      <c r="E47" s="9">
        <f>IFERROR(__xludf.DUMMYFUNCTION("GOOGLEFINANCE(A47, ""high"")"),5333.0)</f>
        <v>5333</v>
      </c>
      <c r="F47" s="9">
        <f>IFERROR(__xludf.DUMMYFUNCTION("GOOGLEFINANCE(A47, ""low"")"),5228.0)</f>
        <v>5228</v>
      </c>
      <c r="G47" s="9">
        <f>IFERROR(__xludf.DUMMYFUNCTION("GOOGLEFINANCE(A47, ""price"")"),5310.0)</f>
        <v>5310</v>
      </c>
      <c r="H47" s="9">
        <f>IFERROR(__xludf.DUMMYFUNCTION("MAX(INDEX(GOOGLEFINANCE(A47, ""high"", TODAY()-30, TODAY()), 0, 2))"),5508.0)</f>
        <v>5508</v>
      </c>
      <c r="I47" s="9">
        <f>IFERROR(__xludf.DUMMYFUNCTION("MIN(INDEX(GOOGLEFINANCE(A47, ""low"", TODAY()-30, TODAY()), 0, 2))"),4886.0)</f>
        <v>4886</v>
      </c>
      <c r="J47" s="9">
        <f>IFERROR(__xludf.DUMMYFUNCTION("GOOGLEFINANCE(A47, ""high52"")"),6232.5)</f>
        <v>6232.5</v>
      </c>
      <c r="K47" s="9">
        <f>IFERROR(__xludf.DUMMYFUNCTION("GOOGLEFINANCE(A47, ""low52"")"),3895.2)</f>
        <v>3895.2</v>
      </c>
      <c r="L47" s="9">
        <f t="shared" si="1"/>
        <v>0.1480144404</v>
      </c>
      <c r="M47" s="9">
        <f t="shared" si="2"/>
        <v>0.3632162662</v>
      </c>
      <c r="N47" s="9">
        <f t="shared" si="3"/>
        <v>0.0200841622</v>
      </c>
      <c r="O47" s="9">
        <f t="shared" si="4"/>
        <v>0.6816720257</v>
      </c>
      <c r="P47" s="9" t="str">
        <f>IFERROR(__xludf.DUMMYFUNCTION("GOOGLEFINANCE(A47, ""pe"")"),"#N/A")</f>
        <v>#N/A</v>
      </c>
      <c r="Q47" s="9">
        <f>IFERROR(__xludf.DUMMYFUNCTION("IFERROR(GOOGLEFINANCE(A47, ""volume"") / GOOGLEFINANCE(A47, ""volumeavg""), 0)"),0.0)</f>
        <v>0</v>
      </c>
      <c r="R47" s="9">
        <f>IFERROR(__xludf.DUMMYFUNCTION("AVERAGE(INDEX(GOOGLEFINANCE(A47, ""price"", TODAY()-30, TODAY()), 0, 2))"),5244.369565217391)</f>
        <v>5244.369565</v>
      </c>
      <c r="S47" s="9">
        <f>IFERROR(__xludf.DUMMYFUNCTION("AVERAGE(INDEX(GOOGLEFINANCE(A47, ""price"", TODAY()-75, TODAY()), 0, 2))"),5071.2320754716975)</f>
        <v>5071.232075</v>
      </c>
      <c r="T47" s="9">
        <f>IFERROR(__xludf.DUMMYFUNCTION("AVERAGE(INDEX(GOOGLEFINANCE(A47, ""price"", TODAY()-300, TODAY()), 0, 2))"),4951.352970297031)</f>
        <v>4951.35297</v>
      </c>
      <c r="U47" s="9">
        <f t="shared" si="5"/>
        <v>0.0125144565</v>
      </c>
      <c r="V47" s="15">
        <f>IFERROR(__xludf.DUMMYFUNCTION("LET(hist, GOOGLEFINANCE(A47,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rs))))))"),66.40169581346052)</f>
        <v>66.40169581</v>
      </c>
      <c r="W47" s="16" t="str">
        <f>IFERROR(__xludf.DUMMYFUNCTION("IFERROR(GOOGLEFINANCE(A47, ""volume"") / GOOGLEFINANCE(A47, ""volumeavg""), )"),"")</f>
        <v/>
      </c>
      <c r="X47" s="9">
        <f>IFERROR(__xludf.DUMMYFUNCTION("B47 * GOOGLEFINANCE(A47, ""volume"")"),1.14649803E9)</f>
        <v>1146498030</v>
      </c>
      <c r="Y47" s="9">
        <f>IFERROR(__xludf.DUMMYFUNCTION("IFERROR(((B47 - GOOGLEFINANCE(A47, ""priceopen"")) / GOOGLEFINANCE(A47, ""priceopen"")) * GOOGLEFINANCE(A47, ""volume""), 0)"),1783.3884933067504)</f>
        <v>1783.388493</v>
      </c>
    </row>
    <row r="48">
      <c r="A48" s="4" t="s">
        <v>360</v>
      </c>
      <c r="B48" s="7">
        <f>IFERROR(__xludf.DUMMYFUNCTION("GOOGLEFINANCE(A48, ""price"")"),140.6)</f>
        <v>140.6</v>
      </c>
      <c r="C48" s="7">
        <f>IFERROR(__xludf.DUMMYFUNCTION("GOOGLEFINANCE(A48, ""changepct"")"),0.43)</f>
        <v>0.43</v>
      </c>
      <c r="D48" s="9">
        <f>IFERROR(__xludf.DUMMYFUNCTION("GOOGLEFINANCE(A48, ""priceopen"")"),140.63)</f>
        <v>140.63</v>
      </c>
      <c r="E48" s="9">
        <f>IFERROR(__xludf.DUMMYFUNCTION("GOOGLEFINANCE(A48, ""high"")"),142.05)</f>
        <v>142.05</v>
      </c>
      <c r="F48" s="9">
        <f>IFERROR(__xludf.DUMMYFUNCTION("GOOGLEFINANCE(A48, ""low"")"),139.29)</f>
        <v>139.29</v>
      </c>
      <c r="G48" s="9">
        <f>IFERROR(__xludf.DUMMYFUNCTION("GOOGLEFINANCE(A48, ""price"")"),140.6)</f>
        <v>140.6</v>
      </c>
      <c r="H48" s="9">
        <f>IFERROR(__xludf.DUMMYFUNCTION("MAX(INDEX(GOOGLEFINANCE(A48, ""high"", TODAY()-30, TODAY()), 0, 2))"),145.2)</f>
        <v>145.2</v>
      </c>
      <c r="I48" s="9">
        <f>IFERROR(__xludf.DUMMYFUNCTION("MIN(INDEX(GOOGLEFINANCE(A48, ""low"", TODAY()-30, TODAY()), 0, 2))"),136.62)</f>
        <v>136.62</v>
      </c>
      <c r="J48" s="9">
        <f>IFERROR(__xludf.DUMMYFUNCTION("GOOGLEFINANCE(A48, ""high52"")"),188.96)</f>
        <v>188.96</v>
      </c>
      <c r="K48" s="9">
        <f>IFERROR(__xludf.DUMMYFUNCTION("GOOGLEFINANCE(A48, ""low52"")"),130.22)</f>
        <v>130.22</v>
      </c>
      <c r="L48" s="9">
        <f t="shared" si="1"/>
        <v>0.2559271804</v>
      </c>
      <c r="M48" s="9">
        <f t="shared" si="2"/>
        <v>0.07971125787</v>
      </c>
      <c r="N48" s="9">
        <f t="shared" si="3"/>
        <v>0.01981477493</v>
      </c>
      <c r="O48" s="9">
        <f t="shared" si="4"/>
        <v>0.4638694639</v>
      </c>
      <c r="P48" s="9">
        <f>IFERROR(__xludf.DUMMYFUNCTION("GOOGLEFINANCE(A48, ""pe"")"),5.75)</f>
        <v>5.75</v>
      </c>
      <c r="Q48" s="9">
        <f>IFERROR(__xludf.DUMMYFUNCTION("IFERROR(GOOGLEFINANCE(A48, ""volume"") / GOOGLEFINANCE(A48, ""volumeavg""), 0)"),0.0)</f>
        <v>0</v>
      </c>
      <c r="R48" s="9">
        <f>IFERROR(__xludf.DUMMYFUNCTION("AVERAGE(INDEX(GOOGLEFINANCE(A48, ""price"", TODAY()-30, TODAY()), 0, 2))"),141.2095652173913)</f>
        <v>141.2095652</v>
      </c>
      <c r="S48" s="9">
        <f>IFERROR(__xludf.DUMMYFUNCTION("AVERAGE(INDEX(GOOGLEFINANCE(A48, ""price"", TODAY()-75, TODAY()), 0, 2))"),140.91792452830188)</f>
        <v>140.9179245</v>
      </c>
      <c r="T48" s="9">
        <f>IFERROR(__xludf.DUMMYFUNCTION("AVERAGE(INDEX(GOOGLEFINANCE(A48, ""price"", TODAY()-300, TODAY()), 0, 2))"),153.63346534653462)</f>
        <v>153.6334653</v>
      </c>
      <c r="U48" s="9">
        <f t="shared" si="5"/>
        <v>-0.004316741691</v>
      </c>
      <c r="V48" s="15">
        <f>IFERROR(__xludf.DUMMYFUNCTION("LET(hist, GOOGLEFINANCE(A48,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rs))))))"),51.66830225711484)</f>
        <v>51.66830226</v>
      </c>
      <c r="W48" s="16" t="str">
        <f>IFERROR(__xludf.DUMMYFUNCTION("IFERROR(GOOGLEFINANCE(A48, ""volume"") / GOOGLEFINANCE(A48, ""volumeavg""), )"),"")</f>
        <v/>
      </c>
      <c r="X48" s="9">
        <f>IFERROR(__xludf.DUMMYFUNCTION("B48 * GOOGLEFINANCE(A48, ""volume"")"),1.4210292963999999E9)</f>
        <v>1421029296</v>
      </c>
      <c r="Y48" s="9">
        <f>IFERROR(__xludf.DUMMYFUNCTION("IFERROR(((B48 - GOOGLEFINANCE(A48, ""priceopen"")) / GOOGLEFINANCE(A48, ""priceopen"")) * GOOGLEFINANCE(A48, ""volume""), 0)"),-2156.0607267297983)</f>
        <v>-2156.060727</v>
      </c>
    </row>
    <row r="49">
      <c r="A49" s="4" t="s">
        <v>364</v>
      </c>
      <c r="B49" s="7">
        <f>IFERROR(__xludf.DUMMYFUNCTION("GOOGLEFINANCE(A49, ""price"")"),1601.5)</f>
        <v>1601.5</v>
      </c>
      <c r="C49" s="7">
        <f>IFERROR(__xludf.DUMMYFUNCTION("GOOGLEFINANCE(A49, ""changepct"")"),-1.26)</f>
        <v>-1.26</v>
      </c>
      <c r="D49" s="9">
        <f>IFERROR(__xludf.DUMMYFUNCTION("GOOGLEFINANCE(A49, ""priceopen"")"),1628.5)</f>
        <v>1628.5</v>
      </c>
      <c r="E49" s="9">
        <f>IFERROR(__xludf.DUMMYFUNCTION("GOOGLEFINANCE(A49, ""high"")"),1629.7)</f>
        <v>1629.7</v>
      </c>
      <c r="F49" s="9">
        <f>IFERROR(__xludf.DUMMYFUNCTION("GOOGLEFINANCE(A49, ""low"")"),1570.2)</f>
        <v>1570.2</v>
      </c>
      <c r="G49" s="9">
        <f>IFERROR(__xludf.DUMMYFUNCTION("GOOGLEFINANCE(A49, ""price"")"),1601.5)</f>
        <v>1601.5</v>
      </c>
      <c r="H49" s="9">
        <f>IFERROR(__xludf.DUMMYFUNCTION("MAX(INDEX(GOOGLEFINANCE(A49, ""high"", TODAY()-30, TODAY()), 0, 2))"),1789.0)</f>
        <v>1789</v>
      </c>
      <c r="I49" s="9">
        <f>IFERROR(__xludf.DUMMYFUNCTION("MIN(INDEX(GOOGLEFINANCE(A49, ""low"", TODAY()-30, TODAY()), 0, 2))"),1570.2)</f>
        <v>1570.2</v>
      </c>
      <c r="J49" s="9">
        <f>IFERROR(__xludf.DUMMYFUNCTION("GOOGLEFINANCE(A49, ""high52"")"),1789.0)</f>
        <v>1789</v>
      </c>
      <c r="K49" s="9">
        <f>IFERROR(__xludf.DUMMYFUNCTION("GOOGLEFINANCE(A49, ""low52"")"),744.9)</f>
        <v>744.9</v>
      </c>
      <c r="L49" s="9">
        <f t="shared" si="1"/>
        <v>0.1048071548</v>
      </c>
      <c r="M49" s="9">
        <f t="shared" si="2"/>
        <v>1.149953014</v>
      </c>
      <c r="N49" s="9">
        <f t="shared" si="3"/>
        <v>0.037893262</v>
      </c>
      <c r="O49" s="9">
        <f t="shared" si="4"/>
        <v>0.1430530165</v>
      </c>
      <c r="P49" s="9">
        <f>IFERROR(__xludf.DUMMYFUNCTION("GOOGLEFINANCE(A49, ""pe"")"),65.9)</f>
        <v>65.9</v>
      </c>
      <c r="Q49" s="9">
        <f>IFERROR(__xludf.DUMMYFUNCTION("IFERROR(GOOGLEFINANCE(A49, ""volume"") / GOOGLEFINANCE(A49, ""volumeavg""), 0)"),0.0)</f>
        <v>0</v>
      </c>
      <c r="R49" s="9">
        <f>IFERROR(__xludf.DUMMYFUNCTION("AVERAGE(INDEX(GOOGLEFINANCE(A49, ""price"", TODAY()-30, TODAY()), 0, 2))"),1668.2434782608696)</f>
        <v>1668.243478</v>
      </c>
      <c r="S49" s="9">
        <f>IFERROR(__xludf.DUMMYFUNCTION("AVERAGE(INDEX(GOOGLEFINANCE(A49, ""price"", TODAY()-75, TODAY()), 0, 2))"),1594.5622641509437)</f>
        <v>1594.562264</v>
      </c>
      <c r="T49" s="9">
        <f>IFERROR(__xludf.DUMMYFUNCTION("AVERAGE(INDEX(GOOGLEFINANCE(A49, ""price"", TODAY()-300, TODAY()), 0, 2))"),1199.6381188118808)</f>
        <v>1199.638119</v>
      </c>
      <c r="U49" s="9">
        <f t="shared" si="5"/>
        <v>-0.04000823569</v>
      </c>
      <c r="V49" s="15">
        <f>IFERROR(__xludf.DUMMYFUNCTION("LET(hist, GOOGLEFINANCE(A49,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rs))))))"),27.398720682302752)</f>
        <v>27.39872068</v>
      </c>
      <c r="W49" s="16" t="str">
        <f>IFERROR(__xludf.DUMMYFUNCTION("IFERROR(GOOGLEFINANCE(A49, ""volume"") / GOOGLEFINANCE(A49, ""volumeavg""), )"),"")</f>
        <v/>
      </c>
      <c r="X49" s="9">
        <f>IFERROR(__xludf.DUMMYFUNCTION("B49 * GOOGLEFINANCE(A49, ""volume"")"),2.5407140885E9)</f>
        <v>2540714089</v>
      </c>
      <c r="Y49" s="9">
        <f>IFERROR(__xludf.DUMMYFUNCTION("IFERROR(((B49 - GOOGLEFINANCE(A49, ""priceopen"")) / GOOGLEFINANCE(A49, ""priceopen"")) * GOOGLEFINANCE(A49, ""volume""), 0)"),-26302.97390236414)</f>
        <v>-26302.9739</v>
      </c>
    </row>
    <row r="50">
      <c r="A50" s="4" t="s">
        <v>370</v>
      </c>
      <c r="B50" s="7">
        <f>IFERROR(__xludf.DUMMYFUNCTION("GOOGLEFINANCE(A50, ""price"")"),4889.0)</f>
        <v>4889</v>
      </c>
      <c r="C50" s="7">
        <f>IFERROR(__xludf.DUMMYFUNCTION("GOOGLEFINANCE(A50, ""changepct"")"),0.06)</f>
        <v>0.06</v>
      </c>
      <c r="D50" s="9">
        <f>IFERROR(__xludf.DUMMYFUNCTION("GOOGLEFINANCE(A50, ""priceopen"")"),4864.0)</f>
        <v>4864</v>
      </c>
      <c r="E50" s="9">
        <f>IFERROR(__xludf.DUMMYFUNCTION("GOOGLEFINANCE(A50, ""high"")"),4893.5)</f>
        <v>4893.5</v>
      </c>
      <c r="F50" s="9">
        <f>IFERROR(__xludf.DUMMYFUNCTION("GOOGLEFINANCE(A50, ""low"")"),4824.5)</f>
        <v>4824.5</v>
      </c>
      <c r="G50" s="9">
        <f>IFERROR(__xludf.DUMMYFUNCTION("GOOGLEFINANCE(A50, ""price"")"),4889.0)</f>
        <v>4889</v>
      </c>
      <c r="H50" s="9">
        <f>IFERROR(__xludf.DUMMYFUNCTION("MAX(INDEX(GOOGLEFINANCE(A50, ""high"", TODAY()-30, TODAY()), 0, 2))"),5250.0)</f>
        <v>5250</v>
      </c>
      <c r="I50" s="9">
        <f>IFERROR(__xludf.DUMMYFUNCTION("MIN(INDEX(GOOGLEFINANCE(A50, ""low"", TODAY()-30, TODAY()), 0, 2))"),4695.1)</f>
        <v>4695.1</v>
      </c>
      <c r="J50" s="9">
        <f>IFERROR(__xludf.DUMMYFUNCTION("GOOGLEFINANCE(A50, ""high52"")"),5250.0)</f>
        <v>5250</v>
      </c>
      <c r="K50" s="9">
        <f>IFERROR(__xludf.DUMMYFUNCTION("GOOGLEFINANCE(A50, ""low52"")"),3480.6)</f>
        <v>3480.6</v>
      </c>
      <c r="L50" s="9">
        <f t="shared" si="1"/>
        <v>0.06876190476</v>
      </c>
      <c r="M50" s="9">
        <f t="shared" si="2"/>
        <v>0.4046428777</v>
      </c>
      <c r="N50" s="9">
        <f t="shared" si="3"/>
        <v>0.01430200021</v>
      </c>
      <c r="O50" s="9">
        <f t="shared" si="4"/>
        <v>0.3494323301</v>
      </c>
      <c r="P50" s="9">
        <f>IFERROR(__xludf.DUMMYFUNCTION("GOOGLEFINANCE(A50, ""pe"")"),78.1)</f>
        <v>78.1</v>
      </c>
      <c r="Q50" s="9">
        <f>IFERROR(__xludf.DUMMYFUNCTION("IFERROR(GOOGLEFINANCE(A50, ""volume"") / GOOGLEFINANCE(A50, ""volumeavg""), 0)"),0.0)</f>
        <v>0</v>
      </c>
      <c r="R50" s="9">
        <f>IFERROR(__xludf.DUMMYFUNCTION("AVERAGE(INDEX(GOOGLEFINANCE(A50, ""price"", TODAY()-30, TODAY()), 0, 2))"),4967.539130434783)</f>
        <v>4967.53913</v>
      </c>
      <c r="S50" s="9">
        <f>IFERROR(__xludf.DUMMYFUNCTION("AVERAGE(INDEX(GOOGLEFINANCE(A50, ""price"", TODAY()-75, TODAY()), 0, 2))"),4734.46037735849)</f>
        <v>4734.460377</v>
      </c>
      <c r="T50" s="9">
        <f>IFERROR(__xludf.DUMMYFUNCTION("AVERAGE(INDEX(GOOGLEFINANCE(A50, ""price"", TODAY()-300, TODAY()), 0, 2))"),4214.421287128712)</f>
        <v>4214.421287</v>
      </c>
      <c r="U50" s="9">
        <f t="shared" si="5"/>
        <v>-0.01581047041</v>
      </c>
      <c r="V50" s="15">
        <f>IFERROR(__xludf.DUMMYFUNCTION("LET(hist, GOOGLEFINANCE(A50,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rs))))))"),39.28571428571429)</f>
        <v>39.28571429</v>
      </c>
      <c r="W50" s="16" t="str">
        <f>IFERROR(__xludf.DUMMYFUNCTION("IFERROR(GOOGLEFINANCE(A50, ""volume"") / GOOGLEFINANCE(A50, ""volumeavg""), )"),"")</f>
        <v/>
      </c>
      <c r="X50" s="9">
        <f>IFERROR(__xludf.DUMMYFUNCTION("B50 * GOOGLEFINANCE(A50, ""volume"")"),1.95921786E9)</f>
        <v>1959217860</v>
      </c>
      <c r="Y50" s="9">
        <f>IFERROR(__xludf.DUMMYFUNCTION("IFERROR(((B50 - GOOGLEFINANCE(A50, ""priceopen"")) / GOOGLEFINANCE(A50, ""priceopen"")) * GOOGLEFINANCE(A50, ""volume""), 0)"),2059.7245065789475)</f>
        <v>2059.724507</v>
      </c>
    </row>
    <row r="51">
      <c r="A51" s="4" t="s">
        <v>374</v>
      </c>
      <c r="B51" s="7">
        <f>IFERROR(__xludf.DUMMYFUNCTION("GOOGLEFINANCE(A51, ""price"")"),1827.0)</f>
        <v>1827</v>
      </c>
      <c r="C51" s="7">
        <f>IFERROR(__xludf.DUMMYFUNCTION("GOOGLEFINANCE(A51, ""changepct"")"),-0.58)</f>
        <v>-0.58</v>
      </c>
      <c r="D51" s="9">
        <f>IFERROR(__xludf.DUMMYFUNCTION("GOOGLEFINANCE(A51, ""priceopen"")"),1840.8)</f>
        <v>1840.8</v>
      </c>
      <c r="E51" s="9">
        <f>IFERROR(__xludf.DUMMYFUNCTION("GOOGLEFINANCE(A51, ""high"")"),1840.8)</f>
        <v>1840.8</v>
      </c>
      <c r="F51" s="9">
        <f>IFERROR(__xludf.DUMMYFUNCTION("GOOGLEFINANCE(A51, ""low"")"),1816.5)</f>
        <v>1816.5</v>
      </c>
      <c r="G51" s="9">
        <f>IFERROR(__xludf.DUMMYFUNCTION("GOOGLEFINANCE(A51, ""price"")"),1827.0)</f>
        <v>1827</v>
      </c>
      <c r="H51" s="9">
        <f>IFERROR(__xludf.DUMMYFUNCTION("MAX(INDEX(GOOGLEFINANCE(A51, ""high"", TODAY()-30, TODAY()), 0, 2))"),1915.0)</f>
        <v>1915</v>
      </c>
      <c r="I51" s="9">
        <f>IFERROR(__xludf.DUMMYFUNCTION("MIN(INDEX(GOOGLEFINANCE(A51, ""low"", TODAY()-30, TODAY()), 0, 2))"),1797.0)</f>
        <v>1797</v>
      </c>
      <c r="J51" s="9">
        <f>IFERROR(__xludf.DUMMYFUNCTION("GOOGLEFINANCE(A51, ""high52"")"),2132.0)</f>
        <v>2132</v>
      </c>
      <c r="K51" s="9">
        <f>IFERROR(__xludf.DUMMYFUNCTION("GOOGLEFINANCE(A51, ""low52"")"),1700.4)</f>
        <v>1700.4</v>
      </c>
      <c r="L51" s="9">
        <f t="shared" si="1"/>
        <v>0.1430581614</v>
      </c>
      <c r="M51" s="9">
        <f t="shared" si="2"/>
        <v>0.07445306987</v>
      </c>
      <c r="N51" s="9">
        <f t="shared" si="3"/>
        <v>0.01337737407</v>
      </c>
      <c r="O51" s="9">
        <f t="shared" si="4"/>
        <v>0.2542372881</v>
      </c>
      <c r="P51" s="9">
        <f>IFERROR(__xludf.DUMMYFUNCTION("GOOGLEFINANCE(A51, ""pe"")"),70.47)</f>
        <v>70.47</v>
      </c>
      <c r="Q51" s="9">
        <f>IFERROR(__xludf.DUMMYFUNCTION("IFERROR(GOOGLEFINANCE(A51, ""volume"") / GOOGLEFINANCE(A51, ""volumeavg""), 0)"),0.0)</f>
        <v>0</v>
      </c>
      <c r="R51" s="9">
        <f>IFERROR(__xludf.DUMMYFUNCTION("AVERAGE(INDEX(GOOGLEFINANCE(A51, ""price"", TODAY()-30, TODAY()), 0, 2))"),1857.786956521739)</f>
        <v>1857.786957</v>
      </c>
      <c r="S51" s="9">
        <f>IFERROR(__xludf.DUMMYFUNCTION("AVERAGE(INDEX(GOOGLEFINANCE(A51, ""price"", TODAY()-75, TODAY()), 0, 2))"),1815.1716981132076)</f>
        <v>1815.171698</v>
      </c>
      <c r="T51" s="9">
        <f>IFERROR(__xludf.DUMMYFUNCTION("AVERAGE(INDEX(GOOGLEFINANCE(A51, ""price"", TODAY()-300, TODAY()), 0, 2))"),1922.8252475247543)</f>
        <v>1922.825248</v>
      </c>
      <c r="U51" s="9">
        <f t="shared" si="5"/>
        <v>-0.01657184448</v>
      </c>
      <c r="V51" s="15">
        <f>IFERROR(__xludf.DUMMYFUNCTION("LET(hist, GOOGLEFINANCE(A51,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rs))))))"),43.51902923331495)</f>
        <v>43.51902923</v>
      </c>
      <c r="W51" s="16" t="str">
        <f>IFERROR(__xludf.DUMMYFUNCTION("IFERROR(GOOGLEFINANCE(A51, ""volume"") / GOOGLEFINANCE(A51, ""volumeavg""), )"),"")</f>
        <v/>
      </c>
      <c r="X51" s="9">
        <f>IFERROR(__xludf.DUMMYFUNCTION("B51 * GOOGLEFINANCE(A51, ""volume"")"),1.924753635E9)</f>
        <v>1924753635</v>
      </c>
      <c r="Y51" s="9">
        <f>IFERROR(__xludf.DUMMYFUNCTION("IFERROR(((B51 - GOOGLEFINANCE(A51, ""priceopen"")) / GOOGLEFINANCE(A51, ""priceopen"")) * GOOGLEFINANCE(A51, ""volume""), 0)"),-7897.853650586676)</f>
        <v>-7897.853651</v>
      </c>
    </row>
    <row r="52">
      <c r="A52" s="4" t="s">
        <v>380</v>
      </c>
      <c r="B52" s="7">
        <f>IFERROR(__xludf.DUMMYFUNCTION("GOOGLEFINANCE(A52, ""price"")"),183.17)</f>
        <v>183.17</v>
      </c>
      <c r="C52" s="7">
        <f>IFERROR(__xludf.DUMMYFUNCTION("GOOGLEFINANCE(A52, ""changepct"")"),-0.77)</f>
        <v>-0.77</v>
      </c>
      <c r="D52" s="9">
        <f>IFERROR(__xludf.DUMMYFUNCTION("GOOGLEFINANCE(A52, ""priceopen"")"),184.51)</f>
        <v>184.51</v>
      </c>
      <c r="E52" s="9">
        <f>IFERROR(__xludf.DUMMYFUNCTION("GOOGLEFINANCE(A52, ""high"")"),185.0)</f>
        <v>185</v>
      </c>
      <c r="F52" s="9">
        <f>IFERROR(__xludf.DUMMYFUNCTION("GOOGLEFINANCE(A52, ""low"")"),181.91)</f>
        <v>181.91</v>
      </c>
      <c r="G52" s="9">
        <f>IFERROR(__xludf.DUMMYFUNCTION("GOOGLEFINANCE(A52, ""price"")"),183.17)</f>
        <v>183.17</v>
      </c>
      <c r="H52" s="9">
        <f>IFERROR(__xludf.DUMMYFUNCTION("MAX(INDEX(GOOGLEFINANCE(A52, ""high"", TODAY()-30, TODAY()), 0, 2))"),191.34)</f>
        <v>191.34</v>
      </c>
      <c r="I52" s="9">
        <f>IFERROR(__xludf.DUMMYFUNCTION("MIN(INDEX(GOOGLEFINANCE(A52, ""low"", TODAY()-30, TODAY()), 0, 2))"),172.8)</f>
        <v>172.8</v>
      </c>
      <c r="J52" s="9">
        <f>IFERROR(__xludf.DUMMYFUNCTION("GOOGLEFINANCE(A52, ""high52"")"),273.1)</f>
        <v>273.1</v>
      </c>
      <c r="K52" s="9">
        <f>IFERROR(__xludf.DUMMYFUNCTION("GOOGLEFINANCE(A52, ""low52"")"),169.0)</f>
        <v>169</v>
      </c>
      <c r="L52" s="9">
        <f t="shared" si="1"/>
        <v>0.3292932992</v>
      </c>
      <c r="M52" s="9">
        <f t="shared" si="2"/>
        <v>0.08384615385</v>
      </c>
      <c r="N52" s="9">
        <f t="shared" si="3"/>
        <v>0.01698642186</v>
      </c>
      <c r="O52" s="9">
        <f t="shared" si="4"/>
        <v>0.5593311758</v>
      </c>
      <c r="P52" s="9">
        <f>IFERROR(__xludf.DUMMYFUNCTION("GOOGLEFINANCE(A52, ""pe"")"),14.54)</f>
        <v>14.54</v>
      </c>
      <c r="Q52" s="9">
        <f>IFERROR(__xludf.DUMMYFUNCTION("IFERROR(GOOGLEFINANCE(A52, ""volume"") / GOOGLEFINANCE(A52, ""volumeavg""), 0)"),0.0)</f>
        <v>0</v>
      </c>
      <c r="R52" s="9">
        <f>IFERROR(__xludf.DUMMYFUNCTION("AVERAGE(INDEX(GOOGLEFINANCE(A52, ""price"", TODAY()-30, TODAY()), 0, 2))"),181.0682608695652)</f>
        <v>181.0682609</v>
      </c>
      <c r="S52" s="9">
        <f>IFERROR(__xludf.DUMMYFUNCTION("AVERAGE(INDEX(GOOGLEFINANCE(A52, ""price"", TODAY()-75, TODAY()), 0, 2))"),181.93169811320755)</f>
        <v>181.9316981</v>
      </c>
      <c r="T52" s="9">
        <f>IFERROR(__xludf.DUMMYFUNCTION("AVERAGE(INDEX(GOOGLEFINANCE(A52, ""price"", TODAY()-300, TODAY()), 0, 2))"),215.03049504950505)</f>
        <v>215.030495</v>
      </c>
      <c r="U52" s="9">
        <f t="shared" si="5"/>
        <v>0.01160744086</v>
      </c>
      <c r="V52" s="15">
        <f>IFERROR(__xludf.DUMMYFUNCTION("LET(hist, GOOGLEFINANCE(A52,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rs))))))"),66.21621621621622)</f>
        <v>66.21621622</v>
      </c>
      <c r="W52" s="16" t="str">
        <f>IFERROR(__xludf.DUMMYFUNCTION("IFERROR(GOOGLEFINANCE(A52, ""volume"") / GOOGLEFINANCE(A52, ""volumeavg""), )"),"")</f>
        <v/>
      </c>
      <c r="X52" s="9">
        <f>IFERROR(__xludf.DUMMYFUNCTION("B52 * GOOGLEFINANCE(A52, ""volume"")"),1.5797584571599998E9)</f>
        <v>1579758457</v>
      </c>
      <c r="Y52" s="9">
        <f>IFERROR(__xludf.DUMMYFUNCTION("IFERROR(((B52 - GOOGLEFINANCE(A52, ""priceopen"")) / GOOGLEFINANCE(A52, ""priceopen"")) * GOOGLEFINANCE(A52, ""volume""), 0)"),-62635.598720936694)</f>
        <v>-62635.59872</v>
      </c>
    </row>
    <row r="53">
      <c r="A53" s="4" t="s">
        <v>385</v>
      </c>
      <c r="B53" s="7">
        <f>IFERROR(__xludf.DUMMYFUNCTION("GOOGLEFINANCE(A53, ""price"")"),461.5)</f>
        <v>461.5</v>
      </c>
      <c r="C53" s="7">
        <f>IFERROR(__xludf.DUMMYFUNCTION("GOOGLEFINANCE(A53, ""changepct"")"),-0.43)</f>
        <v>-0.43</v>
      </c>
      <c r="D53" s="9">
        <f>IFERROR(__xludf.DUMMYFUNCTION("GOOGLEFINANCE(A53, ""priceopen"")"),464.65)</f>
        <v>464.65</v>
      </c>
      <c r="E53" s="9">
        <f>IFERROR(__xludf.DUMMYFUNCTION("GOOGLEFINANCE(A53, ""high"")"),476.95)</f>
        <v>476.95</v>
      </c>
      <c r="F53" s="9">
        <f>IFERROR(__xludf.DUMMYFUNCTION("GOOGLEFINANCE(A53, ""low"")"),460.1)</f>
        <v>460.1</v>
      </c>
      <c r="G53" s="9">
        <f>IFERROR(__xludf.DUMMYFUNCTION("GOOGLEFINANCE(A53, ""price"")"),461.5)</f>
        <v>461.5</v>
      </c>
      <c r="H53" s="9">
        <f>IFERROR(__xludf.DUMMYFUNCTION("MAX(INDEX(GOOGLEFINANCE(A53, ""high"", TODAY()-30, TODAY()), 0, 2))"),487.7)</f>
        <v>487.7</v>
      </c>
      <c r="I53" s="9">
        <f>IFERROR(__xludf.DUMMYFUNCTION("MIN(INDEX(GOOGLEFINANCE(A53, ""low"", TODAY()-30, TODAY()), 0, 2))"),423.15)</f>
        <v>423.15</v>
      </c>
      <c r="J53" s="9">
        <f>IFERROR(__xludf.DUMMYFUNCTION("GOOGLEFINANCE(A53, ""high52"")"),537.0)</f>
        <v>537</v>
      </c>
      <c r="K53" s="9">
        <f>IFERROR(__xludf.DUMMYFUNCTION("GOOGLEFINANCE(A53, ""low52"")"),423.15)</f>
        <v>423.15</v>
      </c>
      <c r="L53" s="9">
        <f t="shared" si="1"/>
        <v>0.1405959032</v>
      </c>
      <c r="M53" s="9">
        <f t="shared" si="2"/>
        <v>0.09062980031</v>
      </c>
      <c r="N53" s="9">
        <f t="shared" si="3"/>
        <v>0.03662247338</v>
      </c>
      <c r="O53" s="9">
        <f t="shared" si="4"/>
        <v>0.5941130906</v>
      </c>
      <c r="P53" s="9" t="str">
        <f>IFERROR(__xludf.DUMMYFUNCTION("GOOGLEFINANCE(A53, ""pe"")"),"#N/A")</f>
        <v>#N/A</v>
      </c>
      <c r="Q53" s="9">
        <f>IFERROR(__xludf.DUMMYFUNCTION("IFERROR(GOOGLEFINANCE(A53, ""volume"") / GOOGLEFINANCE(A53, ""volumeavg""), 0)"),0.0)</f>
        <v>0</v>
      </c>
      <c r="R53" s="9">
        <f>IFERROR(__xludf.DUMMYFUNCTION("AVERAGE(INDEX(GOOGLEFINANCE(A53, ""price"", TODAY()-30, TODAY()), 0, 2))"),452.1239130434783)</f>
        <v>452.123913</v>
      </c>
      <c r="S53" s="9">
        <f>IFERROR(__xludf.DUMMYFUNCTION("AVERAGE(INDEX(GOOGLEFINANCE(A53, ""price"", TODAY()-75, TODAY()), 0, 2))"),454.8888095238096)</f>
        <v>454.8888095</v>
      </c>
      <c r="T53" s="9">
        <f>IFERROR(__xludf.DUMMYFUNCTION("AVERAGE(INDEX(GOOGLEFINANCE(A53, ""price"", TODAY()-300, TODAY()), 0, 2))"),454.8888095238096)</f>
        <v>454.8888095</v>
      </c>
      <c r="U53" s="9">
        <f t="shared" si="5"/>
        <v>0.02073787005</v>
      </c>
      <c r="V53" s="15">
        <f>IFERROR(__xludf.DUMMYFUNCTION("LET(hist, GOOGLEFINANCE(A53,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rs))))))"),64.23611111111111)</f>
        <v>64.23611111</v>
      </c>
      <c r="W53" s="16" t="str">
        <f>IFERROR(__xludf.DUMMYFUNCTION("IFERROR(GOOGLEFINANCE(A53, ""volume"") / GOOGLEFINANCE(A53, ""volumeavg""), )"),"")</f>
        <v/>
      </c>
      <c r="X53" s="9">
        <f>IFERROR(__xludf.DUMMYFUNCTION("B53 * GOOGLEFINANCE(A53, ""volume"")"),4.74243861E9)</f>
        <v>4742438610</v>
      </c>
      <c r="Y53" s="9">
        <f>IFERROR(__xludf.DUMMYFUNCTION("IFERROR(((B53 - GOOGLEFINANCE(A53, ""priceopen"")) / GOOGLEFINANCE(A53, ""priceopen"")) * GOOGLEFINANCE(A53, ""volume""), 0)"),-69664.99730980258)</f>
        <v>-69664.99731</v>
      </c>
    </row>
    <row r="54">
      <c r="A54" s="4" t="s">
        <v>391</v>
      </c>
      <c r="B54" s="7">
        <f>IFERROR(__xludf.DUMMYFUNCTION("GOOGLEFINANCE(A54, ""price"")"),2240.0)</f>
        <v>2240</v>
      </c>
      <c r="C54" s="7">
        <f>IFERROR(__xludf.DUMMYFUNCTION("GOOGLEFINANCE(A54, ""changepct"")"),1.82)</f>
        <v>1.82</v>
      </c>
      <c r="D54" s="9">
        <f>IFERROR(__xludf.DUMMYFUNCTION("GOOGLEFINANCE(A54, ""priceopen"")"),2192.7)</f>
        <v>2192.7</v>
      </c>
      <c r="E54" s="9">
        <f>IFERROR(__xludf.DUMMYFUNCTION("GOOGLEFINANCE(A54, ""high"")"),2245.0)</f>
        <v>2245</v>
      </c>
      <c r="F54" s="9">
        <f>IFERROR(__xludf.DUMMYFUNCTION("GOOGLEFINANCE(A54, ""low"")"),2192.7)</f>
        <v>2192.7</v>
      </c>
      <c r="G54" s="9">
        <f>IFERROR(__xludf.DUMMYFUNCTION("GOOGLEFINANCE(A54, ""price"")"),2240.0)</f>
        <v>2240</v>
      </c>
      <c r="H54" s="9">
        <f>IFERROR(__xludf.DUMMYFUNCTION("MAX(INDEX(GOOGLEFINANCE(A54, ""high"", TODAY()-30, TODAY()), 0, 2))"),2251.5)</f>
        <v>2251.5</v>
      </c>
      <c r="I54" s="9">
        <f>IFERROR(__xludf.DUMMYFUNCTION("MIN(INDEX(GOOGLEFINANCE(A54, ""low"", TODAY()-30, TODAY()), 0, 2))"),1927.5)</f>
        <v>1927.5</v>
      </c>
      <c r="J54" s="9">
        <f>IFERROR(__xludf.DUMMYFUNCTION("GOOGLEFINANCE(A54, ""high52"")"),2890.0)</f>
        <v>2890</v>
      </c>
      <c r="K54" s="9">
        <f>IFERROR(__xludf.DUMMYFUNCTION("GOOGLEFINANCE(A54, ""low52"")"),1658.0)</f>
        <v>1658</v>
      </c>
      <c r="L54" s="9">
        <f t="shared" si="1"/>
        <v>0.2249134948</v>
      </c>
      <c r="M54" s="9">
        <f t="shared" si="2"/>
        <v>0.3510253317</v>
      </c>
      <c r="N54" s="9">
        <f t="shared" si="3"/>
        <v>0.02385187212</v>
      </c>
      <c r="O54" s="9">
        <f t="shared" si="4"/>
        <v>0.9645061728</v>
      </c>
      <c r="P54" s="9">
        <f>IFERROR(__xludf.DUMMYFUNCTION("GOOGLEFINANCE(A54, ""pe"")"),36.76)</f>
        <v>36.76</v>
      </c>
      <c r="Q54" s="9">
        <f>IFERROR(__xludf.DUMMYFUNCTION("IFERROR(GOOGLEFINANCE(A54, ""volume"") / GOOGLEFINANCE(A54, ""volumeavg""), 0)"),0.0)</f>
        <v>0</v>
      </c>
      <c r="R54" s="9">
        <f>IFERROR(__xludf.DUMMYFUNCTION("AVERAGE(INDEX(GOOGLEFINANCE(A54, ""price"", TODAY()-30, TODAY()), 0, 2))"),2072.0913043478263)</f>
        <v>2072.091304</v>
      </c>
      <c r="S54" s="9">
        <f>IFERROR(__xludf.DUMMYFUNCTION("AVERAGE(INDEX(GOOGLEFINANCE(A54, ""price"", TODAY()-75, TODAY()), 0, 2))"),1998.8169811320756)</f>
        <v>1998.816981</v>
      </c>
      <c r="T54" s="9">
        <f>IFERROR(__xludf.DUMMYFUNCTION("AVERAGE(INDEX(GOOGLEFINANCE(A54, ""price"", TODAY()-300, TODAY()), 0, 2))"),2098.5262376237633)</f>
        <v>2098.526238</v>
      </c>
      <c r="U54" s="9">
        <f t="shared" si="5"/>
        <v>0.08103344447</v>
      </c>
      <c r="V54" s="15">
        <f>IFERROR(__xludf.DUMMYFUNCTION("LET(hist, GOOGLEFINANCE(A54,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rs))))))"),86.4099949005609)</f>
        <v>86.4099949</v>
      </c>
      <c r="W54" s="16" t="str">
        <f>IFERROR(__xludf.DUMMYFUNCTION("IFERROR(GOOGLEFINANCE(A54, ""volume"") / GOOGLEFINANCE(A54, ""volumeavg""), )"),"")</f>
        <v/>
      </c>
      <c r="X54" s="9">
        <f>IFERROR(__xludf.DUMMYFUNCTION("B54 * GOOGLEFINANCE(A54, ""volume"")"),1.6417744E9)</f>
        <v>1641774400</v>
      </c>
      <c r="Y54" s="9">
        <f>IFERROR(__xludf.DUMMYFUNCTION("IFERROR(((B54 - GOOGLEFINANCE(A54, ""priceopen"")) / GOOGLEFINANCE(A54, ""priceopen"")) * GOOGLEFINANCE(A54, ""volume""), 0)"),15810.564828750006)</f>
        <v>15810.56483</v>
      </c>
    </row>
    <row r="55">
      <c r="A55" s="4" t="s">
        <v>396</v>
      </c>
      <c r="B55" s="7">
        <f>IFERROR(__xludf.DUMMYFUNCTION("GOOGLEFINANCE(A55, ""price"")"),254.8)</f>
        <v>254.8</v>
      </c>
      <c r="C55" s="7">
        <f>IFERROR(__xludf.DUMMYFUNCTION("GOOGLEFINANCE(A55, ""changepct"")"),0.81)</f>
        <v>0.81</v>
      </c>
      <c r="D55" s="9">
        <f>IFERROR(__xludf.DUMMYFUNCTION("GOOGLEFINANCE(A55, ""priceopen"")"),252.75)</f>
        <v>252.75</v>
      </c>
      <c r="E55" s="9">
        <f>IFERROR(__xludf.DUMMYFUNCTION("GOOGLEFINANCE(A55, ""high"")"),256.05)</f>
        <v>256.05</v>
      </c>
      <c r="F55" s="9">
        <f>IFERROR(__xludf.DUMMYFUNCTION("GOOGLEFINANCE(A55, ""low"")"),249.0)</f>
        <v>249</v>
      </c>
      <c r="G55" s="9">
        <f>IFERROR(__xludf.DUMMYFUNCTION("GOOGLEFINANCE(A55, ""price"")"),254.8)</f>
        <v>254.8</v>
      </c>
      <c r="H55" s="9">
        <f>IFERROR(__xludf.DUMMYFUNCTION("MAX(INDEX(GOOGLEFINANCE(A55, ""high"", TODAY()-30, TODAY()), 0, 2))"),268.2)</f>
        <v>268.2</v>
      </c>
      <c r="I55" s="9">
        <f>IFERROR(__xludf.DUMMYFUNCTION("MIN(INDEX(GOOGLEFINANCE(A55, ""low"", TODAY()-30, TODAY()), 0, 2))"),231.21)</f>
        <v>231.21</v>
      </c>
      <c r="J55" s="9">
        <f>IFERROR(__xludf.DUMMYFUNCTION("GOOGLEFINANCE(A55, ""high52"")"),333.7)</f>
        <v>333.7</v>
      </c>
      <c r="K55" s="9">
        <f>IFERROR(__xludf.DUMMYFUNCTION("GOOGLEFINANCE(A55, ""low52"")"),223.3)</f>
        <v>223.3</v>
      </c>
      <c r="L55" s="9">
        <f t="shared" si="1"/>
        <v>0.2364399161</v>
      </c>
      <c r="M55" s="9">
        <f t="shared" si="2"/>
        <v>0.1410658307</v>
      </c>
      <c r="N55" s="9">
        <f t="shared" si="3"/>
        <v>0.02831325301</v>
      </c>
      <c r="O55" s="9">
        <f t="shared" si="4"/>
        <v>0.6377399297</v>
      </c>
      <c r="P55" s="9">
        <f>IFERROR(__xludf.DUMMYFUNCTION("GOOGLEFINANCE(A55, ""pe"")"),79.14)</f>
        <v>79.14</v>
      </c>
      <c r="Q55" s="9">
        <f>IFERROR(__xludf.DUMMYFUNCTION("IFERROR(GOOGLEFINANCE(A55, ""volume"") / GOOGLEFINANCE(A55, ""volumeavg""), 0)"),0.0)</f>
        <v>0</v>
      </c>
      <c r="R55" s="9">
        <f>IFERROR(__xludf.DUMMYFUNCTION("AVERAGE(INDEX(GOOGLEFINANCE(A55, ""price"", TODAY()-30, TODAY()), 0, 2))"),246.6526086956522)</f>
        <v>246.6526087</v>
      </c>
      <c r="S55" s="9">
        <f>IFERROR(__xludf.DUMMYFUNCTION("AVERAGE(INDEX(GOOGLEFINANCE(A55, ""price"", TODAY()-75, TODAY()), 0, 2))"),241.5562264150943)</f>
        <v>241.5562264</v>
      </c>
      <c r="T55" s="9">
        <f>IFERROR(__xludf.DUMMYFUNCTION("AVERAGE(INDEX(GOOGLEFINANCE(A55, ""price"", TODAY()-300, TODAY()), 0, 2))"),262.4797524752474)</f>
        <v>262.4797525</v>
      </c>
      <c r="U55" s="9">
        <f t="shared" si="5"/>
        <v>0.03303184729</v>
      </c>
      <c r="V55" s="15">
        <f>IFERROR(__xludf.DUMMYFUNCTION("LET(hist, GOOGLEFINANCE(A55,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rs))))))"),70.90410958904107)</f>
        <v>70.90410959</v>
      </c>
      <c r="W55" s="16" t="str">
        <f>IFERROR(__xludf.DUMMYFUNCTION("IFERROR(GOOGLEFINANCE(A55, ""volume"") / GOOGLEFINANCE(A55, ""volumeavg""), )"),"")</f>
        <v/>
      </c>
      <c r="X55" s="9">
        <f>IFERROR(__xludf.DUMMYFUNCTION("B55 * GOOGLEFINANCE(A55, ""volume"")"),3.3863796512000003E9)</f>
        <v>3386379651</v>
      </c>
      <c r="Y55" s="9">
        <f>IFERROR(__xludf.DUMMYFUNCTION("IFERROR(((B55 - GOOGLEFINANCE(A55, ""priceopen"")) / GOOGLEFINANCE(A55, ""priceopen"")) * GOOGLEFINANCE(A55, ""volume""), 0)"),107795.0749752726)</f>
        <v>107795.075</v>
      </c>
    </row>
    <row r="56">
      <c r="A56" s="4" t="s">
        <v>402</v>
      </c>
      <c r="B56" s="7">
        <f>IFERROR(__xludf.DUMMYFUNCTION("GOOGLEFINANCE(A56, ""price"")"),18669.0)</f>
        <v>18669</v>
      </c>
      <c r="C56" s="7">
        <f>IFERROR(__xludf.DUMMYFUNCTION("GOOGLEFINANCE(A56, ""changepct"")"),-0.54)</f>
        <v>-0.54</v>
      </c>
      <c r="D56" s="9">
        <f>IFERROR(__xludf.DUMMYFUNCTION("GOOGLEFINANCE(A56, ""priceopen"")"),18800.0)</f>
        <v>18800</v>
      </c>
      <c r="E56" s="9">
        <f>IFERROR(__xludf.DUMMYFUNCTION("GOOGLEFINANCE(A56, ""high"")"),18800.0)</f>
        <v>18800</v>
      </c>
      <c r="F56" s="9">
        <f>IFERROR(__xludf.DUMMYFUNCTION("GOOGLEFINANCE(A56, ""low"")"),18530.0)</f>
        <v>18530</v>
      </c>
      <c r="G56" s="9">
        <f>IFERROR(__xludf.DUMMYFUNCTION("GOOGLEFINANCE(A56, ""price"")"),18669.0)</f>
        <v>18669</v>
      </c>
      <c r="H56" s="9">
        <f>IFERROR(__xludf.DUMMYFUNCTION("MAX(INDEX(GOOGLEFINANCE(A56, ""high"", TODAY()-30, TODAY()), 0, 2))"),19187.0)</f>
        <v>19187</v>
      </c>
      <c r="I56" s="9">
        <f>IFERROR(__xludf.DUMMYFUNCTION("MIN(INDEX(GOOGLEFINANCE(A56, ""low"", TODAY()-30, TODAY()), 0, 2))"),17816.0)</f>
        <v>17816</v>
      </c>
      <c r="J56" s="9">
        <f>IFERROR(__xludf.DUMMYFUNCTION("GOOGLEFINANCE(A56, ""high52"")"),19187.0)</f>
        <v>19187</v>
      </c>
      <c r="K56" s="9">
        <f>IFERROR(__xludf.DUMMYFUNCTION("GOOGLEFINANCE(A56, ""low52"")"),11646.0)</f>
        <v>11646</v>
      </c>
      <c r="L56" s="9">
        <f t="shared" si="1"/>
        <v>0.02699744619</v>
      </c>
      <c r="M56" s="9">
        <f t="shared" si="2"/>
        <v>0.6030396703</v>
      </c>
      <c r="N56" s="9">
        <f t="shared" si="3"/>
        <v>0.014570966</v>
      </c>
      <c r="O56" s="9">
        <f t="shared" si="4"/>
        <v>0.6221735959</v>
      </c>
      <c r="P56" s="9">
        <f>IFERROR(__xludf.DUMMYFUNCTION("GOOGLEFINANCE(A56, ""pe"")"),100.7)</f>
        <v>100.7</v>
      </c>
      <c r="Q56" s="9">
        <f>IFERROR(__xludf.DUMMYFUNCTION("IFERROR(GOOGLEFINANCE(A56, ""volume"") / GOOGLEFINANCE(A56, ""volumeavg""), 0)"),0.0)</f>
        <v>0</v>
      </c>
      <c r="R56" s="9">
        <f>IFERROR(__xludf.DUMMYFUNCTION("AVERAGE(INDEX(GOOGLEFINANCE(A56, ""price"", TODAY()-30, TODAY()), 0, 2))"),18533.043478260868)</f>
        <v>18533.04348</v>
      </c>
      <c r="S56" s="9">
        <f>IFERROR(__xludf.DUMMYFUNCTION("AVERAGE(INDEX(GOOGLEFINANCE(A56, ""price"", TODAY()-75, TODAY()), 0, 2))"),18242.43396226415)</f>
        <v>18242.43396</v>
      </c>
      <c r="T56" s="9">
        <f>IFERROR(__xludf.DUMMYFUNCTION("AVERAGE(INDEX(GOOGLEFINANCE(A56, ""price"", TODAY()-300, TODAY()), 0, 2))"),15048.579207920791)</f>
        <v>15048.57921</v>
      </c>
      <c r="U56" s="9">
        <f t="shared" si="5"/>
        <v>0.007335898278</v>
      </c>
      <c r="V56" s="15">
        <f>IFERROR(__xludf.DUMMYFUNCTION("LET(hist, GOOGLEFINANCE(A56,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rs))))))"),52.37679895333624)</f>
        <v>52.37679895</v>
      </c>
      <c r="W56" s="16" t="str">
        <f>IFERROR(__xludf.DUMMYFUNCTION("IFERROR(GOOGLEFINANCE(A56, ""volume"") / GOOGLEFINANCE(A56, ""volumeavg""), )"),"")</f>
        <v/>
      </c>
      <c r="X56" s="9">
        <f>IFERROR(__xludf.DUMMYFUNCTION("B56 * GOOGLEFINANCE(A56, ""volume"")"),1.721692518E9)</f>
        <v>1721692518</v>
      </c>
      <c r="Y56" s="9">
        <f>IFERROR(__xludf.DUMMYFUNCTION("IFERROR(((B56 - GOOGLEFINANCE(A56, ""priceopen"")) / GOOGLEFINANCE(A56, ""priceopen"")) * GOOGLEFINANCE(A56, ""volume""), 0)"),-642.6107446808511)</f>
        <v>-642.6107447</v>
      </c>
    </row>
    <row r="57">
      <c r="A57" s="4" t="s">
        <v>410</v>
      </c>
      <c r="B57" s="7">
        <f>IFERROR(__xludf.DUMMYFUNCTION("GOOGLEFINANCE(A57, ""price"")"),1692.0)</f>
        <v>1692</v>
      </c>
      <c r="C57" s="7">
        <f>IFERROR(__xludf.DUMMYFUNCTION("GOOGLEFINANCE(A57, ""changepct"")"),0.37)</f>
        <v>0.37</v>
      </c>
      <c r="D57" s="9">
        <f>IFERROR(__xludf.DUMMYFUNCTION("GOOGLEFINANCE(A57, ""priceopen"")"),1685.8)</f>
        <v>1685.8</v>
      </c>
      <c r="E57" s="9">
        <f>IFERROR(__xludf.DUMMYFUNCTION("GOOGLEFINANCE(A57, ""high"")"),1701.5)</f>
        <v>1701.5</v>
      </c>
      <c r="F57" s="9">
        <f>IFERROR(__xludf.DUMMYFUNCTION("GOOGLEFINANCE(A57, ""low"")"),1679.0)</f>
        <v>1679</v>
      </c>
      <c r="G57" s="9">
        <f>IFERROR(__xludf.DUMMYFUNCTION("GOOGLEFINANCE(A57, ""price"")"),1692.0)</f>
        <v>1692</v>
      </c>
      <c r="H57" s="9">
        <f>IFERROR(__xludf.DUMMYFUNCTION("MAX(INDEX(GOOGLEFINANCE(A57, ""high"", TODAY()-30, TODAY()), 0, 2))"),1701.5)</f>
        <v>1701.5</v>
      </c>
      <c r="I57" s="9">
        <f>IFERROR(__xludf.DUMMYFUNCTION("MIN(INDEX(GOOGLEFINANCE(A57, ""low"", TODAY()-30, TODAY()), 0, 2))"),1537.1)</f>
        <v>1537.1</v>
      </c>
      <c r="J57" s="9">
        <f>IFERROR(__xludf.DUMMYFUNCTION("GOOGLEFINANCE(A57, ""high52"")"),1701.5)</f>
        <v>1701.5</v>
      </c>
      <c r="K57" s="9">
        <f>IFERROR(__xludf.DUMMYFUNCTION("GOOGLEFINANCE(A57, ""low52"")"),1259.0)</f>
        <v>1259</v>
      </c>
      <c r="L57" s="9">
        <f t="shared" si="1"/>
        <v>0.005583308845</v>
      </c>
      <c r="M57" s="9">
        <f t="shared" si="2"/>
        <v>0.343923749</v>
      </c>
      <c r="N57" s="9">
        <f t="shared" si="3"/>
        <v>0.01340083383</v>
      </c>
      <c r="O57" s="9">
        <f t="shared" si="4"/>
        <v>0.9422141119</v>
      </c>
      <c r="P57" s="9">
        <f>IFERROR(__xludf.DUMMYFUNCTION("GOOGLEFINANCE(A57, ""pe"")"),65.16)</f>
        <v>65.16</v>
      </c>
      <c r="Q57" s="9">
        <f>IFERROR(__xludf.DUMMYFUNCTION("IFERROR(GOOGLEFINANCE(A57, ""volume"") / GOOGLEFINANCE(A57, ""volumeavg""), 0)"),0.0)</f>
        <v>0</v>
      </c>
      <c r="R57" s="9">
        <f>IFERROR(__xludf.DUMMYFUNCTION("AVERAGE(INDEX(GOOGLEFINANCE(A57, ""price"", TODAY()-30, TODAY()), 0, 2))"),1616.4913043478261)</f>
        <v>1616.491304</v>
      </c>
      <c r="S57" s="9">
        <f>IFERROR(__xludf.DUMMYFUNCTION("AVERAGE(INDEX(GOOGLEFINANCE(A57, ""price"", TODAY()-75, TODAY()), 0, 2))"),1578.2188679245285)</f>
        <v>1578.218868</v>
      </c>
      <c r="T57" s="9">
        <f>IFERROR(__xludf.DUMMYFUNCTION("AVERAGE(INDEX(GOOGLEFINANCE(A57, ""price"", TODAY()-300, TODAY()), 0, 2))"),1478.859900990099)</f>
        <v>1478.859901</v>
      </c>
      <c r="U57" s="9">
        <f t="shared" si="5"/>
        <v>0.04671147655</v>
      </c>
      <c r="V57" s="15">
        <f>IFERROR(__xludf.DUMMYFUNCTION("LET(hist, GOOGLEFINANCE(A57,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rs))))))"),75.30409141172134)</f>
        <v>75.30409141</v>
      </c>
      <c r="W57" s="16" t="str">
        <f>IFERROR(__xludf.DUMMYFUNCTION("IFERROR(GOOGLEFINANCE(A57, ""volume"") / GOOGLEFINANCE(A57, ""volumeavg""), )"),"")</f>
        <v/>
      </c>
      <c r="X57" s="9">
        <f>IFERROR(__xludf.DUMMYFUNCTION("B57 * GOOGLEFINANCE(A57, ""volume"")"),2.917958904E9)</f>
        <v>2917958904</v>
      </c>
      <c r="Y57" s="9">
        <f>IFERROR(__xludf.DUMMYFUNCTION("IFERROR(((B57 - GOOGLEFINANCE(A57, ""priceopen"")) / GOOGLEFINANCE(A57, ""priceopen"")) * GOOGLEFINANCE(A57, ""volume""), 0)"),6342.558073318352)</f>
        <v>6342.558073</v>
      </c>
    </row>
    <row r="58">
      <c r="A58" s="4" t="s">
        <v>417</v>
      </c>
      <c r="B58" s="7">
        <f>IFERROR(__xludf.DUMMYFUNCTION("GOOGLEFINANCE(A58, ""price"")"),657.8)</f>
        <v>657.8</v>
      </c>
      <c r="C58" s="7">
        <f>IFERROR(__xludf.DUMMYFUNCTION("GOOGLEFINANCE(A58, ""changepct"")"),1.18)</f>
        <v>1.18</v>
      </c>
      <c r="D58" s="9">
        <f>IFERROR(__xludf.DUMMYFUNCTION("GOOGLEFINANCE(A58, ""priceopen"")"),653.0)</f>
        <v>653</v>
      </c>
      <c r="E58" s="9">
        <f>IFERROR(__xludf.DUMMYFUNCTION("GOOGLEFINANCE(A58, ""high"")"),661.75)</f>
        <v>661.75</v>
      </c>
      <c r="F58" s="9">
        <f>IFERROR(__xludf.DUMMYFUNCTION("GOOGLEFINANCE(A58, ""low"")"),644.55)</f>
        <v>644.55</v>
      </c>
      <c r="G58" s="9">
        <f>IFERROR(__xludf.DUMMYFUNCTION("GOOGLEFINANCE(A58, ""price"")"),657.8)</f>
        <v>657.8</v>
      </c>
      <c r="H58" s="9">
        <f>IFERROR(__xludf.DUMMYFUNCTION("MAX(INDEX(GOOGLEFINANCE(A58, ""high"", TODAY()-30, TODAY()), 0, 2))"),690.25)</f>
        <v>690.25</v>
      </c>
      <c r="I58" s="9">
        <f>IFERROR(__xludf.DUMMYFUNCTION("MIN(INDEX(GOOGLEFINANCE(A58, ""low"", TODAY()-30, TODAY()), 0, 2))"),630.6)</f>
        <v>630.6</v>
      </c>
      <c r="J58" s="9">
        <f>IFERROR(__xludf.DUMMYFUNCTION("GOOGLEFINANCE(A58, ""high52"")"),794.8)</f>
        <v>794.8</v>
      </c>
      <c r="K58" s="9">
        <f>IFERROR(__xludf.DUMMYFUNCTION("GOOGLEFINANCE(A58, ""low52"")"),489.4)</f>
        <v>489.4</v>
      </c>
      <c r="L58" s="9">
        <f t="shared" si="1"/>
        <v>0.1723704076</v>
      </c>
      <c r="M58" s="9">
        <f t="shared" si="2"/>
        <v>0.34409481</v>
      </c>
      <c r="N58" s="9">
        <f t="shared" si="3"/>
        <v>0.02668528431</v>
      </c>
      <c r="O58" s="9">
        <f t="shared" si="4"/>
        <v>0.4559932942</v>
      </c>
      <c r="P58" s="9">
        <f>IFERROR(__xludf.DUMMYFUNCTION("GOOGLEFINANCE(A58, ""pe"")"),36.62)</f>
        <v>36.62</v>
      </c>
      <c r="Q58" s="9">
        <f>IFERROR(__xludf.DUMMYFUNCTION("IFERROR(GOOGLEFINANCE(A58, ""volume"") / GOOGLEFINANCE(A58, ""volumeavg""), 0)"),0.0)</f>
        <v>0</v>
      </c>
      <c r="R58" s="9">
        <f>IFERROR(__xludf.DUMMYFUNCTION("AVERAGE(INDEX(GOOGLEFINANCE(A58, ""price"", TODAY()-30, TODAY()), 0, 2))"),657.5586956521738)</f>
        <v>657.5586957</v>
      </c>
      <c r="S58" s="9">
        <f>IFERROR(__xludf.DUMMYFUNCTION("AVERAGE(INDEX(GOOGLEFINANCE(A58, ""price"", TODAY()-75, TODAY()), 0, 2))"),634.0830188679245)</f>
        <v>634.0830189</v>
      </c>
      <c r="T58" s="9">
        <f>IFERROR(__xludf.DUMMYFUNCTION("AVERAGE(INDEX(GOOGLEFINANCE(A58, ""price"", TODAY()-300, TODAY()), 0, 2))"),643.960148514852)</f>
        <v>643.9601485</v>
      </c>
      <c r="U58" s="9">
        <f t="shared" si="5"/>
        <v>0.0003669700506</v>
      </c>
      <c r="V58" s="15">
        <f>IFERROR(__xludf.DUMMYFUNCTION("LET(hist, GOOGLEFINANCE(A58,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rs))))))"),57.25956182695877)</f>
        <v>57.25956183</v>
      </c>
      <c r="W58" s="16" t="str">
        <f>IFERROR(__xludf.DUMMYFUNCTION("IFERROR(GOOGLEFINANCE(A58, ""volume"") / GOOGLEFINANCE(A58, ""volumeavg""), )"),"")</f>
        <v/>
      </c>
      <c r="X58" s="9">
        <f>IFERROR(__xludf.DUMMYFUNCTION("B58 * GOOGLEFINANCE(A58, ""volume"")"),1.7641919723999999E9)</f>
        <v>1764191972</v>
      </c>
      <c r="Y58" s="9">
        <f>IFERROR(__xludf.DUMMYFUNCTION("IFERROR(((B58 - GOOGLEFINANCE(A58, ""priceopen"")) / GOOGLEFINANCE(A58, ""priceopen"")) * GOOGLEFINANCE(A58, ""volume""), 0)"),19714.23950995387)</f>
        <v>19714.23951</v>
      </c>
    </row>
    <row r="59">
      <c r="A59" s="4" t="s">
        <v>421</v>
      </c>
      <c r="B59" s="7">
        <f>IFERROR(__xludf.DUMMYFUNCTION("GOOGLEFINANCE(A59, ""price"")"),1625.2)</f>
        <v>1625.2</v>
      </c>
      <c r="C59" s="7">
        <f>IFERROR(__xludf.DUMMYFUNCTION("GOOGLEFINANCE(A59, ""changepct"")"),-1.08)</f>
        <v>-1.08</v>
      </c>
      <c r="D59" s="9">
        <f>IFERROR(__xludf.DUMMYFUNCTION("GOOGLEFINANCE(A59, ""priceopen"")"),1654.0)</f>
        <v>1654</v>
      </c>
      <c r="E59" s="9">
        <f>IFERROR(__xludf.DUMMYFUNCTION("GOOGLEFINANCE(A59, ""high"")"),1657.0)</f>
        <v>1657</v>
      </c>
      <c r="F59" s="9">
        <f>IFERROR(__xludf.DUMMYFUNCTION("GOOGLEFINANCE(A59, ""low"")"),1622.1)</f>
        <v>1622.1</v>
      </c>
      <c r="G59" s="9">
        <f>IFERROR(__xludf.DUMMYFUNCTION("GOOGLEFINANCE(A59, ""price"")"),1625.2)</f>
        <v>1625.2</v>
      </c>
      <c r="H59" s="9">
        <f>IFERROR(__xludf.DUMMYFUNCTION("MAX(INDEX(GOOGLEFINANCE(A59, ""high"", TODAY()-30, TODAY()), 0, 2))"),1686.6)</f>
        <v>1686.6</v>
      </c>
      <c r="I59" s="9">
        <f>IFERROR(__xludf.DUMMYFUNCTION("MIN(INDEX(GOOGLEFINANCE(A59, ""low"", TODAY()-30, TODAY()), 0, 2))"),1444.2)</f>
        <v>1444.2</v>
      </c>
      <c r="J59" s="9">
        <f>IFERROR(__xludf.DUMMYFUNCTION("GOOGLEFINANCE(A59, ""high52"")"),1854.0)</f>
        <v>1854</v>
      </c>
      <c r="K59" s="9">
        <f>IFERROR(__xludf.DUMMYFUNCTION("GOOGLEFINANCE(A59, ""low52"")"),1304.1)</f>
        <v>1304.1</v>
      </c>
      <c r="L59" s="9">
        <f t="shared" si="1"/>
        <v>0.1234088457</v>
      </c>
      <c r="M59" s="9">
        <f t="shared" si="2"/>
        <v>0.2462234491</v>
      </c>
      <c r="N59" s="9">
        <f t="shared" si="3"/>
        <v>0.02151531965</v>
      </c>
      <c r="O59" s="9">
        <f t="shared" si="4"/>
        <v>0.74669967</v>
      </c>
      <c r="P59" s="9">
        <f>IFERROR(__xludf.DUMMYFUNCTION("GOOGLEFINANCE(A59, ""pe"")"),28.1)</f>
        <v>28.1</v>
      </c>
      <c r="Q59" s="9">
        <f>IFERROR(__xludf.DUMMYFUNCTION("IFERROR(GOOGLEFINANCE(A59, ""volume"") / GOOGLEFINANCE(A59, ""volumeavg""), 0)"),0.0)</f>
        <v>0</v>
      </c>
      <c r="R59" s="9">
        <f>IFERROR(__xludf.DUMMYFUNCTION("AVERAGE(INDEX(GOOGLEFINANCE(A59, ""price"", TODAY()-30, TODAY()), 0, 2))"),1595.5086956521739)</f>
        <v>1595.508696</v>
      </c>
      <c r="S59" s="9">
        <f>IFERROR(__xludf.DUMMYFUNCTION("AVERAGE(INDEX(GOOGLEFINANCE(A59, ""price"", TODAY()-75, TODAY()), 0, 2))"),1513.8924528301886)</f>
        <v>1513.892453</v>
      </c>
      <c r="T59" s="9">
        <f>IFERROR(__xludf.DUMMYFUNCTION("AVERAGE(INDEX(GOOGLEFINANCE(A59, ""price"", TODAY()-300, TODAY()), 0, 2))"),1500.315841584158)</f>
        <v>1500.315842</v>
      </c>
      <c r="U59" s="9">
        <f t="shared" si="5"/>
        <v>0.01860930274</v>
      </c>
      <c r="V59" s="15">
        <f>IFERROR(__xludf.DUMMYFUNCTION("LET(hist, GOOGLEFINANCE(A59,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rs))))))"),69.03190319031904)</f>
        <v>69.03190319</v>
      </c>
      <c r="W59" s="16" t="str">
        <f>IFERROR(__xludf.DUMMYFUNCTION("IFERROR(GOOGLEFINANCE(A59, ""volume"") / GOOGLEFINANCE(A59, ""volumeavg""), )"),"")</f>
        <v/>
      </c>
      <c r="X59" s="9">
        <f>IFERROR(__xludf.DUMMYFUNCTION("B59 * GOOGLEFINANCE(A59, ""volume"")"),6.0880365796E9)</f>
        <v>6088036580</v>
      </c>
      <c r="Y59" s="9">
        <f>IFERROR(__xludf.DUMMYFUNCTION("IFERROR(((B59 - GOOGLEFINANCE(A59, ""priceopen"")) / GOOGLEFINANCE(A59, ""priceopen"")) * GOOGLEFINANCE(A59, ""volume""), 0)"),-65227.00266021756)</f>
        <v>-65227.00266</v>
      </c>
    </row>
    <row r="60">
      <c r="A60" s="4" t="s">
        <v>427</v>
      </c>
      <c r="B60" s="7">
        <f>IFERROR(__xludf.DUMMYFUNCTION("GOOGLEFINANCE(A60, ""price"")"),456.9)</f>
        <v>456.9</v>
      </c>
      <c r="C60" s="7">
        <f>IFERROR(__xludf.DUMMYFUNCTION("GOOGLEFINANCE(A60, ""changepct"")"),1.52)</f>
        <v>1.52</v>
      </c>
      <c r="D60" s="9">
        <f>IFERROR(__xludf.DUMMYFUNCTION("GOOGLEFINANCE(A60, ""priceopen"")"),451.0)</f>
        <v>451</v>
      </c>
      <c r="E60" s="9">
        <f>IFERROR(__xludf.DUMMYFUNCTION("GOOGLEFINANCE(A60, ""high"")"),459.5)</f>
        <v>459.5</v>
      </c>
      <c r="F60" s="9">
        <f>IFERROR(__xludf.DUMMYFUNCTION("GOOGLEFINANCE(A60, ""low"")"),448.3)</f>
        <v>448.3</v>
      </c>
      <c r="G60" s="9">
        <f>IFERROR(__xludf.DUMMYFUNCTION("GOOGLEFINANCE(A60, ""price"")"),456.9)</f>
        <v>456.9</v>
      </c>
      <c r="H60" s="9">
        <f>IFERROR(__xludf.DUMMYFUNCTION("MAX(INDEX(GOOGLEFINANCE(A60, ""high"", TODAY()-30, TODAY()), 0, 2))"),462.5)</f>
        <v>462.5</v>
      </c>
      <c r="I60" s="9">
        <f>IFERROR(__xludf.DUMMYFUNCTION("MIN(INDEX(GOOGLEFINANCE(A60, ""low"", TODAY()-30, TODAY()), 0, 2))"),398.0)</f>
        <v>398</v>
      </c>
      <c r="J60" s="9">
        <f>IFERROR(__xludf.DUMMYFUNCTION("GOOGLEFINANCE(A60, ""high52"")"),509.0)</f>
        <v>509</v>
      </c>
      <c r="K60" s="9">
        <f>IFERROR(__xludf.DUMMYFUNCTION("GOOGLEFINANCE(A60, ""low52"")"),306.3)</f>
        <v>306.3</v>
      </c>
      <c r="L60" s="9">
        <f t="shared" si="1"/>
        <v>0.1023575639</v>
      </c>
      <c r="M60" s="9">
        <f t="shared" si="2"/>
        <v>0.4916748286</v>
      </c>
      <c r="N60" s="9">
        <f t="shared" si="3"/>
        <v>0.02498327013</v>
      </c>
      <c r="O60" s="9">
        <f t="shared" si="4"/>
        <v>0.9131782946</v>
      </c>
      <c r="P60" s="9">
        <f>IFERROR(__xludf.DUMMYFUNCTION("GOOGLEFINANCE(A60, ""pe"")"),55.55)</f>
        <v>55.55</v>
      </c>
      <c r="Q60" s="9">
        <f>IFERROR(__xludf.DUMMYFUNCTION("IFERROR(GOOGLEFINANCE(A60, ""volume"") / GOOGLEFINANCE(A60, ""volumeavg""), 0)"),0.0)</f>
        <v>0</v>
      </c>
      <c r="R60" s="9">
        <f>IFERROR(__xludf.DUMMYFUNCTION("AVERAGE(INDEX(GOOGLEFINANCE(A60, ""price"", TODAY()-30, TODAY()), 0, 2))"),427.8239130434782)</f>
        <v>427.823913</v>
      </c>
      <c r="S60" s="9">
        <f>IFERROR(__xludf.DUMMYFUNCTION("AVERAGE(INDEX(GOOGLEFINANCE(A60, ""price"", TODAY()-75, TODAY()), 0, 2))"),412.48584905660385)</f>
        <v>412.4858491</v>
      </c>
      <c r="T60" s="9">
        <f>IFERROR(__xludf.DUMMYFUNCTION("AVERAGE(INDEX(GOOGLEFINANCE(A60, ""price"", TODAY()-300, TODAY()), 0, 2))"),415.54135135135147)</f>
        <v>415.5413514</v>
      </c>
      <c r="U60" s="9">
        <f t="shared" si="5"/>
        <v>0.06796274371</v>
      </c>
      <c r="V60" s="15">
        <f>IFERROR(__xludf.DUMMYFUNCTION("LET(hist, GOOGLEFINANCE(A60,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rs))))))"),76.15753060138374)</f>
        <v>76.1575306</v>
      </c>
      <c r="W60" s="16" t="str">
        <f>IFERROR(__xludf.DUMMYFUNCTION("IFERROR(GOOGLEFINANCE(A60, ""volume"") / GOOGLEFINANCE(A60, ""volumeavg""), )"),"")</f>
        <v/>
      </c>
      <c r="X60" s="9">
        <f>IFERROR(__xludf.DUMMYFUNCTION("B60 * GOOGLEFINANCE(A60, ""volume"")"),3.7232634792E9)</f>
        <v>3723263479</v>
      </c>
      <c r="Y60" s="9">
        <f>IFERROR(__xludf.DUMMYFUNCTION("IFERROR(((B60 - GOOGLEFINANCE(A60, ""priceopen"")) / GOOGLEFINANCE(A60, ""priceopen"")) * GOOGLEFINANCE(A60, ""volume""), 0)"),106605.12461197299)</f>
        <v>106605.1246</v>
      </c>
    </row>
    <row r="61">
      <c r="A61" s="4" t="s">
        <v>434</v>
      </c>
      <c r="B61" s="7">
        <f>IFERROR(__xludf.DUMMYFUNCTION("GOOGLEFINANCE(A61, ""price"")"),2982.1)</f>
        <v>2982.1</v>
      </c>
      <c r="C61" s="7">
        <f>IFERROR(__xludf.DUMMYFUNCTION("GOOGLEFINANCE(A61, ""changepct"")"),-0.6)</f>
        <v>-0.6</v>
      </c>
      <c r="D61" s="9">
        <f>IFERROR(__xludf.DUMMYFUNCTION("GOOGLEFINANCE(A61, ""priceopen"")"),3000.0)</f>
        <v>3000</v>
      </c>
      <c r="E61" s="9">
        <f>IFERROR(__xludf.DUMMYFUNCTION("GOOGLEFINANCE(A61, ""high"")"),3019.0)</f>
        <v>3019</v>
      </c>
      <c r="F61" s="9">
        <f>IFERROR(__xludf.DUMMYFUNCTION("GOOGLEFINANCE(A61, ""low"")"),2972.9)</f>
        <v>2972.9</v>
      </c>
      <c r="G61" s="9">
        <f>IFERROR(__xludf.DUMMYFUNCTION("GOOGLEFINANCE(A61, ""price"")"),2982.1)</f>
        <v>2982.1</v>
      </c>
      <c r="H61" s="9">
        <f>IFERROR(__xludf.DUMMYFUNCTION("MAX(INDEX(GOOGLEFINANCE(A61, ""high"", TODAY()-30, TODAY()), 0, 2))"),3244.5)</f>
        <v>3244.5</v>
      </c>
      <c r="I61" s="9">
        <f>IFERROR(__xludf.DUMMYFUNCTION("MIN(INDEX(GOOGLEFINANCE(A61, ""low"", TODAY()-30, TODAY()), 0, 2))"),2836.0)</f>
        <v>2836</v>
      </c>
      <c r="J61" s="9">
        <f>IFERROR(__xludf.DUMMYFUNCTION("GOOGLEFINANCE(A61, ""high52"")"),3782.66)</f>
        <v>3782.66</v>
      </c>
      <c r="K61" s="9">
        <f>IFERROR(__xludf.DUMMYFUNCTION("GOOGLEFINANCE(A61, ""low52"")"),2183.66)</f>
        <v>2183.66</v>
      </c>
      <c r="L61" s="9">
        <f t="shared" si="1"/>
        <v>0.2116394283</v>
      </c>
      <c r="M61" s="9">
        <f t="shared" si="2"/>
        <v>0.365643003</v>
      </c>
      <c r="N61" s="9">
        <f t="shared" si="3"/>
        <v>0.01550674426</v>
      </c>
      <c r="O61" s="9">
        <f t="shared" si="4"/>
        <v>0.3576499388</v>
      </c>
      <c r="P61" s="9">
        <f>IFERROR(__xludf.DUMMYFUNCTION("GOOGLEFINANCE(A61, ""pe"")"),87.92)</f>
        <v>87.92</v>
      </c>
      <c r="Q61" s="9">
        <f>IFERROR(__xludf.DUMMYFUNCTION("IFERROR(GOOGLEFINANCE(A61, ""volume"") / GOOGLEFINANCE(A61, ""volumeavg""), 0)"),0.0)</f>
        <v>0</v>
      </c>
      <c r="R61" s="9">
        <f>IFERROR(__xludf.DUMMYFUNCTION("AVERAGE(INDEX(GOOGLEFINANCE(A61, ""price"", TODAY()-30, TODAY()), 0, 2))"),2960.643478260869)</f>
        <v>2960.643478</v>
      </c>
      <c r="S61" s="9">
        <f>IFERROR(__xludf.DUMMYFUNCTION("AVERAGE(INDEX(GOOGLEFINANCE(A61, ""price"", TODAY()-75, TODAY()), 0, 2))"),2985.316226415095)</f>
        <v>2985.316226</v>
      </c>
      <c r="T61" s="9">
        <f>IFERROR(__xludf.DUMMYFUNCTION("AVERAGE(INDEX(GOOGLEFINANCE(A61, ""price"", TODAY()-300, TODAY()), 0, 2))"),2804.090148514852)</f>
        <v>2804.090149</v>
      </c>
      <c r="U61" s="9">
        <f t="shared" si="5"/>
        <v>0.007247249423</v>
      </c>
      <c r="V61" s="15">
        <f>IFERROR(__xludf.DUMMYFUNCTION("LET(hist, GOOGLEFINANCE(A61,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rs))))))"),61.70212765957444)</f>
        <v>61.70212766</v>
      </c>
      <c r="W61" s="16" t="str">
        <f>IFERROR(__xludf.DUMMYFUNCTION("IFERROR(GOOGLEFINANCE(A61, ""volume"") / GOOGLEFINANCE(A61, ""volumeavg""), )"),"")</f>
        <v/>
      </c>
      <c r="X61" s="9">
        <f>IFERROR(__xludf.DUMMYFUNCTION("B61 * GOOGLEFINANCE(A61, ""volume"")"),2.0656827773999999E9)</f>
        <v>2065682777</v>
      </c>
      <c r="Y61" s="9">
        <f>IFERROR(__xludf.DUMMYFUNCTION("IFERROR(((B61 - GOOGLEFINANCE(A61, ""priceopen"")) / GOOGLEFINANCE(A61, ""priceopen"")) * GOOGLEFINANCE(A61, ""volume""), 0)"),-4133.074200000021)</f>
        <v>-4133.0742</v>
      </c>
    </row>
    <row r="62">
      <c r="A62" s="4" t="s">
        <v>440</v>
      </c>
      <c r="B62" s="7">
        <f>IFERROR(__xludf.DUMMYFUNCTION("GOOGLEFINANCE(A62, ""price"")"),168.73)</f>
        <v>168.73</v>
      </c>
      <c r="C62" s="7">
        <f>IFERROR(__xludf.DUMMYFUNCTION("GOOGLEFINANCE(A62, ""changepct"")"),-0.31)</f>
        <v>-0.31</v>
      </c>
      <c r="D62" s="9">
        <f>IFERROR(__xludf.DUMMYFUNCTION("GOOGLEFINANCE(A62, ""priceopen"")"),170.1)</f>
        <v>170.1</v>
      </c>
      <c r="E62" s="9">
        <f>IFERROR(__xludf.DUMMYFUNCTION("GOOGLEFINANCE(A62, ""high"")"),171.83)</f>
        <v>171.83</v>
      </c>
      <c r="F62" s="9">
        <f>IFERROR(__xludf.DUMMYFUNCTION("GOOGLEFINANCE(A62, ""low"")"),168.62)</f>
        <v>168.62</v>
      </c>
      <c r="G62" s="9">
        <f>IFERROR(__xludf.DUMMYFUNCTION("GOOGLEFINANCE(A62, ""price"")"),168.73)</f>
        <v>168.73</v>
      </c>
      <c r="H62" s="9">
        <f>IFERROR(__xludf.DUMMYFUNCTION("MAX(INDEX(GOOGLEFINANCE(A62, ""high"", TODAY()-30, TODAY()), 0, 2))"),172.0)</f>
        <v>172</v>
      </c>
      <c r="I62" s="9">
        <f>IFERROR(__xludf.DUMMYFUNCTION("MIN(INDEX(GOOGLEFINANCE(A62, ""low"", TODAY()-30, TODAY()), 0, 2))"),141.06)</f>
        <v>141.06</v>
      </c>
      <c r="J62" s="9">
        <f>IFERROR(__xludf.DUMMYFUNCTION("GOOGLEFINANCE(A62, ""high52"")"),172.0)</f>
        <v>172</v>
      </c>
      <c r="K62" s="9">
        <f>IFERROR(__xludf.DUMMYFUNCTION("GOOGLEFINANCE(A62, ""low52"")"),89.86)</f>
        <v>89.86</v>
      </c>
      <c r="L62" s="9">
        <f t="shared" si="1"/>
        <v>0.01901162791</v>
      </c>
      <c r="M62" s="9">
        <f t="shared" si="2"/>
        <v>0.8776986423</v>
      </c>
      <c r="N62" s="9">
        <f t="shared" si="3"/>
        <v>0.01903688768</v>
      </c>
      <c r="O62" s="9">
        <f t="shared" si="4"/>
        <v>0.8943115708</v>
      </c>
      <c r="P62" s="9">
        <f>IFERROR(__xludf.DUMMYFUNCTION("GOOGLEFINANCE(A62, ""pe"")"),39.84)</f>
        <v>39.84</v>
      </c>
      <c r="Q62" s="9">
        <f>IFERROR(__xludf.DUMMYFUNCTION("IFERROR(GOOGLEFINANCE(A62, ""volume"") / GOOGLEFINANCE(A62, ""volumeavg""), 0)"),0.0)</f>
        <v>0</v>
      </c>
      <c r="R62" s="9">
        <f>IFERROR(__xludf.DUMMYFUNCTION("AVERAGE(INDEX(GOOGLEFINANCE(A62, ""price"", TODAY()-30, TODAY()), 0, 2))"),150.87608695652176)</f>
        <v>150.876087</v>
      </c>
      <c r="S62" s="9">
        <f>IFERROR(__xludf.DUMMYFUNCTION("AVERAGE(INDEX(GOOGLEFINANCE(A62, ""price"", TODAY()-75, TODAY()), 0, 2))"),147.50283018867927)</f>
        <v>147.5028302</v>
      </c>
      <c r="T62" s="9">
        <f>IFERROR(__xludf.DUMMYFUNCTION("AVERAGE(INDEX(GOOGLEFINANCE(A62, ""price"", TODAY()-300, TODAY()), 0, 2))"),126.24554455445544)</f>
        <v>126.2455446</v>
      </c>
      <c r="U62" s="9">
        <f t="shared" si="5"/>
        <v>0.1183349423</v>
      </c>
      <c r="V62" s="15">
        <f>IFERROR(__xludf.DUMMYFUNCTION("LET(hist, GOOGLEFINANCE(A62,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rs))))))"),80.71887034659827)</f>
        <v>80.71887035</v>
      </c>
      <c r="W62" s="16" t="str">
        <f>IFERROR(__xludf.DUMMYFUNCTION("IFERROR(GOOGLEFINANCE(A62, ""volume"") / GOOGLEFINANCE(A62, ""volumeavg""), )"),"")</f>
        <v/>
      </c>
      <c r="X62" s="9">
        <f>IFERROR(__xludf.DUMMYFUNCTION("B62 * GOOGLEFINANCE(A62, ""volume"")"),2.65699569698E9)</f>
        <v>2656995697</v>
      </c>
      <c r="Y62" s="9">
        <f>IFERROR(__xludf.DUMMYFUNCTION("IFERROR(((B62 - GOOGLEFINANCE(A62, ""priceopen"")) / GOOGLEFINANCE(A62, ""priceopen"")) * GOOGLEFINANCE(A62, ""volume""), 0)"),-126827.89900058831)</f>
        <v>-126827.899</v>
      </c>
    </row>
    <row r="63">
      <c r="A63" s="4" t="s">
        <v>449</v>
      </c>
      <c r="B63" s="7">
        <f>IFERROR(__xludf.DUMMYFUNCTION("GOOGLEFINANCE(A63, ""price"")"),1900.0)</f>
        <v>1900</v>
      </c>
      <c r="C63" s="7">
        <f>IFERROR(__xludf.DUMMYFUNCTION("GOOGLEFINANCE(A63, ""changepct"")"),-0.75)</f>
        <v>-0.75</v>
      </c>
      <c r="D63" s="9">
        <f>IFERROR(__xludf.DUMMYFUNCTION("GOOGLEFINANCE(A63, ""priceopen"")"),1909.5)</f>
        <v>1909.5</v>
      </c>
      <c r="E63" s="9">
        <f>IFERROR(__xludf.DUMMYFUNCTION("GOOGLEFINANCE(A63, ""high"")"),1917.6)</f>
        <v>1917.6</v>
      </c>
      <c r="F63" s="9">
        <f>IFERROR(__xludf.DUMMYFUNCTION("GOOGLEFINANCE(A63, ""low"")"),1888.4)</f>
        <v>1888.4</v>
      </c>
      <c r="G63" s="9">
        <f>IFERROR(__xludf.DUMMYFUNCTION("GOOGLEFINANCE(A63, ""price"")"),1900.0)</f>
        <v>1900</v>
      </c>
      <c r="H63" s="9">
        <f>IFERROR(__xludf.DUMMYFUNCTION("MAX(INDEX(GOOGLEFINANCE(A63, ""high"", TODAY()-30, TODAY()), 0, 2))"),1952.5)</f>
        <v>1952.5</v>
      </c>
      <c r="I63" s="9">
        <f>IFERROR(__xludf.DUMMYFUNCTION("MIN(INDEX(GOOGLEFINANCE(A63, ""low"", TODAY()-30, TODAY()), 0, 2))"),1660.4)</f>
        <v>1660.4</v>
      </c>
      <c r="J63" s="9">
        <f>IFERROR(__xludf.DUMMYFUNCTION("GOOGLEFINANCE(A63, ""high52"")"),1952.5)</f>
        <v>1952.5</v>
      </c>
      <c r="K63" s="9">
        <f>IFERROR(__xludf.DUMMYFUNCTION("GOOGLEFINANCE(A63, ""low52"")"),1299.4)</f>
        <v>1299.4</v>
      </c>
      <c r="L63" s="9">
        <f t="shared" si="1"/>
        <v>0.02688860435</v>
      </c>
      <c r="M63" s="9">
        <f t="shared" si="2"/>
        <v>0.4622133292</v>
      </c>
      <c r="N63" s="9">
        <f t="shared" si="3"/>
        <v>0.01546282567</v>
      </c>
      <c r="O63" s="9">
        <f t="shared" si="4"/>
        <v>0.8202670318</v>
      </c>
      <c r="P63" s="9">
        <f>IFERROR(__xludf.DUMMYFUNCTION("GOOGLEFINANCE(A63, ""pe"")"),28.11)</f>
        <v>28.11</v>
      </c>
      <c r="Q63" s="9">
        <f>IFERROR(__xludf.DUMMYFUNCTION("IFERROR(GOOGLEFINANCE(A63, ""volume"") / GOOGLEFINANCE(A63, ""volumeavg""), 0)"),0.0)</f>
        <v>0</v>
      </c>
      <c r="R63" s="9">
        <f>IFERROR(__xludf.DUMMYFUNCTION("AVERAGE(INDEX(GOOGLEFINANCE(A63, ""price"", TODAY()-30, TODAY()), 0, 2))"),1819.9043478260871)</f>
        <v>1819.904348</v>
      </c>
      <c r="S63" s="9">
        <f>IFERROR(__xludf.DUMMYFUNCTION("AVERAGE(INDEX(GOOGLEFINANCE(A63, ""price"", TODAY()-75, TODAY()), 0, 2))"),1730.7301886792454)</f>
        <v>1730.730189</v>
      </c>
      <c r="T63" s="9">
        <f>IFERROR(__xludf.DUMMYFUNCTION("AVERAGE(INDEX(GOOGLEFINANCE(A63, ""price"", TODAY()-300, TODAY()), 0, 2))"),1665.9985148514863)</f>
        <v>1665.998515</v>
      </c>
      <c r="U63" s="9">
        <f t="shared" si="5"/>
        <v>0.04401091314</v>
      </c>
      <c r="V63" s="15">
        <f>IFERROR(__xludf.DUMMYFUNCTION("LET(hist, GOOGLEFINANCE(A63,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rs))))))"),69.71068687266285)</f>
        <v>69.71068687</v>
      </c>
      <c r="W63" s="16" t="str">
        <f>IFERROR(__xludf.DUMMYFUNCTION("IFERROR(GOOGLEFINANCE(A63, ""volume"") / GOOGLEFINANCE(A63, ""volumeavg""), )"),"")</f>
        <v/>
      </c>
      <c r="X63" s="9">
        <f>IFERROR(__xludf.DUMMYFUNCTION("B63 * GOOGLEFINANCE(A63, ""volume"")"),1.0271058E9)</f>
        <v>1027105800</v>
      </c>
      <c r="Y63" s="9">
        <f>IFERROR(__xludf.DUMMYFUNCTION("IFERROR(((B63 - GOOGLEFINANCE(A63, ""priceopen"")) / GOOGLEFINANCE(A63, ""priceopen"")) * GOOGLEFINANCE(A63, ""volume""), 0)"),-2689.462686567164)</f>
        <v>-2689.462687</v>
      </c>
    </row>
    <row r="64">
      <c r="A64" s="4" t="s">
        <v>457</v>
      </c>
      <c r="B64" s="7">
        <f>IFERROR(__xludf.DUMMYFUNCTION("GOOGLEFINANCE(A64, ""price"")"),367.0)</f>
        <v>367</v>
      </c>
      <c r="C64" s="7">
        <f>IFERROR(__xludf.DUMMYFUNCTION("GOOGLEFINANCE(A64, ""changepct"")"),-0.05)</f>
        <v>-0.05</v>
      </c>
      <c r="D64" s="9">
        <f>IFERROR(__xludf.DUMMYFUNCTION("GOOGLEFINANCE(A64, ""priceopen"")"),367.2)</f>
        <v>367.2</v>
      </c>
      <c r="E64" s="9">
        <f>IFERROR(__xludf.DUMMYFUNCTION("GOOGLEFINANCE(A64, ""high"")"),370.5)</f>
        <v>370.5</v>
      </c>
      <c r="F64" s="9">
        <f>IFERROR(__xludf.DUMMYFUNCTION("GOOGLEFINANCE(A64, ""low"")"),364.8)</f>
        <v>364.8</v>
      </c>
      <c r="G64" s="9">
        <f>IFERROR(__xludf.DUMMYFUNCTION("GOOGLEFINANCE(A64, ""price"")"),367.0)</f>
        <v>367</v>
      </c>
      <c r="H64" s="9">
        <f>IFERROR(__xludf.DUMMYFUNCTION("MAX(INDEX(GOOGLEFINANCE(A64, ""high"", TODAY()-30, TODAY()), 0, 2))"),390.2)</f>
        <v>390.2</v>
      </c>
      <c r="I64" s="9">
        <f>IFERROR(__xludf.DUMMYFUNCTION("MIN(INDEX(GOOGLEFINANCE(A64, ""low"", TODAY()-30, TODAY()), 0, 2))"),335.65)</f>
        <v>335.65</v>
      </c>
      <c r="J64" s="9">
        <f>IFERROR(__xludf.DUMMYFUNCTION("GOOGLEFINANCE(A64, ""high52"")"),390.2)</f>
        <v>390.2</v>
      </c>
      <c r="K64" s="9">
        <f>IFERROR(__xludf.DUMMYFUNCTION("GOOGLEFINANCE(A64, ""low52"")"),296.0)</f>
        <v>296</v>
      </c>
      <c r="L64" s="9">
        <f t="shared" si="1"/>
        <v>0.05945668888</v>
      </c>
      <c r="M64" s="9">
        <f t="shared" si="2"/>
        <v>0.2398648649</v>
      </c>
      <c r="N64" s="9">
        <f t="shared" si="3"/>
        <v>0.015625</v>
      </c>
      <c r="O64" s="9">
        <f t="shared" si="4"/>
        <v>0.5747021082</v>
      </c>
      <c r="P64" s="9">
        <f>IFERROR(__xludf.DUMMYFUNCTION("GOOGLEFINANCE(A64, ""pe"")"),28.8)</f>
        <v>28.8</v>
      </c>
      <c r="Q64" s="9">
        <f>IFERROR(__xludf.DUMMYFUNCTION("IFERROR(GOOGLEFINANCE(A64, ""volume"") / GOOGLEFINANCE(A64, ""volumeavg""), 0)"),0.0)</f>
        <v>0</v>
      </c>
      <c r="R64" s="9">
        <f>IFERROR(__xludf.DUMMYFUNCTION("AVERAGE(INDEX(GOOGLEFINANCE(A64, ""price"", TODAY()-30, TODAY()), 0, 2))"),359.0521739130434)</f>
        <v>359.0521739</v>
      </c>
      <c r="S64" s="9">
        <f>IFERROR(__xludf.DUMMYFUNCTION("AVERAGE(INDEX(GOOGLEFINANCE(A64, ""price"", TODAY()-75, TODAY()), 0, 2))"),347.69528301886794)</f>
        <v>347.695283</v>
      </c>
      <c r="T64" s="9">
        <f>IFERROR(__xludf.DUMMYFUNCTION("AVERAGE(INDEX(GOOGLEFINANCE(A64, ""price"", TODAY()-300, TODAY()), 0, 2))"),334.65470297029697)</f>
        <v>334.654703</v>
      </c>
      <c r="U64" s="9">
        <f t="shared" si="5"/>
        <v>0.02213557434</v>
      </c>
      <c r="V64" s="15">
        <f>IFERROR(__xludf.DUMMYFUNCTION("LET(hist, GOOGLEFINANCE(A64,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rs))))))"),68.74084919472917)</f>
        <v>68.74084919</v>
      </c>
      <c r="W64" s="16" t="str">
        <f>IFERROR(__xludf.DUMMYFUNCTION("IFERROR(GOOGLEFINANCE(A64, ""volume"") / GOOGLEFINANCE(A64, ""volumeavg""), )"),"")</f>
        <v/>
      </c>
      <c r="X64" s="9">
        <f>IFERROR(__xludf.DUMMYFUNCTION("B64 * GOOGLEFINANCE(A64, ""volume"")"),3.81718168E8)</f>
        <v>381718168</v>
      </c>
      <c r="Y64" s="9">
        <f>IFERROR(__xludf.DUMMYFUNCTION("IFERROR(((B64 - GOOGLEFINANCE(A64, ""priceopen"")) / GOOGLEFINANCE(A64, ""priceopen"")) * GOOGLEFINANCE(A64, ""volume""), 0)"),-566.5054466230615)</f>
        <v>-566.5054466</v>
      </c>
    </row>
    <row r="65">
      <c r="A65" s="4" t="s">
        <v>464</v>
      </c>
      <c r="B65" s="7">
        <f>IFERROR(__xludf.DUMMYFUNCTION("GOOGLEFINANCE(A65, ""price"")"),7720.0)</f>
        <v>7720</v>
      </c>
      <c r="C65" s="7">
        <f>IFERROR(__xludf.DUMMYFUNCTION("GOOGLEFINANCE(A65, ""changepct"")"),1.43)</f>
        <v>1.43</v>
      </c>
      <c r="D65" s="9">
        <f>IFERROR(__xludf.DUMMYFUNCTION("GOOGLEFINANCE(A65, ""priceopen"")"),7611.5)</f>
        <v>7611.5</v>
      </c>
      <c r="E65" s="9">
        <f>IFERROR(__xludf.DUMMYFUNCTION("GOOGLEFINANCE(A65, ""high"")"),7741.0)</f>
        <v>7741</v>
      </c>
      <c r="F65" s="9">
        <f>IFERROR(__xludf.DUMMYFUNCTION("GOOGLEFINANCE(A65, ""low"")"),7585.5)</f>
        <v>7585.5</v>
      </c>
      <c r="G65" s="9">
        <f>IFERROR(__xludf.DUMMYFUNCTION("GOOGLEFINANCE(A65, ""price"")"),7720.0)</f>
        <v>7720</v>
      </c>
      <c r="H65" s="9">
        <f>IFERROR(__xludf.DUMMYFUNCTION("MAX(INDEX(GOOGLEFINANCE(A65, ""high"", TODAY()-30, TODAY()), 0, 2))"),7924.5)</f>
        <v>7924.5</v>
      </c>
      <c r="I65" s="9">
        <f>IFERROR(__xludf.DUMMYFUNCTION("MIN(INDEX(GOOGLEFINANCE(A65, ""low"", TODAY()-30, TODAY()), 0, 2))"),6715.5)</f>
        <v>6715.5</v>
      </c>
      <c r="J65" s="9">
        <f>IFERROR(__xludf.DUMMYFUNCTION("GOOGLEFINANCE(A65, ""high52"")"),7924.5)</f>
        <v>7924.5</v>
      </c>
      <c r="K65" s="9">
        <f>IFERROR(__xludf.DUMMYFUNCTION("GOOGLEFINANCE(A65, ""low52"")"),4637.5)</f>
        <v>4637.5</v>
      </c>
      <c r="L65" s="9">
        <f t="shared" si="1"/>
        <v>0.02580604455</v>
      </c>
      <c r="M65" s="9">
        <f t="shared" si="2"/>
        <v>0.664690027</v>
      </c>
      <c r="N65" s="9">
        <f t="shared" si="3"/>
        <v>0.02049963747</v>
      </c>
      <c r="O65" s="9">
        <f t="shared" si="4"/>
        <v>0.8308519438</v>
      </c>
      <c r="P65" s="9">
        <f>IFERROR(__xludf.DUMMYFUNCTION("GOOGLEFINANCE(A65, ""pe"")"),54.75)</f>
        <v>54.75</v>
      </c>
      <c r="Q65" s="9">
        <f>IFERROR(__xludf.DUMMYFUNCTION("IFERROR(GOOGLEFINANCE(A65, ""volume"") / GOOGLEFINANCE(A65, ""volumeavg""), 0)"),0.0)</f>
        <v>0</v>
      </c>
      <c r="R65" s="9">
        <f>IFERROR(__xludf.DUMMYFUNCTION("AVERAGE(INDEX(GOOGLEFINANCE(A65, ""price"", TODAY()-30, TODAY()), 0, 2))"),7447.413043478261)</f>
        <v>7447.413043</v>
      </c>
      <c r="S65" s="9">
        <f>IFERROR(__xludf.DUMMYFUNCTION("AVERAGE(INDEX(GOOGLEFINANCE(A65, ""price"", TODAY()-75, TODAY()), 0, 2))"),7203.084905660377)</f>
        <v>7203.084906</v>
      </c>
      <c r="T65" s="9">
        <f>IFERROR(__xludf.DUMMYFUNCTION("AVERAGE(INDEX(GOOGLEFINANCE(A65, ""price"", TODAY()-300, TODAY()), 0, 2))"),6158.955445544554)</f>
        <v>6158.955446</v>
      </c>
      <c r="U65" s="9">
        <f t="shared" si="5"/>
        <v>0.03660156284</v>
      </c>
      <c r="V65" s="15">
        <f>IFERROR(__xludf.DUMMYFUNCTION("LET(hist, GOOGLEFINANCE(A65,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rs))))))"),57.791095890410965)</f>
        <v>57.79109589</v>
      </c>
      <c r="W65" s="16" t="str">
        <f>IFERROR(__xludf.DUMMYFUNCTION("IFERROR(GOOGLEFINANCE(A65, ""volume"") / GOOGLEFINANCE(A65, ""volumeavg""), )"),"")</f>
        <v/>
      </c>
      <c r="X65" s="9">
        <f>IFERROR(__xludf.DUMMYFUNCTION("B65 * GOOGLEFINANCE(A65, ""volume"")"),1.73323264E9)</f>
        <v>1733232640</v>
      </c>
      <c r="Y65" s="9">
        <f>IFERROR(__xludf.DUMMYFUNCTION("IFERROR(((B65 - GOOGLEFINANCE(A65, ""priceopen"")) / GOOGLEFINANCE(A65, ""priceopen"")) * GOOGLEFINANCE(A65, ""volume""), 0)"),3200.361558168561)</f>
        <v>3200.361558</v>
      </c>
    </row>
    <row r="66">
      <c r="A66" s="4" t="s">
        <v>471</v>
      </c>
      <c r="B66" s="7">
        <f>IFERROR(__xludf.DUMMYFUNCTION("GOOGLEFINANCE(A66, ""price"")"),3082.0)</f>
        <v>3082</v>
      </c>
      <c r="C66" s="7">
        <f>IFERROR(__xludf.DUMMYFUNCTION("GOOGLEFINANCE(A66, ""changepct"")"),1.77)</f>
        <v>1.77</v>
      </c>
      <c r="D66" s="9">
        <f>IFERROR(__xludf.DUMMYFUNCTION("GOOGLEFINANCE(A66, ""priceopen"")"),3028.5)</f>
        <v>3028.5</v>
      </c>
      <c r="E66" s="9">
        <f>IFERROR(__xludf.DUMMYFUNCTION("GOOGLEFINANCE(A66, ""high"")"),3083.2)</f>
        <v>3083.2</v>
      </c>
      <c r="F66" s="9">
        <f>IFERROR(__xludf.DUMMYFUNCTION("GOOGLEFINANCE(A66, ""low"")"),3020.5)</f>
        <v>3020.5</v>
      </c>
      <c r="G66" s="9">
        <f>IFERROR(__xludf.DUMMYFUNCTION("GOOGLEFINANCE(A66, ""price"")"),3082.0)</f>
        <v>3082</v>
      </c>
      <c r="H66" s="9">
        <f>IFERROR(__xludf.DUMMYFUNCTION("MAX(INDEX(GOOGLEFINANCE(A66, ""high"", TODAY()-30, TODAY()), 0, 2))"),3287.7)</f>
        <v>3287.7</v>
      </c>
      <c r="I66" s="9">
        <f>IFERROR(__xludf.DUMMYFUNCTION("MIN(INDEX(GOOGLEFINANCE(A66, ""low"", TODAY()-30, TODAY()), 0, 2))"),3020.5)</f>
        <v>3020.5</v>
      </c>
      <c r="J66" s="9">
        <f>IFERROR(__xludf.DUMMYFUNCTION("GOOGLEFINANCE(A66, ""high52"")"),3611.0)</f>
        <v>3611</v>
      </c>
      <c r="K66" s="9">
        <f>IFERROR(__xludf.DUMMYFUNCTION("GOOGLEFINANCE(A66, ""low52"")"),2530.0)</f>
        <v>2530</v>
      </c>
      <c r="L66" s="9">
        <f t="shared" si="1"/>
        <v>0.1464968153</v>
      </c>
      <c r="M66" s="9">
        <f t="shared" si="2"/>
        <v>0.2181818182</v>
      </c>
      <c r="N66" s="9">
        <f t="shared" si="3"/>
        <v>0.02075815262</v>
      </c>
      <c r="O66" s="9">
        <f t="shared" si="4"/>
        <v>0.2301646707</v>
      </c>
      <c r="P66" s="9">
        <f>IFERROR(__xludf.DUMMYFUNCTION("GOOGLEFINANCE(A66, ""pe"")"),43.3)</f>
        <v>43.3</v>
      </c>
      <c r="Q66" s="9">
        <f>IFERROR(__xludf.DUMMYFUNCTION("IFERROR(GOOGLEFINANCE(A66, ""volume"") / GOOGLEFINANCE(A66, ""volumeavg""), 0)"),0.0)</f>
        <v>0</v>
      </c>
      <c r="R66" s="9">
        <f>IFERROR(__xludf.DUMMYFUNCTION("AVERAGE(INDEX(GOOGLEFINANCE(A66, ""price"", TODAY()-30, TODAY()), 0, 2))"),3110.7565217391307)</f>
        <v>3110.756522</v>
      </c>
      <c r="S66" s="9">
        <f>IFERROR(__xludf.DUMMYFUNCTION("AVERAGE(INDEX(GOOGLEFINANCE(A66, ""price"", TODAY()-75, TODAY()), 0, 2))"),3218.756603773585)</f>
        <v>3218.756604</v>
      </c>
      <c r="T66" s="9">
        <f>IFERROR(__xludf.DUMMYFUNCTION("AVERAGE(INDEX(GOOGLEFINANCE(A66, ""price"", TODAY()-300, TODAY()), 0, 2))"),3080.25506329114)</f>
        <v>3080.255063</v>
      </c>
      <c r="U66" s="9">
        <f t="shared" si="5"/>
        <v>-0.009244221313</v>
      </c>
      <c r="V66" s="15">
        <f>IFERROR(__xludf.DUMMYFUNCTION("LET(hist, GOOGLEFINANCE(A66,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rs))))))"),41.82801822323462)</f>
        <v>41.82801822</v>
      </c>
      <c r="W66" s="16" t="str">
        <f>IFERROR(__xludf.DUMMYFUNCTION("IFERROR(GOOGLEFINANCE(A66, ""volume"") / GOOGLEFINANCE(A66, ""volumeavg""), )"),"")</f>
        <v/>
      </c>
      <c r="X66" s="9">
        <f>IFERROR(__xludf.DUMMYFUNCTION("B66 * GOOGLEFINANCE(A66, ""volume"")"),4.60611064E8)</f>
        <v>460611064</v>
      </c>
      <c r="Y66" s="9">
        <f>IFERROR(__xludf.DUMMYFUNCTION("IFERROR(((B66 - GOOGLEFINANCE(A66, ""priceopen"")) / GOOGLEFINANCE(A66, ""priceopen"")) * GOOGLEFINANCE(A66, ""volume""), 0)"),2640.1459468383687)</f>
        <v>2640.145947</v>
      </c>
    </row>
    <row r="67">
      <c r="A67" s="4" t="s">
        <v>478</v>
      </c>
      <c r="B67" s="7">
        <f>IFERROR(__xludf.DUMMYFUNCTION("GOOGLEFINANCE(A67, ""price"")"),5353.0)</f>
        <v>5353</v>
      </c>
      <c r="C67" s="7">
        <f>IFERROR(__xludf.DUMMYFUNCTION("GOOGLEFINANCE(A67, ""changepct"")"),-0.47)</f>
        <v>-0.47</v>
      </c>
      <c r="D67" s="9">
        <f>IFERROR(__xludf.DUMMYFUNCTION("GOOGLEFINANCE(A67, ""priceopen"")"),5366.5)</f>
        <v>5366.5</v>
      </c>
      <c r="E67" s="9">
        <f>IFERROR(__xludf.DUMMYFUNCTION("GOOGLEFINANCE(A67, ""high"")"),5406.5)</f>
        <v>5406.5</v>
      </c>
      <c r="F67" s="9">
        <f>IFERROR(__xludf.DUMMYFUNCTION("GOOGLEFINANCE(A67, ""low"")"),5330.0)</f>
        <v>5330</v>
      </c>
      <c r="G67" s="9">
        <f>IFERROR(__xludf.DUMMYFUNCTION("GOOGLEFINANCE(A67, ""price"")"),5353.0)</f>
        <v>5353</v>
      </c>
      <c r="H67" s="9">
        <f>IFERROR(__xludf.DUMMYFUNCTION("MAX(INDEX(GOOGLEFINANCE(A67, ""high"", TODAY()-30, TODAY()), 0, 2))"),5674.5)</f>
        <v>5674.5</v>
      </c>
      <c r="I67" s="9">
        <f>IFERROR(__xludf.DUMMYFUNCTION("MIN(INDEX(GOOGLEFINANCE(A67, ""low"", TODAY()-30, TODAY()), 0, 2))"),5175.0)</f>
        <v>5175</v>
      </c>
      <c r="J67" s="9">
        <f>IFERROR(__xludf.DUMMYFUNCTION("GOOGLEFINANCE(A67, ""high52"")"),6100.0)</f>
        <v>6100</v>
      </c>
      <c r="K67" s="9">
        <f>IFERROR(__xludf.DUMMYFUNCTION("GOOGLEFINANCE(A67, ""low52"")"),3729.5)</f>
        <v>3729.5</v>
      </c>
      <c r="L67" s="9">
        <f t="shared" si="1"/>
        <v>0.1224590164</v>
      </c>
      <c r="M67" s="9">
        <f t="shared" si="2"/>
        <v>0.4353130446</v>
      </c>
      <c r="N67" s="9">
        <f t="shared" si="3"/>
        <v>0.01435272045</v>
      </c>
      <c r="O67" s="9">
        <f t="shared" si="4"/>
        <v>0.3563563564</v>
      </c>
      <c r="P67" s="9">
        <f>IFERROR(__xludf.DUMMYFUNCTION("GOOGLEFINANCE(A67, ""pe"")"),62.69)</f>
        <v>62.69</v>
      </c>
      <c r="Q67" s="9">
        <f>IFERROR(__xludf.DUMMYFUNCTION("IFERROR(GOOGLEFINANCE(A67, ""volume"") / GOOGLEFINANCE(A67, ""volumeavg""), 0)"),0.0)</f>
        <v>0</v>
      </c>
      <c r="R67" s="9">
        <f>IFERROR(__xludf.DUMMYFUNCTION("AVERAGE(INDEX(GOOGLEFINANCE(A67, ""price"", TODAY()-30, TODAY()), 0, 2))"),5498.04347826087)</f>
        <v>5498.043478</v>
      </c>
      <c r="S67" s="9">
        <f>IFERROR(__xludf.DUMMYFUNCTION("AVERAGE(INDEX(GOOGLEFINANCE(A67, ""price"", TODAY()-75, TODAY()), 0, 2))"),5592.0)</f>
        <v>5592</v>
      </c>
      <c r="T67" s="9">
        <f>IFERROR(__xludf.DUMMYFUNCTION("AVERAGE(INDEX(GOOGLEFINANCE(A67, ""price"", TODAY()-300, TODAY()), 0, 2))"),4862.967821782178)</f>
        <v>4862.967822</v>
      </c>
      <c r="U67" s="9">
        <f t="shared" si="5"/>
        <v>-0.02638092602</v>
      </c>
      <c r="V67" s="15">
        <f>IFERROR(__xludf.DUMMYFUNCTION("LET(hist, GOOGLEFINANCE(A67,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rs))))))"),33.77253814147018)</f>
        <v>33.77253814</v>
      </c>
      <c r="W67" s="16" t="str">
        <f>IFERROR(__xludf.DUMMYFUNCTION("IFERROR(GOOGLEFINANCE(A67, ""volume"") / GOOGLEFINANCE(A67, ""volumeavg""), )"),"")</f>
        <v/>
      </c>
      <c r="X67" s="9">
        <f>IFERROR(__xludf.DUMMYFUNCTION("B67 * GOOGLEFINANCE(A67, ""volume"")"),2.965770767E9)</f>
        <v>2965770767</v>
      </c>
      <c r="Y67" s="9">
        <f>IFERROR(__xludf.DUMMYFUNCTION("IFERROR(((B67 - GOOGLEFINANCE(A67, ""priceopen"")) / GOOGLEFINANCE(A67, ""priceopen"")) * GOOGLEFINANCE(A67, ""volume""), 0)"),-1393.743874033355)</f>
        <v>-1393.743874</v>
      </c>
    </row>
    <row r="68">
      <c r="A68" s="4" t="s">
        <v>484</v>
      </c>
      <c r="B68" s="7">
        <f>IFERROR(__xludf.DUMMYFUNCTION("GOOGLEFINANCE(A68, ""price"")"),438.7)</f>
        <v>438.7</v>
      </c>
      <c r="C68" s="7">
        <f>IFERROR(__xludf.DUMMYFUNCTION("GOOGLEFINANCE(A68, ""changepct"")"),0.39)</f>
        <v>0.39</v>
      </c>
      <c r="D68" s="9">
        <f>IFERROR(__xludf.DUMMYFUNCTION("GOOGLEFINANCE(A68, ""priceopen"")"),439.15)</f>
        <v>439.15</v>
      </c>
      <c r="E68" s="9">
        <f>IFERROR(__xludf.DUMMYFUNCTION("GOOGLEFINANCE(A68, ""high"")"),440.5)</f>
        <v>440.5</v>
      </c>
      <c r="F68" s="9">
        <f>IFERROR(__xludf.DUMMYFUNCTION("GOOGLEFINANCE(A68, ""low"")"),434.0)</f>
        <v>434</v>
      </c>
      <c r="G68" s="9">
        <f>IFERROR(__xludf.DUMMYFUNCTION("GOOGLEFINANCE(A68, ""price"")"),438.7)</f>
        <v>438.7</v>
      </c>
      <c r="H68" s="9">
        <f>IFERROR(__xludf.DUMMYFUNCTION("MAX(INDEX(GOOGLEFINANCE(A68, ""high"", TODAY()-30, TODAY()), 0, 2))"),478.7)</f>
        <v>478.7</v>
      </c>
      <c r="I68" s="9">
        <f>IFERROR(__xludf.DUMMYFUNCTION("MIN(INDEX(GOOGLEFINANCE(A68, ""low"", TODAY()-30, TODAY()), 0, 2))"),423.0)</f>
        <v>423</v>
      </c>
      <c r="J68" s="9">
        <f>IFERROR(__xludf.DUMMYFUNCTION("GOOGLEFINANCE(A68, ""high52"")"),555.8)</f>
        <v>555.8</v>
      </c>
      <c r="K68" s="9">
        <f>IFERROR(__xludf.DUMMYFUNCTION("GOOGLEFINANCE(A68, ""low52"")"),381.0)</f>
        <v>381</v>
      </c>
      <c r="L68" s="9">
        <f t="shared" si="1"/>
        <v>0.2106872976</v>
      </c>
      <c r="M68" s="9">
        <f t="shared" si="2"/>
        <v>0.1514435696</v>
      </c>
      <c r="N68" s="9">
        <f t="shared" si="3"/>
        <v>0.01497695853</v>
      </c>
      <c r="O68" s="9">
        <f t="shared" si="4"/>
        <v>0.2818671454</v>
      </c>
      <c r="P68" s="9">
        <f>IFERROR(__xludf.DUMMYFUNCTION("GOOGLEFINANCE(A68, ""pe"")"),43.81)</f>
        <v>43.81</v>
      </c>
      <c r="Q68" s="9">
        <f>IFERROR(__xludf.DUMMYFUNCTION("IFERROR(GOOGLEFINANCE(A68, ""volume"") / GOOGLEFINANCE(A68, ""volumeavg""), 0)"),0.0)</f>
        <v>0</v>
      </c>
      <c r="R68" s="9">
        <f>IFERROR(__xludf.DUMMYFUNCTION("AVERAGE(INDEX(GOOGLEFINANCE(A68, ""price"", TODAY()-30, TODAY()), 0, 2))"),452.3804347826087)</f>
        <v>452.3804348</v>
      </c>
      <c r="S68" s="9">
        <f>IFERROR(__xludf.DUMMYFUNCTION("AVERAGE(INDEX(GOOGLEFINANCE(A68, ""price"", TODAY()-75, TODAY()), 0, 2))"),488.4207547169811)</f>
        <v>488.4207547</v>
      </c>
      <c r="T68" s="9">
        <f>IFERROR(__xludf.DUMMYFUNCTION("AVERAGE(INDEX(GOOGLEFINANCE(A68, ""price"", TODAY()-300, TODAY()), 0, 2))"),472.59504950495057)</f>
        <v>472.5950495</v>
      </c>
      <c r="U68" s="9">
        <f t="shared" si="5"/>
        <v>-0.0302409957</v>
      </c>
      <c r="V68" s="15">
        <f>IFERROR(__xludf.DUMMYFUNCTION("LET(hist, GOOGLEFINANCE(A68,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rs))))))"),41.51029748283752)</f>
        <v>41.51029748</v>
      </c>
      <c r="W68" s="16" t="str">
        <f>IFERROR(__xludf.DUMMYFUNCTION("IFERROR(GOOGLEFINANCE(A68, ""volume"") / GOOGLEFINANCE(A68, ""volumeavg""), )"),"")</f>
        <v/>
      </c>
      <c r="X68" s="9">
        <f>IFERROR(__xludf.DUMMYFUNCTION("B68 * GOOGLEFINANCE(A68, ""volume"")"),8.061064243E8)</f>
        <v>806106424.3</v>
      </c>
      <c r="Y68" s="9">
        <f>IFERROR(__xludf.DUMMYFUNCTION("IFERROR(((B68 - GOOGLEFINANCE(A68, ""priceopen"")) / GOOGLEFINANCE(A68, ""priceopen"")) * GOOGLEFINANCE(A68, ""volume""), 0)"),-1882.8875099623801)</f>
        <v>-1882.88751</v>
      </c>
    </row>
    <row r="69">
      <c r="A69" s="4" t="s">
        <v>491</v>
      </c>
      <c r="B69" s="7">
        <f>IFERROR(__xludf.DUMMYFUNCTION("GOOGLEFINANCE(A69, ""price"")"),3527.0)</f>
        <v>3527</v>
      </c>
      <c r="C69" s="7">
        <f>IFERROR(__xludf.DUMMYFUNCTION("GOOGLEFINANCE(A69, ""changepct"")"),-2.16)</f>
        <v>-2.16</v>
      </c>
      <c r="D69" s="9">
        <f>IFERROR(__xludf.DUMMYFUNCTION("GOOGLEFINANCE(A69, ""priceopen"")"),3605.0)</f>
        <v>3605</v>
      </c>
      <c r="E69" s="9">
        <f>IFERROR(__xludf.DUMMYFUNCTION("GOOGLEFINANCE(A69, ""high"")"),3605.9)</f>
        <v>3605.9</v>
      </c>
      <c r="F69" s="9">
        <f>IFERROR(__xludf.DUMMYFUNCTION("GOOGLEFINANCE(A69, ""low"")"),3501.0)</f>
        <v>3501</v>
      </c>
      <c r="G69" s="9">
        <f>IFERROR(__xludf.DUMMYFUNCTION("GOOGLEFINANCE(A69, ""price"")"),3527.0)</f>
        <v>3527</v>
      </c>
      <c r="H69" s="9">
        <f>IFERROR(__xludf.DUMMYFUNCTION("MAX(INDEX(GOOGLEFINANCE(A69, ""high"", TODAY()-30, TODAY()), 0, 2))"),3867.5)</f>
        <v>3867.5</v>
      </c>
      <c r="I69" s="9">
        <f>IFERROR(__xludf.DUMMYFUNCTION("MIN(INDEX(GOOGLEFINANCE(A69, ""low"", TODAY()-30, TODAY()), 0, 2))"),3415.5)</f>
        <v>3415.5</v>
      </c>
      <c r="J69" s="9">
        <f>IFERROR(__xludf.DUMMYFUNCTION("GOOGLEFINANCE(A69, ""high52"")"),4446.8)</f>
        <v>4446.8</v>
      </c>
      <c r="K69" s="9">
        <f>IFERROR(__xludf.DUMMYFUNCTION("GOOGLEFINANCE(A69, ""low52"")"),2021.5)</f>
        <v>2021.5</v>
      </c>
      <c r="L69" s="9">
        <f t="shared" si="1"/>
        <v>0.206845372</v>
      </c>
      <c r="M69" s="9">
        <f t="shared" si="2"/>
        <v>0.744744002</v>
      </c>
      <c r="N69" s="9">
        <f t="shared" si="3"/>
        <v>0.02996286775</v>
      </c>
      <c r="O69" s="9">
        <f t="shared" si="4"/>
        <v>0.2466814159</v>
      </c>
      <c r="P69" s="9">
        <f>IFERROR(__xludf.DUMMYFUNCTION("GOOGLEFINANCE(A69, ""pe"")"),51.31)</f>
        <v>51.31</v>
      </c>
      <c r="Q69" s="9">
        <f>IFERROR(__xludf.DUMMYFUNCTION("IFERROR(GOOGLEFINANCE(A69, ""volume"") / GOOGLEFINANCE(A69, ""volumeavg""), 0)"),0.0)</f>
        <v>0</v>
      </c>
      <c r="R69" s="9">
        <f>IFERROR(__xludf.DUMMYFUNCTION("AVERAGE(INDEX(GOOGLEFINANCE(A69, ""price"", TODAY()-30, TODAY()), 0, 2))"),3597.8782608695656)</f>
        <v>3597.878261</v>
      </c>
      <c r="S69" s="9">
        <f>IFERROR(__xludf.DUMMYFUNCTION("AVERAGE(INDEX(GOOGLEFINANCE(A69, ""price"", TODAY()-75, TODAY()), 0, 2))"),3788.041509433962)</f>
        <v>3788.041509</v>
      </c>
      <c r="T69" s="9">
        <f>IFERROR(__xludf.DUMMYFUNCTION("AVERAGE(INDEX(GOOGLEFINANCE(A69, ""price"", TODAY()-300, TODAY()), 0, 2))"),3192.7009900990074)</f>
        <v>3192.70099</v>
      </c>
      <c r="U69" s="9">
        <f t="shared" si="5"/>
        <v>-0.01970001643</v>
      </c>
      <c r="V69" s="15">
        <f>IFERROR(__xludf.DUMMYFUNCTION("LET(hist, GOOGLEFINANCE(A69,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rs))))))"),47.035347776510825)</f>
        <v>47.03534778</v>
      </c>
      <c r="W69" s="16" t="str">
        <f>IFERROR(__xludf.DUMMYFUNCTION("IFERROR(GOOGLEFINANCE(A69, ""volume"") / GOOGLEFINANCE(A69, ""volumeavg""), )"),"")</f>
        <v/>
      </c>
      <c r="X69" s="9">
        <f>IFERROR(__xludf.DUMMYFUNCTION("B69 * GOOGLEFINANCE(A69, ""volume"")"),1.374415468E10)</f>
        <v>13744154680</v>
      </c>
      <c r="Y69" s="9">
        <f>IFERROR(__xludf.DUMMYFUNCTION("IFERROR(((B69 - GOOGLEFINANCE(A69, ""priceopen"")) / GOOGLEFINANCE(A69, ""priceopen"")) * GOOGLEFINANCE(A69, ""volume""), 0)"),-84314.42995839112)</f>
        <v>-84314.42996</v>
      </c>
    </row>
    <row r="70">
      <c r="A70" s="4" t="s">
        <v>501</v>
      </c>
      <c r="B70" s="7">
        <f>IFERROR(__xludf.DUMMYFUNCTION("GOOGLEFINANCE(A70, ""price"")"),35700.0)</f>
        <v>35700</v>
      </c>
      <c r="C70" s="7">
        <f>IFERROR(__xludf.DUMMYFUNCTION("GOOGLEFINANCE(A70, ""changepct"")"),2.0)</f>
        <v>2</v>
      </c>
      <c r="D70" s="9">
        <f>IFERROR(__xludf.DUMMYFUNCTION("GOOGLEFINANCE(A70, ""priceopen"")"),35000.0)</f>
        <v>35000</v>
      </c>
      <c r="E70" s="9">
        <f>IFERROR(__xludf.DUMMYFUNCTION("GOOGLEFINANCE(A70, ""high"")"),35925.0)</f>
        <v>35925</v>
      </c>
      <c r="F70" s="9">
        <f>IFERROR(__xludf.DUMMYFUNCTION("GOOGLEFINANCE(A70, ""low"")"),34730.0)</f>
        <v>34730</v>
      </c>
      <c r="G70" s="9">
        <f>IFERROR(__xludf.DUMMYFUNCTION("GOOGLEFINANCE(A70, ""price"")"),35700.0)</f>
        <v>35700</v>
      </c>
      <c r="H70" s="9">
        <f>IFERROR(__xludf.DUMMYFUNCTION("MAX(INDEX(GOOGLEFINANCE(A70, ""high"", TODAY()-30, TODAY()), 0, 2))"),36590.0)</f>
        <v>36590</v>
      </c>
      <c r="I70" s="9">
        <f>IFERROR(__xludf.DUMMYFUNCTION("MIN(INDEX(GOOGLEFINANCE(A70, ""low"", TODAY()-30, TODAY()), 0, 2))"),30470.0)</f>
        <v>30470</v>
      </c>
      <c r="J70" s="9">
        <f>IFERROR(__xludf.DUMMYFUNCTION("GOOGLEFINANCE(A70, ""high52"")"),38785.0)</f>
        <v>38785</v>
      </c>
      <c r="K70" s="9">
        <f>IFERROR(__xludf.DUMMYFUNCTION("GOOGLEFINANCE(A70, ""low52"")"),16111.0)</f>
        <v>16111</v>
      </c>
      <c r="L70" s="9">
        <f t="shared" si="1"/>
        <v>0.07954105969</v>
      </c>
      <c r="M70" s="9">
        <f t="shared" si="2"/>
        <v>1.215877351</v>
      </c>
      <c r="N70" s="9">
        <f t="shared" si="3"/>
        <v>0.03440829254</v>
      </c>
      <c r="O70" s="9">
        <f t="shared" si="4"/>
        <v>0.8545751634</v>
      </c>
      <c r="P70" s="9">
        <f>IFERROR(__xludf.DUMMYFUNCTION("GOOGLEFINANCE(A70, ""pe"")"),138.33)</f>
        <v>138.33</v>
      </c>
      <c r="Q70" s="9">
        <f>IFERROR(__xludf.DUMMYFUNCTION("IFERROR(GOOGLEFINANCE(A70, ""volume"") / GOOGLEFINANCE(A70, ""volumeavg""), 0)"),0.0)</f>
        <v>0</v>
      </c>
      <c r="R70" s="9">
        <f>IFERROR(__xludf.DUMMYFUNCTION("AVERAGE(INDEX(GOOGLEFINANCE(A70, ""price"", TODAY()-30, TODAY()), 0, 2))"),32580.652173913044)</f>
        <v>32580.65217</v>
      </c>
      <c r="S70" s="9">
        <f>IFERROR(__xludf.DUMMYFUNCTION("AVERAGE(INDEX(GOOGLEFINANCE(A70, ""price"", TODAY()-75, TODAY()), 0, 2))"),33733.301886792455)</f>
        <v>33733.30189</v>
      </c>
      <c r="T70" s="9">
        <f>IFERROR(__xludf.DUMMYFUNCTION("AVERAGE(INDEX(GOOGLEFINANCE(A70, ""price"", TODAY()-300, TODAY()), 0, 2))"),26166.50495049505)</f>
        <v>26166.50495</v>
      </c>
      <c r="U70" s="9">
        <f t="shared" si="5"/>
        <v>0.09574233841</v>
      </c>
      <c r="V70" s="15">
        <f>IFERROR(__xludf.DUMMYFUNCTION("LET(hist, GOOGLEFINANCE(A70,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rs))))))"),67.18821905200184)</f>
        <v>67.18821905</v>
      </c>
      <c r="W70" s="16" t="str">
        <f>IFERROR(__xludf.DUMMYFUNCTION("IFERROR(GOOGLEFINANCE(A70, ""volume"") / GOOGLEFINANCE(A70, ""volumeavg""), )"),"")</f>
        <v/>
      </c>
      <c r="X70" s="9">
        <f>IFERROR(__xludf.DUMMYFUNCTION("B70 * GOOGLEFINANCE(A70, ""volume"")"),6.44742E9)</f>
        <v>6447420000</v>
      </c>
      <c r="Y70" s="9">
        <f>IFERROR(__xludf.DUMMYFUNCTION("IFERROR(((B70 - GOOGLEFINANCE(A70, ""priceopen"")) / GOOGLEFINANCE(A70, ""priceopen"")) * GOOGLEFINANCE(A70, ""volume""), 0)"),3612.0)</f>
        <v>3612</v>
      </c>
    </row>
    <row r="71">
      <c r="A71" s="4" t="s">
        <v>514</v>
      </c>
      <c r="B71" s="7">
        <f>IFERROR(__xludf.DUMMYFUNCTION("GOOGLEFINANCE(A71, ""price"")"),420.0)</f>
        <v>420</v>
      </c>
      <c r="C71" s="7">
        <f>IFERROR(__xludf.DUMMYFUNCTION("GOOGLEFINANCE(A71, ""changepct"")"),4.22)</f>
        <v>4.22</v>
      </c>
      <c r="D71" s="9">
        <f>IFERROR(__xludf.DUMMYFUNCTION("GOOGLEFINANCE(A71, ""priceopen"")"),404.5)</f>
        <v>404.5</v>
      </c>
      <c r="E71" s="9">
        <f>IFERROR(__xludf.DUMMYFUNCTION("GOOGLEFINANCE(A71, ""high"")"),420.2)</f>
        <v>420.2</v>
      </c>
      <c r="F71" s="9">
        <f>IFERROR(__xludf.DUMMYFUNCTION("GOOGLEFINANCE(A71, ""low"")"),403.25)</f>
        <v>403.25</v>
      </c>
      <c r="G71" s="9">
        <f>IFERROR(__xludf.DUMMYFUNCTION("GOOGLEFINANCE(A71, ""price"")"),420.0)</f>
        <v>420</v>
      </c>
      <c r="H71" s="9">
        <f>IFERROR(__xludf.DUMMYFUNCTION("MAX(INDEX(GOOGLEFINANCE(A71, ""high"", TODAY()-30, TODAY()), 0, 2))"),446.5)</f>
        <v>446.5</v>
      </c>
      <c r="I71" s="9">
        <f>IFERROR(__xludf.DUMMYFUNCTION("MIN(INDEX(GOOGLEFINANCE(A71, ""low"", TODAY()-30, TODAY()), 0, 2))"),389.6)</f>
        <v>389.6</v>
      </c>
      <c r="J71" s="9">
        <f>IFERROR(__xludf.DUMMYFUNCTION("GOOGLEFINANCE(A71, ""high52"")"),446.5)</f>
        <v>446.5</v>
      </c>
      <c r="K71" s="9">
        <f>IFERROR(__xludf.DUMMYFUNCTION("GOOGLEFINANCE(A71, ""low52"")"),205.12)</f>
        <v>205.12</v>
      </c>
      <c r="L71" s="9">
        <f t="shared" si="1"/>
        <v>0.05935050392</v>
      </c>
      <c r="M71" s="9">
        <f t="shared" si="2"/>
        <v>1.047581903</v>
      </c>
      <c r="N71" s="9">
        <f t="shared" si="3"/>
        <v>0.04203347799</v>
      </c>
      <c r="O71" s="9">
        <f t="shared" si="4"/>
        <v>0.5342706503</v>
      </c>
      <c r="P71" s="9">
        <f>IFERROR(__xludf.DUMMYFUNCTION("GOOGLEFINANCE(A71, ""pe"")"),60.16)</f>
        <v>60.16</v>
      </c>
      <c r="Q71" s="9">
        <f>IFERROR(__xludf.DUMMYFUNCTION("IFERROR(GOOGLEFINANCE(A71, ""volume"") / GOOGLEFINANCE(A71, ""volumeavg""), 0)"),0.0)</f>
        <v>0</v>
      </c>
      <c r="R71" s="9">
        <f>IFERROR(__xludf.DUMMYFUNCTION("AVERAGE(INDEX(GOOGLEFINANCE(A71, ""price"", TODAY()-30, TODAY()), 0, 2))"),412.1826086956521)</f>
        <v>412.1826087</v>
      </c>
      <c r="S71" s="9">
        <f>IFERROR(__xludf.DUMMYFUNCTION("AVERAGE(INDEX(GOOGLEFINANCE(A71, ""price"", TODAY()-75, TODAY()), 0, 2))"),402.7726415094342)</f>
        <v>402.7726415</v>
      </c>
      <c r="T71" s="9">
        <f>IFERROR(__xludf.DUMMYFUNCTION("AVERAGE(INDEX(GOOGLEFINANCE(A71, ""price"", TODAY()-300, TODAY()), 0, 2))"),318.62707920792076)</f>
        <v>318.6270792</v>
      </c>
      <c r="U71" s="9">
        <f t="shared" si="5"/>
        <v>0.0189658446</v>
      </c>
      <c r="V71" s="15">
        <f>IFERROR(__xludf.DUMMYFUNCTION("LET(hist, GOOGLEFINANCE(A71,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rs))))))"),57.951070336391425)</f>
        <v>57.95107034</v>
      </c>
      <c r="W71" s="16" t="str">
        <f>IFERROR(__xludf.DUMMYFUNCTION("IFERROR(GOOGLEFINANCE(A71, ""volume"") / GOOGLEFINANCE(A71, ""volumeavg""), )"),"")</f>
        <v/>
      </c>
      <c r="X71" s="9">
        <f>IFERROR(__xludf.DUMMYFUNCTION("B71 * GOOGLEFINANCE(A71, ""volume"")"),6.13498074E9)</f>
        <v>6134980740</v>
      </c>
      <c r="Y71" s="9">
        <f>IFERROR(__xludf.DUMMYFUNCTION("IFERROR(((B71 - GOOGLEFINANCE(A71, ""priceopen"")) / GOOGLEFINANCE(A71, ""priceopen"")) * GOOGLEFINANCE(A71, ""volume""), 0)"),559728.0679851668)</f>
        <v>559728.068</v>
      </c>
    </row>
    <row r="72">
      <c r="A72" s="4" t="s">
        <v>518</v>
      </c>
      <c r="B72" s="7">
        <f>IFERROR(__xludf.DUMMYFUNCTION("GOOGLEFINANCE(A72, ""price"")"),13.32)</f>
        <v>13.32</v>
      </c>
      <c r="C72" s="7">
        <f>IFERROR(__xludf.DUMMYFUNCTION("GOOGLEFINANCE(A72, ""changepct"")"),3.34)</f>
        <v>3.34</v>
      </c>
      <c r="D72" s="9">
        <f>IFERROR(__xludf.DUMMYFUNCTION("GOOGLEFINANCE(A72, ""priceopen"")"),12.93)</f>
        <v>12.93</v>
      </c>
      <c r="E72" s="9">
        <f>IFERROR(__xludf.DUMMYFUNCTION("GOOGLEFINANCE(A72, ""high"")"),13.69)</f>
        <v>13.69</v>
      </c>
      <c r="F72" s="9">
        <f>IFERROR(__xludf.DUMMYFUNCTION("GOOGLEFINANCE(A72, ""low"")"),12.83)</f>
        <v>12.83</v>
      </c>
      <c r="G72" s="9">
        <f>IFERROR(__xludf.DUMMYFUNCTION("GOOGLEFINANCE(A72, ""price"")"),13.32)</f>
        <v>13.32</v>
      </c>
      <c r="H72" s="9">
        <f>IFERROR(__xludf.DUMMYFUNCTION("MAX(INDEX(GOOGLEFINANCE(A72, ""high"", TODAY()-30, TODAY()), 0, 2))"),14.17)</f>
        <v>14.17</v>
      </c>
      <c r="I72" s="9">
        <f>IFERROR(__xludf.DUMMYFUNCTION("MIN(INDEX(GOOGLEFINANCE(A72, ""low"", TODAY()-30, TODAY()), 0, 2))"),12.6)</f>
        <v>12.6</v>
      </c>
      <c r="J72" s="9">
        <f>IFERROR(__xludf.DUMMYFUNCTION("GOOGLEFINANCE(A72, ""high52"")"),15.34)</f>
        <v>15.34</v>
      </c>
      <c r="K72" s="9">
        <f>IFERROR(__xludf.DUMMYFUNCTION("GOOGLEFINANCE(A72, ""low52"")"),6.12)</f>
        <v>6.12</v>
      </c>
      <c r="L72" s="9">
        <f t="shared" si="1"/>
        <v>0.1316818774</v>
      </c>
      <c r="M72" s="9">
        <f t="shared" si="2"/>
        <v>1.176470588</v>
      </c>
      <c r="N72" s="9">
        <f t="shared" si="3"/>
        <v>0.06703039751</v>
      </c>
      <c r="O72" s="9">
        <f t="shared" si="4"/>
        <v>0.4585987261</v>
      </c>
      <c r="P72" s="9">
        <f>IFERROR(__xludf.DUMMYFUNCTION("GOOGLEFINANCE(A72, ""pe"")"),4.15)</f>
        <v>4.15</v>
      </c>
      <c r="Q72" s="9">
        <f>IFERROR(__xludf.DUMMYFUNCTION("IFERROR(GOOGLEFINANCE(A72, ""volume"") / GOOGLEFINANCE(A72, ""volumeavg""), 0)"),0.0)</f>
        <v>0</v>
      </c>
      <c r="R72" s="9">
        <f>IFERROR(__xludf.DUMMYFUNCTION("AVERAGE(INDEX(GOOGLEFINANCE(A72, ""price"", TODAY()-30, TODAY()), 0, 2))"),13.22304347826087)</f>
        <v>13.22304348</v>
      </c>
      <c r="S72" s="9">
        <f>IFERROR(__xludf.DUMMYFUNCTION("AVERAGE(INDEX(GOOGLEFINANCE(A72, ""price"", TODAY()-75, TODAY()), 0, 2))"),13.903207547169806)</f>
        <v>13.90320755</v>
      </c>
      <c r="T72" s="9">
        <f>IFERROR(__xludf.DUMMYFUNCTION("AVERAGE(INDEX(GOOGLEFINANCE(A72, ""price"", TODAY()-300, TODAY()), 0, 2))"),11.445198019801984)</f>
        <v>11.44519802</v>
      </c>
      <c r="U72" s="9">
        <f t="shared" si="5"/>
        <v>0.007332390754</v>
      </c>
      <c r="V72" s="15">
        <f>IFERROR(__xludf.DUMMYFUNCTION("LET(hist, GOOGLEFINANCE(A72,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rs))))))"),57.28155339805826)</f>
        <v>57.2815534</v>
      </c>
      <c r="W72" s="16" t="str">
        <f>IFERROR(__xludf.DUMMYFUNCTION("IFERROR(GOOGLEFINANCE(A72, ""volume"") / GOOGLEFINANCE(A72, ""volumeavg""), )"),"")</f>
        <v/>
      </c>
      <c r="X72" s="9">
        <f>IFERROR(__xludf.DUMMYFUNCTION("B72 * GOOGLEFINANCE(A72, ""volume"")"),1.02903314346E10)</f>
        <v>10290331435</v>
      </c>
      <c r="Y72" s="9">
        <f>IFERROR(__xludf.DUMMYFUNCTION("IFERROR(((B72 - GOOGLEFINANCE(A72, ""priceopen"")) / GOOGLEFINANCE(A72, ""priceopen"")) * GOOGLEFINANCE(A72, ""volume""), 0)"),2.330189388631094E7)</f>
        <v>23301893.89</v>
      </c>
    </row>
    <row r="73">
      <c r="A73" s="4" t="s">
        <v>522</v>
      </c>
      <c r="B73" s="7">
        <f>IFERROR(__xludf.DUMMYFUNCTION("GOOGLEFINANCE(A73, ""price"")"),376.5)</f>
        <v>376.5</v>
      </c>
      <c r="C73" s="7">
        <f>IFERROR(__xludf.DUMMYFUNCTION("GOOGLEFINANCE(A73, ""changepct"")"),-1.18)</f>
        <v>-1.18</v>
      </c>
      <c r="D73" s="9">
        <f>IFERROR(__xludf.DUMMYFUNCTION("GOOGLEFINANCE(A73, ""priceopen"")"),381.0)</f>
        <v>381</v>
      </c>
      <c r="E73" s="9">
        <f>IFERROR(__xludf.DUMMYFUNCTION("GOOGLEFINANCE(A73, ""high"")"),381.65)</f>
        <v>381.65</v>
      </c>
      <c r="F73" s="9">
        <f>IFERROR(__xludf.DUMMYFUNCTION("GOOGLEFINANCE(A73, ""low"")"),375.3)</f>
        <v>375.3</v>
      </c>
      <c r="G73" s="9">
        <f>IFERROR(__xludf.DUMMYFUNCTION("GOOGLEFINANCE(A73, ""price"")"),376.5)</f>
        <v>376.5</v>
      </c>
      <c r="H73" s="9">
        <f>IFERROR(__xludf.DUMMYFUNCTION("MAX(INDEX(GOOGLEFINANCE(A73, ""high"", TODAY()-30, TODAY()), 0, 2))"),431.4)</f>
        <v>431.4</v>
      </c>
      <c r="I73" s="9">
        <f>IFERROR(__xludf.DUMMYFUNCTION("MIN(INDEX(GOOGLEFINANCE(A73, ""low"", TODAY()-30, TODAY()), 0, 2))"),375.3)</f>
        <v>375.3</v>
      </c>
      <c r="J73" s="9">
        <f>IFERROR(__xludf.DUMMYFUNCTION("GOOGLEFINANCE(A73, ""high52"")"),486.5)</f>
        <v>486.5</v>
      </c>
      <c r="K73" s="9">
        <f>IFERROR(__xludf.DUMMYFUNCTION("GOOGLEFINANCE(A73, ""low52"")"),329.9)</f>
        <v>329.9</v>
      </c>
      <c r="L73" s="9">
        <f t="shared" si="1"/>
        <v>0.2261048304</v>
      </c>
      <c r="M73" s="9">
        <f t="shared" si="2"/>
        <v>0.1412549257</v>
      </c>
      <c r="N73" s="9">
        <f t="shared" si="3"/>
        <v>0.0169197975</v>
      </c>
      <c r="O73" s="9">
        <f t="shared" si="4"/>
        <v>0.02139037433</v>
      </c>
      <c r="P73" s="9">
        <f>IFERROR(__xludf.DUMMYFUNCTION("GOOGLEFINANCE(A73, ""pe"")"),4.77)</f>
        <v>4.77</v>
      </c>
      <c r="Q73" s="9">
        <f>IFERROR(__xludf.DUMMYFUNCTION("IFERROR(GOOGLEFINANCE(A73, ""volume"") / GOOGLEFINANCE(A73, ""volumeavg""), 0)"),0.0)</f>
        <v>0</v>
      </c>
      <c r="R73" s="9">
        <f>IFERROR(__xludf.DUMMYFUNCTION("AVERAGE(INDEX(GOOGLEFINANCE(A73, ""price"", TODAY()-30, TODAY()), 0, 2))"),410.73478260869564)</f>
        <v>410.7347826</v>
      </c>
      <c r="S73" s="9">
        <f>IFERROR(__xludf.DUMMYFUNCTION("AVERAGE(INDEX(GOOGLEFINANCE(A73, ""price"", TODAY()-75, TODAY()), 0, 2))"),418.5245283018868)</f>
        <v>418.5245283</v>
      </c>
      <c r="T73" s="9">
        <f>IFERROR(__xludf.DUMMYFUNCTION("AVERAGE(INDEX(GOOGLEFINANCE(A73, ""price"", TODAY()-300, TODAY()), 0, 2))"),403.9428217821785)</f>
        <v>403.9428218</v>
      </c>
      <c r="U73" s="9">
        <f t="shared" si="5"/>
        <v>-0.08335009368</v>
      </c>
      <c r="V73" s="15">
        <f>IFERROR(__xludf.DUMMYFUNCTION("LET(hist, GOOGLEFINANCE(A73,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rs))))))"),26.71755725190843)</f>
        <v>26.71755725</v>
      </c>
      <c r="W73" s="16" t="str">
        <f>IFERROR(__xludf.DUMMYFUNCTION("IFERROR(GOOGLEFINANCE(A73, ""volume"") / GOOGLEFINANCE(A73, ""volumeavg""), )"),"")</f>
        <v/>
      </c>
      <c r="X73" s="9">
        <f>IFERROR(__xludf.DUMMYFUNCTION("B73 * GOOGLEFINANCE(A73, ""volume"")"),4.5288992985E9)</f>
        <v>4528899299</v>
      </c>
      <c r="Y73" s="9">
        <f>IFERROR(__xludf.DUMMYFUNCTION("IFERROR(((B73 - GOOGLEFINANCE(A73, ""priceopen"")) / GOOGLEFINANCE(A73, ""priceopen"")) * GOOGLEFINANCE(A73, ""volume""), 0)"),-142074.20078740158)</f>
        <v>-142074.2008</v>
      </c>
    </row>
    <row r="74">
      <c r="A74" s="4" t="s">
        <v>529</v>
      </c>
      <c r="B74" s="7">
        <f>IFERROR(__xludf.DUMMYFUNCTION("GOOGLEFINANCE(A74, ""price"")"),314.35)</f>
        <v>314.35</v>
      </c>
      <c r="C74" s="7">
        <f>IFERROR(__xludf.DUMMYFUNCTION("GOOGLEFINANCE(A74, ""changepct"")"),-1.09)</f>
        <v>-1.09</v>
      </c>
      <c r="D74" s="9">
        <f>IFERROR(__xludf.DUMMYFUNCTION("GOOGLEFINANCE(A74, ""priceopen"")"),317.0)</f>
        <v>317</v>
      </c>
      <c r="E74" s="9">
        <f>IFERROR(__xludf.DUMMYFUNCTION("GOOGLEFINANCE(A74, ""high"")"),318.5)</f>
        <v>318.5</v>
      </c>
      <c r="F74" s="9">
        <f>IFERROR(__xludf.DUMMYFUNCTION("GOOGLEFINANCE(A74, ""low"")"),311.5)</f>
        <v>311.5</v>
      </c>
      <c r="G74" s="9">
        <f>IFERROR(__xludf.DUMMYFUNCTION("GOOGLEFINANCE(A74, ""price"")"),314.35)</f>
        <v>314.35</v>
      </c>
      <c r="H74" s="9">
        <f>IFERROR(__xludf.DUMMYFUNCTION("MAX(INDEX(GOOGLEFINANCE(A74, ""high"", TODAY()-30, TODAY()), 0, 2))"),329.95)</f>
        <v>329.95</v>
      </c>
      <c r="I74" s="9">
        <f>IFERROR(__xludf.DUMMYFUNCTION("MIN(INDEX(GOOGLEFINANCE(A74, ""low"", TODAY()-30, TODAY()), 0, 2))"),302.05)</f>
        <v>302.05</v>
      </c>
      <c r="J74" s="9">
        <f>IFERROR(__xludf.DUMMYFUNCTION("GOOGLEFINANCE(A74, ""high52"")"),391.65)</f>
        <v>391.65</v>
      </c>
      <c r="K74" s="9">
        <f>IFERROR(__xludf.DUMMYFUNCTION("GOOGLEFINANCE(A74, ""low52"")"),266.6)</f>
        <v>266.6</v>
      </c>
      <c r="L74" s="9">
        <f t="shared" si="1"/>
        <v>0.1973701009</v>
      </c>
      <c r="M74" s="9">
        <f t="shared" si="2"/>
        <v>0.1791072768</v>
      </c>
      <c r="N74" s="9">
        <f t="shared" si="3"/>
        <v>0.02247191011</v>
      </c>
      <c r="O74" s="9">
        <f t="shared" si="4"/>
        <v>0.4408602151</v>
      </c>
      <c r="P74" s="9">
        <f>IFERROR(__xludf.DUMMYFUNCTION("GOOGLEFINANCE(A74, ""pe"")"),7.84)</f>
        <v>7.84</v>
      </c>
      <c r="Q74" s="9">
        <f>IFERROR(__xludf.DUMMYFUNCTION("IFERROR(GOOGLEFINANCE(A74, ""volume"") / GOOGLEFINANCE(A74, ""volumeavg""), 0)"),0.0)</f>
        <v>0</v>
      </c>
      <c r="R74" s="9">
        <f>IFERROR(__xludf.DUMMYFUNCTION("AVERAGE(INDEX(GOOGLEFINANCE(A74, ""price"", TODAY()-30, TODAY()), 0, 2))"),316.8891304347826)</f>
        <v>316.8891304</v>
      </c>
      <c r="S74" s="9">
        <f>IFERROR(__xludf.DUMMYFUNCTION("AVERAGE(INDEX(GOOGLEFINANCE(A74, ""price"", TODAY()-75, TODAY()), 0, 2))"),309.2056603773585)</f>
        <v>309.2056604</v>
      </c>
      <c r="T74" s="9">
        <f>IFERROR(__xludf.DUMMYFUNCTION("AVERAGE(INDEX(GOOGLEFINANCE(A74, ""price"", TODAY()-300, TODAY()), 0, 2))"),333.0762376237623)</f>
        <v>333.0762376</v>
      </c>
      <c r="U74" s="9">
        <f t="shared" si="5"/>
        <v>-0.008012677593</v>
      </c>
      <c r="V74" s="15">
        <f>IFERROR(__xludf.DUMMYFUNCTION("LET(hist, GOOGLEFINANCE(A74,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rs))))))"),57.763300760043414)</f>
        <v>57.76330076</v>
      </c>
      <c r="W74" s="16" t="str">
        <f>IFERROR(__xludf.DUMMYFUNCTION("IFERROR(GOOGLEFINANCE(A74, ""volume"") / GOOGLEFINANCE(A74, ""volumeavg""), )"),"")</f>
        <v/>
      </c>
      <c r="X74" s="9">
        <f>IFERROR(__xludf.DUMMYFUNCTION("B74 * GOOGLEFINANCE(A74, ""volume"")"),2.1144108332500002E9)</f>
        <v>2114410833</v>
      </c>
      <c r="Y74" s="9">
        <f>IFERROR(__xludf.DUMMYFUNCTION("IFERROR(((B74 - GOOGLEFINANCE(A74, ""priceopen"")) / GOOGLEFINANCE(A74, ""priceopen"")) * GOOGLEFINANCE(A74, ""volume""), 0)"),-56229.279968453775)</f>
        <v>-56229.27997</v>
      </c>
    </row>
    <row r="75">
      <c r="A75" s="4" t="s">
        <v>538</v>
      </c>
      <c r="B75" s="7">
        <f>IFERROR(__xludf.DUMMYFUNCTION("GOOGLEFINANCE(A75, ""price"")"),9260.0)</f>
        <v>9260</v>
      </c>
      <c r="C75" s="7">
        <f>IFERROR(__xludf.DUMMYFUNCTION("GOOGLEFINANCE(A75, ""changepct"")"),1.48)</f>
        <v>1.48</v>
      </c>
      <c r="D75" s="9">
        <f>IFERROR(__xludf.DUMMYFUNCTION("GOOGLEFINANCE(A75, ""priceopen"")"),9125.0)</f>
        <v>9125</v>
      </c>
      <c r="E75" s="9">
        <f>IFERROR(__xludf.DUMMYFUNCTION("GOOGLEFINANCE(A75, ""high"")"),9289.0)</f>
        <v>9289</v>
      </c>
      <c r="F75" s="9">
        <f>IFERROR(__xludf.DUMMYFUNCTION("GOOGLEFINANCE(A75, ""low"")"),9090.5)</f>
        <v>9090.5</v>
      </c>
      <c r="G75" s="9">
        <f>IFERROR(__xludf.DUMMYFUNCTION("GOOGLEFINANCE(A75, ""price"")"),9260.0)</f>
        <v>9260</v>
      </c>
      <c r="H75" s="9">
        <f>IFERROR(__xludf.DUMMYFUNCTION("MAX(INDEX(GOOGLEFINANCE(A75, ""high"", TODAY()-30, TODAY()), 0, 2))"),9632.5)</f>
        <v>9632.5</v>
      </c>
      <c r="I75" s="9">
        <f>IFERROR(__xludf.DUMMYFUNCTION("MIN(INDEX(GOOGLEFINANCE(A75, ""low"", TODAY()-30, TODAY()), 0, 2))"),8791.0)</f>
        <v>8791</v>
      </c>
      <c r="J75" s="9">
        <f>IFERROR(__xludf.DUMMYFUNCTION("GOOGLEFINANCE(A75, ""high52"")"),10126.0)</f>
        <v>10126</v>
      </c>
      <c r="K75" s="9">
        <f>IFERROR(__xludf.DUMMYFUNCTION("GOOGLEFINANCE(A75, ""low52"")"),6620.0)</f>
        <v>6620</v>
      </c>
      <c r="L75" s="9">
        <f t="shared" si="1"/>
        <v>0.08552241754</v>
      </c>
      <c r="M75" s="9">
        <f t="shared" si="2"/>
        <v>0.3987915408</v>
      </c>
      <c r="N75" s="9">
        <f t="shared" si="3"/>
        <v>0.02183598262</v>
      </c>
      <c r="O75" s="9">
        <f t="shared" si="4"/>
        <v>0.5573380867</v>
      </c>
      <c r="P75" s="9">
        <f>IFERROR(__xludf.DUMMYFUNCTION("GOOGLEFINANCE(A75, ""pe"")"),48.8)</f>
        <v>48.8</v>
      </c>
      <c r="Q75" s="9">
        <f>IFERROR(__xludf.DUMMYFUNCTION("IFERROR(GOOGLEFINANCE(A75, ""volume"") / GOOGLEFINANCE(A75, ""volumeavg""), 0)"),0.0)</f>
        <v>0</v>
      </c>
      <c r="R75" s="9">
        <f>IFERROR(__xludf.DUMMYFUNCTION("AVERAGE(INDEX(GOOGLEFINANCE(A75, ""price"", TODAY()-30, TODAY()), 0, 2))"),9120.652173913044)</f>
        <v>9120.652174</v>
      </c>
      <c r="S75" s="9">
        <f>IFERROR(__xludf.DUMMYFUNCTION("AVERAGE(INDEX(GOOGLEFINANCE(A75, ""price"", TODAY()-75, TODAY()), 0, 2))"),9400.547169811322)</f>
        <v>9400.54717</v>
      </c>
      <c r="T75" s="9">
        <f>IFERROR(__xludf.DUMMYFUNCTION("AVERAGE(INDEX(GOOGLEFINANCE(A75, ""price"", TODAY()-300, TODAY()), 0, 2))"),8181.331683168317)</f>
        <v>8181.331683</v>
      </c>
      <c r="U75" s="9">
        <f t="shared" si="5"/>
        <v>0.01527827434</v>
      </c>
      <c r="V75" s="15">
        <f>IFERROR(__xludf.DUMMYFUNCTION("LET(hist, GOOGLEFINANCE(A75,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rs))))))"),61.807871914609734)</f>
        <v>61.80787191</v>
      </c>
      <c r="W75" s="16" t="str">
        <f>IFERROR(__xludf.DUMMYFUNCTION("IFERROR(GOOGLEFINANCE(A75, ""volume"") / GOOGLEFINANCE(A75, ""volumeavg""), )"),"")</f>
        <v/>
      </c>
      <c r="X75" s="9">
        <f>IFERROR(__xludf.DUMMYFUNCTION("B75 * GOOGLEFINANCE(A75, ""volume"")"),2.72106952E9)</f>
        <v>2721069520</v>
      </c>
      <c r="Y75" s="9">
        <f>IFERROR(__xludf.DUMMYFUNCTION("IFERROR(((B75 - GOOGLEFINANCE(A75, ""priceopen"")) / GOOGLEFINANCE(A75, ""priceopen"")) * GOOGLEFINANCE(A75, ""volume""), 0)"),4347.399452054794)</f>
        <v>4347.399452</v>
      </c>
    </row>
    <row r="76">
      <c r="A76" s="4" t="s">
        <v>547</v>
      </c>
      <c r="B76" s="7">
        <f>IFERROR(__xludf.DUMMYFUNCTION("GOOGLEFINANCE(A76, ""price"")"),885.0)</f>
        <v>885</v>
      </c>
      <c r="C76" s="7">
        <f>IFERROR(__xludf.DUMMYFUNCTION("GOOGLEFINANCE(A76, ""changepct"")"),0.45)</f>
        <v>0.45</v>
      </c>
      <c r="D76" s="9">
        <f>IFERROR(__xludf.DUMMYFUNCTION("GOOGLEFINANCE(A76, ""priceopen"")"),881.0)</f>
        <v>881</v>
      </c>
      <c r="E76" s="9">
        <f>IFERROR(__xludf.DUMMYFUNCTION("GOOGLEFINANCE(A76, ""high"")"),888.0)</f>
        <v>888</v>
      </c>
      <c r="F76" s="9">
        <f>IFERROR(__xludf.DUMMYFUNCTION("GOOGLEFINANCE(A76, ""low"")"),872.0)</f>
        <v>872</v>
      </c>
      <c r="G76" s="9">
        <f>IFERROR(__xludf.DUMMYFUNCTION("GOOGLEFINANCE(A76, ""price"")"),885.0)</f>
        <v>885</v>
      </c>
      <c r="H76" s="9">
        <f>IFERROR(__xludf.DUMMYFUNCTION("MAX(INDEX(GOOGLEFINANCE(A76, ""high"", TODAY()-30, TODAY()), 0, 2))"),954.9)</f>
        <v>954.9</v>
      </c>
      <c r="I76" s="9">
        <f>IFERROR(__xludf.DUMMYFUNCTION("MIN(INDEX(GOOGLEFINANCE(A76, ""low"", TODAY()-30, TODAY()), 0, 2))"),814.85)</f>
        <v>814.85</v>
      </c>
      <c r="J76" s="9">
        <f>IFERROR(__xludf.DUMMYFUNCTION("GOOGLEFINANCE(A76, ""high52"")"),980.9)</f>
        <v>980.9</v>
      </c>
      <c r="K76" s="9">
        <f>IFERROR(__xludf.DUMMYFUNCTION("GOOGLEFINANCE(A76, ""low52"")"),525.5)</f>
        <v>525.5</v>
      </c>
      <c r="L76" s="9">
        <f t="shared" si="1"/>
        <v>0.09776735651</v>
      </c>
      <c r="M76" s="9">
        <f t="shared" si="2"/>
        <v>0.6841103711</v>
      </c>
      <c r="N76" s="9">
        <f t="shared" si="3"/>
        <v>0.01834862385</v>
      </c>
      <c r="O76" s="9">
        <f t="shared" si="4"/>
        <v>0.5008925384</v>
      </c>
      <c r="P76" s="9">
        <f>IFERROR(__xludf.DUMMYFUNCTION("GOOGLEFINANCE(A76, ""pe"")"),111.45)</f>
        <v>111.45</v>
      </c>
      <c r="Q76" s="9">
        <f>IFERROR(__xludf.DUMMYFUNCTION("IFERROR(GOOGLEFINANCE(A76, ""volume"") / GOOGLEFINANCE(A76, ""volumeavg""), 0)"),0.0)</f>
        <v>0</v>
      </c>
      <c r="R76" s="9">
        <f>IFERROR(__xludf.DUMMYFUNCTION("AVERAGE(INDEX(GOOGLEFINANCE(A76, ""price"", TODAY()-30, TODAY()), 0, 2))"),883.158695652174)</f>
        <v>883.1586957</v>
      </c>
      <c r="S76" s="9">
        <f>IFERROR(__xludf.DUMMYFUNCTION("AVERAGE(INDEX(GOOGLEFINANCE(A76, ""price"", TODAY()-75, TODAY()), 0, 2))"),909.316037735849)</f>
        <v>909.3160377</v>
      </c>
      <c r="T76" s="9">
        <f>IFERROR(__xludf.DUMMYFUNCTION("AVERAGE(INDEX(GOOGLEFINANCE(A76, ""price"", TODAY()-300, TODAY()), 0, 2))"),762.9603960396041)</f>
        <v>762.960396</v>
      </c>
      <c r="U76" s="9">
        <f t="shared" si="5"/>
        <v>0.002084907681</v>
      </c>
      <c r="V76" s="15">
        <f>IFERROR(__xludf.DUMMYFUNCTION("LET(hist, GOOGLEFINANCE(A76,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rs))))))"),50.89897260273973)</f>
        <v>50.8989726</v>
      </c>
      <c r="W76" s="16" t="str">
        <f>IFERROR(__xludf.DUMMYFUNCTION("IFERROR(GOOGLEFINANCE(A76, ""volume"") / GOOGLEFINANCE(A76, ""volumeavg""), )"),"")</f>
        <v/>
      </c>
      <c r="X76" s="9">
        <f>IFERROR(__xludf.DUMMYFUNCTION("B76 * GOOGLEFINANCE(A76, ""volume"")"),1.54424889E9)</f>
        <v>1544248890</v>
      </c>
      <c r="Y76" s="9">
        <f>IFERROR(__xludf.DUMMYFUNCTION("IFERROR(((B76 - GOOGLEFINANCE(A76, ""priceopen"")) / GOOGLEFINANCE(A76, ""priceopen"")) * GOOGLEFINANCE(A76, ""volume""), 0)"),7922.424517593643)</f>
        <v>7922.424518</v>
      </c>
    </row>
    <row r="77">
      <c r="A77" s="4" t="s">
        <v>556</v>
      </c>
      <c r="B77" s="7">
        <f>IFERROR(__xludf.DUMMYFUNCTION("GOOGLEFINANCE(A77, ""price"")"),4019.0)</f>
        <v>4019</v>
      </c>
      <c r="C77" s="7">
        <f>IFERROR(__xludf.DUMMYFUNCTION("GOOGLEFINANCE(A77, ""changepct"")"),0.2)</f>
        <v>0.2</v>
      </c>
      <c r="D77" s="9">
        <f>IFERROR(__xludf.DUMMYFUNCTION("GOOGLEFINANCE(A77, ""priceopen"")"),4022.0)</f>
        <v>4022</v>
      </c>
      <c r="E77" s="9">
        <f>IFERROR(__xludf.DUMMYFUNCTION("GOOGLEFINANCE(A77, ""high"")"),4097.9)</f>
        <v>4097.9</v>
      </c>
      <c r="F77" s="9">
        <f>IFERROR(__xludf.DUMMYFUNCTION("GOOGLEFINANCE(A77, ""low"")"),3991.7)</f>
        <v>3991.7</v>
      </c>
      <c r="G77" s="9">
        <f>IFERROR(__xludf.DUMMYFUNCTION("GOOGLEFINANCE(A77, ""price"")"),4019.0)</f>
        <v>4019</v>
      </c>
      <c r="H77" s="9">
        <f>IFERROR(__xludf.DUMMYFUNCTION("MAX(INDEX(GOOGLEFINANCE(A77, ""high"", TODAY()-30, TODAY()), 0, 2))"),4097.9)</f>
        <v>4097.9</v>
      </c>
      <c r="I77" s="9">
        <f>IFERROR(__xludf.DUMMYFUNCTION("MIN(INDEX(GOOGLEFINANCE(A77, ""low"", TODAY()-30, TODAY()), 0, 2))"),3437.0)</f>
        <v>3437</v>
      </c>
      <c r="J77" s="9">
        <f>IFERROR(__xludf.DUMMYFUNCTION("GOOGLEFINANCE(A77, ""high52"")"),4097.9)</f>
        <v>4097.9</v>
      </c>
      <c r="K77" s="9">
        <f>IFERROR(__xludf.DUMMYFUNCTION("GOOGLEFINANCE(A77, ""low52"")"),2826.0)</f>
        <v>2826</v>
      </c>
      <c r="L77" s="9">
        <f t="shared" si="1"/>
        <v>0.01925376412</v>
      </c>
      <c r="M77" s="9">
        <f t="shared" si="2"/>
        <v>0.4221514508</v>
      </c>
      <c r="N77" s="9">
        <f t="shared" si="3"/>
        <v>0.0266052058</v>
      </c>
      <c r="O77" s="9">
        <f t="shared" si="4"/>
        <v>0.88061734</v>
      </c>
      <c r="P77" s="9" t="str">
        <f>IFERROR(__xludf.DUMMYFUNCTION("GOOGLEFINANCE(A77, ""pe"")"),"#N/A")</f>
        <v>#N/A</v>
      </c>
      <c r="Q77" s="9">
        <f>IFERROR(__xludf.DUMMYFUNCTION("IFERROR(GOOGLEFINANCE(A77, ""volume"") / GOOGLEFINANCE(A77, ""volumeavg""), 0)"),0.0)</f>
        <v>0</v>
      </c>
      <c r="R77" s="9">
        <f>IFERROR(__xludf.DUMMYFUNCTION("AVERAGE(INDEX(GOOGLEFINANCE(A77, ""price"", TODAY()-30, TODAY()), 0, 2))"),3757.978260869566)</f>
        <v>3757.978261</v>
      </c>
      <c r="S77" s="9">
        <f>IFERROR(__xludf.DUMMYFUNCTION("AVERAGE(INDEX(GOOGLEFINANCE(A77, ""price"", TODAY()-75, TODAY()), 0, 2))"),3682.696226415093)</f>
        <v>3682.696226</v>
      </c>
      <c r="T77" s="9">
        <f>IFERROR(__xludf.DUMMYFUNCTION("AVERAGE(INDEX(GOOGLEFINANCE(A77, ""price"", TODAY()-300, TODAY()), 0, 2))"),3371.5599009901016)</f>
        <v>3371.559901</v>
      </c>
      <c r="U77" s="9">
        <f t="shared" si="5"/>
        <v>0.06945802264</v>
      </c>
      <c r="V77" s="15">
        <f>IFERROR(__xludf.DUMMYFUNCTION("LET(hist, GOOGLEFINANCE(A77,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rs))))))"),76.01250977326038)</f>
        <v>76.01250977</v>
      </c>
      <c r="W77" s="16" t="str">
        <f>IFERROR(__xludf.DUMMYFUNCTION("IFERROR(GOOGLEFINANCE(A77, ""volume"") / GOOGLEFINANCE(A77, ""volumeavg""), )"),"")</f>
        <v/>
      </c>
      <c r="X77" s="9">
        <f>IFERROR(__xludf.DUMMYFUNCTION("B77 * GOOGLEFINANCE(A77, ""volume"")"),2.879263847E9)</f>
        <v>2879263847</v>
      </c>
      <c r="Y77" s="9">
        <f>IFERROR(__xludf.DUMMYFUNCTION("IFERROR(((B77 - GOOGLEFINANCE(A77, ""priceopen"")) / GOOGLEFINANCE(A77, ""priceopen"")) * GOOGLEFINANCE(A77, ""volume""), 0)"),-534.3707110890105)</f>
        <v>-534.3707111</v>
      </c>
    </row>
    <row r="78">
      <c r="A78" s="4" t="s">
        <v>566</v>
      </c>
      <c r="B78" s="7">
        <f>IFERROR(__xludf.DUMMYFUNCTION("GOOGLEFINANCE(A78, ""price"")"),187.0)</f>
        <v>187</v>
      </c>
      <c r="C78" s="7">
        <f>IFERROR(__xludf.DUMMYFUNCTION("GOOGLEFINANCE(A78, ""changepct"")"),2.47)</f>
        <v>2.47</v>
      </c>
      <c r="D78" s="9">
        <f>IFERROR(__xludf.DUMMYFUNCTION("GOOGLEFINANCE(A78, ""priceopen"")"),182.5)</f>
        <v>182.5</v>
      </c>
      <c r="E78" s="9">
        <f>IFERROR(__xludf.DUMMYFUNCTION("GOOGLEFINANCE(A78, ""high"")"),187.6)</f>
        <v>187.6</v>
      </c>
      <c r="F78" s="9">
        <f>IFERROR(__xludf.DUMMYFUNCTION("GOOGLEFINANCE(A78, ""low"")"),181.82)</f>
        <v>181.82</v>
      </c>
      <c r="G78" s="9">
        <f>IFERROR(__xludf.DUMMYFUNCTION("GOOGLEFINANCE(A78, ""price"")"),187.0)</f>
        <v>187</v>
      </c>
      <c r="H78" s="9">
        <f>IFERROR(__xludf.DUMMYFUNCTION("MAX(INDEX(GOOGLEFINANCE(A78, ""high"", TODAY()-30, TODAY()), 0, 2))"),187.6)</f>
        <v>187.6</v>
      </c>
      <c r="I78" s="9">
        <f>IFERROR(__xludf.DUMMYFUNCTION("MIN(INDEX(GOOGLEFINANCE(A78, ""low"", TODAY()-30, TODAY()), 0, 2))"),162.51)</f>
        <v>162.51</v>
      </c>
      <c r="J78" s="9">
        <f>IFERROR(__xludf.DUMMYFUNCTION("GOOGLEFINANCE(A78, ""high52"")"),205.49)</f>
        <v>205.49</v>
      </c>
      <c r="K78" s="9">
        <f>IFERROR(__xludf.DUMMYFUNCTION("GOOGLEFINANCE(A78, ""low52"")"),124.64)</f>
        <v>124.64</v>
      </c>
      <c r="L78" s="9">
        <f t="shared" si="1"/>
        <v>0.08998004769</v>
      </c>
      <c r="M78" s="9">
        <f t="shared" si="2"/>
        <v>0.5003209243</v>
      </c>
      <c r="N78" s="9">
        <f t="shared" si="3"/>
        <v>0.0317896821</v>
      </c>
      <c r="O78" s="9">
        <f t="shared" si="4"/>
        <v>0.9760860901</v>
      </c>
      <c r="P78" s="9">
        <f>IFERROR(__xludf.DUMMYFUNCTION("GOOGLEFINANCE(A78, ""pe"")"),6.91)</f>
        <v>6.91</v>
      </c>
      <c r="Q78" s="9">
        <f>IFERROR(__xludf.DUMMYFUNCTION("IFERROR(GOOGLEFINANCE(A78, ""volume"") / GOOGLEFINANCE(A78, ""volumeavg""), 0)"),0.0)</f>
        <v>0</v>
      </c>
      <c r="R78" s="9">
        <f>IFERROR(__xludf.DUMMYFUNCTION("AVERAGE(INDEX(GOOGLEFINANCE(A78, ""price"", TODAY()-30, TODAY()), 0, 2))"),174.08086956521743)</f>
        <v>174.0808696</v>
      </c>
      <c r="S78" s="9">
        <f>IFERROR(__xludf.DUMMYFUNCTION("AVERAGE(INDEX(GOOGLEFINANCE(A78, ""price"", TODAY()-75, TODAY()), 0, 2))"),170.94830188679245)</f>
        <v>170.9483019</v>
      </c>
      <c r="T78" s="9">
        <f>IFERROR(__xludf.DUMMYFUNCTION("AVERAGE(INDEX(GOOGLEFINANCE(A78, ""price"", TODAY()-300, TODAY()), 0, 2))"),168.26034653465348)</f>
        <v>168.2603465</v>
      </c>
      <c r="U78" s="9">
        <f t="shared" si="5"/>
        <v>0.07421338408</v>
      </c>
      <c r="V78" s="15">
        <f>IFERROR(__xludf.DUMMYFUNCTION("LET(hist, GOOGLEFINANCE(A78,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rs))))))"),81.63265306122447)</f>
        <v>81.63265306</v>
      </c>
      <c r="W78" s="16" t="str">
        <f>IFERROR(__xludf.DUMMYFUNCTION("IFERROR(GOOGLEFINANCE(A78, ""volume"") / GOOGLEFINANCE(A78, ""volumeavg""), )"),"")</f>
        <v/>
      </c>
      <c r="X78" s="9">
        <f>IFERROR(__xludf.DUMMYFUNCTION("B78 * GOOGLEFINANCE(A78, ""volume"")"),4.115002133E9)</f>
        <v>4115002133</v>
      </c>
      <c r="Y78" s="9">
        <f>IFERROR(__xludf.DUMMYFUNCTION("IFERROR(((B78 - GOOGLEFINANCE(A78, ""priceopen"")) / GOOGLEFINANCE(A78, ""priceopen"")) * GOOGLEFINANCE(A78, ""volume""), 0)"),542597.8931506849)</f>
        <v>542597.8932</v>
      </c>
    </row>
    <row r="79">
      <c r="A79" s="4" t="s">
        <v>576</v>
      </c>
      <c r="B79" s="7">
        <f>IFERROR(__xludf.DUMMYFUNCTION("GOOGLEFINANCE(A79, ""price"")"),5600.0)</f>
        <v>5600</v>
      </c>
      <c r="C79" s="7">
        <f>IFERROR(__xludf.DUMMYFUNCTION("GOOGLEFINANCE(A79, ""changepct"")"),0.04)</f>
        <v>0.04</v>
      </c>
      <c r="D79" s="9">
        <f>IFERROR(__xludf.DUMMYFUNCTION("GOOGLEFINANCE(A79, ""priceopen"")"),5598.0)</f>
        <v>5598</v>
      </c>
      <c r="E79" s="9">
        <f>IFERROR(__xludf.DUMMYFUNCTION("GOOGLEFINANCE(A79, ""high"")"),5645.5)</f>
        <v>5645.5</v>
      </c>
      <c r="F79" s="9">
        <f>IFERROR(__xludf.DUMMYFUNCTION("GOOGLEFINANCE(A79, ""low"")"),5560.0)</f>
        <v>5560</v>
      </c>
      <c r="G79" s="9">
        <f>IFERROR(__xludf.DUMMYFUNCTION("GOOGLEFINANCE(A79, ""price"")"),5600.0)</f>
        <v>5600</v>
      </c>
      <c r="H79" s="9">
        <f>IFERROR(__xludf.DUMMYFUNCTION("MAX(INDEX(GOOGLEFINANCE(A79, ""high"", TODAY()-30, TODAY()), 0, 2))"),5660.0)</f>
        <v>5660</v>
      </c>
      <c r="I79" s="9">
        <f>IFERROR(__xludf.DUMMYFUNCTION("MIN(INDEX(GOOGLEFINANCE(A79, ""low"", TODAY()-30, TODAY()), 0, 2))"),5235.5)</f>
        <v>5235.5</v>
      </c>
      <c r="J79" s="9">
        <f>IFERROR(__xludf.DUMMYFUNCTION("GOOGLEFINANCE(A79, ""high52"")"),6336.0)</f>
        <v>6336</v>
      </c>
      <c r="K79" s="9">
        <f>IFERROR(__xludf.DUMMYFUNCTION("GOOGLEFINANCE(A79, ""low52"")"),5035.0)</f>
        <v>5035</v>
      </c>
      <c r="L79" s="9">
        <f t="shared" si="1"/>
        <v>0.1161616162</v>
      </c>
      <c r="M79" s="9">
        <f t="shared" si="2"/>
        <v>0.1122144985</v>
      </c>
      <c r="N79" s="9">
        <f t="shared" si="3"/>
        <v>0.01537769784</v>
      </c>
      <c r="O79" s="9">
        <f t="shared" si="4"/>
        <v>0.8586572438</v>
      </c>
      <c r="P79" s="9">
        <f>IFERROR(__xludf.DUMMYFUNCTION("GOOGLEFINANCE(A79, ""pe"")"),51.8)</f>
        <v>51.8</v>
      </c>
      <c r="Q79" s="9">
        <f>IFERROR(__xludf.DUMMYFUNCTION("IFERROR(GOOGLEFINANCE(A79, ""volume"") / GOOGLEFINANCE(A79, ""volumeavg""), 0)"),0.0)</f>
        <v>0</v>
      </c>
      <c r="R79" s="9">
        <f>IFERROR(__xludf.DUMMYFUNCTION("AVERAGE(INDEX(GOOGLEFINANCE(A79, ""price"", TODAY()-30, TODAY()), 0, 2))"),5453.347826086957)</f>
        <v>5453.347826</v>
      </c>
      <c r="S79" s="9">
        <f>IFERROR(__xludf.DUMMYFUNCTION("AVERAGE(INDEX(GOOGLEFINANCE(A79, ""price"", TODAY()-75, TODAY()), 0, 2))"),5321.8490566037735)</f>
        <v>5321.849057</v>
      </c>
      <c r="T79" s="9">
        <f>IFERROR(__xludf.DUMMYFUNCTION("AVERAGE(INDEX(GOOGLEFINANCE(A79, ""price"", TODAY()-300, TODAY()), 0, 2))"),5696.8787128712875)</f>
        <v>5696.878713</v>
      </c>
      <c r="U79" s="9">
        <f t="shared" si="5"/>
        <v>0.02689213646</v>
      </c>
      <c r="V79" s="15">
        <f>IFERROR(__xludf.DUMMYFUNCTION("LET(hist, GOOGLEFINANCE(A79,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rs))))))"),66.1847894406034)</f>
        <v>66.18478944</v>
      </c>
      <c r="W79" s="16" t="str">
        <f>IFERROR(__xludf.DUMMYFUNCTION("IFERROR(GOOGLEFINANCE(A79, ""volume"") / GOOGLEFINANCE(A79, ""volumeavg""), )"),"")</f>
        <v/>
      </c>
      <c r="X79" s="9">
        <f>IFERROR(__xludf.DUMMYFUNCTION("B79 * GOOGLEFINANCE(A79, ""volume"")"),1.444044E9)</f>
        <v>1444044000</v>
      </c>
      <c r="Y79" s="9">
        <f>IFERROR(__xludf.DUMMYFUNCTION("IFERROR(((B79 - GOOGLEFINANCE(A79, ""priceopen"")) / GOOGLEFINANCE(A79, ""priceopen"")) * GOOGLEFINANCE(A79, ""volume""), 0)"),92.12754555198285)</f>
        <v>92.12754555</v>
      </c>
    </row>
    <row r="80">
      <c r="A80" s="4" t="s">
        <v>586</v>
      </c>
      <c r="B80" s="7">
        <f>IFERROR(__xludf.DUMMYFUNCTION("GOOGLEFINANCE(A80, ""price"")"),118.3)</f>
        <v>118.3</v>
      </c>
      <c r="C80" s="7">
        <f>IFERROR(__xludf.DUMMYFUNCTION("GOOGLEFINANCE(A80, ""changepct"")"),3.74)</f>
        <v>3.74</v>
      </c>
      <c r="D80" s="9">
        <f>IFERROR(__xludf.DUMMYFUNCTION("GOOGLEFINANCE(A80, ""priceopen"")"),113.95)</f>
        <v>113.95</v>
      </c>
      <c r="E80" s="9">
        <f>IFERROR(__xludf.DUMMYFUNCTION("GOOGLEFINANCE(A80, ""high"")"),119.5)</f>
        <v>119.5</v>
      </c>
      <c r="F80" s="9">
        <f>IFERROR(__xludf.DUMMYFUNCTION("GOOGLEFINANCE(A80, ""low"")"),113.72)</f>
        <v>113.72</v>
      </c>
      <c r="G80" s="9">
        <f>IFERROR(__xludf.DUMMYFUNCTION("GOOGLEFINANCE(A80, ""price"")"),118.3)</f>
        <v>118.3</v>
      </c>
      <c r="H80" s="9">
        <f>IFERROR(__xludf.DUMMYFUNCTION("MAX(INDEX(GOOGLEFINANCE(A80, ""high"", TODAY()-30, TODAY()), 0, 2))"),119.5)</f>
        <v>119.5</v>
      </c>
      <c r="I80" s="9">
        <f>IFERROR(__xludf.DUMMYFUNCTION("MIN(INDEX(GOOGLEFINANCE(A80, ""low"", TODAY()-30, TODAY()), 0, 2))"),104.0)</f>
        <v>104</v>
      </c>
      <c r="J80" s="9">
        <f>IFERROR(__xludf.DUMMYFUNCTION("GOOGLEFINANCE(A80, ""high52"")"),135.15)</f>
        <v>135.15</v>
      </c>
      <c r="K80" s="9">
        <f>IFERROR(__xludf.DUMMYFUNCTION("GOOGLEFINANCE(A80, ""low52"")"),98.5)</f>
        <v>98.5</v>
      </c>
      <c r="L80" s="9">
        <f t="shared" si="1"/>
        <v>0.1246762856</v>
      </c>
      <c r="M80" s="9">
        <f t="shared" si="2"/>
        <v>0.2010152284</v>
      </c>
      <c r="N80" s="9">
        <f t="shared" si="3"/>
        <v>0.05082659163</v>
      </c>
      <c r="O80" s="9">
        <f t="shared" si="4"/>
        <v>0.9225806452</v>
      </c>
      <c r="P80" s="9">
        <f>IFERROR(__xludf.DUMMYFUNCTION("GOOGLEFINANCE(A80, ""pe"")"),6.16)</f>
        <v>6.16</v>
      </c>
      <c r="Q80" s="9">
        <f>IFERROR(__xludf.DUMMYFUNCTION("IFERROR(GOOGLEFINANCE(A80, ""volume"") / GOOGLEFINANCE(A80, ""volumeavg""), 0)"),0.0)</f>
        <v>0</v>
      </c>
      <c r="R80" s="9">
        <f>IFERROR(__xludf.DUMMYFUNCTION("AVERAGE(INDEX(GOOGLEFINANCE(A80, ""price"", TODAY()-30, TODAY()), 0, 2))"),111.21739130434783)</f>
        <v>111.2173913</v>
      </c>
      <c r="S80" s="9">
        <f>IFERROR(__xludf.DUMMYFUNCTION("AVERAGE(INDEX(GOOGLEFINANCE(A80, ""price"", TODAY()-75, TODAY()), 0, 2))"),108.54924528301886)</f>
        <v>108.5492453</v>
      </c>
      <c r="T80" s="9">
        <f>IFERROR(__xludf.DUMMYFUNCTION("AVERAGE(INDEX(GOOGLEFINANCE(A80, ""price"", TODAY()-300, TODAY()), 0, 2))"),115.34381188118807)</f>
        <v>115.3438119</v>
      </c>
      <c r="U80" s="9">
        <f t="shared" si="5"/>
        <v>0.0636825645</v>
      </c>
      <c r="V80" s="15">
        <f>IFERROR(__xludf.DUMMYFUNCTION("LET(hist, GOOGLEFINANCE(A80,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rs))))))"),82.77654046028206)</f>
        <v>82.77654046</v>
      </c>
      <c r="W80" s="16" t="str">
        <f>IFERROR(__xludf.DUMMYFUNCTION("IFERROR(GOOGLEFINANCE(A80, ""volume"") / GOOGLEFINANCE(A80, ""volumeavg""), )"),"")</f>
        <v/>
      </c>
      <c r="X80" s="9">
        <f>IFERROR(__xludf.DUMMYFUNCTION("B80 * GOOGLEFINANCE(A80, ""volume"")"),6.0612111105E9)</f>
        <v>6061211111</v>
      </c>
      <c r="Y80" s="9">
        <f>IFERROR(__xludf.DUMMYFUNCTION("IFERROR(((B80 - GOOGLEFINANCE(A80, ""priceopen"")) / GOOGLEFINANCE(A80, ""priceopen"")) * GOOGLEFINANCE(A80, ""volume""), 0)"),1955913.271171564)</f>
        <v>1955913.271</v>
      </c>
    </row>
    <row r="81">
      <c r="A81" s="4" t="s">
        <v>595</v>
      </c>
      <c r="B81" s="7">
        <f>IFERROR(__xludf.DUMMYFUNCTION("GOOGLEFINANCE(A81, ""price"")"),4731.9)</f>
        <v>4731.9</v>
      </c>
      <c r="C81" s="7">
        <f>IFERROR(__xludf.DUMMYFUNCTION("GOOGLEFINANCE(A81, ""changepct"")"),-2.44)</f>
        <v>-2.44</v>
      </c>
      <c r="D81" s="9">
        <f>IFERROR(__xludf.DUMMYFUNCTION("GOOGLEFINANCE(A81, ""priceopen"")"),4850.0)</f>
        <v>4850</v>
      </c>
      <c r="E81" s="9">
        <f>IFERROR(__xludf.DUMMYFUNCTION("GOOGLEFINANCE(A81, ""high"")"),4850.0)</f>
        <v>4850</v>
      </c>
      <c r="F81" s="9">
        <f>IFERROR(__xludf.DUMMYFUNCTION("GOOGLEFINANCE(A81, ""low"")"),4691.0)</f>
        <v>4691</v>
      </c>
      <c r="G81" s="9">
        <f>IFERROR(__xludf.DUMMYFUNCTION("GOOGLEFINANCE(A81, ""price"")"),4731.9)</f>
        <v>4731.9</v>
      </c>
      <c r="H81" s="9">
        <f>IFERROR(__xludf.DUMMYFUNCTION("MAX(INDEX(GOOGLEFINANCE(A81, ""high"", TODAY()-30, TODAY()), 0, 2))"),4850.0)</f>
        <v>4850</v>
      </c>
      <c r="I81" s="9">
        <f>IFERROR(__xludf.DUMMYFUNCTION("MIN(INDEX(GOOGLEFINANCE(A81, ""low"", TODAY()-30, TODAY()), 0, 2))"),3913.8)</f>
        <v>3913.8</v>
      </c>
      <c r="J81" s="9">
        <f>IFERROR(__xludf.DUMMYFUNCTION("GOOGLEFINANCE(A81, ""high52"")"),4850.0)</f>
        <v>4850</v>
      </c>
      <c r="K81" s="9">
        <f>IFERROR(__xludf.DUMMYFUNCTION("GOOGLEFINANCE(A81, ""low52"")"),3528.0)</f>
        <v>3528</v>
      </c>
      <c r="L81" s="9">
        <f t="shared" si="1"/>
        <v>0.02435051546</v>
      </c>
      <c r="M81" s="9">
        <f t="shared" si="2"/>
        <v>0.3412414966</v>
      </c>
      <c r="N81" s="9">
        <f t="shared" si="3"/>
        <v>0.03389469196</v>
      </c>
      <c r="O81" s="9">
        <f t="shared" si="4"/>
        <v>0.8738517411</v>
      </c>
      <c r="P81" s="9" t="str">
        <f>IFERROR(__xludf.DUMMYFUNCTION("GOOGLEFINANCE(A81, ""pe"")"),"#N/A")</f>
        <v>#N/A</v>
      </c>
      <c r="Q81" s="9">
        <f>IFERROR(__xludf.DUMMYFUNCTION("IFERROR(GOOGLEFINANCE(A81, ""volume"") / GOOGLEFINANCE(A81, ""volumeavg""), 0)"),0.0)</f>
        <v>0</v>
      </c>
      <c r="R81" s="9">
        <f>IFERROR(__xludf.DUMMYFUNCTION("AVERAGE(INDEX(GOOGLEFINANCE(A81, ""price"", TODAY()-30, TODAY()), 0, 2))"),4331.239130434783)</f>
        <v>4331.23913</v>
      </c>
      <c r="S81" s="9">
        <f>IFERROR(__xludf.DUMMYFUNCTION("AVERAGE(INDEX(GOOGLEFINANCE(A81, ""price"", TODAY()-75, TODAY()), 0, 2))"),4081.764150943396)</f>
        <v>4081.764151</v>
      </c>
      <c r="T81" s="9">
        <f>IFERROR(__xludf.DUMMYFUNCTION("AVERAGE(INDEX(GOOGLEFINANCE(A81, ""price"", TODAY()-300, TODAY()), 0, 2))"),4194.476576576576)</f>
        <v>4194.476577</v>
      </c>
      <c r="U81" s="9">
        <f t="shared" si="5"/>
        <v>0.09250490622</v>
      </c>
      <c r="V81" s="15">
        <f>IFERROR(__xludf.DUMMYFUNCTION("LET(hist, GOOGLEFINANCE(A81,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rs))))))"),76.57417289220922)</f>
        <v>76.57417289</v>
      </c>
      <c r="W81" s="16" t="str">
        <f>IFERROR(__xludf.DUMMYFUNCTION("IFERROR(GOOGLEFINANCE(A81, ""volume"") / GOOGLEFINANCE(A81, ""volumeavg""), )"),"")</f>
        <v/>
      </c>
      <c r="X81" s="9">
        <f>IFERROR(__xludf.DUMMYFUNCTION("B81 * GOOGLEFINANCE(A81, ""volume"")"),1.5091401351E9)</f>
        <v>1509140135</v>
      </c>
      <c r="Y81" s="9">
        <f>IFERROR(__xludf.DUMMYFUNCTION("IFERROR(((B81 - GOOGLEFINANCE(A81, ""priceopen"")) / GOOGLEFINANCE(A81, ""priceopen"")) * GOOGLEFINANCE(A81, ""volume""), 0)"),-7766.085546391777)</f>
        <v>-7766.085546</v>
      </c>
    </row>
    <row r="82">
      <c r="A82" s="4" t="s">
        <v>600</v>
      </c>
      <c r="B82" s="7">
        <f>IFERROR(__xludf.DUMMYFUNCTION("GOOGLEFINANCE(A82, ""price"")"),8567.0)</f>
        <v>8567</v>
      </c>
      <c r="C82" s="7">
        <f>IFERROR(__xludf.DUMMYFUNCTION("GOOGLEFINANCE(A82, ""changepct"")"),-2.1)</f>
        <v>-2.1</v>
      </c>
      <c r="D82" s="9">
        <f>IFERROR(__xludf.DUMMYFUNCTION("GOOGLEFINANCE(A82, ""priceopen"")"),8750.5)</f>
        <v>8750.5</v>
      </c>
      <c r="E82" s="9">
        <f>IFERROR(__xludf.DUMMYFUNCTION("GOOGLEFINANCE(A82, ""high"")"),8775.5)</f>
        <v>8775.5</v>
      </c>
      <c r="F82" s="9">
        <f>IFERROR(__xludf.DUMMYFUNCTION("GOOGLEFINANCE(A82, ""low"")"),8507.5)</f>
        <v>8507.5</v>
      </c>
      <c r="G82" s="9">
        <f>IFERROR(__xludf.DUMMYFUNCTION("GOOGLEFINANCE(A82, ""price"")"),8567.0)</f>
        <v>8567</v>
      </c>
      <c r="H82" s="9">
        <f>IFERROR(__xludf.DUMMYFUNCTION("MAX(INDEX(GOOGLEFINANCE(A82, ""high"", TODAY()-30, TODAY()), 0, 2))"),9050.0)</f>
        <v>9050</v>
      </c>
      <c r="I82" s="9">
        <f>IFERROR(__xludf.DUMMYFUNCTION("MIN(INDEX(GOOGLEFINANCE(A82, ""low"", TODAY()-30, TODAY()), 0, 2))"),8507.5)</f>
        <v>8507.5</v>
      </c>
      <c r="J82" s="9">
        <f>IFERROR(__xludf.DUMMYFUNCTION("GOOGLEFINANCE(A82, ""high52"")"),9050.0)</f>
        <v>9050</v>
      </c>
      <c r="K82" s="9">
        <f>IFERROR(__xludf.DUMMYFUNCTION("GOOGLEFINANCE(A82, ""low52"")"),6696.5)</f>
        <v>6696.5</v>
      </c>
      <c r="L82" s="9">
        <f t="shared" si="1"/>
        <v>0.05337016575</v>
      </c>
      <c r="M82" s="9">
        <f t="shared" si="2"/>
        <v>0.2793250205</v>
      </c>
      <c r="N82" s="9">
        <f t="shared" si="3"/>
        <v>0.03150161622</v>
      </c>
      <c r="O82" s="9">
        <f t="shared" si="4"/>
        <v>0.1096774194</v>
      </c>
      <c r="P82" s="9">
        <f>IFERROR(__xludf.DUMMYFUNCTION("GOOGLEFINANCE(A82, ""pe"")"),63.48)</f>
        <v>63.48</v>
      </c>
      <c r="Q82" s="9">
        <f>IFERROR(__xludf.DUMMYFUNCTION("IFERROR(GOOGLEFINANCE(A82, ""volume"") / GOOGLEFINANCE(A82, ""volumeavg""), 0)"),0.0)</f>
        <v>0</v>
      </c>
      <c r="R82" s="9">
        <f>IFERROR(__xludf.DUMMYFUNCTION("AVERAGE(INDEX(GOOGLEFINANCE(A82, ""price"", TODAY()-30, TODAY()), 0, 2))"),8884.934782608696)</f>
        <v>8884.934783</v>
      </c>
      <c r="S82" s="9">
        <f>IFERROR(__xludf.DUMMYFUNCTION("AVERAGE(INDEX(GOOGLEFINANCE(A82, ""price"", TODAY()-75, TODAY()), 0, 2))"),8678.377358490567)</f>
        <v>8678.377358</v>
      </c>
      <c r="T82" s="9">
        <f>IFERROR(__xludf.DUMMYFUNCTION("AVERAGE(INDEX(GOOGLEFINANCE(A82, ""price"", TODAY()-300, TODAY()), 0, 2))"),7803.5767326732675)</f>
        <v>7803.576733</v>
      </c>
      <c r="U82" s="9">
        <f t="shared" si="5"/>
        <v>-0.0357835809</v>
      </c>
      <c r="V82" s="15">
        <f>IFERROR(__xludf.DUMMYFUNCTION("LET(hist, GOOGLEFINANCE(A82,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rs))))))"),39.130434782608695)</f>
        <v>39.13043478</v>
      </c>
      <c r="W82" s="16" t="str">
        <f>IFERROR(__xludf.DUMMYFUNCTION("IFERROR(GOOGLEFINANCE(A82, ""volume"") / GOOGLEFINANCE(A82, ""volumeavg""), )"),"")</f>
        <v/>
      </c>
      <c r="X82" s="9">
        <f>IFERROR(__xludf.DUMMYFUNCTION("B82 * GOOGLEFINANCE(A82, ""volume"")"),7.510586096E9)</f>
        <v>7510586096</v>
      </c>
      <c r="Y82" s="9">
        <f>IFERROR(__xludf.DUMMYFUNCTION("IFERROR(((B82 - GOOGLEFINANCE(A82, ""priceopen"")) / GOOGLEFINANCE(A82, ""priceopen"")) * GOOGLEFINANCE(A82, ""volume""), 0)"),-18384.349237186445)</f>
        <v>-18384.34924</v>
      </c>
    </row>
    <row r="83">
      <c r="A83" s="4" t="s">
        <v>607</v>
      </c>
      <c r="B83" s="7">
        <f>IFERROR(__xludf.DUMMYFUNCTION("GOOGLEFINANCE(A83, ""price"")"),11411.0)</f>
        <v>11411</v>
      </c>
      <c r="C83" s="7">
        <f>IFERROR(__xludf.DUMMYFUNCTION("GOOGLEFINANCE(A83, ""changepct"")"),-1.2)</f>
        <v>-1.2</v>
      </c>
      <c r="D83" s="9">
        <f>IFERROR(__xludf.DUMMYFUNCTION("GOOGLEFINANCE(A83, ""priceopen"")"),11587.0)</f>
        <v>11587</v>
      </c>
      <c r="E83" s="9">
        <f>IFERROR(__xludf.DUMMYFUNCTION("GOOGLEFINANCE(A83, ""high"")"),11587.0)</f>
        <v>11587</v>
      </c>
      <c r="F83" s="9">
        <f>IFERROR(__xludf.DUMMYFUNCTION("GOOGLEFINANCE(A83, ""low"")"),11410.0)</f>
        <v>11410</v>
      </c>
      <c r="G83" s="9">
        <f>IFERROR(__xludf.DUMMYFUNCTION("GOOGLEFINANCE(A83, ""price"")"),11411.0)</f>
        <v>11411</v>
      </c>
      <c r="H83" s="9">
        <f>IFERROR(__xludf.DUMMYFUNCTION("MAX(INDEX(GOOGLEFINANCE(A83, ""high"", TODAY()-30, TODAY()), 0, 2))"),11629.0)</f>
        <v>11629</v>
      </c>
      <c r="I83" s="9">
        <f>IFERROR(__xludf.DUMMYFUNCTION("MIN(INDEX(GOOGLEFINANCE(A83, ""low"", TODAY()-30, TODAY()), 0, 2))"),10132.0)</f>
        <v>10132</v>
      </c>
      <c r="J83" s="9">
        <f>IFERROR(__xludf.DUMMYFUNCTION("GOOGLEFINANCE(A83, ""high52"")"),14763.0)</f>
        <v>14763</v>
      </c>
      <c r="K83" s="9">
        <f>IFERROR(__xludf.DUMMYFUNCTION("GOOGLEFINANCE(A83, ""low52"")"),8588.0)</f>
        <v>8588</v>
      </c>
      <c r="L83" s="9">
        <f t="shared" si="1"/>
        <v>0.2270541218</v>
      </c>
      <c r="M83" s="9">
        <f t="shared" si="2"/>
        <v>0.3287144853</v>
      </c>
      <c r="N83" s="9">
        <f t="shared" si="3"/>
        <v>0.01551270815</v>
      </c>
      <c r="O83" s="9">
        <f t="shared" si="4"/>
        <v>0.8543754175</v>
      </c>
      <c r="P83" s="9">
        <f>IFERROR(__xludf.DUMMYFUNCTION("GOOGLEFINANCE(A83, ""pe"")"),14.34)</f>
        <v>14.34</v>
      </c>
      <c r="Q83" s="9">
        <f>IFERROR(__xludf.DUMMYFUNCTION("IFERROR(GOOGLEFINANCE(A83, ""volume"") / GOOGLEFINANCE(A83, ""volumeavg""), 0)"),0.0)</f>
        <v>0</v>
      </c>
      <c r="R83" s="9">
        <f>IFERROR(__xludf.DUMMYFUNCTION("AVERAGE(INDEX(GOOGLEFINANCE(A83, ""price"", TODAY()-30, TODAY()), 0, 2))"),10947.478260869566)</f>
        <v>10947.47826</v>
      </c>
      <c r="S83" s="9">
        <f>IFERROR(__xludf.DUMMYFUNCTION("AVERAGE(INDEX(GOOGLEFINANCE(A83, ""price"", TODAY()-75, TODAY()), 0, 2))"),10672.716981132075)</f>
        <v>10672.71698</v>
      </c>
      <c r="T83" s="9">
        <f>IFERROR(__xludf.DUMMYFUNCTION("AVERAGE(INDEX(GOOGLEFINANCE(A83, ""price"", TODAY()-300, TODAY()), 0, 2))"),10847.856435643564)</f>
        <v>10847.85644</v>
      </c>
      <c r="U83" s="9">
        <f t="shared" si="5"/>
        <v>0.04234050327</v>
      </c>
      <c r="V83" s="15">
        <f>IFERROR(__xludf.DUMMYFUNCTION("LET(hist, GOOGLEFINANCE(A83,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rs))))))"),78.45503922751962)</f>
        <v>78.45503923</v>
      </c>
      <c r="W83" s="16" t="str">
        <f>IFERROR(__xludf.DUMMYFUNCTION("IFERROR(GOOGLEFINANCE(A83, ""volume"") / GOOGLEFINANCE(A83, ""volumeavg""), )"),"")</f>
        <v/>
      </c>
      <c r="X83" s="9">
        <f>IFERROR(__xludf.DUMMYFUNCTION("B83 * GOOGLEFINANCE(A83, ""volume"")"),2.50722492E8)</f>
        <v>250722492</v>
      </c>
      <c r="Y83" s="9">
        <f>IFERROR(__xludf.DUMMYFUNCTION("IFERROR(((B83 - GOOGLEFINANCE(A83, ""priceopen"")) / GOOGLEFINANCE(A83, ""priceopen"")) * GOOGLEFINANCE(A83, ""volume""), 0)"),-333.74229740226116)</f>
        <v>-333.7422974</v>
      </c>
    </row>
    <row r="84">
      <c r="A84" s="4" t="s">
        <v>616</v>
      </c>
      <c r="B84" s="7">
        <f>IFERROR(__xludf.DUMMYFUNCTION("GOOGLEFINANCE(A84, ""price"")"),249.9)</f>
        <v>249.9</v>
      </c>
      <c r="C84" s="7">
        <f>IFERROR(__xludf.DUMMYFUNCTION("GOOGLEFINANCE(A84, ""changepct"")"),1.5)</f>
        <v>1.5</v>
      </c>
      <c r="D84" s="9">
        <f>IFERROR(__xludf.DUMMYFUNCTION("GOOGLEFINANCE(A84, ""priceopen"")"),246.0)</f>
        <v>246</v>
      </c>
      <c r="E84" s="9">
        <f>IFERROR(__xludf.DUMMYFUNCTION("GOOGLEFINANCE(A84, ""high"")"),251.4)</f>
        <v>251.4</v>
      </c>
      <c r="F84" s="9">
        <f>IFERROR(__xludf.DUMMYFUNCTION("GOOGLEFINANCE(A84, ""low"")"),245.5)</f>
        <v>245.5</v>
      </c>
      <c r="G84" s="9">
        <f>IFERROR(__xludf.DUMMYFUNCTION("GOOGLEFINANCE(A84, ""price"")"),249.9)</f>
        <v>249.9</v>
      </c>
      <c r="H84" s="9">
        <f>IFERROR(__xludf.DUMMYFUNCTION("MAX(INDEX(GOOGLEFINANCE(A84, ""high"", TODAY()-30, TODAY()), 0, 2))"),257.0)</f>
        <v>257</v>
      </c>
      <c r="I84" s="9">
        <f>IFERROR(__xludf.DUMMYFUNCTION("MIN(INDEX(GOOGLEFINANCE(A84, ""low"", TODAY()-30, TODAY()), 0, 2))"),238.45)</f>
        <v>238.45</v>
      </c>
      <c r="J84" s="9">
        <f>IFERROR(__xludf.DUMMYFUNCTION("GOOGLEFINANCE(A84, ""high52"")"),325.5)</f>
        <v>325.5</v>
      </c>
      <c r="K84" s="9">
        <f>IFERROR(__xludf.DUMMYFUNCTION("GOOGLEFINANCE(A84, ""low52"")"),230.81)</f>
        <v>230.81</v>
      </c>
      <c r="L84" s="9">
        <f t="shared" si="1"/>
        <v>0.2322580645</v>
      </c>
      <c r="M84" s="9">
        <f t="shared" si="2"/>
        <v>0.08270872146</v>
      </c>
      <c r="N84" s="9">
        <f t="shared" si="3"/>
        <v>0.02403258656</v>
      </c>
      <c r="O84" s="9">
        <f t="shared" si="4"/>
        <v>0.6172506739</v>
      </c>
      <c r="P84" s="9">
        <f>IFERROR(__xludf.DUMMYFUNCTION("GOOGLEFINANCE(A84, ""pe"")"),7.11)</f>
        <v>7.11</v>
      </c>
      <c r="Q84" s="9">
        <f>IFERROR(__xludf.DUMMYFUNCTION("IFERROR(GOOGLEFINANCE(A84, ""volume"") / GOOGLEFINANCE(A84, ""volumeavg""), 0)"),0.0)</f>
        <v>0</v>
      </c>
      <c r="R84" s="9">
        <f>IFERROR(__xludf.DUMMYFUNCTION("AVERAGE(INDEX(GOOGLEFINANCE(A84, ""price"", TODAY()-30, TODAY()), 0, 2))"),246.68521739130432)</f>
        <v>246.6852174</v>
      </c>
      <c r="S84" s="9">
        <f>IFERROR(__xludf.DUMMYFUNCTION("AVERAGE(INDEX(GOOGLEFINANCE(A84, ""price"", TODAY()-75, TODAY()), 0, 2))"),258.57)</f>
        <v>258.57</v>
      </c>
      <c r="T84" s="9">
        <f>IFERROR(__xludf.DUMMYFUNCTION("AVERAGE(INDEX(GOOGLEFINANCE(A84, ""price"", TODAY()-300, TODAY()), 0, 2))"),277.9364676616915)</f>
        <v>277.9364677</v>
      </c>
      <c r="U84" s="9">
        <f t="shared" si="5"/>
        <v>0.01303192239</v>
      </c>
      <c r="V84" s="15">
        <f>IFERROR(__xludf.DUMMYFUNCTION("LET(hist, GOOGLEFINANCE(A84,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rs))))))"),59.849435382685066)</f>
        <v>59.84943538</v>
      </c>
      <c r="W84" s="16" t="str">
        <f>IFERROR(__xludf.DUMMYFUNCTION("IFERROR(GOOGLEFINANCE(A84, ""volume"") / GOOGLEFINANCE(A84, ""volumeavg""), )"),"")</f>
        <v/>
      </c>
      <c r="X84" s="9">
        <f>IFERROR(__xludf.DUMMYFUNCTION("B84 * GOOGLEFINANCE(A84, ""volume"")"),2.0738993583E9)</f>
        <v>2073899358</v>
      </c>
      <c r="Y84" s="9">
        <f>IFERROR(__xludf.DUMMYFUNCTION("IFERROR(((B84 - GOOGLEFINANCE(A84, ""priceopen"")) / GOOGLEFINANCE(A84, ""priceopen"")) * GOOGLEFINANCE(A84, ""volume""), 0)"),131568.19634146363)</f>
        <v>131568.1963</v>
      </c>
    </row>
    <row r="85">
      <c r="A85" s="4" t="s">
        <v>622</v>
      </c>
      <c r="B85" s="7">
        <f>IFERROR(__xludf.DUMMYFUNCTION("GOOGLEFINANCE(A85, ""price"")"),2894.2)</f>
        <v>2894.2</v>
      </c>
      <c r="C85" s="7">
        <f>IFERROR(__xludf.DUMMYFUNCTION("GOOGLEFINANCE(A85, ""changepct"")"),-0.74)</f>
        <v>-0.74</v>
      </c>
      <c r="D85" s="9">
        <f>IFERROR(__xludf.DUMMYFUNCTION("GOOGLEFINANCE(A85, ""priceopen"")"),2925.4)</f>
        <v>2925.4</v>
      </c>
      <c r="E85" s="9">
        <f>IFERROR(__xludf.DUMMYFUNCTION("GOOGLEFINANCE(A85, ""high"")"),2932.9)</f>
        <v>2932.9</v>
      </c>
      <c r="F85" s="9">
        <f>IFERROR(__xludf.DUMMYFUNCTION("GOOGLEFINANCE(A85, ""low"")"),2870.1)</f>
        <v>2870.1</v>
      </c>
      <c r="G85" s="9">
        <f>IFERROR(__xludf.DUMMYFUNCTION("GOOGLEFINANCE(A85, ""price"")"),2894.2)</f>
        <v>2894.2</v>
      </c>
      <c r="H85" s="9">
        <f>IFERROR(__xludf.DUMMYFUNCTION("MAX(INDEX(GOOGLEFINANCE(A85, ""high"", TODAY()-30, TODAY()), 0, 2))"),3144.8)</f>
        <v>3144.8</v>
      </c>
      <c r="I85" s="9">
        <f>IFERROR(__xludf.DUMMYFUNCTION("MIN(INDEX(GOOGLEFINANCE(A85, ""low"", TODAY()-30, TODAY()), 0, 2))"),2671.0)</f>
        <v>2671</v>
      </c>
      <c r="J85" s="9">
        <f>IFERROR(__xludf.DUMMYFUNCTION("GOOGLEFINANCE(A85, ""high52"")"),4149.5)</f>
        <v>4149.5</v>
      </c>
      <c r="K85" s="9">
        <f>IFERROR(__xludf.DUMMYFUNCTION("GOOGLEFINANCE(A85, ""low52"")"),2476.6)</f>
        <v>2476.6</v>
      </c>
      <c r="L85" s="9">
        <f t="shared" si="1"/>
        <v>0.3025183757</v>
      </c>
      <c r="M85" s="9">
        <f t="shared" si="2"/>
        <v>0.168618267</v>
      </c>
      <c r="N85" s="9">
        <f t="shared" si="3"/>
        <v>0.0218807707</v>
      </c>
      <c r="O85" s="9">
        <f t="shared" si="4"/>
        <v>0.4710848459</v>
      </c>
      <c r="P85" s="9">
        <f>IFERROR(__xludf.DUMMYFUNCTION("GOOGLEFINANCE(A85, ""pe"")"),10.22)</f>
        <v>10.22</v>
      </c>
      <c r="Q85" s="9">
        <f>IFERROR(__xludf.DUMMYFUNCTION("IFERROR(GOOGLEFINANCE(A85, ""volume"") / GOOGLEFINANCE(A85, ""volumeavg""), 0)"),0.0)</f>
        <v>0</v>
      </c>
      <c r="R85" s="9">
        <f>IFERROR(__xludf.DUMMYFUNCTION("AVERAGE(INDEX(GOOGLEFINANCE(A85, ""price"", TODAY()-30, TODAY()), 0, 2))"),2977.9565217391305)</f>
        <v>2977.956522</v>
      </c>
      <c r="S85" s="9">
        <f>IFERROR(__xludf.DUMMYFUNCTION("AVERAGE(INDEX(GOOGLEFINANCE(A85, ""price"", TODAY()-75, TODAY()), 0, 2))"),3046.4094339622634)</f>
        <v>3046.409434</v>
      </c>
      <c r="T85" s="9">
        <f>IFERROR(__xludf.DUMMYFUNCTION("AVERAGE(INDEX(GOOGLEFINANCE(A85, ""price"", TODAY()-300, TODAY()), 0, 2))"),3417.356435643566)</f>
        <v>3417.356436</v>
      </c>
      <c r="U85" s="9">
        <f t="shared" si="5"/>
        <v>-0.02812550188</v>
      </c>
      <c r="V85" s="15">
        <f>IFERROR(__xludf.DUMMYFUNCTION("LET(hist, GOOGLEFINANCE(A85,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rs))))))"),37.61772853185598)</f>
        <v>37.61772853</v>
      </c>
      <c r="W85" s="16" t="str">
        <f>IFERROR(__xludf.DUMMYFUNCTION("IFERROR(GOOGLEFINANCE(A85, ""volume"") / GOOGLEFINANCE(A85, ""volumeavg""), )"),"")</f>
        <v/>
      </c>
      <c r="X85" s="9">
        <f>IFERROR(__xludf.DUMMYFUNCTION("B85 * GOOGLEFINANCE(A85, ""volume"")"),2.3793333967999997E9)</f>
        <v>2379333397</v>
      </c>
      <c r="Y85" s="9">
        <f>IFERROR(__xludf.DUMMYFUNCTION("IFERROR(((B85 - GOOGLEFINANCE(A85, ""priceopen"")) / GOOGLEFINANCE(A85, ""priceopen"")) * GOOGLEFINANCE(A85, ""volume""), 0)"),-8767.910302864642)</f>
        <v>-8767.910303</v>
      </c>
    </row>
    <row r="86">
      <c r="A86" s="4" t="s">
        <v>627</v>
      </c>
      <c r="B86" s="7">
        <f>IFERROR(__xludf.DUMMYFUNCTION("GOOGLEFINANCE(A86, ""price"")"),342.0)</f>
        <v>342</v>
      </c>
      <c r="C86" s="7">
        <f>IFERROR(__xludf.DUMMYFUNCTION("GOOGLEFINANCE(A86, ""changepct"")"),-1.61)</f>
        <v>-1.61</v>
      </c>
      <c r="D86" s="9">
        <f>IFERROR(__xludf.DUMMYFUNCTION("GOOGLEFINANCE(A86, ""priceopen"")"),348.4)</f>
        <v>348.4</v>
      </c>
      <c r="E86" s="9">
        <f>IFERROR(__xludf.DUMMYFUNCTION("GOOGLEFINANCE(A86, ""high"")"),351.25)</f>
        <v>351.25</v>
      </c>
      <c r="F86" s="9">
        <f>IFERROR(__xludf.DUMMYFUNCTION("GOOGLEFINANCE(A86, ""low"")"),334.2)</f>
        <v>334.2</v>
      </c>
      <c r="G86" s="9">
        <f>IFERROR(__xludf.DUMMYFUNCTION("GOOGLEFINANCE(A86, ""price"")"),342.0)</f>
        <v>342</v>
      </c>
      <c r="H86" s="9">
        <f>IFERROR(__xludf.DUMMYFUNCTION("MAX(INDEX(GOOGLEFINANCE(A86, ""high"", TODAY()-30, TODAY()), 0, 2))"),353.2)</f>
        <v>353.2</v>
      </c>
      <c r="I86" s="9">
        <f>IFERROR(__xludf.DUMMYFUNCTION("MIN(INDEX(GOOGLEFINANCE(A86, ""low"", TODAY()-30, TODAY()), 0, 2))"),318.25)</f>
        <v>318.25</v>
      </c>
      <c r="J86" s="9">
        <f>IFERROR(__xludf.DUMMYFUNCTION("GOOGLEFINANCE(A86, ""high52"")"),419.0)</f>
        <v>419</v>
      </c>
      <c r="K86" s="9">
        <f>IFERROR(__xludf.DUMMYFUNCTION("GOOGLEFINANCE(A86, ""low52"")"),294.3)</f>
        <v>294.3</v>
      </c>
      <c r="L86" s="9">
        <f t="shared" si="1"/>
        <v>0.1837708831</v>
      </c>
      <c r="M86" s="9">
        <f t="shared" si="2"/>
        <v>0.1620795107</v>
      </c>
      <c r="N86" s="9">
        <f t="shared" si="3"/>
        <v>0.05101735488</v>
      </c>
      <c r="O86" s="9">
        <f t="shared" si="4"/>
        <v>0.6795422031</v>
      </c>
      <c r="P86" s="9" t="str">
        <f>IFERROR(__xludf.DUMMYFUNCTION("GOOGLEFINANCE(A86, ""pe"")"),"#N/A")</f>
        <v>#N/A</v>
      </c>
      <c r="Q86" s="9">
        <f>IFERROR(__xludf.DUMMYFUNCTION("IFERROR(GOOGLEFINANCE(A86, ""volume"") / GOOGLEFINANCE(A86, ""volumeavg""), 0)"),0.0)</f>
        <v>0</v>
      </c>
      <c r="R86" s="9">
        <f>IFERROR(__xludf.DUMMYFUNCTION("AVERAGE(INDEX(GOOGLEFINANCE(A86, ""price"", TODAY()-30, TODAY()), 0, 2))"),337.1978260869566)</f>
        <v>337.1978261</v>
      </c>
      <c r="S86" s="9">
        <f>IFERROR(__xludf.DUMMYFUNCTION("AVERAGE(INDEX(GOOGLEFINANCE(A86, ""price"", TODAY()-75, TODAY()), 0, 2))"),354.0358490566036)</f>
        <v>354.0358491</v>
      </c>
      <c r="T86" s="9">
        <f>IFERROR(__xludf.DUMMYFUNCTION("AVERAGE(INDEX(GOOGLEFINANCE(A86, ""price"", TODAY()-300, TODAY()), 0, 2))"),358.16584158415844)</f>
        <v>358.1658416</v>
      </c>
      <c r="U86" s="9">
        <f t="shared" si="5"/>
        <v>0.01424141421</v>
      </c>
      <c r="V86" s="15">
        <f>IFERROR(__xludf.DUMMYFUNCTION("LET(hist, GOOGLEFINANCE(A86,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rs))))))"),70.41484716157203)</f>
        <v>70.41484716</v>
      </c>
      <c r="W86" s="16" t="str">
        <f>IFERROR(__xludf.DUMMYFUNCTION("IFERROR(GOOGLEFINANCE(A86, ""volume"") / GOOGLEFINANCE(A86, ""volumeavg""), )"),"")</f>
        <v/>
      </c>
      <c r="X86" s="9">
        <f>IFERROR(__xludf.DUMMYFUNCTION("B86 * GOOGLEFINANCE(A86, ""volume"")"),7.655445306E9)</f>
        <v>7655445306</v>
      </c>
      <c r="Y86" s="9">
        <f>IFERROR(__xludf.DUMMYFUNCTION("IFERROR(((B86 - GOOGLEFINANCE(A86, ""priceopen"")) / GOOGLEFINANCE(A86, ""priceopen"")) * GOOGLEFINANCE(A86, ""volume""), 0)"),-411193.44202066446)</f>
        <v>-411193.442</v>
      </c>
    </row>
    <row r="87">
      <c r="A87" s="4" t="s">
        <v>630</v>
      </c>
      <c r="B87" s="7">
        <f>IFERROR(__xludf.DUMMYFUNCTION("GOOGLEFINANCE(A87, ""price"")"),1203.0)</f>
        <v>1203</v>
      </c>
      <c r="C87" s="7">
        <f>IFERROR(__xludf.DUMMYFUNCTION("GOOGLEFINANCE(A87, ""changepct"")"),-0.74)</f>
        <v>-0.74</v>
      </c>
      <c r="D87" s="9">
        <f>IFERROR(__xludf.DUMMYFUNCTION("GOOGLEFINANCE(A87, ""priceopen"")"),1215.0)</f>
        <v>1215</v>
      </c>
      <c r="E87" s="9">
        <f>IFERROR(__xludf.DUMMYFUNCTION("GOOGLEFINANCE(A87, ""high"")"),1217.6)</f>
        <v>1217.6</v>
      </c>
      <c r="F87" s="9">
        <f>IFERROR(__xludf.DUMMYFUNCTION("GOOGLEFINANCE(A87, ""low"")"),1185.0)</f>
        <v>1185</v>
      </c>
      <c r="G87" s="9">
        <f>IFERROR(__xludf.DUMMYFUNCTION("GOOGLEFINANCE(A87, ""price"")"),1203.0)</f>
        <v>1203</v>
      </c>
      <c r="H87" s="9">
        <f>IFERROR(__xludf.DUMMYFUNCTION("MAX(INDEX(GOOGLEFINANCE(A87, ""high"", TODAY()-30, TODAY()), 0, 2))"),1344.95)</f>
        <v>1344.95</v>
      </c>
      <c r="I87" s="9">
        <f>IFERROR(__xludf.DUMMYFUNCTION("MIN(INDEX(GOOGLEFINANCE(A87, ""low"", TODAY()-30, TODAY()), 0, 2))"),1124.0)</f>
        <v>1124</v>
      </c>
      <c r="J87" s="9">
        <f>IFERROR(__xludf.DUMMYFUNCTION("GOOGLEFINANCE(A87, ""high52"")"),1344.95)</f>
        <v>1344.95</v>
      </c>
      <c r="K87" s="9">
        <f>IFERROR(__xludf.DUMMYFUNCTION("GOOGLEFINANCE(A87, ""low52"")"),650.8)</f>
        <v>650.8</v>
      </c>
      <c r="L87" s="9">
        <f t="shared" si="1"/>
        <v>0.105542957</v>
      </c>
      <c r="M87" s="9">
        <f t="shared" si="2"/>
        <v>0.848494161</v>
      </c>
      <c r="N87" s="9">
        <f t="shared" si="3"/>
        <v>0.02751054852</v>
      </c>
      <c r="O87" s="9">
        <f t="shared" si="4"/>
        <v>0.3575469563</v>
      </c>
      <c r="P87" s="9">
        <f>IFERROR(__xludf.DUMMYFUNCTION("GOOGLEFINANCE(A87, ""pe"")"),29.24)</f>
        <v>29.24</v>
      </c>
      <c r="Q87" s="9">
        <f>IFERROR(__xludf.DUMMYFUNCTION("IFERROR(GOOGLEFINANCE(A87, ""volume"") / GOOGLEFINANCE(A87, ""volumeavg""), 0)"),0.0)</f>
        <v>0</v>
      </c>
      <c r="R87" s="9">
        <f>IFERROR(__xludf.DUMMYFUNCTION("AVERAGE(INDEX(GOOGLEFINANCE(A87, ""price"", TODAY()-30, TODAY()), 0, 2))"),1210.7760869565218)</f>
        <v>1210.776087</v>
      </c>
      <c r="S87" s="9">
        <f>IFERROR(__xludf.DUMMYFUNCTION("AVERAGE(INDEX(GOOGLEFINANCE(A87, ""price"", TODAY()-75, TODAY()), 0, 2))"),1068.7075471698113)</f>
        <v>1068.707547</v>
      </c>
      <c r="T87" s="9">
        <f>IFERROR(__xludf.DUMMYFUNCTION("AVERAGE(INDEX(GOOGLEFINANCE(A87, ""price"", TODAY()-300, TODAY()), 0, 2))"),1022.6264851485148)</f>
        <v>1022.626485</v>
      </c>
      <c r="U87" s="9">
        <f t="shared" si="5"/>
        <v>-0.006422398857</v>
      </c>
      <c r="V87" s="15">
        <f>IFERROR(__xludf.DUMMYFUNCTION("LET(hist, GOOGLEFINANCE(A87,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rs))))))"),59.436237564063894)</f>
        <v>59.43623756</v>
      </c>
      <c r="W87" s="16" t="str">
        <f>IFERROR(__xludf.DUMMYFUNCTION("IFERROR(GOOGLEFINANCE(A87, ""volume"") / GOOGLEFINANCE(A87, ""volumeavg""), )"),"")</f>
        <v/>
      </c>
      <c r="X87" s="9">
        <f>IFERROR(__xludf.DUMMYFUNCTION("B87 * GOOGLEFINANCE(A87, ""volume"")"),1.412536134E9)</f>
        <v>1412536134</v>
      </c>
      <c r="Y87" s="9">
        <f>IFERROR(__xludf.DUMMYFUNCTION("IFERROR(((B87 - GOOGLEFINANCE(A87, ""priceopen"")) / GOOGLEFINANCE(A87, ""priceopen"")) * GOOGLEFINANCE(A87, ""volume""), 0)"),-11596.81975308642)</f>
        <v>-11596.81975</v>
      </c>
    </row>
    <row r="88">
      <c r="A88" s="4" t="s">
        <v>635</v>
      </c>
      <c r="B88" s="7">
        <f>IFERROR(__xludf.DUMMYFUNCTION("GOOGLEFINANCE(A88, ""price"")"),197.3)</f>
        <v>197.3</v>
      </c>
      <c r="C88" s="7">
        <f>IFERROR(__xludf.DUMMYFUNCTION("GOOGLEFINANCE(A88, ""changepct"")"),1.96)</f>
        <v>1.96</v>
      </c>
      <c r="D88" s="9">
        <f>IFERROR(__xludf.DUMMYFUNCTION("GOOGLEFINANCE(A88, ""priceopen"")"),193.7)</f>
        <v>193.7</v>
      </c>
      <c r="E88" s="9">
        <f>IFERROR(__xludf.DUMMYFUNCTION("GOOGLEFINANCE(A88, ""high"")"),198.0)</f>
        <v>198</v>
      </c>
      <c r="F88" s="9">
        <f>IFERROR(__xludf.DUMMYFUNCTION("GOOGLEFINANCE(A88, ""low"")"),192.4)</f>
        <v>192.4</v>
      </c>
      <c r="G88" s="9">
        <f>IFERROR(__xludf.DUMMYFUNCTION("GOOGLEFINANCE(A88, ""price"")"),197.3)</f>
        <v>197.3</v>
      </c>
      <c r="H88" s="9">
        <f>IFERROR(__xludf.DUMMYFUNCTION("MAX(INDEX(GOOGLEFINANCE(A88, ""high"", TODAY()-30, TODAY()), 0, 2))"),220.98)</f>
        <v>220.98</v>
      </c>
      <c r="I88" s="9">
        <f>IFERROR(__xludf.DUMMYFUNCTION("MIN(INDEX(GOOGLEFINANCE(A88, ""low"", TODAY()-30, TODAY()), 0, 2))"),188.11)</f>
        <v>188.11</v>
      </c>
      <c r="J88" s="9">
        <f>IFERROR(__xludf.DUMMYFUNCTION("GOOGLEFINANCE(A88, ""high52"")"),227.2)</f>
        <v>227.2</v>
      </c>
      <c r="K88" s="9">
        <f>IFERROR(__xludf.DUMMYFUNCTION("GOOGLEFINANCE(A88, ""low52"")"),112.0)</f>
        <v>112</v>
      </c>
      <c r="L88" s="9">
        <f t="shared" si="1"/>
        <v>0.1316021127</v>
      </c>
      <c r="M88" s="9">
        <f t="shared" si="2"/>
        <v>0.7616071429</v>
      </c>
      <c r="N88" s="9">
        <f t="shared" si="3"/>
        <v>0.02910602911</v>
      </c>
      <c r="O88" s="9">
        <f t="shared" si="4"/>
        <v>0.2795862489</v>
      </c>
      <c r="P88" s="9">
        <f>IFERROR(__xludf.DUMMYFUNCTION("GOOGLEFINANCE(A88, ""pe"")"),50.44)</f>
        <v>50.44</v>
      </c>
      <c r="Q88" s="9">
        <f>IFERROR(__xludf.DUMMYFUNCTION("IFERROR(GOOGLEFINANCE(A88, ""volume"") / GOOGLEFINANCE(A88, ""volumeavg""), 0)"),0.0)</f>
        <v>0</v>
      </c>
      <c r="R88" s="9">
        <f>IFERROR(__xludf.DUMMYFUNCTION("AVERAGE(INDEX(GOOGLEFINANCE(A88, ""price"", TODAY()-30, TODAY()), 0, 2))"),198.91739130434783)</f>
        <v>198.9173913</v>
      </c>
      <c r="S88" s="9">
        <f>IFERROR(__xludf.DUMMYFUNCTION("AVERAGE(INDEX(GOOGLEFINANCE(A88, ""price"", TODAY()-75, TODAY()), 0, 2))"),197.88943396226418)</f>
        <v>197.889434</v>
      </c>
      <c r="T88" s="9">
        <f>IFERROR(__xludf.DUMMYFUNCTION("AVERAGE(INDEX(GOOGLEFINANCE(A88, ""price"", TODAY()-300, TODAY()), 0, 2))"),178.56670270270277)</f>
        <v>178.5667027</v>
      </c>
      <c r="U88" s="9">
        <f t="shared" si="5"/>
        <v>-0.008130969815</v>
      </c>
      <c r="V88" s="15">
        <f>IFERROR(__xludf.DUMMYFUNCTION("LET(hist, GOOGLEFINANCE(A88,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rs))))))"),40.26119402985074)</f>
        <v>40.26119403</v>
      </c>
      <c r="W88" s="16" t="str">
        <f>IFERROR(__xludf.DUMMYFUNCTION("IFERROR(GOOGLEFINANCE(A88, ""volume"") / GOOGLEFINANCE(A88, ""volumeavg""), )"),"")</f>
        <v/>
      </c>
      <c r="X88" s="9">
        <f>IFERROR(__xludf.DUMMYFUNCTION("B88 * GOOGLEFINANCE(A88, ""volume"")"),4.9986499548E9)</f>
        <v>4998649955</v>
      </c>
      <c r="Y88" s="9">
        <f>IFERROR(__xludf.DUMMYFUNCTION("IFERROR(((B88 - GOOGLEFINANCE(A88, ""priceopen"")) / GOOGLEFINANCE(A88, ""priceopen"")) * GOOGLEFINANCE(A88, ""volume""), 0)"),470867.2875580825)</f>
        <v>470867.2876</v>
      </c>
    </row>
    <row r="89">
      <c r="A89" s="4" t="s">
        <v>640</v>
      </c>
      <c r="B89" s="7">
        <f>IFERROR(__xludf.DUMMYFUNCTION("GOOGLEFINANCE(A89, ""price"")"),378.05)</f>
        <v>378.05</v>
      </c>
      <c r="C89" s="7">
        <f>IFERROR(__xludf.DUMMYFUNCTION("GOOGLEFINANCE(A89, ""changepct"")"),-0.51)</f>
        <v>-0.51</v>
      </c>
      <c r="D89" s="9">
        <f>IFERROR(__xludf.DUMMYFUNCTION("GOOGLEFINANCE(A89, ""priceopen"")"),378.6)</f>
        <v>378.6</v>
      </c>
      <c r="E89" s="9">
        <f>IFERROR(__xludf.DUMMYFUNCTION("GOOGLEFINANCE(A89, ""high"")"),380.0)</f>
        <v>380</v>
      </c>
      <c r="F89" s="9">
        <f>IFERROR(__xludf.DUMMYFUNCTION("GOOGLEFINANCE(A89, ""low"")"),374.1)</f>
        <v>374.1</v>
      </c>
      <c r="G89" s="9">
        <f>IFERROR(__xludf.DUMMYFUNCTION("GOOGLEFINANCE(A89, ""price"")"),378.05)</f>
        <v>378.05</v>
      </c>
      <c r="H89" s="9">
        <f>IFERROR(__xludf.DUMMYFUNCTION("MAX(INDEX(GOOGLEFINANCE(A89, ""high"", TODAY()-30, TODAY()), 0, 2))"),388.1)</f>
        <v>388.1</v>
      </c>
      <c r="I89" s="9">
        <f>IFERROR(__xludf.DUMMYFUNCTION("MIN(INDEX(GOOGLEFINANCE(A89, ""low"", TODAY()-30, TODAY()), 0, 2))"),367.85)</f>
        <v>367.85</v>
      </c>
      <c r="J89" s="9">
        <f>IFERROR(__xludf.DUMMYFUNCTION("GOOGLEFINANCE(A89, ""high52"")"),464.9)</f>
        <v>464.9</v>
      </c>
      <c r="K89" s="9">
        <f>IFERROR(__xludf.DUMMYFUNCTION("GOOGLEFINANCE(A89, ""low52"")"),342.5)</f>
        <v>342.5</v>
      </c>
      <c r="L89" s="9">
        <f t="shared" si="1"/>
        <v>0.1868143687</v>
      </c>
      <c r="M89" s="9">
        <f t="shared" si="2"/>
        <v>0.1037956204</v>
      </c>
      <c r="N89" s="9">
        <f t="shared" si="3"/>
        <v>0.01577118418</v>
      </c>
      <c r="O89" s="9">
        <f t="shared" si="4"/>
        <v>0.5037037037</v>
      </c>
      <c r="P89" s="9">
        <f>IFERROR(__xludf.DUMMYFUNCTION("GOOGLEFINANCE(A89, ""pe"")"),31.32)</f>
        <v>31.32</v>
      </c>
      <c r="Q89" s="9">
        <f>IFERROR(__xludf.DUMMYFUNCTION("IFERROR(GOOGLEFINANCE(A89, ""volume"") / GOOGLEFINANCE(A89, ""volumeavg""), 0)"),0.0)</f>
        <v>0</v>
      </c>
      <c r="R89" s="9">
        <f>IFERROR(__xludf.DUMMYFUNCTION("AVERAGE(INDEX(GOOGLEFINANCE(A89, ""price"", TODAY()-30, TODAY()), 0, 2))"),378.863043478261)</f>
        <v>378.8630435</v>
      </c>
      <c r="S89" s="9">
        <f>IFERROR(__xludf.DUMMYFUNCTION("AVERAGE(INDEX(GOOGLEFINANCE(A89, ""price"", TODAY()-75, TODAY()), 0, 2))"),388.00471698113205)</f>
        <v>388.004717</v>
      </c>
      <c r="T89" s="9">
        <f>IFERROR(__xludf.DUMMYFUNCTION("AVERAGE(INDEX(GOOGLEFINANCE(A89, ""price"", TODAY()-300, TODAY()), 0, 2))"),390.7205445544554)</f>
        <v>390.7205446</v>
      </c>
      <c r="U89" s="9">
        <f t="shared" si="5"/>
        <v>-0.00214600894</v>
      </c>
      <c r="V89" s="15">
        <f>IFERROR(__xludf.DUMMYFUNCTION("LET(hist, GOOGLEFINANCE(A89,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rs))))))"),54.198473282442755)</f>
        <v>54.19847328</v>
      </c>
      <c r="W89" s="16" t="str">
        <f>IFERROR(__xludf.DUMMYFUNCTION("IFERROR(GOOGLEFINANCE(A89, ""volume"") / GOOGLEFINANCE(A89, ""volumeavg""), )"),"")</f>
        <v/>
      </c>
      <c r="X89" s="9">
        <f>IFERROR(__xludf.DUMMYFUNCTION("B89 * GOOGLEFINANCE(A89, ""volume"")"),1.67497736655E9)</f>
        <v>1674977367</v>
      </c>
      <c r="Y89" s="9">
        <f>IFERROR(__xludf.DUMMYFUNCTION("IFERROR(((B89 - GOOGLEFINANCE(A89, ""priceopen"")) / GOOGLEFINANCE(A89, ""priceopen"")) * GOOGLEFINANCE(A89, ""volume""), 0)"),-6436.381537242605)</f>
        <v>-6436.381537</v>
      </c>
    </row>
    <row r="90">
      <c r="A90" s="4" t="s">
        <v>645</v>
      </c>
      <c r="B90" s="7">
        <f>IFERROR(__xludf.DUMMYFUNCTION("GOOGLEFINANCE(A90, ""price"")"),46350.0)</f>
        <v>46350</v>
      </c>
      <c r="C90" s="7">
        <f>IFERROR(__xludf.DUMMYFUNCTION("GOOGLEFINANCE(A90, ""changepct"")"),2.58)</f>
        <v>2.58</v>
      </c>
      <c r="D90" s="9">
        <f>IFERROR(__xludf.DUMMYFUNCTION("GOOGLEFINANCE(A90, ""priceopen"")"),45040.0)</f>
        <v>45040</v>
      </c>
      <c r="E90" s="9">
        <f>IFERROR(__xludf.DUMMYFUNCTION("GOOGLEFINANCE(A90, ""high"")"),46735.0)</f>
        <v>46735</v>
      </c>
      <c r="F90" s="9">
        <f>IFERROR(__xludf.DUMMYFUNCTION("GOOGLEFINANCE(A90, ""low"")"),45040.0)</f>
        <v>45040</v>
      </c>
      <c r="G90" s="9">
        <f>IFERROR(__xludf.DUMMYFUNCTION("GOOGLEFINANCE(A90, ""price"")"),46350.0)</f>
        <v>46350</v>
      </c>
      <c r="H90" s="9">
        <f>IFERROR(__xludf.DUMMYFUNCTION("MAX(INDEX(GOOGLEFINANCE(A90, ""high"", TODAY()-30, TODAY()), 0, 2))"),46735.0)</f>
        <v>46735</v>
      </c>
      <c r="I90" s="9">
        <f>IFERROR(__xludf.DUMMYFUNCTION("MIN(INDEX(GOOGLEFINANCE(A90, ""low"", TODAY()-30, TODAY()), 0, 2))"),39705.0)</f>
        <v>39705</v>
      </c>
      <c r="J90" s="9">
        <f>IFERROR(__xludf.DUMMYFUNCTION("GOOGLEFINANCE(A90, ""high52"")"),46735.0)</f>
        <v>46735</v>
      </c>
      <c r="K90" s="9">
        <f>IFERROR(__xludf.DUMMYFUNCTION("GOOGLEFINANCE(A90, ""low52"")"),28610.0)</f>
        <v>28610</v>
      </c>
      <c r="L90" s="9">
        <f t="shared" si="1"/>
        <v>0.008237937306</v>
      </c>
      <c r="M90" s="9">
        <f t="shared" si="2"/>
        <v>0.6200629151</v>
      </c>
      <c r="N90" s="9">
        <f t="shared" si="3"/>
        <v>0.03763321492</v>
      </c>
      <c r="O90" s="9">
        <f t="shared" si="4"/>
        <v>0.9452347084</v>
      </c>
      <c r="P90" s="9">
        <f>IFERROR(__xludf.DUMMYFUNCTION("GOOGLEFINANCE(A90, ""pe"")"),57.95)</f>
        <v>57.95</v>
      </c>
      <c r="Q90" s="9">
        <f>IFERROR(__xludf.DUMMYFUNCTION("IFERROR(GOOGLEFINANCE(A90, ""volume"") / GOOGLEFINANCE(A90, ""volumeavg""), 0)"),0.0)</f>
        <v>0</v>
      </c>
      <c r="R90" s="9">
        <f>IFERROR(__xludf.DUMMYFUNCTION("AVERAGE(INDEX(GOOGLEFINANCE(A90, ""price"", TODAY()-30, TODAY()), 0, 2))"),41989.13043478261)</f>
        <v>41989.13043</v>
      </c>
      <c r="S90" s="9">
        <f>IFERROR(__xludf.DUMMYFUNCTION("AVERAGE(INDEX(GOOGLEFINANCE(A90, ""price"", TODAY()-75, TODAY()), 0, 2))"),40560.47169811321)</f>
        <v>40560.4717</v>
      </c>
      <c r="T90" s="9">
        <f>IFERROR(__xludf.DUMMYFUNCTION("AVERAGE(INDEX(GOOGLEFINANCE(A90, ""price"", TODAY()-300, TODAY()), 0, 2))"),37173.24257425743)</f>
        <v>37173.24257</v>
      </c>
      <c r="U90" s="9">
        <f t="shared" si="5"/>
        <v>0.1038571059</v>
      </c>
      <c r="V90" s="15">
        <f>IFERROR(__xludf.DUMMYFUNCTION("LET(hist, GOOGLEFINANCE(A90,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rs))))))"),71.900826446281)</f>
        <v>71.90082645</v>
      </c>
      <c r="W90" s="16" t="str">
        <f>IFERROR(__xludf.DUMMYFUNCTION("IFERROR(GOOGLEFINANCE(A90, ""volume"") / GOOGLEFINANCE(A90, ""volumeavg""), )"),"")</f>
        <v/>
      </c>
      <c r="X90" s="9">
        <f>IFERROR(__xludf.DUMMYFUNCTION("B90 * GOOGLEFINANCE(A90, ""volume"")"),4.4731458E9)</f>
        <v>4473145800</v>
      </c>
      <c r="Y90" s="9">
        <f>IFERROR(__xludf.DUMMYFUNCTION("IFERROR(((B90 - GOOGLEFINANCE(A90, ""priceopen"")) / GOOGLEFINANCE(A90, ""priceopen"")) * GOOGLEFINANCE(A90, ""volume""), 0)"),2806.960035523979)</f>
        <v>2806.960036</v>
      </c>
    </row>
    <row r="91">
      <c r="A91" s="4" t="s">
        <v>651</v>
      </c>
      <c r="B91" s="7">
        <f>IFERROR(__xludf.DUMMYFUNCTION("GOOGLEFINANCE(A91, ""price"")"),570.0)</f>
        <v>570</v>
      </c>
      <c r="C91" s="7">
        <f>IFERROR(__xludf.DUMMYFUNCTION("GOOGLEFINANCE(A91, ""changepct"")"),0.27)</f>
        <v>0.27</v>
      </c>
      <c r="D91" s="9">
        <f>IFERROR(__xludf.DUMMYFUNCTION("GOOGLEFINANCE(A91, ""priceopen"")"),570.0)</f>
        <v>570</v>
      </c>
      <c r="E91" s="9">
        <f>IFERROR(__xludf.DUMMYFUNCTION("GOOGLEFINANCE(A91, ""high"")"),570.9)</f>
        <v>570.9</v>
      </c>
      <c r="F91" s="9">
        <f>IFERROR(__xludf.DUMMYFUNCTION("GOOGLEFINANCE(A91, ""low"")"),563.1)</f>
        <v>563.1</v>
      </c>
      <c r="G91" s="9">
        <f>IFERROR(__xludf.DUMMYFUNCTION("GOOGLEFINANCE(A91, ""price"")"),570.0)</f>
        <v>570</v>
      </c>
      <c r="H91" s="9">
        <f>IFERROR(__xludf.DUMMYFUNCTION("MAX(INDEX(GOOGLEFINANCE(A91, ""high"", TODAY()-30, TODAY()), 0, 2))"),624.95)</f>
        <v>624.95</v>
      </c>
      <c r="I91" s="9">
        <f>IFERROR(__xludf.DUMMYFUNCTION("MIN(INDEX(GOOGLEFINANCE(A91, ""low"", TODAY()-30, TODAY()), 0, 2))"),563.1)</f>
        <v>563.1</v>
      </c>
      <c r="J91" s="9">
        <f>IFERROR(__xludf.DUMMYFUNCTION("GOOGLEFINANCE(A91, ""high52"")"),624.95)</f>
        <v>624.95</v>
      </c>
      <c r="K91" s="9">
        <f>IFERROR(__xludf.DUMMYFUNCTION("GOOGLEFINANCE(A91, ""low52"")"),563.1)</f>
        <v>563.1</v>
      </c>
      <c r="L91" s="9">
        <f t="shared" si="1"/>
        <v>0.08792703416</v>
      </c>
      <c r="M91" s="9">
        <f t="shared" si="2"/>
        <v>0.01225359616</v>
      </c>
      <c r="N91" s="9">
        <f t="shared" si="3"/>
        <v>0.01385189132</v>
      </c>
      <c r="O91" s="9">
        <f t="shared" si="4"/>
        <v>0.1115602264</v>
      </c>
      <c r="P91" s="9">
        <f>IFERROR(__xludf.DUMMYFUNCTION("GOOGLEFINANCE(A91, ""pe"")"),37.5)</f>
        <v>37.5</v>
      </c>
      <c r="Q91" s="9">
        <f>IFERROR(__xludf.DUMMYFUNCTION("IFERROR(GOOGLEFINANCE(A91, ""volume"") / GOOGLEFINANCE(A91, ""volumeavg""), 0)"),0.0)</f>
        <v>0</v>
      </c>
      <c r="R91" s="9">
        <f>IFERROR(__xludf.DUMMYFUNCTION("AVERAGE(INDEX(GOOGLEFINANCE(A91, ""price"", TODAY()-30, TODAY()), 0, 2))"),578.4941176470587)</f>
        <v>578.4941176</v>
      </c>
      <c r="S91" s="9">
        <f>IFERROR(__xludf.DUMMYFUNCTION("AVERAGE(INDEX(GOOGLEFINANCE(A91, ""price"", TODAY()-75, TODAY()), 0, 2))"),578.4941176470587)</f>
        <v>578.4941176</v>
      </c>
      <c r="T91" s="9">
        <f>IFERROR(__xludf.DUMMYFUNCTION("AVERAGE(INDEX(GOOGLEFINANCE(A91, ""price"", TODAY()-300, TODAY()), 0, 2))"),578.4941176470587)</f>
        <v>578.4941176</v>
      </c>
      <c r="U91" s="9">
        <f t="shared" si="5"/>
        <v>-0.01468315301</v>
      </c>
      <c r="V91" s="15">
        <f>IFERROR(__xludf.DUMMYFUNCTION("LET(hist, GOOGLEFINANCE(A91,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rs))))))"),44.69790382244138)</f>
        <v>44.69790382</v>
      </c>
      <c r="W91" s="16" t="str">
        <f>IFERROR(__xludf.DUMMYFUNCTION("IFERROR(GOOGLEFINANCE(A91, ""volume"") / GOOGLEFINANCE(A91, ""volumeavg""), )"),"")</f>
        <v/>
      </c>
      <c r="X91" s="9">
        <f>IFERROR(__xludf.DUMMYFUNCTION("B91 * GOOGLEFINANCE(A91, ""volume"")"),9.8841705E8)</f>
        <v>988417050</v>
      </c>
      <c r="Y91" s="9">
        <f>IFERROR(__xludf.DUMMYFUNCTION("IFERROR(((B91 - GOOGLEFINANCE(A91, ""priceopen"")) / GOOGLEFINANCE(A91, ""priceopen"")) * GOOGLEFINANCE(A91, ""volume""), 0)"),0.0)</f>
        <v>0</v>
      </c>
    </row>
    <row r="92">
      <c r="A92" s="4" t="s">
        <v>656</v>
      </c>
      <c r="B92" s="7">
        <f>IFERROR(__xludf.DUMMYFUNCTION("GOOGLEFINANCE(A92, ""price"")"),174.51)</f>
        <v>174.51</v>
      </c>
      <c r="C92" s="7">
        <f>IFERROR(__xludf.DUMMYFUNCTION("GOOGLEFINANCE(A92, ""changepct"")"),-0.47)</f>
        <v>-0.47</v>
      </c>
      <c r="D92" s="9">
        <f>IFERROR(__xludf.DUMMYFUNCTION("GOOGLEFINANCE(A92, ""priceopen"")"),175.34)</f>
        <v>175.34</v>
      </c>
      <c r="E92" s="9">
        <f>IFERROR(__xludf.DUMMYFUNCTION("GOOGLEFINANCE(A92, ""high"")"),177.95)</f>
        <v>177.95</v>
      </c>
      <c r="F92" s="9">
        <f>IFERROR(__xludf.DUMMYFUNCTION("GOOGLEFINANCE(A92, ""low"")"),173.3)</f>
        <v>173.3</v>
      </c>
      <c r="G92" s="9">
        <f>IFERROR(__xludf.DUMMYFUNCTION("GOOGLEFINANCE(A92, ""price"")"),174.51)</f>
        <v>174.51</v>
      </c>
      <c r="H92" s="9">
        <f>IFERROR(__xludf.DUMMYFUNCTION("MAX(INDEX(GOOGLEFINANCE(A92, ""high"", TODAY()-30, TODAY()), 0, 2))"),182.38)</f>
        <v>182.38</v>
      </c>
      <c r="I92" s="9">
        <f>IFERROR(__xludf.DUMMYFUNCTION("MIN(INDEX(GOOGLEFINANCE(A92, ""low"", TODAY()-30, TODAY()), 0, 2))"),167.27)</f>
        <v>167.27</v>
      </c>
      <c r="J92" s="9">
        <f>IFERROR(__xludf.DUMMYFUNCTION("GOOGLEFINANCE(A92, ""high52"")"),186.87)</f>
        <v>186.87</v>
      </c>
      <c r="K92" s="9">
        <f>IFERROR(__xludf.DUMMYFUNCTION("GOOGLEFINANCE(A92, ""low52"")"),134.36)</f>
        <v>134.36</v>
      </c>
      <c r="L92" s="9">
        <f t="shared" si="1"/>
        <v>0.06614223792</v>
      </c>
      <c r="M92" s="9">
        <f t="shared" si="2"/>
        <v>0.2988240548</v>
      </c>
      <c r="N92" s="9">
        <f t="shared" si="3"/>
        <v>0.02683208309</v>
      </c>
      <c r="O92" s="9">
        <f t="shared" si="4"/>
        <v>0.4791528789</v>
      </c>
      <c r="P92" s="9">
        <f>IFERROR(__xludf.DUMMYFUNCTION("GOOGLEFINANCE(A92, ""pe"")"),11.61)</f>
        <v>11.61</v>
      </c>
      <c r="Q92" s="9">
        <f>IFERROR(__xludf.DUMMYFUNCTION("IFERROR(GOOGLEFINANCE(A92, ""volume"") / GOOGLEFINANCE(A92, ""volumeavg""), 0)"),0.0)</f>
        <v>0</v>
      </c>
      <c r="R92" s="9">
        <f>IFERROR(__xludf.DUMMYFUNCTION("AVERAGE(INDEX(GOOGLEFINANCE(A92, ""price"", TODAY()-30, TODAY()), 0, 2))"),174.10304347826087)</f>
        <v>174.1030435</v>
      </c>
      <c r="S92" s="9">
        <f>IFERROR(__xludf.DUMMYFUNCTION("AVERAGE(INDEX(GOOGLEFINANCE(A92, ""price"", TODAY()-75, TODAY()), 0, 2))"),172.5220754716981)</f>
        <v>172.5220755</v>
      </c>
      <c r="T92" s="9">
        <f>IFERROR(__xludf.DUMMYFUNCTION("AVERAGE(INDEX(GOOGLEFINANCE(A92, ""price"", TODAY()-300, TODAY()), 0, 2))"),167.49123762376226)</f>
        <v>167.4912376</v>
      </c>
      <c r="U92" s="9">
        <f t="shared" si="5"/>
        <v>0.00233744634</v>
      </c>
      <c r="V92" s="15">
        <f>IFERROR(__xludf.DUMMYFUNCTION("LET(hist, GOOGLEFINANCE(A92,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rs))))))"),58.25027685492799)</f>
        <v>58.25027685</v>
      </c>
      <c r="W92" s="16" t="str">
        <f>IFERROR(__xludf.DUMMYFUNCTION("IFERROR(GOOGLEFINANCE(A92, ""volume"") / GOOGLEFINANCE(A92, ""volumeavg""), )"),"")</f>
        <v/>
      </c>
      <c r="X92" s="9">
        <f>IFERROR(__xludf.DUMMYFUNCTION("B92 * GOOGLEFINANCE(A92, ""volume"")"),1.56647296008E9)</f>
        <v>1566472960</v>
      </c>
      <c r="Y92" s="9">
        <f>IFERROR(__xludf.DUMMYFUNCTION("IFERROR(((B92 - GOOGLEFINANCE(A92, ""priceopen"")) / GOOGLEFINANCE(A92, ""priceopen"")) * GOOGLEFINANCE(A92, ""volume""), 0)"),-42491.26633968354)</f>
        <v>-42491.26634</v>
      </c>
    </row>
    <row r="93">
      <c r="A93" s="4" t="s">
        <v>659</v>
      </c>
      <c r="B93" s="7">
        <f>IFERROR(__xludf.DUMMYFUNCTION("GOOGLEFINANCE(A93, ""price"")"),535.8)</f>
        <v>535.8</v>
      </c>
      <c r="C93" s="7">
        <f>IFERROR(__xludf.DUMMYFUNCTION("GOOGLEFINANCE(A93, ""changepct"")"),-0.04)</f>
        <v>-0.04</v>
      </c>
      <c r="D93" s="9">
        <f>IFERROR(__xludf.DUMMYFUNCTION("GOOGLEFINANCE(A93, ""priceopen"")"),536.0)</f>
        <v>536</v>
      </c>
      <c r="E93" s="9">
        <f>IFERROR(__xludf.DUMMYFUNCTION("GOOGLEFINANCE(A93, ""high"")"),537.75)</f>
        <v>537.75</v>
      </c>
      <c r="F93" s="9">
        <f>IFERROR(__xludf.DUMMYFUNCTION("GOOGLEFINANCE(A93, ""low"")"),531.4)</f>
        <v>531.4</v>
      </c>
      <c r="G93" s="9">
        <f>IFERROR(__xludf.DUMMYFUNCTION("GOOGLEFINANCE(A93, ""price"")"),535.8)</f>
        <v>535.8</v>
      </c>
      <c r="H93" s="9">
        <f>IFERROR(__xludf.DUMMYFUNCTION("MAX(INDEX(GOOGLEFINANCE(A93, ""high"", TODAY()-30, TODAY()), 0, 2))"),588.0)</f>
        <v>588</v>
      </c>
      <c r="I93" s="9">
        <f>IFERROR(__xludf.DUMMYFUNCTION("MIN(INDEX(GOOGLEFINANCE(A93, ""low"", TODAY()-30, TODAY()), 0, 2))"),530.5)</f>
        <v>530.5</v>
      </c>
      <c r="J93" s="9">
        <f>IFERROR(__xludf.DUMMYFUNCTION("GOOGLEFINANCE(A93, ""high52"")"),815.0)</f>
        <v>815</v>
      </c>
      <c r="K93" s="9">
        <f>IFERROR(__xludf.DUMMYFUNCTION("GOOGLEFINANCE(A93, ""low52"")"),530.5)</f>
        <v>530.5</v>
      </c>
      <c r="L93" s="9">
        <f t="shared" si="1"/>
        <v>0.3425766871</v>
      </c>
      <c r="M93" s="9">
        <f t="shared" si="2"/>
        <v>0.009990574929</v>
      </c>
      <c r="N93" s="9">
        <f t="shared" si="3"/>
        <v>0.01194956718</v>
      </c>
      <c r="O93" s="9">
        <f t="shared" si="4"/>
        <v>0.09217391304</v>
      </c>
      <c r="P93" s="9">
        <f>IFERROR(__xludf.DUMMYFUNCTION("GOOGLEFINANCE(A93, ""pe"")"),58.49)</f>
        <v>58.49</v>
      </c>
      <c r="Q93" s="9">
        <f>IFERROR(__xludf.DUMMYFUNCTION("IFERROR(GOOGLEFINANCE(A93, ""volume"") / GOOGLEFINANCE(A93, ""volumeavg""), 0)"),0.0)</f>
        <v>0</v>
      </c>
      <c r="R93" s="9">
        <f>IFERROR(__xludf.DUMMYFUNCTION("AVERAGE(INDEX(GOOGLEFINANCE(A93, ""price"", TODAY()-30, TODAY()), 0, 2))"),552.395652173913)</f>
        <v>552.3956522</v>
      </c>
      <c r="S93" s="9">
        <f>IFERROR(__xludf.DUMMYFUNCTION("AVERAGE(INDEX(GOOGLEFINANCE(A93, ""price"", TODAY()-75, TODAY()), 0, 2))"),564.8575471698115)</f>
        <v>564.8575472</v>
      </c>
      <c r="T93" s="9">
        <f>IFERROR(__xludf.DUMMYFUNCTION("AVERAGE(INDEX(GOOGLEFINANCE(A93, ""price"", TODAY()-300, TODAY()), 0, 2))"),661.6174129353233)</f>
        <v>661.6174129</v>
      </c>
      <c r="U93" s="9">
        <f t="shared" si="5"/>
        <v>-0.03004305358</v>
      </c>
      <c r="V93" s="15">
        <f>IFERROR(__xludf.DUMMYFUNCTION("LET(hist, GOOGLEFINANCE(A93,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rs))))))"),39.95680345572348)</f>
        <v>39.95680346</v>
      </c>
      <c r="W93" s="16" t="str">
        <f>IFERROR(__xludf.DUMMYFUNCTION("IFERROR(GOOGLEFINANCE(A93, ""volume"") / GOOGLEFINANCE(A93, ""volumeavg""), )"),"")</f>
        <v/>
      </c>
      <c r="X93" s="9">
        <f>IFERROR(__xludf.DUMMYFUNCTION("B93 * GOOGLEFINANCE(A93, ""volume"")"),1.2816721776E9)</f>
        <v>1281672178</v>
      </c>
      <c r="Y93" s="9">
        <f>IFERROR(__xludf.DUMMYFUNCTION("IFERROR(((B93 - GOOGLEFINANCE(A93, ""priceopen"")) / GOOGLEFINANCE(A93, ""priceopen"")) * GOOGLEFINANCE(A93, ""volume""), 0)"),-892.5641791046805)</f>
        <v>-892.5641791</v>
      </c>
    </row>
    <row r="94">
      <c r="A94" s="4" t="s">
        <v>666</v>
      </c>
      <c r="B94" s="7">
        <f>IFERROR(__xludf.DUMMYFUNCTION("GOOGLEFINANCE(A94, ""price"")"),1458.1)</f>
        <v>1458.1</v>
      </c>
      <c r="C94" s="7">
        <f>IFERROR(__xludf.DUMMYFUNCTION("GOOGLEFINANCE(A94, ""changepct"")"),-0.33)</f>
        <v>-0.33</v>
      </c>
      <c r="D94" s="9">
        <f>IFERROR(__xludf.DUMMYFUNCTION("GOOGLEFINANCE(A94, ""priceopen"")"),1460.0)</f>
        <v>1460</v>
      </c>
      <c r="E94" s="9">
        <f>IFERROR(__xludf.DUMMYFUNCTION("GOOGLEFINANCE(A94, ""high"")"),1468.8)</f>
        <v>1468.8</v>
      </c>
      <c r="F94" s="9">
        <f>IFERROR(__xludf.DUMMYFUNCTION("GOOGLEFINANCE(A94, ""low"")"),1456.1)</f>
        <v>1456.1</v>
      </c>
      <c r="G94" s="9">
        <f>IFERROR(__xludf.DUMMYFUNCTION("GOOGLEFINANCE(A94, ""price"")"),1458.1)</f>
        <v>1458.1</v>
      </c>
      <c r="H94" s="9">
        <f>IFERROR(__xludf.DUMMYFUNCTION("MAX(INDEX(GOOGLEFINANCE(A94, ""high"", TODAY()-30, TODAY()), 0, 2))"),1491.2)</f>
        <v>1491.2</v>
      </c>
      <c r="I94" s="9">
        <f>IFERROR(__xludf.DUMMYFUNCTION("MIN(INDEX(GOOGLEFINANCE(A94, ""low"", TODAY()-30, TODAY()), 0, 2))"),1366.1)</f>
        <v>1366.1</v>
      </c>
      <c r="J94" s="9">
        <f>IFERROR(__xludf.DUMMYFUNCTION("GOOGLEFINANCE(A94, ""high52"")"),1673.0)</f>
        <v>1673</v>
      </c>
      <c r="K94" s="9">
        <f>IFERROR(__xludf.DUMMYFUNCTION("GOOGLEFINANCE(A94, ""low52"")"),1165.7)</f>
        <v>1165.7</v>
      </c>
      <c r="L94" s="9">
        <f t="shared" si="1"/>
        <v>0.1284518828</v>
      </c>
      <c r="M94" s="9">
        <f t="shared" si="2"/>
        <v>0.2508364073</v>
      </c>
      <c r="N94" s="9">
        <f t="shared" si="3"/>
        <v>0.008721928439</v>
      </c>
      <c r="O94" s="9">
        <f t="shared" si="4"/>
        <v>0.7354116707</v>
      </c>
      <c r="P94" s="9">
        <f>IFERROR(__xludf.DUMMYFUNCTION("GOOGLEFINANCE(A94, ""pe"")"),34.96)</f>
        <v>34.96</v>
      </c>
      <c r="Q94" s="9">
        <f>IFERROR(__xludf.DUMMYFUNCTION("IFERROR(GOOGLEFINANCE(A94, ""volume"") / GOOGLEFINANCE(A94, ""volumeavg""), 0)"),0.0)</f>
        <v>0</v>
      </c>
      <c r="R94" s="9">
        <f>IFERROR(__xludf.DUMMYFUNCTION("AVERAGE(INDEX(GOOGLEFINANCE(A94, ""price"", TODAY()-30, TODAY()), 0, 2))"),1445.1913043478262)</f>
        <v>1445.191304</v>
      </c>
      <c r="S94" s="9">
        <f>IFERROR(__xludf.DUMMYFUNCTION("AVERAGE(INDEX(GOOGLEFINANCE(A94, ""price"", TODAY()-75, TODAY()), 0, 2))"),1425.7679245283018)</f>
        <v>1425.767925</v>
      </c>
      <c r="T94" s="9">
        <f>IFERROR(__xludf.DUMMYFUNCTION("AVERAGE(INDEX(GOOGLEFINANCE(A94, ""price"", TODAY()-300, TODAY()), 0, 2))"),1407.0732673267323)</f>
        <v>1407.073267</v>
      </c>
      <c r="U94" s="9">
        <f t="shared" si="5"/>
        <v>0.008932170857</v>
      </c>
      <c r="V94" s="15">
        <f>IFERROR(__xludf.DUMMYFUNCTION("LET(hist, GOOGLEFINANCE(A94,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rs))))))"),72.5515463917526)</f>
        <v>72.55154639</v>
      </c>
      <c r="W94" s="16" t="str">
        <f>IFERROR(__xludf.DUMMYFUNCTION("IFERROR(GOOGLEFINANCE(A94, ""volume"") / GOOGLEFINANCE(A94, ""volumeavg""), )"),"")</f>
        <v/>
      </c>
      <c r="X94" s="9">
        <f>IFERROR(__xludf.DUMMYFUNCTION("B94 * GOOGLEFINANCE(A94, ""volume"")"),9.055107200999999E8)</f>
        <v>905510720.1</v>
      </c>
      <c r="Y94" s="9">
        <f>IFERROR(__xludf.DUMMYFUNCTION("IFERROR(((B94 - GOOGLEFINANCE(A94, ""priceopen"")) / GOOGLEFINANCE(A94, ""priceopen"")) * GOOGLEFINANCE(A94, ""volume""), 0)"),-808.1780136986688)</f>
        <v>-808.1780137</v>
      </c>
    </row>
    <row r="95">
      <c r="A95" s="4" t="s">
        <v>673</v>
      </c>
      <c r="B95" s="7">
        <f>IFERROR(__xludf.DUMMYFUNCTION("GOOGLEFINANCE(A95, ""price"")"),88.26)</f>
        <v>88.26</v>
      </c>
      <c r="C95" s="7">
        <f>IFERROR(__xludf.DUMMYFUNCTION("GOOGLEFINANCE(A95, ""changepct"")"),0.4)</f>
        <v>0.4</v>
      </c>
      <c r="D95" s="9">
        <f>IFERROR(__xludf.DUMMYFUNCTION("GOOGLEFINANCE(A95, ""priceopen"")"),87.91)</f>
        <v>87.91</v>
      </c>
      <c r="E95" s="9">
        <f>IFERROR(__xludf.DUMMYFUNCTION("GOOGLEFINANCE(A95, ""high"")"),88.35)</f>
        <v>88.35</v>
      </c>
      <c r="F95" s="9">
        <f>IFERROR(__xludf.DUMMYFUNCTION("GOOGLEFINANCE(A95, ""low"")"),87.49)</f>
        <v>87.49</v>
      </c>
      <c r="G95" s="9">
        <f>IFERROR(__xludf.DUMMYFUNCTION("GOOGLEFINANCE(A95, ""price"")"),88.26)</f>
        <v>88.26</v>
      </c>
      <c r="H95" s="9">
        <f>IFERROR(__xludf.DUMMYFUNCTION("MAX(INDEX(GOOGLEFINANCE(A95, ""high"", TODAY()-30, TODAY()), 0, 2))"),90.85)</f>
        <v>90.85</v>
      </c>
      <c r="I95" s="9">
        <f>IFERROR(__xludf.DUMMYFUNCTION("MIN(INDEX(GOOGLEFINANCE(A95, ""low"", TODAY()-30, TODAY()), 0, 2))"),86.02)</f>
        <v>86.02</v>
      </c>
      <c r="J95" s="9">
        <f>IFERROR(__xludf.DUMMYFUNCTION("GOOGLEFINANCE(A95, ""high52"")"),137.17)</f>
        <v>137.17</v>
      </c>
      <c r="K95" s="9">
        <f>IFERROR(__xludf.DUMMYFUNCTION("GOOGLEFINANCE(A95, ""low52"")"),86.02)</f>
        <v>86.02</v>
      </c>
      <c r="L95" s="9">
        <f t="shared" si="1"/>
        <v>0.3565648465</v>
      </c>
      <c r="M95" s="9">
        <f t="shared" si="2"/>
        <v>0.02604045571</v>
      </c>
      <c r="N95" s="9">
        <f t="shared" si="3"/>
        <v>0.009829694822</v>
      </c>
      <c r="O95" s="9">
        <f t="shared" si="4"/>
        <v>0.4637681159</v>
      </c>
      <c r="P95" s="9">
        <f>IFERROR(__xludf.DUMMYFUNCTION("GOOGLEFINANCE(A95, ""pe"")"),16.04)</f>
        <v>16.04</v>
      </c>
      <c r="Q95" s="9">
        <f>IFERROR(__xludf.DUMMYFUNCTION("IFERROR(GOOGLEFINANCE(A95, ""volume"") / GOOGLEFINANCE(A95, ""volumeavg""), 0)"),0.0)</f>
        <v>0</v>
      </c>
      <c r="R95" s="9">
        <f>IFERROR(__xludf.DUMMYFUNCTION("AVERAGE(INDEX(GOOGLEFINANCE(A95, ""price"", TODAY()-30, TODAY()), 0, 2))"),88.57217391304349)</f>
        <v>88.57217391</v>
      </c>
      <c r="S95" s="9">
        <f>IFERROR(__xludf.DUMMYFUNCTION("AVERAGE(INDEX(GOOGLEFINANCE(A95, ""price"", TODAY()-75, TODAY()), 0, 2))"),91.86132075471697)</f>
        <v>91.86132075</v>
      </c>
      <c r="T95" s="9">
        <f>IFERROR(__xludf.DUMMYFUNCTION("AVERAGE(INDEX(GOOGLEFINANCE(A95, ""price"", TODAY()-300, TODAY()), 0, 2))"),106.06821782178217)</f>
        <v>106.0682178</v>
      </c>
      <c r="U95" s="9">
        <f t="shared" si="5"/>
        <v>-0.00352451452</v>
      </c>
      <c r="V95" s="15">
        <f>IFERROR(__xludf.DUMMYFUNCTION("LET(hist, GOOGLEFINANCE(A95,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rs))))))"),56.78059536934955)</f>
        <v>56.78059537</v>
      </c>
      <c r="W95" s="16" t="str">
        <f>IFERROR(__xludf.DUMMYFUNCTION("IFERROR(GOOGLEFINANCE(A95, ""volume"") / GOOGLEFINANCE(A95, ""volumeavg""), )"),"")</f>
        <v/>
      </c>
      <c r="X95" s="9">
        <f>IFERROR(__xludf.DUMMYFUNCTION("B95 * GOOGLEFINANCE(A95, ""volume"")"),5.1299659884000003E8)</f>
        <v>512996598.8</v>
      </c>
      <c r="Y95" s="9">
        <f>IFERROR(__xludf.DUMMYFUNCTION("IFERROR(((B95 - GOOGLEFINANCE(A95, ""priceopen"")) / GOOGLEFINANCE(A95, ""priceopen"")) * GOOGLEFINANCE(A95, ""volume""), 0)"),23140.9043339785)</f>
        <v>23140.90433</v>
      </c>
    </row>
    <row r="96">
      <c r="A96" s="4" t="s">
        <v>679</v>
      </c>
      <c r="B96" s="7">
        <f>IFERROR(__xludf.DUMMYFUNCTION("GOOGLEFINANCE(A96, ""price"")"),1905.0)</f>
        <v>1905</v>
      </c>
      <c r="C96" s="7">
        <f>IFERROR(__xludf.DUMMYFUNCTION("GOOGLEFINANCE(A96, ""changepct"")"),-4.09)</f>
        <v>-4.09</v>
      </c>
      <c r="D96" s="9">
        <f>IFERROR(__xludf.DUMMYFUNCTION("GOOGLEFINANCE(A96, ""priceopen"")"),1976.5)</f>
        <v>1976.5</v>
      </c>
      <c r="E96" s="9">
        <f>IFERROR(__xludf.DUMMYFUNCTION("GOOGLEFINANCE(A96, ""high"")"),1983.1)</f>
        <v>1983.1</v>
      </c>
      <c r="F96" s="9">
        <f>IFERROR(__xludf.DUMMYFUNCTION("GOOGLEFINANCE(A96, ""low"")"),1877.5)</f>
        <v>1877.5</v>
      </c>
      <c r="G96" s="9">
        <f>IFERROR(__xludf.DUMMYFUNCTION("GOOGLEFINANCE(A96, ""price"")"),1905.0)</f>
        <v>1905</v>
      </c>
      <c r="H96" s="9">
        <f>IFERROR(__xludf.DUMMYFUNCTION("MAX(INDEX(GOOGLEFINANCE(A96, ""high"", TODAY()-30, TODAY()), 0, 2))"),2125.0)</f>
        <v>2125</v>
      </c>
      <c r="I96" s="9">
        <f>IFERROR(__xludf.DUMMYFUNCTION("MIN(INDEX(GOOGLEFINANCE(A96, ""low"", TODAY()-30, TODAY()), 0, 2))"),1776.1)</f>
        <v>1776.1</v>
      </c>
      <c r="J96" s="9">
        <f>IFERROR(__xludf.DUMMYFUNCTION("GOOGLEFINANCE(A96, ""high52"")"),2125.0)</f>
        <v>2125</v>
      </c>
      <c r="K96" s="9">
        <f>IFERROR(__xludf.DUMMYFUNCTION("GOOGLEFINANCE(A96, ""low52"")"),1042.9)</f>
        <v>1042.9</v>
      </c>
      <c r="L96" s="9">
        <f t="shared" si="1"/>
        <v>0.1035294118</v>
      </c>
      <c r="M96" s="9">
        <f t="shared" si="2"/>
        <v>0.8266372615</v>
      </c>
      <c r="N96" s="9">
        <f t="shared" si="3"/>
        <v>0.05624500666</v>
      </c>
      <c r="O96" s="9">
        <f t="shared" si="4"/>
        <v>0.3694468329</v>
      </c>
      <c r="P96" s="9">
        <f>IFERROR(__xludf.DUMMYFUNCTION("GOOGLEFINANCE(A96, ""pe"")"),28.49)</f>
        <v>28.49</v>
      </c>
      <c r="Q96" s="9">
        <f>IFERROR(__xludf.DUMMYFUNCTION("IFERROR(GOOGLEFINANCE(A96, ""volume"") / GOOGLEFINANCE(A96, ""volumeavg""), 0)"),0.0)</f>
        <v>0</v>
      </c>
      <c r="R96" s="9">
        <f>IFERROR(__xludf.DUMMYFUNCTION("AVERAGE(INDEX(GOOGLEFINANCE(A96, ""price"", TODAY()-30, TODAY()), 0, 2))"),1965.460869565217)</f>
        <v>1965.46087</v>
      </c>
      <c r="S96" s="9">
        <f>IFERROR(__xludf.DUMMYFUNCTION("AVERAGE(INDEX(GOOGLEFINANCE(A96, ""price"", TODAY()-75, TODAY()), 0, 2))"),1851.75283018868)</f>
        <v>1851.75283</v>
      </c>
      <c r="T96" s="9">
        <f>IFERROR(__xludf.DUMMYFUNCTION("AVERAGE(INDEX(GOOGLEFINANCE(A96, ""price"", TODAY()-300, TODAY()), 0, 2))"),1486.3711442786066)</f>
        <v>1486.371144</v>
      </c>
      <c r="U96" s="9">
        <f t="shared" si="5"/>
        <v>-0.03076167554</v>
      </c>
      <c r="V96" s="15">
        <f>IFERROR(__xludf.DUMMYFUNCTION("LET(hist, GOOGLEFINANCE(A96,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rs))))))"),46.801521438450905)</f>
        <v>46.80152144</v>
      </c>
      <c r="W96" s="16" t="str">
        <f>IFERROR(__xludf.DUMMYFUNCTION("IFERROR(GOOGLEFINANCE(A96, ""volume"") / GOOGLEFINANCE(A96, ""volumeavg""), )"),"")</f>
        <v/>
      </c>
      <c r="X96" s="9">
        <f>IFERROR(__xludf.DUMMYFUNCTION("B96 * GOOGLEFINANCE(A96, ""volume"")"),2.327473755E9)</f>
        <v>2327473755</v>
      </c>
      <c r="Y96" s="9">
        <f>IFERROR(__xludf.DUMMYFUNCTION("IFERROR(((B96 - GOOGLEFINANCE(A96, ""priceopen"")) / GOOGLEFINANCE(A96, ""priceopen"")) * GOOGLEFINANCE(A96, ""volume""), 0)"),-44197.63546673412)</f>
        <v>-44197.63547</v>
      </c>
    </row>
    <row r="97">
      <c r="A97" s="4" t="s">
        <v>685</v>
      </c>
      <c r="B97" s="7">
        <f>IFERROR(__xludf.DUMMYFUNCTION("GOOGLEFINANCE(A97, ""price"")"),3580.0)</f>
        <v>3580</v>
      </c>
      <c r="C97" s="7">
        <f>IFERROR(__xludf.DUMMYFUNCTION("GOOGLEFINANCE(A97, ""changepct"")"),0.45)</f>
        <v>0.45</v>
      </c>
      <c r="D97" s="9">
        <f>IFERROR(__xludf.DUMMYFUNCTION("GOOGLEFINANCE(A97, ""priceopen"")"),3582.0)</f>
        <v>3582</v>
      </c>
      <c r="E97" s="9">
        <f>IFERROR(__xludf.DUMMYFUNCTION("GOOGLEFINANCE(A97, ""high"")"),3612.0)</f>
        <v>3612</v>
      </c>
      <c r="F97" s="9">
        <f>IFERROR(__xludf.DUMMYFUNCTION("GOOGLEFINANCE(A97, ""low"")"),3488.0)</f>
        <v>3488</v>
      </c>
      <c r="G97" s="9">
        <f>IFERROR(__xludf.DUMMYFUNCTION("GOOGLEFINANCE(A97, ""price"")"),3580.0)</f>
        <v>3580</v>
      </c>
      <c r="H97" s="9">
        <f>IFERROR(__xludf.DUMMYFUNCTION("MAX(INDEX(GOOGLEFINANCE(A97, ""high"", TODAY()-30, TODAY()), 0, 2))"),3735.0)</f>
        <v>3735</v>
      </c>
      <c r="I97" s="9">
        <f>IFERROR(__xludf.DUMMYFUNCTION("MIN(INDEX(GOOGLEFINANCE(A97, ""low"", TODAY()-30, TODAY()), 0, 2))"),3075.0)</f>
        <v>3075</v>
      </c>
      <c r="J97" s="9">
        <f>IFERROR(__xludf.DUMMYFUNCTION("GOOGLEFINANCE(A97, ""high52"")"),3968.0)</f>
        <v>3968</v>
      </c>
      <c r="K97" s="9">
        <f>IFERROR(__xludf.DUMMYFUNCTION("GOOGLEFINANCE(A97, ""low52"")"),2115.0)</f>
        <v>2115</v>
      </c>
      <c r="L97" s="9">
        <f t="shared" si="1"/>
        <v>0.09778225806</v>
      </c>
      <c r="M97" s="9">
        <f t="shared" si="2"/>
        <v>0.6926713948</v>
      </c>
      <c r="N97" s="9">
        <f t="shared" si="3"/>
        <v>0.03555045872</v>
      </c>
      <c r="O97" s="9">
        <f t="shared" si="4"/>
        <v>0.7651515152</v>
      </c>
      <c r="P97" s="9">
        <f>IFERROR(__xludf.DUMMYFUNCTION("GOOGLEFINANCE(A97, ""pe"")"),85.67)</f>
        <v>85.67</v>
      </c>
      <c r="Q97" s="9">
        <f>IFERROR(__xludf.DUMMYFUNCTION("IFERROR(GOOGLEFINANCE(A97, ""volume"") / GOOGLEFINANCE(A97, ""volumeavg""), 0)"),0.0)</f>
        <v>0</v>
      </c>
      <c r="R97" s="9">
        <f>IFERROR(__xludf.DUMMYFUNCTION("AVERAGE(INDEX(GOOGLEFINANCE(A97, ""price"", TODAY()-30, TODAY()), 0, 2))"),3356.921739130435)</f>
        <v>3356.921739</v>
      </c>
      <c r="S97" s="9">
        <f>IFERROR(__xludf.DUMMYFUNCTION("AVERAGE(INDEX(GOOGLEFINANCE(A97, ""price"", TODAY()-75, TODAY()), 0, 2))"),3498.7056603773576)</f>
        <v>3498.70566</v>
      </c>
      <c r="T97" s="9">
        <f>IFERROR(__xludf.DUMMYFUNCTION("AVERAGE(INDEX(GOOGLEFINANCE(A97, ""price"", TODAY()-300, TODAY()), 0, 2))"),3067.0504950495065)</f>
        <v>3067.050495</v>
      </c>
      <c r="U97" s="9">
        <f t="shared" si="5"/>
        <v>0.0664532206</v>
      </c>
      <c r="V97" s="15">
        <f>IFERROR(__xludf.DUMMYFUNCTION("LET(hist, GOOGLEFINANCE(A97,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rs))))))"),61.95751600772432)</f>
        <v>61.95751601</v>
      </c>
      <c r="W97" s="16" t="str">
        <f>IFERROR(__xludf.DUMMYFUNCTION("IFERROR(GOOGLEFINANCE(A97, ""volume"") / GOOGLEFINANCE(A97, ""volumeavg""), )"),"")</f>
        <v/>
      </c>
      <c r="X97" s="9">
        <f>IFERROR(__xludf.DUMMYFUNCTION("B97 * GOOGLEFINANCE(A97, ""volume"")"),1.59377662E9)</f>
        <v>1593776620</v>
      </c>
      <c r="Y97" s="9">
        <f>IFERROR(__xludf.DUMMYFUNCTION("IFERROR(((B97 - GOOGLEFINANCE(A97, ""priceopen"")) / GOOGLEFINANCE(A97, ""priceopen"")) * GOOGLEFINANCE(A97, ""volume""), 0)"),-248.57007258514795)</f>
        <v>-248.5700726</v>
      </c>
    </row>
    <row r="98">
      <c r="A98" s="4" t="s">
        <v>691</v>
      </c>
      <c r="B98" s="7">
        <f>IFERROR(__xludf.DUMMYFUNCTION("GOOGLEFINANCE(A98, ""price"")"),1200.1)</f>
        <v>1200.1</v>
      </c>
      <c r="C98" s="7">
        <f>IFERROR(__xludf.DUMMYFUNCTION("GOOGLEFINANCE(A98, ""changepct"")"),0.76)</f>
        <v>0.76</v>
      </c>
      <c r="D98" s="9">
        <f>IFERROR(__xludf.DUMMYFUNCTION("GOOGLEFINANCE(A98, ""priceopen"")"),1190.0)</f>
        <v>1190</v>
      </c>
      <c r="E98" s="9">
        <f>IFERROR(__xludf.DUMMYFUNCTION("GOOGLEFINANCE(A98, ""high"")"),1205.0)</f>
        <v>1205</v>
      </c>
      <c r="F98" s="9">
        <f>IFERROR(__xludf.DUMMYFUNCTION("GOOGLEFINANCE(A98, ""low"")"),1151.0)</f>
        <v>1151</v>
      </c>
      <c r="G98" s="9">
        <f>IFERROR(__xludf.DUMMYFUNCTION("GOOGLEFINANCE(A98, ""price"")"),1200.1)</f>
        <v>1200.1</v>
      </c>
      <c r="H98" s="9">
        <f>IFERROR(__xludf.DUMMYFUNCTION("MAX(INDEX(GOOGLEFINANCE(A98, ""high"", TODAY()-30, TODAY()), 0, 2))"),1205.0)</f>
        <v>1205</v>
      </c>
      <c r="I98" s="9">
        <f>IFERROR(__xludf.DUMMYFUNCTION("MIN(INDEX(GOOGLEFINANCE(A98, ""low"", TODAY()-30, TODAY()), 0, 2))"),1093.2)</f>
        <v>1093.2</v>
      </c>
      <c r="J98" s="9">
        <f>IFERROR(__xludf.DUMMYFUNCTION("GOOGLEFINANCE(A98, ""high52"")"),1205.0)</f>
        <v>1205</v>
      </c>
      <c r="K98" s="9">
        <f>IFERROR(__xludf.DUMMYFUNCTION("GOOGLEFINANCE(A98, ""low52"")"),835.5)</f>
        <v>835.5</v>
      </c>
      <c r="L98" s="9">
        <f t="shared" si="1"/>
        <v>0.004066390041</v>
      </c>
      <c r="M98" s="9">
        <f t="shared" si="2"/>
        <v>0.436385398</v>
      </c>
      <c r="N98" s="9">
        <f t="shared" si="3"/>
        <v>0.04691572546</v>
      </c>
      <c r="O98" s="9">
        <f t="shared" si="4"/>
        <v>0.9561717352</v>
      </c>
      <c r="P98" s="9">
        <f>IFERROR(__xludf.DUMMYFUNCTION("GOOGLEFINANCE(A98, ""pe"")"),23.96)</f>
        <v>23.96</v>
      </c>
      <c r="Q98" s="9">
        <f>IFERROR(__xludf.DUMMYFUNCTION("IFERROR(GOOGLEFINANCE(A98, ""volume"") / GOOGLEFINANCE(A98, ""volumeavg""), 0)"),0.0)</f>
        <v>0</v>
      </c>
      <c r="R98" s="9">
        <f>IFERROR(__xludf.DUMMYFUNCTION("AVERAGE(INDEX(GOOGLEFINANCE(A98, ""price"", TODAY()-30, TODAY()), 0, 2))"),1132.2434782608696)</f>
        <v>1132.243478</v>
      </c>
      <c r="S98" s="9">
        <f>IFERROR(__xludf.DUMMYFUNCTION("AVERAGE(INDEX(GOOGLEFINANCE(A98, ""price"", TODAY()-75, TODAY()), 0, 2))"),1116.1339622641508)</f>
        <v>1116.133962</v>
      </c>
      <c r="T98" s="9">
        <f>IFERROR(__xludf.DUMMYFUNCTION("AVERAGE(INDEX(GOOGLEFINANCE(A98, ""price"", TODAY()-300, TODAY()), 0, 2))"),977.6762376237624)</f>
        <v>977.6762376</v>
      </c>
      <c r="U98" s="9">
        <f t="shared" si="5"/>
        <v>0.05993103342</v>
      </c>
      <c r="V98" s="15">
        <f>IFERROR(__xludf.DUMMYFUNCTION("LET(hist, GOOGLEFINANCE(A98,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rs))))))"),73.84937238493724)</f>
        <v>73.84937238</v>
      </c>
      <c r="W98" s="16" t="str">
        <f>IFERROR(__xludf.DUMMYFUNCTION("IFERROR(GOOGLEFINANCE(A98, ""volume"") / GOOGLEFINANCE(A98, ""volumeavg""), )"),"")</f>
        <v/>
      </c>
      <c r="X98" s="9">
        <f>IFERROR(__xludf.DUMMYFUNCTION("B98 * GOOGLEFINANCE(A98, ""volume"")"),5.481490352799999E9)</f>
        <v>5481490353</v>
      </c>
      <c r="Y98" s="9">
        <f>IFERROR(__xludf.DUMMYFUNCTION("IFERROR(((B98 - GOOGLEFINANCE(A98, ""priceopen"")) / GOOGLEFINANCE(A98, ""priceopen"")) * GOOGLEFINANCE(A98, ""volume""), 0)"),38766.41411764671)</f>
        <v>38766.41412</v>
      </c>
    </row>
    <row r="99">
      <c r="A99" s="4" t="s">
        <v>698</v>
      </c>
      <c r="B99" s="7">
        <f>IFERROR(__xludf.DUMMYFUNCTION("GOOGLEFINANCE(A99, ""price"")"),131.72)</f>
        <v>131.72</v>
      </c>
      <c r="C99" s="7">
        <f>IFERROR(__xludf.DUMMYFUNCTION("GOOGLEFINANCE(A99, ""changepct"")"),1.09)</f>
        <v>1.09</v>
      </c>
      <c r="D99" s="9">
        <f>IFERROR(__xludf.DUMMYFUNCTION("GOOGLEFINANCE(A99, ""priceopen"")"),130.0)</f>
        <v>130</v>
      </c>
      <c r="E99" s="9">
        <f>IFERROR(__xludf.DUMMYFUNCTION("GOOGLEFINANCE(A99, ""high"")"),133.11)</f>
        <v>133.11</v>
      </c>
      <c r="F99" s="9">
        <f>IFERROR(__xludf.DUMMYFUNCTION("GOOGLEFINANCE(A99, ""low"")"),129.6)</f>
        <v>129.6</v>
      </c>
      <c r="G99" s="9">
        <f>IFERROR(__xludf.DUMMYFUNCTION("GOOGLEFINANCE(A99, ""price"")"),131.72)</f>
        <v>131.72</v>
      </c>
      <c r="H99" s="9">
        <f>IFERROR(__xludf.DUMMYFUNCTION("MAX(INDEX(GOOGLEFINANCE(A99, ""high"", TODAY()-30, TODAY()), 0, 2))"),133.11)</f>
        <v>133.11</v>
      </c>
      <c r="I99" s="9">
        <f>IFERROR(__xludf.DUMMYFUNCTION("MIN(INDEX(GOOGLEFINANCE(A99, ""low"", TODAY()-30, TODAY()), 0, 2))"),123.0)</f>
        <v>123</v>
      </c>
      <c r="J99" s="9">
        <f>IFERROR(__xludf.DUMMYFUNCTION("GOOGLEFINANCE(A99, ""high52"")"),162.89)</f>
        <v>162.89</v>
      </c>
      <c r="K99" s="9">
        <f>IFERROR(__xludf.DUMMYFUNCTION("GOOGLEFINANCE(A99, ""low52"")"),103.55)</f>
        <v>103.55</v>
      </c>
      <c r="L99" s="9">
        <f t="shared" si="1"/>
        <v>0.1913561299</v>
      </c>
      <c r="M99" s="9">
        <f t="shared" si="2"/>
        <v>0.2720424915</v>
      </c>
      <c r="N99" s="9">
        <f t="shared" si="3"/>
        <v>0.02708333333</v>
      </c>
      <c r="O99" s="9">
        <f t="shared" si="4"/>
        <v>0.862512364</v>
      </c>
      <c r="P99" s="9">
        <f>IFERROR(__xludf.DUMMYFUNCTION("GOOGLEFINANCE(A99, ""pe"")"),6.02)</f>
        <v>6.02</v>
      </c>
      <c r="Q99" s="9">
        <f>IFERROR(__xludf.DUMMYFUNCTION("IFERROR(GOOGLEFINANCE(A99, ""volume"") / GOOGLEFINANCE(A99, ""volumeavg""), 0)"),0.0)</f>
        <v>0</v>
      </c>
      <c r="R99" s="9">
        <f>IFERROR(__xludf.DUMMYFUNCTION("AVERAGE(INDEX(GOOGLEFINANCE(A99, ""price"", TODAY()-30, TODAY()), 0, 2))"),127.41565217391302)</f>
        <v>127.4156522</v>
      </c>
      <c r="S99" s="9">
        <f>IFERROR(__xludf.DUMMYFUNCTION("AVERAGE(INDEX(GOOGLEFINANCE(A99, ""price"", TODAY()-75, TODAY()), 0, 2))"),128.98547169811323)</f>
        <v>128.9854717</v>
      </c>
      <c r="T99" s="9">
        <f>IFERROR(__xludf.DUMMYFUNCTION("AVERAGE(INDEX(GOOGLEFINANCE(A99, ""price"", TODAY()-300, TODAY()), 0, 2))"),139.1182178217822)</f>
        <v>139.1182178</v>
      </c>
      <c r="U99" s="9">
        <f t="shared" si="5"/>
        <v>0.03378193929</v>
      </c>
      <c r="V99" s="15">
        <f>IFERROR(__xludf.DUMMYFUNCTION("LET(hist, GOOGLEFINANCE(A99, ""price"", TODAY()-30, TODAY()), prices, QUERY(hist, ""select Col2 offset 1"", 0), count, ROWS(prices), IF(count&lt;15, NA(), LET(changes, MAP(SEQUENCE(count-1), LAMBDA(i, INDEX(prices, i+1) - INDEX(prices, i))), gains, MAP(chang"&amp;"es, LAMBDA(c, MAX(c, 0))), losses, MAP(changes, LAMBDA(c, MAX(-c, 0))), avg_gain, AVERAGE(CHOOSEROWS(gains, SEQUENCE(14, 1, count-14))), avg_loss, AVERAGE(CHOOSEROWS(losses, SEQUENCE(14, 1, count-14))), rs, IFERROR(avg_gain / avg_loss, 0), IF(avg_loss=0, "&amp;"100, 100 - (100 / (1 + rs))))))"),67.29591836734694)</f>
        <v>67.29591837</v>
      </c>
      <c r="W99" s="16" t="str">
        <f>IFERROR(__xludf.DUMMYFUNCTION("IFERROR(GOOGLEFINANCE(A99, ""volume"") / GOOGLEFINANCE(A99, ""volumeavg""), )"),"")</f>
        <v/>
      </c>
      <c r="X99" s="9">
        <f>IFERROR(__xludf.DUMMYFUNCTION("B99 * GOOGLEFINANCE(A99, ""volume"")"),3.49620167788E9)</f>
        <v>3496201678</v>
      </c>
      <c r="Y99" s="9">
        <f>IFERROR(__xludf.DUMMYFUNCTION("IFERROR(((B99 - GOOGLEFINANCE(A99, ""priceopen"")) / GOOGLEFINANCE(A99, ""priceopen"")) * GOOGLEFINANCE(A99, ""volume""), 0)"),351180.06061538437)</f>
        <v>351180.0606</v>
      </c>
    </row>
    <row r="100">
      <c r="A100" s="4" t="s">
        <v>705</v>
      </c>
      <c r="B100" s="7">
        <f>IFERROR(__xludf.DUMMYFUNCTION("GOOGLEFINANCE(A100, ""price"")"),849.4)</f>
        <v>849.4</v>
      </c>
      <c r="C100" s="7">
        <f>IFERROR(__xludf.DUMMYFUNCTION("GOOGLEFINANCE(A100, ""changepct"")"),-0.65)</f>
        <v>-0.65</v>
      </c>
      <c r="D100" s="9">
        <f>IFERROR(__xludf.DUMMYFUNCTION("GOOGLEFINANCE(A100, ""priceopen"")"),855.0)</f>
        <v>855</v>
      </c>
      <c r="E100" s="9">
        <f>IFERROR(__xludf.DUMMYFUNCTION("GOOGLEFINANCE(A100, ""high"")"),857.05)</f>
        <v>857.05</v>
      </c>
      <c r="F100" s="9">
        <f>IFERROR(__xludf.DUMMYFUNCTION("GOOGLEFINANCE(A100, ""low"")"),839.05)</f>
        <v>839.05</v>
      </c>
      <c r="G100" s="9">
        <f>IFERROR(__xludf.DUMMYFUNCTION("GOOGLEFINANCE(A100, ""price"")"),849.4)</f>
        <v>849.4</v>
      </c>
      <c r="H100" s="9">
        <f>IFERROR(__xludf.DUMMYFUNCTION("MAX(INDEX(GOOGLEFINANCE(A100, ""high"", TODAY()-30, TODAY()), 0, 2))"),889.1)</f>
        <v>889.1</v>
      </c>
      <c r="I100" s="9">
        <f>IFERROR(__xludf.DUMMYFUNCTION("MIN(INDEX(GOOGLEFINANCE(A100, ""low"", TODAY()-30, TODAY()), 0, 2))"),829.9)</f>
        <v>829.9</v>
      </c>
      <c r="J100" s="9">
        <f>IFERROR(__xludf.DUMMYFUNCTION("GOOGLEFINANCE(A100, ""high52"")"),889.1)</f>
        <v>889.1</v>
      </c>
      <c r="K100" s="9">
        <f>IFERROR(__xludf.DUMMYFUNCTION("GOOGLEFINANCE(A100, ""low52"")"),690.3)</f>
        <v>690.3</v>
      </c>
      <c r="L100" s="9">
        <f t="shared" si="1"/>
        <v>0.04465189517</v>
      </c>
      <c r="M100" s="9">
        <f t="shared" si="2"/>
        <v>0.2304795017</v>
      </c>
      <c r="N100" s="9">
        <f t="shared" si="3"/>
        <v>0.02145283356</v>
      </c>
      <c r="O100" s="9">
        <f t="shared" si="4"/>
        <v>0.3293918919</v>
      </c>
      <c r="P100" s="9">
        <f>IFERROR(__xludf.DUMMYFUNCTION("GOOGLEFINANCE(A100, ""pe"")"),58.38)</f>
        <v>58.38</v>
      </c>
      <c r="Q100" s="9">
        <f>IFERROR(__xludf.DUMMYFUNCTION("IFERROR(GOOGLEFINANCE(A100, ""volume"") / GOOGLEFINANCE(A100, ""volumeavg""), 0)"),0.0)</f>
        <v>0</v>
      </c>
      <c r="R100" s="9">
        <f>IFERROR(__xludf.DUMMYFUNCTION("AVERAGE(INDEX(GOOGLEFINANCE(A100, ""price"", TODAY()-30, TODAY()), 0, 2))"),860.1369565217392)</f>
        <v>860.1369565</v>
      </c>
      <c r="S100" s="9">
        <f>IFERROR(__xludf.DUMMYFUNCTION("AVERAGE(INDEX(GOOGLEFINANCE(A100, ""price"", TODAY()-75, TODAY()), 0, 2))"),840.2264150943395)</f>
        <v>840.2264151</v>
      </c>
      <c r="T100" s="9">
        <f>IFERROR(__xludf.DUMMYFUNCTION("AVERAGE(INDEX(GOOGLEFINANCE(A100, ""price"", TODAY()-300, TODAY()), 0, 2))"),779.9831683168319)</f>
        <v>779.9831683</v>
      </c>
      <c r="U100" s="9">
        <f t="shared" si="5"/>
        <v>-0.01248284525</v>
      </c>
      <c r="V100" s="15">
        <f>IFERROR(__xludf.DUMMYFUNCTION("LET(hist, GOOGLEFINANCE(A100,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rs))))))"),50.78124999999998)</f>
        <v>50.78125</v>
      </c>
      <c r="W100" s="16" t="str">
        <f>IFERROR(__xludf.DUMMYFUNCTION("IFERROR(GOOGLEFINANCE(A100, ""volume"") / GOOGLEFINANCE(A100, ""volumeavg""), )"),"")</f>
        <v/>
      </c>
      <c r="X100" s="9">
        <f>IFERROR(__xludf.DUMMYFUNCTION("B100 * GOOGLEFINANCE(A100, ""volume"")"),1.5039077182E9)</f>
        <v>1503907718</v>
      </c>
      <c r="Y100" s="9">
        <f>IFERROR(__xludf.DUMMYFUNCTION("IFERROR(((B100 - GOOGLEFINANCE(A100, ""priceopen"")) / GOOGLEFINANCE(A100, ""priceopen"")) * GOOGLEFINANCE(A100, ""volume""), 0)"),-11596.604444444492)</f>
        <v>-11596.60444</v>
      </c>
    </row>
    <row r="101">
      <c r="A101" s="4" t="s">
        <v>712</v>
      </c>
      <c r="B101" s="7">
        <f>IFERROR(__xludf.DUMMYFUNCTION("GOOGLEFINANCE(A101, ""price"")"),890.95)</f>
        <v>890.95</v>
      </c>
      <c r="C101" s="7">
        <f>IFERROR(__xludf.DUMMYFUNCTION("GOOGLEFINANCE(A101, ""changepct"")"),1.75)</f>
        <v>1.75</v>
      </c>
      <c r="D101" s="9">
        <f>IFERROR(__xludf.DUMMYFUNCTION("GOOGLEFINANCE(A101, ""priceopen"")"),875.6)</f>
        <v>875.6</v>
      </c>
      <c r="E101" s="9">
        <f>IFERROR(__xludf.DUMMYFUNCTION("GOOGLEFINANCE(A101, ""high"")"),897.65)</f>
        <v>897.65</v>
      </c>
      <c r="F101" s="9">
        <f>IFERROR(__xludf.DUMMYFUNCTION("GOOGLEFINANCE(A101, ""low"")"),873.1)</f>
        <v>873.1</v>
      </c>
      <c r="G101" s="9">
        <f>IFERROR(__xludf.DUMMYFUNCTION("GOOGLEFINANCE(A101, ""price"")"),890.95)</f>
        <v>890.95</v>
      </c>
      <c r="H101" s="9">
        <f>IFERROR(__xludf.DUMMYFUNCTION("MAX(INDEX(GOOGLEFINANCE(A101, ""high"", TODAY()-30, TODAY()), 0, 2))"),901.8)</f>
        <v>901.8</v>
      </c>
      <c r="I101" s="9">
        <f>IFERROR(__xludf.DUMMYFUNCTION("MIN(INDEX(GOOGLEFINANCE(A101, ""low"", TODAY()-30, TODAY()), 0, 2))"),814.55)</f>
        <v>814.55</v>
      </c>
      <c r="J101" s="9">
        <f>IFERROR(__xludf.DUMMYFUNCTION("GOOGLEFINANCE(A101, ""high52"")"),1000.9)</f>
        <v>1000.9</v>
      </c>
      <c r="K101" s="9">
        <f>IFERROR(__xludf.DUMMYFUNCTION("GOOGLEFINANCE(A101, ""low52"")"),642.6)</f>
        <v>642.6</v>
      </c>
      <c r="L101" s="9">
        <f t="shared" si="1"/>
        <v>0.109851134</v>
      </c>
      <c r="M101" s="9">
        <f t="shared" si="2"/>
        <v>0.3864768129</v>
      </c>
      <c r="N101" s="9">
        <f t="shared" si="3"/>
        <v>0.02811819952</v>
      </c>
      <c r="O101" s="9">
        <f t="shared" si="4"/>
        <v>0.8756446991</v>
      </c>
      <c r="P101" s="9">
        <f>IFERROR(__xludf.DUMMYFUNCTION("GOOGLEFINANCE(A101, ""pe"")"),9.39)</f>
        <v>9.39</v>
      </c>
      <c r="Q101" s="9">
        <f>IFERROR(__xludf.DUMMYFUNCTION("IFERROR(GOOGLEFINANCE(A101, ""volume"") / GOOGLEFINANCE(A101, ""volumeavg""), 0)"),0.0)</f>
        <v>0</v>
      </c>
      <c r="R101" s="9">
        <f>IFERROR(__xludf.DUMMYFUNCTION("AVERAGE(INDEX(GOOGLEFINANCE(A101, ""price"", TODAY()-30, TODAY()), 0, 2))"),846.9021739130435)</f>
        <v>846.9021739</v>
      </c>
      <c r="S101" s="9">
        <f>IFERROR(__xludf.DUMMYFUNCTION("AVERAGE(INDEX(GOOGLEFINANCE(A101, ""price"", TODAY()-75, TODAY()), 0, 2))"),839.2650943396228)</f>
        <v>839.2650943</v>
      </c>
      <c r="T101" s="9">
        <f>IFERROR(__xludf.DUMMYFUNCTION("AVERAGE(INDEX(GOOGLEFINANCE(A101, ""price"", TODAY()-300, TODAY()), 0, 2))"),859.620792079208)</f>
        <v>859.6207921</v>
      </c>
      <c r="U101" s="9">
        <f t="shared" si="5"/>
        <v>0.05201052429</v>
      </c>
      <c r="V101" s="15">
        <f>IFERROR(__xludf.DUMMYFUNCTION("LET(hist, GOOGLEFINANCE(A101,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rs))))))"),80.59701492537319)</f>
        <v>80.59701493</v>
      </c>
      <c r="W101" s="16" t="str">
        <f>IFERROR(__xludf.DUMMYFUNCTION("IFERROR(GOOGLEFINANCE(A101, ""volume"") / GOOGLEFINANCE(A101, ""volumeavg""), )"),"")</f>
        <v/>
      </c>
      <c r="X101" s="9">
        <f>IFERROR(__xludf.DUMMYFUNCTION("B101 * GOOGLEFINANCE(A101, ""volume"")"),1.8497752438500001E9)</f>
        <v>1849775244</v>
      </c>
      <c r="Y101" s="9">
        <f>IFERROR(__xludf.DUMMYFUNCTION("IFERROR(((B101 - GOOGLEFINANCE(A101, ""priceopen"")) / GOOGLEFINANCE(A101, ""priceopen"")) * GOOGLEFINANCE(A101, ""volume""), 0)"),36397.223675194204)</f>
        <v>36397.22368</v>
      </c>
    </row>
    <row r="102">
      <c r="A102" s="4" t="s">
        <v>718</v>
      </c>
      <c r="B102" s="7">
        <f>IFERROR(__xludf.DUMMYFUNCTION("GOOGLEFINANCE(A102, ""price"")"),1105.0)</f>
        <v>1105</v>
      </c>
      <c r="C102" s="7">
        <f>IFERROR(__xludf.DUMMYFUNCTION("GOOGLEFINANCE(A102, ""changepct"")"),0.91)</f>
        <v>0.91</v>
      </c>
      <c r="D102" s="9">
        <f>IFERROR(__xludf.DUMMYFUNCTION("GOOGLEFINANCE(A102, ""priceopen"")"),1096.0)</f>
        <v>1096</v>
      </c>
      <c r="E102" s="9">
        <f>IFERROR(__xludf.DUMMYFUNCTION("GOOGLEFINANCE(A102, ""high"")"),1112.0)</f>
        <v>1112</v>
      </c>
      <c r="F102" s="9">
        <f>IFERROR(__xludf.DUMMYFUNCTION("GOOGLEFINANCE(A102, ""low"")"),1093.2)</f>
        <v>1093.2</v>
      </c>
      <c r="G102" s="9">
        <f>IFERROR(__xludf.DUMMYFUNCTION("GOOGLEFINANCE(A102, ""price"")"),1105.0)</f>
        <v>1105</v>
      </c>
      <c r="H102" s="9">
        <f>IFERROR(__xludf.DUMMYFUNCTION("MAX(INDEX(GOOGLEFINANCE(A102, ""high"", TODAY()-30, TODAY()), 0, 2))"),1128.3)</f>
        <v>1128.3</v>
      </c>
      <c r="I102" s="9">
        <f>IFERROR(__xludf.DUMMYFUNCTION("MIN(INDEX(GOOGLEFINANCE(A102, ""low"", TODAY()-30, TODAY()), 0, 2))"),1010.1)</f>
        <v>1010.1</v>
      </c>
      <c r="J102" s="9">
        <f>IFERROR(__xludf.DUMMYFUNCTION("GOOGLEFINANCE(A102, ""high52"")"),1306.2)</f>
        <v>1306.2</v>
      </c>
      <c r="K102" s="9">
        <f>IFERROR(__xludf.DUMMYFUNCTION("GOOGLEFINANCE(A102, ""low52"")"),943.3)</f>
        <v>943.3</v>
      </c>
      <c r="L102" s="9">
        <f t="shared" si="1"/>
        <v>0.1540346042</v>
      </c>
      <c r="M102" s="9">
        <f t="shared" si="2"/>
        <v>0.1714194848</v>
      </c>
      <c r="N102" s="9">
        <f t="shared" si="3"/>
        <v>0.01719721917</v>
      </c>
      <c r="O102" s="9">
        <f t="shared" si="4"/>
        <v>0.8028764805</v>
      </c>
      <c r="P102" s="9">
        <f>IFERROR(__xludf.DUMMYFUNCTION("GOOGLEFINANCE(A102, ""pe"")"),41.57)</f>
        <v>41.57</v>
      </c>
      <c r="Q102" s="9">
        <f>IFERROR(__xludf.DUMMYFUNCTION("IFERROR(GOOGLEFINANCE(A102, ""volume"") / GOOGLEFINANCE(A102, ""volumeavg""), 0)"),0.0)</f>
        <v>0</v>
      </c>
      <c r="R102" s="9">
        <f>IFERROR(__xludf.DUMMYFUNCTION("AVERAGE(INDEX(GOOGLEFINANCE(A102, ""price"", TODAY()-30, TODAY()), 0, 2))"),1071.6608695652174)</f>
        <v>1071.66087</v>
      </c>
      <c r="S102" s="9">
        <f>IFERROR(__xludf.DUMMYFUNCTION("AVERAGE(INDEX(GOOGLEFINANCE(A102, ""price"", TODAY()-75, TODAY()), 0, 2))"),1095.5905660377357)</f>
        <v>1095.590566</v>
      </c>
      <c r="T102" s="9">
        <f>IFERROR(__xludf.DUMMYFUNCTION("AVERAGE(INDEX(GOOGLEFINANCE(A102, ""price"", TODAY()-300, TODAY()), 0, 2))"),1118.8267326732669)</f>
        <v>1118.826733</v>
      </c>
      <c r="U102" s="9">
        <f t="shared" si="5"/>
        <v>0.03110977678</v>
      </c>
      <c r="V102" s="15">
        <f>IFERROR(__xludf.DUMMYFUNCTION("LET(hist, GOOGLEFINANCE(A102,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rs))))))"),66.61925082977712)</f>
        <v>66.61925083</v>
      </c>
      <c r="W102" s="16" t="str">
        <f>IFERROR(__xludf.DUMMYFUNCTION("IFERROR(GOOGLEFINANCE(A102, ""volume"") / GOOGLEFINANCE(A102, ""volumeavg""), )"),"")</f>
        <v/>
      </c>
      <c r="X102" s="9">
        <f>IFERROR(__xludf.DUMMYFUNCTION("B102 * GOOGLEFINANCE(A102, ""volume"")"),4.3816123E8)</f>
        <v>438161230</v>
      </c>
      <c r="Y102" s="9">
        <f>IFERROR(__xludf.DUMMYFUNCTION("IFERROR(((B102 - GOOGLEFINANCE(A102, ""priceopen"")) / GOOGLEFINANCE(A102, ""priceopen"")) * GOOGLEFINANCE(A102, ""volume""), 0)"),3256.144160583942)</f>
        <v>3256.144161</v>
      </c>
    </row>
    <row r="103">
      <c r="A103" s="4" t="s">
        <v>725</v>
      </c>
      <c r="B103" s="7">
        <f>IFERROR(__xludf.DUMMYFUNCTION("GOOGLEFINANCE(A103, ""price"")"),2485.0)</f>
        <v>2485</v>
      </c>
      <c r="C103" s="7">
        <f>IFERROR(__xludf.DUMMYFUNCTION("GOOGLEFINANCE(A103, ""changepct"")"),-1.19)</f>
        <v>-1.19</v>
      </c>
      <c r="D103" s="9">
        <f>IFERROR(__xludf.DUMMYFUNCTION("GOOGLEFINANCE(A103, ""priceopen"")"),2520.0)</f>
        <v>2520</v>
      </c>
      <c r="E103" s="9">
        <f>IFERROR(__xludf.DUMMYFUNCTION("GOOGLEFINANCE(A103, ""high"")"),2520.0)</f>
        <v>2520</v>
      </c>
      <c r="F103" s="9">
        <f>IFERROR(__xludf.DUMMYFUNCTION("GOOGLEFINANCE(A103, ""low"")"),2482.3)</f>
        <v>2482.3</v>
      </c>
      <c r="G103" s="9">
        <f>IFERROR(__xludf.DUMMYFUNCTION("GOOGLEFINANCE(A103, ""price"")"),2485.0)</f>
        <v>2485</v>
      </c>
      <c r="H103" s="9">
        <f>IFERROR(__xludf.DUMMYFUNCTION("MAX(INDEX(GOOGLEFINANCE(A103, ""high"", TODAY()-30, TODAY()), 0, 2))"),2767.3)</f>
        <v>2767.3</v>
      </c>
      <c r="I103" s="9">
        <f>IFERROR(__xludf.DUMMYFUNCTION("MIN(INDEX(GOOGLEFINANCE(A103, ""low"", TODAY()-30, TODAY()), 0, 2))"),2468.5)</f>
        <v>2468.5</v>
      </c>
      <c r="J103" s="9">
        <f>IFERROR(__xludf.DUMMYFUNCTION("GOOGLEFINANCE(A103, ""high52"")"),2967.25)</f>
        <v>2967.25</v>
      </c>
      <c r="K103" s="9">
        <f>IFERROR(__xludf.DUMMYFUNCTION("GOOGLEFINANCE(A103, ""low52"")"),2205.6)</f>
        <v>2205.6</v>
      </c>
      <c r="L103" s="9">
        <f t="shared" si="1"/>
        <v>0.1625242228</v>
      </c>
      <c r="M103" s="9">
        <f t="shared" si="2"/>
        <v>0.1266775481</v>
      </c>
      <c r="N103" s="9">
        <f t="shared" si="3"/>
        <v>0.0151875277</v>
      </c>
      <c r="O103" s="9">
        <f t="shared" si="4"/>
        <v>0.05522088353</v>
      </c>
      <c r="P103" s="9">
        <f>IFERROR(__xludf.DUMMYFUNCTION("GOOGLEFINANCE(A103, ""pe"")"),36.26)</f>
        <v>36.26</v>
      </c>
      <c r="Q103" s="9">
        <f>IFERROR(__xludf.DUMMYFUNCTION("IFERROR(GOOGLEFINANCE(A103, ""volume"") / GOOGLEFINANCE(A103, ""volumeavg""), 0)"),0.0)</f>
        <v>0</v>
      </c>
      <c r="R103" s="9">
        <f>IFERROR(__xludf.DUMMYFUNCTION("AVERAGE(INDEX(GOOGLEFINANCE(A103, ""price"", TODAY()-30, TODAY()), 0, 2))"),2579.6565217391308)</f>
        <v>2579.656522</v>
      </c>
      <c r="S103" s="9">
        <f>IFERROR(__xludf.DUMMYFUNCTION("AVERAGE(INDEX(GOOGLEFINANCE(A103, ""price"", TODAY()-75, TODAY()), 0, 2))"),2610.1396226415086)</f>
        <v>2610.139623</v>
      </c>
      <c r="T103" s="9">
        <f>IFERROR(__xludf.DUMMYFUNCTION("AVERAGE(INDEX(GOOGLEFINANCE(A103, ""price"", TODAY()-300, TODAY()), 0, 2))"),2633.6292079207924)</f>
        <v>2633.629208</v>
      </c>
      <c r="U103" s="9">
        <f t="shared" si="5"/>
        <v>-0.03669345936</v>
      </c>
      <c r="V103" s="15">
        <f>IFERROR(__xludf.DUMMYFUNCTION("LET(hist, GOOGLEFINANCE(A103,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rs))))))"),47.22634233165236)</f>
        <v>47.22634233</v>
      </c>
      <c r="W103" s="16" t="str">
        <f>IFERROR(__xludf.DUMMYFUNCTION("IFERROR(GOOGLEFINANCE(A103, ""volume"") / GOOGLEFINANCE(A103, ""volumeavg""), )"),"")</f>
        <v/>
      </c>
      <c r="X103" s="9">
        <f>IFERROR(__xludf.DUMMYFUNCTION("B103 * GOOGLEFINANCE(A103, ""volume"")"),2.210345375E9)</f>
        <v>2210345375</v>
      </c>
      <c r="Y103" s="9">
        <f>IFERROR(__xludf.DUMMYFUNCTION("IFERROR(((B103 - GOOGLEFINANCE(A103, ""priceopen"")) / GOOGLEFINANCE(A103, ""priceopen"")) * GOOGLEFINANCE(A103, ""volume""), 0)"),-12353.819444444443)</f>
        <v>-12353.81944</v>
      </c>
    </row>
    <row r="104">
      <c r="A104" s="4" t="s">
        <v>731</v>
      </c>
      <c r="B104" s="7">
        <f>IFERROR(__xludf.DUMMYFUNCTION("GOOGLEFINANCE(A104, ""price"")"),104.02)</f>
        <v>104.02</v>
      </c>
      <c r="C104" s="7">
        <f>IFERROR(__xludf.DUMMYFUNCTION("GOOGLEFINANCE(A104, ""changepct"")"),-1.04)</f>
        <v>-1.04</v>
      </c>
      <c r="D104" s="9">
        <f>IFERROR(__xludf.DUMMYFUNCTION("GOOGLEFINANCE(A104, ""priceopen"")"),105.11)</f>
        <v>105.11</v>
      </c>
      <c r="E104" s="9">
        <f>IFERROR(__xludf.DUMMYFUNCTION("GOOGLEFINANCE(A104, ""high"")"),106.29)</f>
        <v>106.29</v>
      </c>
      <c r="F104" s="9">
        <f>IFERROR(__xludf.DUMMYFUNCTION("GOOGLEFINANCE(A104, ""low"")"),102.15)</f>
        <v>102.15</v>
      </c>
      <c r="G104" s="9">
        <f>IFERROR(__xludf.DUMMYFUNCTION("GOOGLEFINANCE(A104, ""price"")"),104.02)</f>
        <v>104.02</v>
      </c>
      <c r="H104" s="9">
        <f>IFERROR(__xludf.DUMMYFUNCTION("MAX(INDEX(GOOGLEFINANCE(A104, ""high"", TODAY()-30, TODAY()), 0, 2))"),114.99)</f>
        <v>114.99</v>
      </c>
      <c r="I104" s="9">
        <f>IFERROR(__xludf.DUMMYFUNCTION("MIN(INDEX(GOOGLEFINANCE(A104, ""low"", TODAY()-30, TODAY()), 0, 2))"),102.15)</f>
        <v>102.15</v>
      </c>
      <c r="J104" s="9">
        <f>IFERROR(__xludf.DUMMYFUNCTION("GOOGLEFINANCE(A104, ""high52"")"),115.64)</f>
        <v>115.64</v>
      </c>
      <c r="K104" s="9">
        <f>IFERROR(__xludf.DUMMYFUNCTION("GOOGLEFINANCE(A104, ""low52"")"),84.11)</f>
        <v>84.11</v>
      </c>
      <c r="L104" s="9">
        <f t="shared" si="1"/>
        <v>0.1004842615</v>
      </c>
      <c r="M104" s="9">
        <f t="shared" si="2"/>
        <v>0.2367138271</v>
      </c>
      <c r="N104" s="9">
        <f t="shared" si="3"/>
        <v>0.04052863436</v>
      </c>
      <c r="O104" s="9">
        <f t="shared" si="4"/>
        <v>0.1456386293</v>
      </c>
      <c r="P104" s="9">
        <f>IFERROR(__xludf.DUMMYFUNCTION("GOOGLEFINANCE(A104, ""pe"")"),800.15)</f>
        <v>800.15</v>
      </c>
      <c r="Q104" s="9">
        <f>IFERROR(__xludf.DUMMYFUNCTION("IFERROR(GOOGLEFINANCE(A104, ""volume"") / GOOGLEFINANCE(A104, ""volumeavg""), 0)"),0.0)</f>
        <v>0</v>
      </c>
      <c r="R104" s="9">
        <f>IFERROR(__xludf.DUMMYFUNCTION("AVERAGE(INDEX(GOOGLEFINANCE(A104, ""price"", TODAY()-30, TODAY()), 0, 2))"),108.29521739130436)</f>
        <v>108.2952174</v>
      </c>
      <c r="S104" s="9">
        <f>IFERROR(__xludf.DUMMYFUNCTION("AVERAGE(INDEX(GOOGLEFINANCE(A104, ""price"", TODAY()-75, TODAY()), 0, 2))"),107.45452830188682)</f>
        <v>107.4545283</v>
      </c>
      <c r="T104" s="9">
        <f>IFERROR(__xludf.DUMMYFUNCTION("AVERAGE(INDEX(GOOGLEFINANCE(A104, ""price"", TODAY()-300, TODAY()), 0, 2))"),100.04287128712873)</f>
        <v>100.0428713</v>
      </c>
      <c r="U104" s="9">
        <f t="shared" si="5"/>
        <v>-0.03947743487</v>
      </c>
      <c r="V104" s="15">
        <f>IFERROR(__xludf.DUMMYFUNCTION("LET(hist, GOOGLEFINANCE(A104,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rs))))))"),38.23038397328879)</f>
        <v>38.23038397</v>
      </c>
      <c r="W104" s="16" t="str">
        <f>IFERROR(__xludf.DUMMYFUNCTION("IFERROR(GOOGLEFINANCE(A104, ""volume"") / GOOGLEFINANCE(A104, ""volumeavg""), )"),"")</f>
        <v/>
      </c>
      <c r="X104" s="9">
        <f>IFERROR(__xludf.DUMMYFUNCTION("B104 * GOOGLEFINANCE(A104, ""volume"")"),1.93672924032E9)</f>
        <v>1936729240</v>
      </c>
      <c r="Y104" s="9">
        <f>IFERROR(__xludf.DUMMYFUNCTION("IFERROR(((B104 - GOOGLEFINANCE(A104, ""priceopen"")) / GOOGLEFINANCE(A104, ""priceopen"")) * GOOGLEFINANCE(A104, ""volume""), 0)"),-193078.76928931658)</f>
        <v>-193078.7693</v>
      </c>
    </row>
    <row r="105">
      <c r="A105" s="4" t="s">
        <v>738</v>
      </c>
      <c r="B105" s="7">
        <f>IFERROR(__xludf.DUMMYFUNCTION("GOOGLEFINANCE(A105, ""price"")"),4386.0)</f>
        <v>4386</v>
      </c>
      <c r="C105" s="7">
        <f>IFERROR(__xludf.DUMMYFUNCTION("GOOGLEFINANCE(A105, ""changepct"")"),-0.77)</f>
        <v>-0.77</v>
      </c>
      <c r="D105" s="9">
        <f>IFERROR(__xludf.DUMMYFUNCTION("GOOGLEFINANCE(A105, ""priceopen"")"),4429.1)</f>
        <v>4429.1</v>
      </c>
      <c r="E105" s="9">
        <f>IFERROR(__xludf.DUMMYFUNCTION("GOOGLEFINANCE(A105, ""high"")"),4549.0)</f>
        <v>4549</v>
      </c>
      <c r="F105" s="9">
        <f>IFERROR(__xludf.DUMMYFUNCTION("GOOGLEFINANCE(A105, ""low"")"),4374.9)</f>
        <v>4374.9</v>
      </c>
      <c r="G105" s="9">
        <f>IFERROR(__xludf.DUMMYFUNCTION("GOOGLEFINANCE(A105, ""price"")"),4386.0)</f>
        <v>4386</v>
      </c>
      <c r="H105" s="9">
        <f>IFERROR(__xludf.DUMMYFUNCTION("MAX(INDEX(GOOGLEFINANCE(A105, ""high"", TODAY()-30, TODAY()), 0, 2))"),4730.0)</f>
        <v>4730</v>
      </c>
      <c r="I105" s="9">
        <f>IFERROR(__xludf.DUMMYFUNCTION("MIN(INDEX(GOOGLEFINANCE(A105, ""low"", TODAY()-30, TODAY()), 0, 2))"),3962.2)</f>
        <v>3962.2</v>
      </c>
      <c r="J105" s="9">
        <f>IFERROR(__xludf.DUMMYFUNCTION("GOOGLEFINANCE(A105, ""high52"")"),5650.0)</f>
        <v>5650</v>
      </c>
      <c r="K105" s="9">
        <f>IFERROR(__xludf.DUMMYFUNCTION("GOOGLEFINANCE(A105, ""low52"")"),2523.2)</f>
        <v>2523.2</v>
      </c>
      <c r="L105" s="9">
        <f t="shared" si="1"/>
        <v>0.2237168142</v>
      </c>
      <c r="M105" s="9">
        <f t="shared" si="2"/>
        <v>0.7382688649</v>
      </c>
      <c r="N105" s="9">
        <f t="shared" si="3"/>
        <v>0.03979519532</v>
      </c>
      <c r="O105" s="9">
        <f t="shared" si="4"/>
        <v>0.551966658</v>
      </c>
      <c r="P105" s="9" t="str">
        <f>IFERROR(__xludf.DUMMYFUNCTION("GOOGLEFINANCE(A105, ""pe"")"),"#N/A")</f>
        <v>#N/A</v>
      </c>
      <c r="Q105" s="9">
        <f>IFERROR(__xludf.DUMMYFUNCTION("IFERROR(GOOGLEFINANCE(A105, ""volume"") / GOOGLEFINANCE(A105, ""volumeavg""), 0)"),0.0)</f>
        <v>0</v>
      </c>
      <c r="R105" s="9">
        <f>IFERROR(__xludf.DUMMYFUNCTION("AVERAGE(INDEX(GOOGLEFINANCE(A105, ""price"", TODAY()-30, TODAY()), 0, 2))"),4368.721739130435)</f>
        <v>4368.721739</v>
      </c>
      <c r="S105" s="9">
        <f>IFERROR(__xludf.DUMMYFUNCTION("AVERAGE(INDEX(GOOGLEFINANCE(A105, ""price"", TODAY()-75, TODAY()), 0, 2))"),4677.598113207547)</f>
        <v>4677.598113</v>
      </c>
      <c r="T105" s="9">
        <f>IFERROR(__xludf.DUMMYFUNCTION("AVERAGE(INDEX(GOOGLEFINANCE(A105, ""price"", TODAY()-300, TODAY()), 0, 2))"),3810.1960199004984)</f>
        <v>3810.19602</v>
      </c>
      <c r="U105" s="9">
        <f t="shared" si="5"/>
        <v>0.003954992307</v>
      </c>
      <c r="V105" s="15">
        <f>IFERROR(__xludf.DUMMYFUNCTION("LET(hist, GOOGLEFINANCE(A105,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rs))))))"),54.13048083033255)</f>
        <v>54.13048083</v>
      </c>
      <c r="W105" s="16" t="str">
        <f>IFERROR(__xludf.DUMMYFUNCTION("IFERROR(GOOGLEFINANCE(A105, ""volume"") / GOOGLEFINANCE(A105, ""volumeavg""), )"),"")</f>
        <v/>
      </c>
      <c r="X105" s="9">
        <f>IFERROR(__xludf.DUMMYFUNCTION("B105 * GOOGLEFINANCE(A105, ""volume"")"),4.596892038E9)</f>
        <v>4596892038</v>
      </c>
      <c r="Y105" s="9">
        <f>IFERROR(__xludf.DUMMYFUNCTION("IFERROR(((B105 - GOOGLEFINANCE(A105, ""priceopen"")) / GOOGLEFINANCE(A105, ""priceopen"")) * GOOGLEFINANCE(A105, ""volume""), 0)"),-10198.996929398834)</f>
        <v>-10198.99693</v>
      </c>
    </row>
    <row r="106">
      <c r="A106" s="4" t="s">
        <v>745</v>
      </c>
      <c r="B106" s="7">
        <f>IFERROR(__xludf.DUMMYFUNCTION("GOOGLEFINANCE(A106, ""price"")"),405.3)</f>
        <v>405.3</v>
      </c>
      <c r="C106" s="7">
        <f>IFERROR(__xludf.DUMMYFUNCTION("GOOGLEFINANCE(A106, ""changepct"")"),-0.45)</f>
        <v>-0.45</v>
      </c>
      <c r="D106" s="9">
        <f>IFERROR(__xludf.DUMMYFUNCTION("GOOGLEFINANCE(A106, ""priceopen"")"),407.15)</f>
        <v>407.15</v>
      </c>
      <c r="E106" s="9">
        <f>IFERROR(__xludf.DUMMYFUNCTION("GOOGLEFINANCE(A106, ""high"")"),410.95)</f>
        <v>410.95</v>
      </c>
      <c r="F106" s="9">
        <f>IFERROR(__xludf.DUMMYFUNCTION("GOOGLEFINANCE(A106, ""low"")"),403.05)</f>
        <v>403.05</v>
      </c>
      <c r="G106" s="9">
        <f>IFERROR(__xludf.DUMMYFUNCTION("GOOGLEFINANCE(A106, ""price"")"),405.3)</f>
        <v>405.3</v>
      </c>
      <c r="H106" s="9">
        <f>IFERROR(__xludf.DUMMYFUNCTION("MAX(INDEX(GOOGLEFINANCE(A106, ""high"", TODAY()-30, TODAY()), 0, 2))"),430.7)</f>
        <v>430.7</v>
      </c>
      <c r="I106" s="9">
        <f>IFERROR(__xludf.DUMMYFUNCTION("MIN(INDEX(GOOGLEFINANCE(A106, ""low"", TODAY()-30, TODAY()), 0, 2))"),384.35)</f>
        <v>384.35</v>
      </c>
      <c r="J106" s="9">
        <f>IFERROR(__xludf.DUMMYFUNCTION("GOOGLEFINANCE(A106, ""high52"")"),430.7)</f>
        <v>430.7</v>
      </c>
      <c r="K106" s="9">
        <f>IFERROR(__xludf.DUMMYFUNCTION("GOOGLEFINANCE(A106, ""low52"")"),267.25)</f>
        <v>267.25</v>
      </c>
      <c r="L106" s="9">
        <f t="shared" si="1"/>
        <v>0.05897376364</v>
      </c>
      <c r="M106" s="9">
        <f t="shared" si="2"/>
        <v>0.5165575304</v>
      </c>
      <c r="N106" s="9">
        <f t="shared" si="3"/>
        <v>0.01960054584</v>
      </c>
      <c r="O106" s="9">
        <f t="shared" si="4"/>
        <v>0.451995685</v>
      </c>
      <c r="P106" s="9">
        <f>IFERROR(__xludf.DUMMYFUNCTION("GOOGLEFINANCE(A106, ""pe"")"),26.13)</f>
        <v>26.13</v>
      </c>
      <c r="Q106" s="9">
        <f>IFERROR(__xludf.DUMMYFUNCTION("IFERROR(GOOGLEFINANCE(A106, ""volume"") / GOOGLEFINANCE(A106, ""volumeavg""), 0)"),0.0)</f>
        <v>0</v>
      </c>
      <c r="R106" s="9">
        <f>IFERROR(__xludf.DUMMYFUNCTION("AVERAGE(INDEX(GOOGLEFINANCE(A106, ""price"", TODAY()-30, TODAY()), 0, 2))"),405.27608695652185)</f>
        <v>405.276087</v>
      </c>
      <c r="S106" s="9">
        <f>IFERROR(__xludf.DUMMYFUNCTION("AVERAGE(INDEX(GOOGLEFINANCE(A106, ""price"", TODAY()-75, TODAY()), 0, 2))"),388.16132075471694)</f>
        <v>388.1613208</v>
      </c>
      <c r="T106" s="9">
        <f>IFERROR(__xludf.DUMMYFUNCTION("AVERAGE(INDEX(GOOGLEFINANCE(A106, ""price"", TODAY()-300, TODAY()), 0, 2))"),352.7440594059407)</f>
        <v>352.7440594</v>
      </c>
      <c r="U106" s="9">
        <f t="shared" si="5"/>
        <v>0.00005900432877</v>
      </c>
      <c r="V106" s="15">
        <f>IFERROR(__xludf.DUMMYFUNCTION("LET(hist, GOOGLEFINANCE(A106,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rs))))))"),60.64920273348518)</f>
        <v>60.64920273</v>
      </c>
      <c r="W106" s="16" t="str">
        <f>IFERROR(__xludf.DUMMYFUNCTION("IFERROR(GOOGLEFINANCE(A106, ""volume"") / GOOGLEFINANCE(A106, ""volumeavg""), )"),"")</f>
        <v/>
      </c>
      <c r="X106" s="9">
        <f>IFERROR(__xludf.DUMMYFUNCTION("B106 * GOOGLEFINANCE(A106, ""volume"")"),9.525745635E8)</f>
        <v>952574563.5</v>
      </c>
      <c r="Y106" s="9">
        <f>IFERROR(__xludf.DUMMYFUNCTION("IFERROR(((B106 - GOOGLEFINANCE(A106, ""priceopen"")) / GOOGLEFINANCE(A106, ""priceopen"")) * GOOGLEFINANCE(A106, ""volume""), 0)"),-10679.223259240869)</f>
        <v>-10679.22326</v>
      </c>
    </row>
    <row r="107">
      <c r="A107" s="4" t="s">
        <v>752</v>
      </c>
      <c r="B107" s="7">
        <f>IFERROR(__xludf.DUMMYFUNCTION("GOOGLEFINANCE(A107, ""price"")"),2263.6)</f>
        <v>2263.6</v>
      </c>
      <c r="C107" s="7">
        <f>IFERROR(__xludf.DUMMYFUNCTION("GOOGLEFINANCE(A107, ""changepct"")"),-0.67)</f>
        <v>-0.67</v>
      </c>
      <c r="D107" s="9">
        <f>IFERROR(__xludf.DUMMYFUNCTION("GOOGLEFINANCE(A107, ""priceopen"")"),2286.6)</f>
        <v>2286.6</v>
      </c>
      <c r="E107" s="9">
        <f>IFERROR(__xludf.DUMMYFUNCTION("GOOGLEFINANCE(A107, ""high"")"),2287.8)</f>
        <v>2287.8</v>
      </c>
      <c r="F107" s="9">
        <f>IFERROR(__xludf.DUMMYFUNCTION("GOOGLEFINANCE(A107, ""low"")"),2249.5)</f>
        <v>2249.5</v>
      </c>
      <c r="G107" s="9">
        <f>IFERROR(__xludf.DUMMYFUNCTION("GOOGLEFINANCE(A107, ""price"")"),2263.6)</f>
        <v>2263.6</v>
      </c>
      <c r="H107" s="9">
        <f>IFERROR(__xludf.DUMMYFUNCTION("MAX(INDEX(GOOGLEFINANCE(A107, ""high"", TODAY()-30, TODAY()), 0, 2))"),2529.5)</f>
        <v>2529.5</v>
      </c>
      <c r="I107" s="9">
        <f>IFERROR(__xludf.DUMMYFUNCTION("MIN(INDEX(GOOGLEFINANCE(A107, ""low"", TODAY()-30, TODAY()), 0, 2))"),2235.0)</f>
        <v>2235</v>
      </c>
      <c r="J107" s="9">
        <f>IFERROR(__xludf.DUMMYFUNCTION("GOOGLEFINANCE(A107, ""high52"")"),2529.5)</f>
        <v>2529.5</v>
      </c>
      <c r="K107" s="9">
        <f>IFERROR(__xludf.DUMMYFUNCTION("GOOGLEFINANCE(A107, ""low52"")"),1875.0)</f>
        <v>1875</v>
      </c>
      <c r="L107" s="9">
        <f t="shared" si="1"/>
        <v>0.1051195889</v>
      </c>
      <c r="M107" s="9">
        <f t="shared" si="2"/>
        <v>0.2072533333</v>
      </c>
      <c r="N107" s="9">
        <f t="shared" si="3"/>
        <v>0.01702600578</v>
      </c>
      <c r="O107" s="9">
        <f t="shared" si="4"/>
        <v>0.09711375212</v>
      </c>
      <c r="P107" s="9">
        <f>IFERROR(__xludf.DUMMYFUNCTION("GOOGLEFINANCE(A107, ""pe"")"),17.69)</f>
        <v>17.69</v>
      </c>
      <c r="Q107" s="9">
        <f>IFERROR(__xludf.DUMMYFUNCTION("IFERROR(GOOGLEFINANCE(A107, ""volume"") / GOOGLEFINANCE(A107, ""volumeavg""), 0)"),0.0)</f>
        <v>0</v>
      </c>
      <c r="R107" s="9">
        <f>IFERROR(__xludf.DUMMYFUNCTION("AVERAGE(INDEX(GOOGLEFINANCE(A107, ""price"", TODAY()-30, TODAY()), 0, 2))"),2411.0391304347827)</f>
        <v>2411.03913</v>
      </c>
      <c r="S107" s="9">
        <f>IFERROR(__xludf.DUMMYFUNCTION("AVERAGE(INDEX(GOOGLEFINANCE(A107, ""price"", TODAY()-75, TODAY()), 0, 2))"),2373.543396226415)</f>
        <v>2373.543396</v>
      </c>
      <c r="T107" s="9">
        <f>IFERROR(__xludf.DUMMYFUNCTION("AVERAGE(INDEX(GOOGLEFINANCE(A107, ""price"", TODAY()-300, TODAY()), 0, 2))"),2232.55594059406)</f>
        <v>2232.555941</v>
      </c>
      <c r="U107" s="9">
        <f t="shared" si="5"/>
        <v>-0.06115169537</v>
      </c>
      <c r="V107" s="15">
        <f>IFERROR(__xludf.DUMMYFUNCTION("LET(hist, GOOGLEFINANCE(A107,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rs))))))"),32.78590624066881)</f>
        <v>32.78590624</v>
      </c>
      <c r="W107" s="16" t="str">
        <f>IFERROR(__xludf.DUMMYFUNCTION("IFERROR(GOOGLEFINANCE(A107, ""volume"") / GOOGLEFINANCE(A107, ""volumeavg""), )"),"")</f>
        <v/>
      </c>
      <c r="X107" s="9">
        <f>IFERROR(__xludf.DUMMYFUNCTION("B107 * GOOGLEFINANCE(A107, ""volume"")"),1.9494508011999998E9)</f>
        <v>1949450801</v>
      </c>
      <c r="Y107" s="9">
        <f>IFERROR(__xludf.DUMMYFUNCTION("IFERROR(((B107 - GOOGLEFINANCE(A107, ""priceopen"")) / GOOGLEFINANCE(A107, ""priceopen"")) * GOOGLEFINANCE(A107, ""volume""), 0)"),-8662.639289775212)</f>
        <v>-8662.63929</v>
      </c>
    </row>
    <row r="108">
      <c r="A108" s="4" t="s">
        <v>757</v>
      </c>
      <c r="B108" s="7">
        <f>IFERROR(__xludf.DUMMYFUNCTION("GOOGLEFINANCE(A108, ""price"")"),1520.0)</f>
        <v>1520</v>
      </c>
      <c r="C108" s="7">
        <f>IFERROR(__xludf.DUMMYFUNCTION("GOOGLEFINANCE(A108, ""changepct"")"),-1.85)</f>
        <v>-1.85</v>
      </c>
      <c r="D108" s="9">
        <f>IFERROR(__xludf.DUMMYFUNCTION("GOOGLEFINANCE(A108, ""priceopen"")"),1546.6)</f>
        <v>1546.6</v>
      </c>
      <c r="E108" s="9">
        <f>IFERROR(__xludf.DUMMYFUNCTION("GOOGLEFINANCE(A108, ""high"")"),1546.6)</f>
        <v>1546.6</v>
      </c>
      <c r="F108" s="9">
        <f>IFERROR(__xludf.DUMMYFUNCTION("GOOGLEFINANCE(A108, ""low"")"),1518.1)</f>
        <v>1518.1</v>
      </c>
      <c r="G108" s="9">
        <f>IFERROR(__xludf.DUMMYFUNCTION("GOOGLEFINANCE(A108, ""price"")"),1520.0)</f>
        <v>1520</v>
      </c>
      <c r="H108" s="9">
        <f>IFERROR(__xludf.DUMMYFUNCTION("MAX(INDEX(GOOGLEFINANCE(A108, ""high"", TODAY()-30, TODAY()), 0, 2))"),1548.7)</f>
        <v>1548.7</v>
      </c>
      <c r="I108" s="9">
        <f>IFERROR(__xludf.DUMMYFUNCTION("MIN(INDEX(GOOGLEFINANCE(A108, ""low"", TODAY()-30, TODAY()), 0, 2))"),1351.0)</f>
        <v>1351</v>
      </c>
      <c r="J108" s="9">
        <f>IFERROR(__xludf.DUMMYFUNCTION("GOOGLEFINANCE(A108, ""high52"")"),1548.7)</f>
        <v>1548.7</v>
      </c>
      <c r="K108" s="9">
        <f>IFERROR(__xludf.DUMMYFUNCTION("GOOGLEFINANCE(A108, ""low52"")"),1210.8)</f>
        <v>1210.8</v>
      </c>
      <c r="L108" s="9">
        <f t="shared" si="1"/>
        <v>0.01853167172</v>
      </c>
      <c r="M108" s="9">
        <f t="shared" si="2"/>
        <v>0.2553683515</v>
      </c>
      <c r="N108" s="9">
        <f t="shared" si="3"/>
        <v>0.01877346683</v>
      </c>
      <c r="O108" s="9">
        <f t="shared" si="4"/>
        <v>0.8548305513</v>
      </c>
      <c r="P108" s="9" t="str">
        <f>IFERROR(__xludf.DUMMYFUNCTION("GOOGLEFINANCE(A108, ""pe"")"),"#N/A")</f>
        <v>#N/A</v>
      </c>
      <c r="Q108" s="9">
        <f>IFERROR(__xludf.DUMMYFUNCTION("IFERROR(GOOGLEFINANCE(A108, ""volume"") / GOOGLEFINANCE(A108, ""volumeavg""), 0)"),0.0)</f>
        <v>0</v>
      </c>
      <c r="R108" s="9">
        <f>IFERROR(__xludf.DUMMYFUNCTION("AVERAGE(INDEX(GOOGLEFINANCE(A108, ""price"", TODAY()-30, TODAY()), 0, 2))"),1466.3956521739133)</f>
        <v>1466.395652</v>
      </c>
      <c r="S108" s="9">
        <f>IFERROR(__xludf.DUMMYFUNCTION("AVERAGE(INDEX(GOOGLEFINANCE(A108, ""price"", TODAY()-75, TODAY()), 0, 2))"),1384.7830188679247)</f>
        <v>1384.783019</v>
      </c>
      <c r="T108" s="9">
        <f>IFERROR(__xludf.DUMMYFUNCTION("AVERAGE(INDEX(GOOGLEFINANCE(A108, ""price"", TODAY()-300, TODAY()), 0, 2))"),1368.0856435643561)</f>
        <v>1368.085644</v>
      </c>
      <c r="U108" s="9">
        <f t="shared" si="5"/>
        <v>0.03655517373</v>
      </c>
      <c r="V108" s="15">
        <f>IFERROR(__xludf.DUMMYFUNCTION("LET(hist, GOOGLEFINANCE(A108,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rs))))))"),75.39062500000004)</f>
        <v>75.390625</v>
      </c>
      <c r="W108" s="16" t="str">
        <f>IFERROR(__xludf.DUMMYFUNCTION("IFERROR(GOOGLEFINANCE(A108, ""volume"") / GOOGLEFINANCE(A108, ""volumeavg""), )"),"")</f>
        <v/>
      </c>
      <c r="X108" s="9">
        <f>IFERROR(__xludf.DUMMYFUNCTION("B108 * GOOGLEFINANCE(A108, ""volume"")"),6.8405472E8)</f>
        <v>684054720</v>
      </c>
      <c r="Y108" s="9">
        <f>IFERROR(__xludf.DUMMYFUNCTION("IFERROR(((B108 - GOOGLEFINANCE(A108, ""priceopen"")) / GOOGLEFINANCE(A108, ""priceopen"")) * GOOGLEFINANCE(A108, ""volume""), 0)"),-7740.1769041768775)</f>
        <v>-7740.176904</v>
      </c>
    </row>
    <row r="109">
      <c r="A109" s="4" t="s">
        <v>761</v>
      </c>
      <c r="B109" s="7">
        <f>IFERROR(__xludf.DUMMYFUNCTION("GOOGLEFINANCE(A109, ""price"")"),910.0)</f>
        <v>910</v>
      </c>
      <c r="C109" s="7">
        <f>IFERROR(__xludf.DUMMYFUNCTION("GOOGLEFINANCE(A109, ""changepct"")"),-11.22)</f>
        <v>-11.22</v>
      </c>
      <c r="D109" s="9">
        <f>IFERROR(__xludf.DUMMYFUNCTION("GOOGLEFINANCE(A109, ""priceopen"")"),922.5)</f>
        <v>922.5</v>
      </c>
      <c r="E109" s="9">
        <f>IFERROR(__xludf.DUMMYFUNCTION("GOOGLEFINANCE(A109, ""high"")"),951.8)</f>
        <v>951.8</v>
      </c>
      <c r="F109" s="9">
        <f>IFERROR(__xludf.DUMMYFUNCTION("GOOGLEFINANCE(A109, ""low"")"),907.8)</f>
        <v>907.8</v>
      </c>
      <c r="G109" s="9">
        <f>IFERROR(__xludf.DUMMYFUNCTION("GOOGLEFINANCE(A109, ""price"")"),910.0)</f>
        <v>910</v>
      </c>
      <c r="H109" s="9">
        <f>IFERROR(__xludf.DUMMYFUNCTION("MAX(INDEX(GOOGLEFINANCE(A109, ""high"", TODAY()-30, TODAY()), 0, 2))"),1100.0)</f>
        <v>1100</v>
      </c>
      <c r="I109" s="9">
        <f>IFERROR(__xludf.DUMMYFUNCTION("MIN(INDEX(GOOGLEFINANCE(A109, ""low"", TODAY()-30, TODAY()), 0, 2))"),907.8)</f>
        <v>907.8</v>
      </c>
      <c r="J109" s="9">
        <f>IFERROR(__xludf.DUMMYFUNCTION("GOOGLEFINANCE(A109, ""high52"")"),1309.0)</f>
        <v>1309</v>
      </c>
      <c r="K109" s="9">
        <f>IFERROR(__xludf.DUMMYFUNCTION("GOOGLEFINANCE(A109, ""low52"")"),907.8)</f>
        <v>907.8</v>
      </c>
      <c r="L109" s="9">
        <f t="shared" si="1"/>
        <v>0.3048128342</v>
      </c>
      <c r="M109" s="9">
        <f t="shared" si="2"/>
        <v>0.002423441287</v>
      </c>
      <c r="N109" s="9">
        <f t="shared" si="3"/>
        <v>0.04846882573</v>
      </c>
      <c r="O109" s="9">
        <f t="shared" si="4"/>
        <v>0.01144640999</v>
      </c>
      <c r="P109" s="9">
        <f>IFERROR(__xludf.DUMMYFUNCTION("GOOGLEFINANCE(A109, ""pe"")"),48.67)</f>
        <v>48.67</v>
      </c>
      <c r="Q109" s="9">
        <f>IFERROR(__xludf.DUMMYFUNCTION("IFERROR(GOOGLEFINANCE(A109, ""volume"") / GOOGLEFINANCE(A109, ""volumeavg""), 0)"),0.0)</f>
        <v>0</v>
      </c>
      <c r="R109" s="9">
        <f>IFERROR(__xludf.DUMMYFUNCTION("AVERAGE(INDEX(GOOGLEFINANCE(A109, ""price"", TODAY()-30, TODAY()), 0, 2))"),1055.9347826086957)</f>
        <v>1055.934783</v>
      </c>
      <c r="S109" s="9">
        <f>IFERROR(__xludf.DUMMYFUNCTION("AVERAGE(INDEX(GOOGLEFINANCE(A109, ""price"", TODAY()-75, TODAY()), 0, 2))"),1042.6150943396228)</f>
        <v>1042.615094</v>
      </c>
      <c r="T109" s="9">
        <f>IFERROR(__xludf.DUMMYFUNCTION("AVERAGE(INDEX(GOOGLEFINANCE(A109, ""price"", TODAY()-300, TODAY()), 0, 2))"),1107.8992574257425)</f>
        <v>1107.899257</v>
      </c>
      <c r="U109" s="9">
        <f t="shared" si="5"/>
        <v>-0.1382043522</v>
      </c>
      <c r="V109" s="15">
        <f>IFERROR(__xludf.DUMMYFUNCTION("LET(hist, GOOGLEFINANCE(A109,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rs))))))"),22.193113772455092)</f>
        <v>22.19311377</v>
      </c>
      <c r="W109" s="16" t="str">
        <f>IFERROR(__xludf.DUMMYFUNCTION("IFERROR(GOOGLEFINANCE(A109, ""volume"") / GOOGLEFINANCE(A109, ""volumeavg""), )"),"")</f>
        <v/>
      </c>
      <c r="X109" s="9">
        <f>IFERROR(__xludf.DUMMYFUNCTION("B109 * GOOGLEFINANCE(A109, ""volume"")"),2.049994401E10)</f>
        <v>20499944010</v>
      </c>
      <c r="Y109" s="9">
        <f>IFERROR(__xludf.DUMMYFUNCTION("IFERROR(((B109 - GOOGLEFINANCE(A109, ""priceopen"")) / GOOGLEFINANCE(A109, ""priceopen"")) * GOOGLEFINANCE(A109, ""volume""), 0)"),-305249.47154471546)</f>
        <v>-305249.4715</v>
      </c>
    </row>
    <row r="110">
      <c r="A110" s="4" t="s">
        <v>769</v>
      </c>
      <c r="B110" s="7">
        <f>IFERROR(__xludf.DUMMYFUNCTION("GOOGLEFINANCE(A110, ""price"")"),5872.0)</f>
        <v>5872</v>
      </c>
      <c r="C110" s="7">
        <f>IFERROR(__xludf.DUMMYFUNCTION("GOOGLEFINANCE(A110, ""changepct"")"),0.11)</f>
        <v>0.11</v>
      </c>
      <c r="D110" s="9">
        <f>IFERROR(__xludf.DUMMYFUNCTION("GOOGLEFINANCE(A110, ""priceopen"")"),5875.0)</f>
        <v>5875</v>
      </c>
      <c r="E110" s="9">
        <f>IFERROR(__xludf.DUMMYFUNCTION("GOOGLEFINANCE(A110, ""high"")"),5916.0)</f>
        <v>5916</v>
      </c>
      <c r="F110" s="9">
        <f>IFERROR(__xludf.DUMMYFUNCTION("GOOGLEFINANCE(A110, ""low"")"),5844.0)</f>
        <v>5844</v>
      </c>
      <c r="G110" s="9">
        <f>IFERROR(__xludf.DUMMYFUNCTION("GOOGLEFINANCE(A110, ""price"")"),5872.0)</f>
        <v>5872</v>
      </c>
      <c r="H110" s="9">
        <f>IFERROR(__xludf.DUMMYFUNCTION("MAX(INDEX(GOOGLEFINANCE(A110, ""high"", TODAY()-30, TODAY()), 0, 2))"),5937.0)</f>
        <v>5937</v>
      </c>
      <c r="I110" s="9">
        <f>IFERROR(__xludf.DUMMYFUNCTION("MIN(INDEX(GOOGLEFINANCE(A110, ""low"", TODAY()-30, TODAY()), 0, 2))"),4865.2)</f>
        <v>4865.2</v>
      </c>
      <c r="J110" s="9">
        <f>IFERROR(__xludf.DUMMYFUNCTION("GOOGLEFINANCE(A110, ""high52"")"),6388.5)</f>
        <v>6388.5</v>
      </c>
      <c r="K110" s="9">
        <f>IFERROR(__xludf.DUMMYFUNCTION("GOOGLEFINANCE(A110, ""low52"")"),4571.0)</f>
        <v>4571</v>
      </c>
      <c r="L110" s="9">
        <f t="shared" si="1"/>
        <v>0.08084839947</v>
      </c>
      <c r="M110" s="9">
        <f t="shared" si="2"/>
        <v>0.2846204332</v>
      </c>
      <c r="N110" s="9">
        <f t="shared" si="3"/>
        <v>0.01232032854</v>
      </c>
      <c r="O110" s="9">
        <f t="shared" si="4"/>
        <v>0.9393543572</v>
      </c>
      <c r="P110" s="9">
        <f>IFERROR(__xludf.DUMMYFUNCTION("GOOGLEFINANCE(A110, ""pe"")"),21.58)</f>
        <v>21.58</v>
      </c>
      <c r="Q110" s="9">
        <f>IFERROR(__xludf.DUMMYFUNCTION("IFERROR(GOOGLEFINANCE(A110, ""volume"") / GOOGLEFINANCE(A110, ""volumeavg""), 0)"),0.0)</f>
        <v>0</v>
      </c>
      <c r="R110" s="9">
        <f>IFERROR(__xludf.DUMMYFUNCTION("AVERAGE(INDEX(GOOGLEFINANCE(A110, ""price"", TODAY()-30, TODAY()), 0, 2))"),5279.152173913043)</f>
        <v>5279.152174</v>
      </c>
      <c r="S110" s="9">
        <f>IFERROR(__xludf.DUMMYFUNCTION("AVERAGE(INDEX(GOOGLEFINANCE(A110, ""price"", TODAY()-75, TODAY()), 0, 2))"),5066.51320754717)</f>
        <v>5066.513208</v>
      </c>
      <c r="T110" s="9">
        <f>IFERROR(__xludf.DUMMYFUNCTION("AVERAGE(INDEX(GOOGLEFINANCE(A110, ""price"", TODAY()-300, TODAY()), 0, 2))"),5410.384653465347)</f>
        <v>5410.384653</v>
      </c>
      <c r="U110" s="9">
        <f t="shared" si="5"/>
        <v>0.1122998176</v>
      </c>
      <c r="V110" s="15">
        <f>IFERROR(__xludf.DUMMYFUNCTION("LET(hist, GOOGLEFINANCE(A110,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rs))))))"),76.99101796407187)</f>
        <v>76.99101796</v>
      </c>
      <c r="W110" s="16" t="str">
        <f>IFERROR(__xludf.DUMMYFUNCTION("IFERROR(GOOGLEFINANCE(A110, ""volume"") / GOOGLEFINANCE(A110, ""volumeavg""), )"),"")</f>
        <v/>
      </c>
      <c r="X110" s="9">
        <f>IFERROR(__xludf.DUMMYFUNCTION("B110 * GOOGLEFINANCE(A110, ""volume"")"),5.852334672E9)</f>
        <v>5852334672</v>
      </c>
      <c r="Y110" s="9">
        <f>IFERROR(__xludf.DUMMYFUNCTION("IFERROR(((B110 - GOOGLEFINANCE(A110, ""priceopen"")) / GOOGLEFINANCE(A110, ""priceopen"")) * GOOGLEFINANCE(A110, ""volume""), 0)"),-508.9281702127659)</f>
        <v>-508.9281702</v>
      </c>
    </row>
    <row r="111">
      <c r="A111" s="4" t="s">
        <v>776</v>
      </c>
      <c r="B111" s="7">
        <f>IFERROR(__xludf.DUMMYFUNCTION("GOOGLEFINANCE(A111, ""price"")"),1060.9)</f>
        <v>1060.9</v>
      </c>
      <c r="C111" s="7">
        <f>IFERROR(__xludf.DUMMYFUNCTION("GOOGLEFINANCE(A111, ""changepct"")"),-1.59)</f>
        <v>-1.59</v>
      </c>
      <c r="D111" s="9">
        <f>IFERROR(__xludf.DUMMYFUNCTION("GOOGLEFINANCE(A111, ""priceopen"")"),1077.0)</f>
        <v>1077</v>
      </c>
      <c r="E111" s="9">
        <f>IFERROR(__xludf.DUMMYFUNCTION("GOOGLEFINANCE(A111, ""high"")"),1078.0)</f>
        <v>1078</v>
      </c>
      <c r="F111" s="9">
        <f>IFERROR(__xludf.DUMMYFUNCTION("GOOGLEFINANCE(A111, ""low"")"),1054.3)</f>
        <v>1054.3</v>
      </c>
      <c r="G111" s="9">
        <f>IFERROR(__xludf.DUMMYFUNCTION("GOOGLEFINANCE(A111, ""price"")"),1060.9)</f>
        <v>1060.9</v>
      </c>
      <c r="H111" s="9">
        <f>IFERROR(__xludf.DUMMYFUNCTION("MAX(INDEX(GOOGLEFINANCE(A111, ""high"", TODAY()-30, TODAY()), 0, 2))"),1123.4)</f>
        <v>1123.4</v>
      </c>
      <c r="I111" s="9">
        <f>IFERROR(__xludf.DUMMYFUNCTION("MIN(INDEX(GOOGLEFINANCE(A111, ""low"", TODAY()-30, TODAY()), 0, 2))"),1054.3)</f>
        <v>1054.3</v>
      </c>
      <c r="J111" s="9">
        <f>IFERROR(__xludf.DUMMYFUNCTION("GOOGLEFINANCE(A111, ""high52"")"),1282.7)</f>
        <v>1282.7</v>
      </c>
      <c r="K111" s="9">
        <f>IFERROR(__xludf.DUMMYFUNCTION("GOOGLEFINANCE(A111, ""low52"")"),1007.2)</f>
        <v>1007.2</v>
      </c>
      <c r="L111" s="9">
        <f t="shared" si="1"/>
        <v>0.1729165042</v>
      </c>
      <c r="M111" s="9">
        <f t="shared" si="2"/>
        <v>0.05331612391</v>
      </c>
      <c r="N111" s="9">
        <f t="shared" si="3"/>
        <v>0.0224793702</v>
      </c>
      <c r="O111" s="9">
        <f t="shared" si="4"/>
        <v>0.09551374819</v>
      </c>
      <c r="P111" s="9">
        <f>IFERROR(__xludf.DUMMYFUNCTION("GOOGLEFINANCE(A111, ""pe"")"),64.27)</f>
        <v>64.27</v>
      </c>
      <c r="Q111" s="9">
        <f>IFERROR(__xludf.DUMMYFUNCTION("IFERROR(GOOGLEFINANCE(A111, ""volume"") / GOOGLEFINANCE(A111, ""volumeavg""), 0)"),0.0)</f>
        <v>0</v>
      </c>
      <c r="R111" s="9">
        <f>IFERROR(__xludf.DUMMYFUNCTION("AVERAGE(INDEX(GOOGLEFINANCE(A111, ""price"", TODAY()-30, TODAY()), 0, 2))"),1091.517391304348)</f>
        <v>1091.517391</v>
      </c>
      <c r="S111" s="9">
        <f>IFERROR(__xludf.DUMMYFUNCTION("AVERAGE(INDEX(GOOGLEFINANCE(A111, ""price"", TODAY()-75, TODAY()), 0, 2))"),1105.9547169811322)</f>
        <v>1105.954717</v>
      </c>
      <c r="T111" s="9">
        <f>IFERROR(__xludf.DUMMYFUNCTION("AVERAGE(INDEX(GOOGLEFINANCE(A111, ""price"", TODAY()-300, TODAY()), 0, 2))"),1139.852475247525)</f>
        <v>1139.852475</v>
      </c>
      <c r="U111" s="9">
        <f t="shared" si="5"/>
        <v>-0.02805030094</v>
      </c>
      <c r="V111" s="15">
        <f>IFERROR(__xludf.DUMMYFUNCTION("LET(hist, GOOGLEFINANCE(A111,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rs))))))"),39.9473222124671)</f>
        <v>39.94732221</v>
      </c>
      <c r="W111" s="16" t="str">
        <f>IFERROR(__xludf.DUMMYFUNCTION("IFERROR(GOOGLEFINANCE(A111, ""volume"") / GOOGLEFINANCE(A111, ""volumeavg""), )"),"")</f>
        <v/>
      </c>
      <c r="X111" s="9">
        <f>IFERROR(__xludf.DUMMYFUNCTION("B111 * GOOGLEFINANCE(A111, ""volume"")"),1.8174606779E9)</f>
        <v>1817460678</v>
      </c>
      <c r="Y111" s="9">
        <f>IFERROR(__xludf.DUMMYFUNCTION("IFERROR(((B111 - GOOGLEFINANCE(A111, ""priceopen"")) / GOOGLEFINANCE(A111, ""priceopen"")) * GOOGLEFINANCE(A111, ""volume""), 0)"),-25609.479201485465)</f>
        <v>-25609.4792</v>
      </c>
    </row>
    <row r="112">
      <c r="A112" s="4" t="s">
        <v>782</v>
      </c>
      <c r="B112" s="7">
        <f>IFERROR(__xludf.DUMMYFUNCTION("GOOGLEFINANCE(A112, ""price"")"),1006.8)</f>
        <v>1006.8</v>
      </c>
      <c r="C112" s="7">
        <f>IFERROR(__xludf.DUMMYFUNCTION("GOOGLEFINANCE(A112, ""changepct"")"),-3.19)</f>
        <v>-3.19</v>
      </c>
      <c r="D112" s="9">
        <f>IFERROR(__xludf.DUMMYFUNCTION("GOOGLEFINANCE(A112, ""priceopen"")"),1030.8)</f>
        <v>1030.8</v>
      </c>
      <c r="E112" s="9">
        <f>IFERROR(__xludf.DUMMYFUNCTION("GOOGLEFINANCE(A112, ""high"")"),1034.9)</f>
        <v>1034.9</v>
      </c>
      <c r="F112" s="9">
        <f>IFERROR(__xludf.DUMMYFUNCTION("GOOGLEFINANCE(A112, ""low"")"),1001.5)</f>
        <v>1001.5</v>
      </c>
      <c r="G112" s="9">
        <f>IFERROR(__xludf.DUMMYFUNCTION("GOOGLEFINANCE(A112, ""price"")"),1006.8)</f>
        <v>1006.8</v>
      </c>
      <c r="H112" s="9">
        <f>IFERROR(__xludf.DUMMYFUNCTION("MAX(INDEX(GOOGLEFINANCE(A112, ""high"", TODAY()-30, TODAY()), 0, 2))"),1135.9)</f>
        <v>1135.9</v>
      </c>
      <c r="I112" s="9">
        <f>IFERROR(__xludf.DUMMYFUNCTION("MIN(INDEX(GOOGLEFINANCE(A112, ""low"", TODAY()-30, TODAY()), 0, 2))"),1001.5)</f>
        <v>1001.5</v>
      </c>
      <c r="J112" s="9">
        <f>IFERROR(__xludf.DUMMYFUNCTION("GOOGLEFINANCE(A112, ""high52"")"),1301.7)</f>
        <v>1301.7</v>
      </c>
      <c r="K112" s="9">
        <f>IFERROR(__xludf.DUMMYFUNCTION("GOOGLEFINANCE(A112, ""low52"")"),903.0)</f>
        <v>903</v>
      </c>
      <c r="L112" s="9">
        <f t="shared" si="1"/>
        <v>0.2265498963</v>
      </c>
      <c r="M112" s="9">
        <f t="shared" si="2"/>
        <v>0.1149501661</v>
      </c>
      <c r="N112" s="9">
        <f t="shared" si="3"/>
        <v>0.03334997504</v>
      </c>
      <c r="O112" s="9">
        <f t="shared" si="4"/>
        <v>0.03943452381</v>
      </c>
      <c r="P112" s="9">
        <f>IFERROR(__xludf.DUMMYFUNCTION("GOOGLEFINANCE(A112, ""pe"")"),67.88)</f>
        <v>67.88</v>
      </c>
      <c r="Q112" s="9">
        <f>IFERROR(__xludf.DUMMYFUNCTION("IFERROR(GOOGLEFINANCE(A112, ""volume"") / GOOGLEFINANCE(A112, ""volumeavg""), 0)"),0.0)</f>
        <v>0</v>
      </c>
      <c r="R112" s="9">
        <f>IFERROR(__xludf.DUMMYFUNCTION("AVERAGE(INDEX(GOOGLEFINANCE(A112, ""price"", TODAY()-30, TODAY()), 0, 2))"),1087.3347826086956)</f>
        <v>1087.334783</v>
      </c>
      <c r="S112" s="9">
        <f>IFERROR(__xludf.DUMMYFUNCTION("AVERAGE(INDEX(GOOGLEFINANCE(A112, ""price"", TODAY()-75, TODAY()), 0, 2))"),1069.8132075471701)</f>
        <v>1069.813208</v>
      </c>
      <c r="T112" s="9">
        <f>IFERROR(__xludf.DUMMYFUNCTION("AVERAGE(INDEX(GOOGLEFINANCE(A112, ""price"", TODAY()-300, TODAY()), 0, 2))"),1057.7116336633667)</f>
        <v>1057.711634</v>
      </c>
      <c r="U112" s="9">
        <f t="shared" si="5"/>
        <v>-0.07406622495</v>
      </c>
      <c r="V112" s="15">
        <f>IFERROR(__xludf.DUMMYFUNCTION("LET(hist, GOOGLEFINANCE(A112,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rs))))))"),30.32324268855821)</f>
        <v>30.32324269</v>
      </c>
      <c r="W112" s="16" t="str">
        <f>IFERROR(__xludf.DUMMYFUNCTION("IFERROR(GOOGLEFINANCE(A112, ""volume"") / GOOGLEFINANCE(A112, ""volumeavg""), )"),"")</f>
        <v/>
      </c>
      <c r="X112" s="9">
        <f>IFERROR(__xludf.DUMMYFUNCTION("B112 * GOOGLEFINANCE(A112, ""volume"")"),2.7816081827999997E9)</f>
        <v>2781608183</v>
      </c>
      <c r="Y112" s="9">
        <f>IFERROR(__xludf.DUMMYFUNCTION("IFERROR(((B112 - GOOGLEFINANCE(A112, ""priceopen"")) / GOOGLEFINANCE(A112, ""priceopen"")) * GOOGLEFINANCE(A112, ""volume""), 0)"),-64326.44935972061)</f>
        <v>-64326.44936</v>
      </c>
    </row>
    <row r="113">
      <c r="A113" s="4" t="s">
        <v>792</v>
      </c>
      <c r="B113" s="7">
        <f>IFERROR(__xludf.DUMMYFUNCTION("GOOGLEFINANCE(A113, ""price"")"),422.0)</f>
        <v>422</v>
      </c>
      <c r="C113" s="7">
        <f>IFERROR(__xludf.DUMMYFUNCTION("GOOGLEFINANCE(A113, ""changepct"")"),-0.47)</f>
        <v>-0.47</v>
      </c>
      <c r="D113" s="9">
        <f>IFERROR(__xludf.DUMMYFUNCTION("GOOGLEFINANCE(A113, ""priceopen"")"),426.7)</f>
        <v>426.7</v>
      </c>
      <c r="E113" s="9">
        <f>IFERROR(__xludf.DUMMYFUNCTION("GOOGLEFINANCE(A113, ""high"")"),426.7)</f>
        <v>426.7</v>
      </c>
      <c r="F113" s="9">
        <f>IFERROR(__xludf.DUMMYFUNCTION("GOOGLEFINANCE(A113, ""low"")"),418.05)</f>
        <v>418.05</v>
      </c>
      <c r="G113" s="9">
        <f>IFERROR(__xludf.DUMMYFUNCTION("GOOGLEFINANCE(A113, ""price"")"),422.0)</f>
        <v>422</v>
      </c>
      <c r="H113" s="9">
        <f>IFERROR(__xludf.DUMMYFUNCTION("MAX(INDEX(GOOGLEFINANCE(A113, ""high"", TODAY()-30, TODAY()), 0, 2))"),450.5)</f>
        <v>450.5</v>
      </c>
      <c r="I113" s="9">
        <f>IFERROR(__xludf.DUMMYFUNCTION("MIN(INDEX(GOOGLEFINANCE(A113, ""low"", TODAY()-30, TODAY()), 0, 2))"),415.45)</f>
        <v>415.45</v>
      </c>
      <c r="J113" s="9">
        <f>IFERROR(__xludf.DUMMYFUNCTION("GOOGLEFINANCE(A113, ""high52"")"),605.45)</f>
        <v>605.45</v>
      </c>
      <c r="K113" s="9">
        <f>IFERROR(__xludf.DUMMYFUNCTION("GOOGLEFINANCE(A113, ""low52"")"),394.0)</f>
        <v>394</v>
      </c>
      <c r="L113" s="9">
        <f t="shared" si="1"/>
        <v>0.3029977703</v>
      </c>
      <c r="M113" s="9">
        <f t="shared" si="2"/>
        <v>0.07106598985</v>
      </c>
      <c r="N113" s="9">
        <f t="shared" si="3"/>
        <v>0.02069130487</v>
      </c>
      <c r="O113" s="9">
        <f t="shared" si="4"/>
        <v>0.1868758916</v>
      </c>
      <c r="P113" s="9">
        <f>IFERROR(__xludf.DUMMYFUNCTION("GOOGLEFINANCE(A113, ""pe"")"),23.55)</f>
        <v>23.55</v>
      </c>
      <c r="Q113" s="9">
        <f>IFERROR(__xludf.DUMMYFUNCTION("IFERROR(GOOGLEFINANCE(A113, ""volume"") / GOOGLEFINANCE(A113, ""volumeavg""), 0)"),0.0)</f>
        <v>0</v>
      </c>
      <c r="R113" s="9">
        <f>IFERROR(__xludf.DUMMYFUNCTION("AVERAGE(INDEX(GOOGLEFINANCE(A113, ""price"", TODAY()-30, TODAY()), 0, 2))"),432.93478260869574)</f>
        <v>432.9347826</v>
      </c>
      <c r="S113" s="9">
        <f>IFERROR(__xludf.DUMMYFUNCTION("AVERAGE(INDEX(GOOGLEFINANCE(A113, ""price"", TODAY()-75, TODAY()), 0, 2))"),429.24056603773585)</f>
        <v>429.240566</v>
      </c>
      <c r="T113" s="9">
        <f>IFERROR(__xludf.DUMMYFUNCTION("AVERAGE(INDEX(GOOGLEFINANCE(A113, ""price"", TODAY()-300, TODAY()), 0, 2))"),485.09529702970303)</f>
        <v>485.095297</v>
      </c>
      <c r="U113" s="9">
        <f t="shared" si="5"/>
        <v>-0.02525734371</v>
      </c>
      <c r="V113" s="15">
        <f>IFERROR(__xludf.DUMMYFUNCTION("LET(hist, GOOGLEFINANCE(A113,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rs))))))"),48.35377663008392)</f>
        <v>48.35377663</v>
      </c>
      <c r="W113" s="16" t="str">
        <f>IFERROR(__xludf.DUMMYFUNCTION("IFERROR(GOOGLEFINANCE(A113, ""volume"") / GOOGLEFINANCE(A113, ""volumeavg""), )"),"")</f>
        <v/>
      </c>
      <c r="X113" s="9">
        <f>IFERROR(__xludf.DUMMYFUNCTION("B113 * GOOGLEFINANCE(A113, ""volume"")"),2.279027458E9)</f>
        <v>2279027458</v>
      </c>
      <c r="Y113" s="9">
        <f>IFERROR(__xludf.DUMMYFUNCTION("IFERROR(((B113 - GOOGLEFINANCE(A113, ""priceopen"")) / GOOGLEFINANCE(A113, ""priceopen"")) * GOOGLEFINANCE(A113, ""volume""), 0)"),-59485.665104288586)</f>
        <v>-59485.6651</v>
      </c>
    </row>
    <row r="114">
      <c r="A114" s="4" t="s">
        <v>799</v>
      </c>
      <c r="B114" s="7">
        <f>IFERROR(__xludf.DUMMYFUNCTION("GOOGLEFINANCE(A114, ""price"")"),2077.0)</f>
        <v>2077</v>
      </c>
      <c r="C114" s="7">
        <f>IFERROR(__xludf.DUMMYFUNCTION("GOOGLEFINANCE(A114, ""changepct"")"),1.27)</f>
        <v>1.27</v>
      </c>
      <c r="D114" s="9">
        <f>IFERROR(__xludf.DUMMYFUNCTION("GOOGLEFINANCE(A114, ""priceopen"")"),2051.0)</f>
        <v>2051</v>
      </c>
      <c r="E114" s="9">
        <f>IFERROR(__xludf.DUMMYFUNCTION("GOOGLEFINANCE(A114, ""high"")"),2081.5)</f>
        <v>2081.5</v>
      </c>
      <c r="F114" s="9">
        <f>IFERROR(__xludf.DUMMYFUNCTION("GOOGLEFINANCE(A114, ""low"")"),2042.9)</f>
        <v>2042.9</v>
      </c>
      <c r="G114" s="9">
        <f>IFERROR(__xludf.DUMMYFUNCTION("GOOGLEFINANCE(A114, ""price"")"),2077.0)</f>
        <v>2077</v>
      </c>
      <c r="H114" s="9">
        <f>IFERROR(__xludf.DUMMYFUNCTION("MAX(INDEX(GOOGLEFINANCE(A114, ""high"", TODAY()-30, TODAY()), 0, 2))"),2295.0)</f>
        <v>2295</v>
      </c>
      <c r="I114" s="9">
        <f>IFERROR(__xludf.DUMMYFUNCTION("MIN(INDEX(GOOGLEFINANCE(A114, ""low"", TODAY()-30, TODAY()), 0, 2))"),2028.0)</f>
        <v>2028</v>
      </c>
      <c r="J114" s="9">
        <f>IFERROR(__xludf.DUMMYFUNCTION("GOOGLEFINANCE(A114, ""high52"")"),2295.0)</f>
        <v>2295</v>
      </c>
      <c r="K114" s="9">
        <f>IFERROR(__xludf.DUMMYFUNCTION("GOOGLEFINANCE(A114, ""low52"")"),1100.5)</f>
        <v>1100.5</v>
      </c>
      <c r="L114" s="9">
        <f t="shared" si="1"/>
        <v>0.09498910675</v>
      </c>
      <c r="M114" s="9">
        <f t="shared" si="2"/>
        <v>0.8873239437</v>
      </c>
      <c r="N114" s="9">
        <f t="shared" si="3"/>
        <v>0.0188947085</v>
      </c>
      <c r="O114" s="9">
        <f t="shared" si="4"/>
        <v>0.1835205993</v>
      </c>
      <c r="P114" s="9">
        <f>IFERROR(__xludf.DUMMYFUNCTION("GOOGLEFINANCE(A114, ""pe"")"),140.59)</f>
        <v>140.59</v>
      </c>
      <c r="Q114" s="9">
        <f>IFERROR(__xludf.DUMMYFUNCTION("IFERROR(GOOGLEFINANCE(A114, ""volume"") / GOOGLEFINANCE(A114, ""volumeavg""), 0)"),0.0)</f>
        <v>0</v>
      </c>
      <c r="R114" s="9">
        <f>IFERROR(__xludf.DUMMYFUNCTION("AVERAGE(INDEX(GOOGLEFINANCE(A114, ""price"", TODAY()-30, TODAY()), 0, 2))"),2163.826086956521)</f>
        <v>2163.826087</v>
      </c>
      <c r="S114" s="9">
        <f>IFERROR(__xludf.DUMMYFUNCTION("AVERAGE(INDEX(GOOGLEFINANCE(A114, ""price"", TODAY()-75, TODAY()), 0, 2))"),2093.7905660377364)</f>
        <v>2093.790566</v>
      </c>
      <c r="T114" s="9">
        <f>IFERROR(__xludf.DUMMYFUNCTION("AVERAGE(INDEX(GOOGLEFINANCE(A114, ""price"", TODAY()-300, TODAY()), 0, 2))"),1734.8663366336625)</f>
        <v>1734.866337</v>
      </c>
      <c r="U114" s="9">
        <f t="shared" si="5"/>
        <v>-0.0401261855</v>
      </c>
      <c r="V114" s="15">
        <f>IFERROR(__xludf.DUMMYFUNCTION("LET(hist, GOOGLEFINANCE(A114,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rs))))))"),39.90963855421687)</f>
        <v>39.90963855</v>
      </c>
      <c r="W114" s="16" t="str">
        <f>IFERROR(__xludf.DUMMYFUNCTION("IFERROR(GOOGLEFINANCE(A114, ""volume"") / GOOGLEFINANCE(A114, ""volumeavg""), )"),"")</f>
        <v/>
      </c>
      <c r="X114" s="9">
        <f>IFERROR(__xludf.DUMMYFUNCTION("B114 * GOOGLEFINANCE(A114, ""volume"")"),4.116331528E9)</f>
        <v>4116331528</v>
      </c>
      <c r="Y114" s="9">
        <f>IFERROR(__xludf.DUMMYFUNCTION("IFERROR(((B114 - GOOGLEFINANCE(A114, ""priceopen"")) / GOOGLEFINANCE(A114, ""priceopen"")) * GOOGLEFINANCE(A114, ""volume""), 0)"),25123.5806923452)</f>
        <v>25123.58069</v>
      </c>
    </row>
    <row r="115">
      <c r="A115" s="4" t="s">
        <v>810</v>
      </c>
      <c r="B115" s="7">
        <f>IFERROR(__xludf.DUMMYFUNCTION("GOOGLEFINANCE(A115, ""price"")"),720.8)</f>
        <v>720.8</v>
      </c>
      <c r="C115" s="7">
        <f>IFERROR(__xludf.DUMMYFUNCTION("GOOGLEFINANCE(A115, ""changepct"")"),-0.44)</f>
        <v>-0.44</v>
      </c>
      <c r="D115" s="9">
        <f>IFERROR(__xludf.DUMMYFUNCTION("GOOGLEFINANCE(A115, ""priceopen"")"),724.0)</f>
        <v>724</v>
      </c>
      <c r="E115" s="9">
        <f>IFERROR(__xludf.DUMMYFUNCTION("GOOGLEFINANCE(A115, ""high"")"),724.0)</f>
        <v>724</v>
      </c>
      <c r="F115" s="9">
        <f>IFERROR(__xludf.DUMMYFUNCTION("GOOGLEFINANCE(A115, ""low"")"),713.05)</f>
        <v>713.05</v>
      </c>
      <c r="G115" s="9">
        <f>IFERROR(__xludf.DUMMYFUNCTION("GOOGLEFINANCE(A115, ""price"")"),720.8)</f>
        <v>720.8</v>
      </c>
      <c r="H115" s="9">
        <f>IFERROR(__xludf.DUMMYFUNCTION("MAX(INDEX(GOOGLEFINANCE(A115, ""high"", TODAY()-30, TODAY()), 0, 2))"),757.4)</f>
        <v>757.4</v>
      </c>
      <c r="I115" s="9">
        <f>IFERROR(__xludf.DUMMYFUNCTION("MIN(INDEX(GOOGLEFINANCE(A115, ""low"", TODAY()-30, TODAY()), 0, 2))"),713.05)</f>
        <v>713.05</v>
      </c>
      <c r="J115" s="9">
        <f>IFERROR(__xludf.DUMMYFUNCTION("GOOGLEFINANCE(A115, ""high52"")"),811.95)</f>
        <v>811.95</v>
      </c>
      <c r="K115" s="9">
        <f>IFERROR(__xludf.DUMMYFUNCTION("GOOGLEFINANCE(A115, ""low52"")"),565.0)</f>
        <v>565</v>
      </c>
      <c r="L115" s="9">
        <f t="shared" si="1"/>
        <v>0.1122606072</v>
      </c>
      <c r="M115" s="9">
        <f t="shared" si="2"/>
        <v>0.2757522124</v>
      </c>
      <c r="N115" s="9">
        <f t="shared" si="3"/>
        <v>0.01535656686</v>
      </c>
      <c r="O115" s="9">
        <f t="shared" si="4"/>
        <v>0.174746336</v>
      </c>
      <c r="P115" s="9">
        <f>IFERROR(__xludf.DUMMYFUNCTION("GOOGLEFINANCE(A115, ""pe"")"),47.82)</f>
        <v>47.82</v>
      </c>
      <c r="Q115" s="9">
        <f>IFERROR(__xludf.DUMMYFUNCTION("IFERROR(GOOGLEFINANCE(A115, ""volume"") / GOOGLEFINANCE(A115, ""volumeavg""), 0)"),0.0)</f>
        <v>0</v>
      </c>
      <c r="R115" s="9">
        <f>IFERROR(__xludf.DUMMYFUNCTION("AVERAGE(INDEX(GOOGLEFINANCE(A115, ""price"", TODAY()-30, TODAY()), 0, 2))"),734.2869565217391)</f>
        <v>734.2869565</v>
      </c>
      <c r="S115" s="9">
        <f>IFERROR(__xludf.DUMMYFUNCTION("AVERAGE(INDEX(GOOGLEFINANCE(A115, ""price"", TODAY()-75, TODAY()), 0, 2))"),714.1169811320755)</f>
        <v>714.1169811</v>
      </c>
      <c r="T115" s="9">
        <f>IFERROR(__xludf.DUMMYFUNCTION("AVERAGE(INDEX(GOOGLEFINANCE(A115, ""price"", TODAY()-300, TODAY()), 0, 2))"),690.4608910891088)</f>
        <v>690.4608911</v>
      </c>
      <c r="U115" s="9">
        <f t="shared" si="5"/>
        <v>-0.01836741944</v>
      </c>
      <c r="V115" s="15">
        <f>IFERROR(__xludf.DUMMYFUNCTION("LET(hist, GOOGLEFINANCE(A115,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rs))))))"),49.967679379444114)</f>
        <v>49.96767938</v>
      </c>
      <c r="W115" s="16" t="str">
        <f>IFERROR(__xludf.DUMMYFUNCTION("IFERROR(GOOGLEFINANCE(A115, ""volume"") / GOOGLEFINANCE(A115, ""volumeavg""), )"),"")</f>
        <v/>
      </c>
      <c r="X115" s="9">
        <f>IFERROR(__xludf.DUMMYFUNCTION("B115 * GOOGLEFINANCE(A115, ""volume"")"),9.358896031999999E8)</f>
        <v>935889603.2</v>
      </c>
      <c r="Y115" s="9">
        <f>IFERROR(__xludf.DUMMYFUNCTION("IFERROR(((B115 - GOOGLEFINANCE(A115, ""priceopen"")) / GOOGLEFINANCE(A115, ""priceopen"")) * GOOGLEFINANCE(A115, ""volume""), 0)"),-5738.802209944833)</f>
        <v>-5738.80221</v>
      </c>
    </row>
    <row r="116">
      <c r="A116" s="4" t="s">
        <v>817</v>
      </c>
      <c r="B116" s="7">
        <f>IFERROR(__xludf.DUMMYFUNCTION("GOOGLEFINANCE(A116, ""price"")"),274.55)</f>
        <v>274.55</v>
      </c>
      <c r="C116" s="7">
        <f>IFERROR(__xludf.DUMMYFUNCTION("GOOGLEFINANCE(A116, ""changepct"")"),-0.16)</f>
        <v>-0.16</v>
      </c>
      <c r="D116" s="9">
        <f>IFERROR(__xludf.DUMMYFUNCTION("GOOGLEFINANCE(A116, ""priceopen"")"),276.25)</f>
        <v>276.25</v>
      </c>
      <c r="E116" s="9">
        <f>IFERROR(__xludf.DUMMYFUNCTION("GOOGLEFINANCE(A116, ""high"")"),281.0)</f>
        <v>281</v>
      </c>
      <c r="F116" s="9">
        <f>IFERROR(__xludf.DUMMYFUNCTION("GOOGLEFINANCE(A116, ""low"")"),273.0)</f>
        <v>273</v>
      </c>
      <c r="G116" s="9">
        <f>IFERROR(__xludf.DUMMYFUNCTION("GOOGLEFINANCE(A116, ""price"")"),274.55)</f>
        <v>274.55</v>
      </c>
      <c r="H116" s="9">
        <f>IFERROR(__xludf.DUMMYFUNCTION("MAX(INDEX(GOOGLEFINANCE(A116, ""high"", TODAY()-30, TODAY()), 0, 2))"),286.4)</f>
        <v>286.4</v>
      </c>
      <c r="I116" s="9">
        <f>IFERROR(__xludf.DUMMYFUNCTION("MIN(INDEX(GOOGLEFINANCE(A116, ""low"", TODAY()-30, TODAY()), 0, 2))"),249.7)</f>
        <v>249.7</v>
      </c>
      <c r="J116" s="9">
        <f>IFERROR(__xludf.DUMMYFUNCTION("GOOGLEFINANCE(A116, ""high52"")"),360.0)</f>
        <v>360</v>
      </c>
      <c r="K116" s="9">
        <f>IFERROR(__xludf.DUMMYFUNCTION("GOOGLEFINANCE(A116, ""low52"")"),151.2)</f>
        <v>151.2</v>
      </c>
      <c r="L116" s="9">
        <f t="shared" si="1"/>
        <v>0.2373611111</v>
      </c>
      <c r="M116" s="9">
        <f t="shared" si="2"/>
        <v>0.8158068783</v>
      </c>
      <c r="N116" s="9">
        <f t="shared" si="3"/>
        <v>0.0293040293</v>
      </c>
      <c r="O116" s="9">
        <f t="shared" si="4"/>
        <v>0.6771117166</v>
      </c>
      <c r="P116" s="9">
        <f>IFERROR(__xludf.DUMMYFUNCTION("GOOGLEFINANCE(A116, ""pe"")"),5.48)</f>
        <v>5.48</v>
      </c>
      <c r="Q116" s="9">
        <f>IFERROR(__xludf.DUMMYFUNCTION("IFERROR(GOOGLEFINANCE(A116, ""volume"") / GOOGLEFINANCE(A116, ""volumeavg""), 0)"),0.0)</f>
        <v>0</v>
      </c>
      <c r="R116" s="9">
        <f>IFERROR(__xludf.DUMMYFUNCTION("AVERAGE(INDEX(GOOGLEFINANCE(A116, ""price"", TODAY()-30, TODAY()), 0, 2))"),267.3434782608696)</f>
        <v>267.3434783</v>
      </c>
      <c r="S116" s="9">
        <f>IFERROR(__xludf.DUMMYFUNCTION("AVERAGE(INDEX(GOOGLEFINANCE(A116, ""price"", TODAY()-75, TODAY()), 0, 2))"),284.8632075471698)</f>
        <v>284.8632075</v>
      </c>
      <c r="T116" s="9">
        <f>IFERROR(__xludf.DUMMYFUNCTION("AVERAGE(INDEX(GOOGLEFINANCE(A116, ""price"", TODAY()-300, TODAY()), 0, 2))"),508.6611386138614)</f>
        <v>508.6611386</v>
      </c>
      <c r="U116" s="9">
        <f t="shared" si="5"/>
        <v>0.02695604092</v>
      </c>
      <c r="V116" s="15">
        <f>IFERROR(__xludf.DUMMYFUNCTION("LET(hist, GOOGLEFINANCE(A116,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rs))))))"),61.29032258064518)</f>
        <v>61.29032258</v>
      </c>
      <c r="W116" s="16" t="str">
        <f>IFERROR(__xludf.DUMMYFUNCTION("IFERROR(GOOGLEFINANCE(A116, ""volume"") / GOOGLEFINANCE(A116, ""volumeavg""), )"),"")</f>
        <v/>
      </c>
      <c r="X116" s="9">
        <f>IFERROR(__xludf.DUMMYFUNCTION("B116 * GOOGLEFINANCE(A116, ""volume"")"),2.9016387814E9)</f>
        <v>2901638781</v>
      </c>
      <c r="Y116" s="9">
        <f>IFERROR(__xludf.DUMMYFUNCTION("IFERROR(((B116 - GOOGLEFINANCE(A116, ""priceopen"")) / GOOGLEFINANCE(A116, ""priceopen"")) * GOOGLEFINANCE(A116, ""volume""), 0)"),-65038.20307692265)</f>
        <v>-65038.20308</v>
      </c>
    </row>
    <row r="117">
      <c r="A117" s="4" t="s">
        <v>824</v>
      </c>
      <c r="B117" s="7">
        <f>IFERROR(__xludf.DUMMYFUNCTION("GOOGLEFINANCE(A117, ""price"")"),380.5)</f>
        <v>380.5</v>
      </c>
      <c r="C117" s="7">
        <f>IFERROR(__xludf.DUMMYFUNCTION("GOOGLEFINANCE(A117, ""changepct"")"),3.02)</f>
        <v>3.02</v>
      </c>
      <c r="D117" s="9">
        <f>IFERROR(__xludf.DUMMYFUNCTION("GOOGLEFINANCE(A117, ""priceopen"")"),370.0)</f>
        <v>370</v>
      </c>
      <c r="E117" s="9">
        <f>IFERROR(__xludf.DUMMYFUNCTION("GOOGLEFINANCE(A117, ""high"")"),385.2)</f>
        <v>385.2</v>
      </c>
      <c r="F117" s="9">
        <f>IFERROR(__xludf.DUMMYFUNCTION("GOOGLEFINANCE(A117, ""low"")"),369.75)</f>
        <v>369.75</v>
      </c>
      <c r="G117" s="9">
        <f>IFERROR(__xludf.DUMMYFUNCTION("GOOGLEFINANCE(A117, ""price"")"),380.5)</f>
        <v>380.5</v>
      </c>
      <c r="H117" s="9">
        <f>IFERROR(__xludf.DUMMYFUNCTION("MAX(INDEX(GOOGLEFINANCE(A117, ""high"", TODAY()-30, TODAY()), 0, 2))"),414.9)</f>
        <v>414.9</v>
      </c>
      <c r="I117" s="9">
        <f>IFERROR(__xludf.DUMMYFUNCTION("MIN(INDEX(GOOGLEFINANCE(A117, ""low"", TODAY()-30, TODAY()), 0, 2))"),363.5)</f>
        <v>363.5</v>
      </c>
      <c r="J117" s="9">
        <f>IFERROR(__xludf.DUMMYFUNCTION("GOOGLEFINANCE(A117, ""high52"")"),481.5)</f>
        <v>481.5</v>
      </c>
      <c r="K117" s="9">
        <f>IFERROR(__xludf.DUMMYFUNCTION("GOOGLEFINANCE(A117, ""low52"")"),312.55)</f>
        <v>312.55</v>
      </c>
      <c r="L117" s="9">
        <f t="shared" si="1"/>
        <v>0.209761163</v>
      </c>
      <c r="M117" s="9">
        <f t="shared" si="2"/>
        <v>0.2174052152</v>
      </c>
      <c r="N117" s="9">
        <f t="shared" si="3"/>
        <v>0.04178498986</v>
      </c>
      <c r="O117" s="9">
        <f t="shared" si="4"/>
        <v>0.3307392996</v>
      </c>
      <c r="P117" s="9">
        <f>IFERROR(__xludf.DUMMYFUNCTION("GOOGLEFINANCE(A117, ""pe"")"),14.03)</f>
        <v>14.03</v>
      </c>
      <c r="Q117" s="9">
        <f>IFERROR(__xludf.DUMMYFUNCTION("IFERROR(GOOGLEFINANCE(A117, ""volume"") / GOOGLEFINANCE(A117, ""volumeavg""), 0)"),0.0)</f>
        <v>0</v>
      </c>
      <c r="R117" s="9">
        <f>IFERROR(__xludf.DUMMYFUNCTION("AVERAGE(INDEX(GOOGLEFINANCE(A117, ""price"", TODAY()-30, TODAY()), 0, 2))"),392.0586956521739)</f>
        <v>392.0586957</v>
      </c>
      <c r="S117" s="9">
        <f>IFERROR(__xludf.DUMMYFUNCTION("AVERAGE(INDEX(GOOGLEFINANCE(A117, ""price"", TODAY()-75, TODAY()), 0, 2))"),401.44433962264145)</f>
        <v>401.4443396</v>
      </c>
      <c r="T117" s="9">
        <f>IFERROR(__xludf.DUMMYFUNCTION("AVERAGE(INDEX(GOOGLEFINANCE(A117, ""price"", TODAY()-300, TODAY()), 0, 2))"),415.3985074626865)</f>
        <v>415.3985075</v>
      </c>
      <c r="U117" s="9">
        <f t="shared" si="5"/>
        <v>-0.02948205404</v>
      </c>
      <c r="V117" s="15">
        <f>IFERROR(__xludf.DUMMYFUNCTION("LET(hist, GOOGLEFINANCE(A117,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rs))))))"),45.86102719033231)</f>
        <v>45.86102719</v>
      </c>
      <c r="W117" s="16" t="str">
        <f>IFERROR(__xludf.DUMMYFUNCTION("IFERROR(GOOGLEFINANCE(A117, ""volume"") / GOOGLEFINANCE(A117, ""volumeavg""), )"),"")</f>
        <v/>
      </c>
      <c r="X117" s="9">
        <f>IFERROR(__xludf.DUMMYFUNCTION("B117 * GOOGLEFINANCE(A117, ""volume"")"),3.8352638285E9)</f>
        <v>3835263829</v>
      </c>
      <c r="Y117" s="9">
        <f>IFERROR(__xludf.DUMMYFUNCTION("IFERROR(((B117 - GOOGLEFINANCE(A117, ""priceopen"")) / GOOGLEFINANCE(A117, ""priceopen"")) * GOOGLEFINANCE(A117, ""volume""), 0)"),286040.9148648649)</f>
        <v>286040.9149</v>
      </c>
    </row>
    <row r="118">
      <c r="A118" s="4" t="s">
        <v>831</v>
      </c>
      <c r="B118" s="7">
        <f>IFERROR(__xludf.DUMMYFUNCTION("GOOGLEFINANCE(A118, ""price"")"),2410.1)</f>
        <v>2410.1</v>
      </c>
      <c r="C118" s="7">
        <f>IFERROR(__xludf.DUMMYFUNCTION("GOOGLEFINANCE(A118, ""changepct"")"),-0.61)</f>
        <v>-0.61</v>
      </c>
      <c r="D118" s="9">
        <f>IFERROR(__xludf.DUMMYFUNCTION("GOOGLEFINANCE(A118, ""priceopen"")"),2418.0)</f>
        <v>2418</v>
      </c>
      <c r="E118" s="9">
        <f>IFERROR(__xludf.DUMMYFUNCTION("GOOGLEFINANCE(A118, ""high"")"),2433.1)</f>
        <v>2433.1</v>
      </c>
      <c r="F118" s="9">
        <f>IFERROR(__xludf.DUMMYFUNCTION("GOOGLEFINANCE(A118, ""low"")"),2381.3)</f>
        <v>2381.3</v>
      </c>
      <c r="G118" s="9">
        <f>IFERROR(__xludf.DUMMYFUNCTION("GOOGLEFINANCE(A118, ""price"")"),2410.1)</f>
        <v>2410.1</v>
      </c>
      <c r="H118" s="9">
        <f>IFERROR(__xludf.DUMMYFUNCTION("MAX(INDEX(GOOGLEFINANCE(A118, ""high"", TODAY()-30, TODAY()), 0, 2))"),2642.0)</f>
        <v>2642</v>
      </c>
      <c r="I118" s="9">
        <f>IFERROR(__xludf.DUMMYFUNCTION("MIN(INDEX(GOOGLEFINANCE(A118, ""low"", TODAY()-30, TODAY()), 0, 2))"),2381.3)</f>
        <v>2381.3</v>
      </c>
      <c r="J118" s="9">
        <f>IFERROR(__xludf.DUMMYFUNCTION("GOOGLEFINANCE(A118, ""high52"")"),2674.0)</f>
        <v>2674</v>
      </c>
      <c r="K118" s="9">
        <f>IFERROR(__xludf.DUMMYFUNCTION("GOOGLEFINANCE(A118, ""low52"")"),1909.7)</f>
        <v>1909.7</v>
      </c>
      <c r="L118" s="9">
        <f t="shared" si="1"/>
        <v>0.09869109948</v>
      </c>
      <c r="M118" s="9">
        <f t="shared" si="2"/>
        <v>0.2620306854</v>
      </c>
      <c r="N118" s="9">
        <f t="shared" si="3"/>
        <v>0.02175282409</v>
      </c>
      <c r="O118" s="9">
        <f t="shared" si="4"/>
        <v>0.1104718067</v>
      </c>
      <c r="P118" s="9">
        <f>IFERROR(__xludf.DUMMYFUNCTION("GOOGLEFINANCE(A118, ""pe"")"),48.77)</f>
        <v>48.77</v>
      </c>
      <c r="Q118" s="9">
        <f>IFERROR(__xludf.DUMMYFUNCTION("IFERROR(GOOGLEFINANCE(A118, ""volume"") / GOOGLEFINANCE(A118, ""volumeavg""), 0)"),0.0)</f>
        <v>0</v>
      </c>
      <c r="R118" s="9">
        <f>IFERROR(__xludf.DUMMYFUNCTION("AVERAGE(INDEX(GOOGLEFINANCE(A118, ""price"", TODAY()-30, TODAY()), 0, 2))"),2508.834782608696)</f>
        <v>2508.834783</v>
      </c>
      <c r="S118" s="9">
        <f>IFERROR(__xludf.DUMMYFUNCTION("AVERAGE(INDEX(GOOGLEFINANCE(A118, ""price"", TODAY()-75, TODAY()), 0, 2))"),2466.464150943397)</f>
        <v>2466.464151</v>
      </c>
      <c r="T118" s="9">
        <f>IFERROR(__xludf.DUMMYFUNCTION("AVERAGE(INDEX(GOOGLEFINANCE(A118, ""price"", TODAY()-300, TODAY()), 0, 2))"),2280.252970297029)</f>
        <v>2280.25297</v>
      </c>
      <c r="U118" s="9">
        <f t="shared" si="5"/>
        <v>-0.03935483647</v>
      </c>
      <c r="V118" s="15">
        <f>IFERROR(__xludf.DUMMYFUNCTION("LET(hist, GOOGLEFINANCE(A118,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rs))))))"),36.49206694196913)</f>
        <v>36.49206694</v>
      </c>
      <c r="W118" s="16" t="str">
        <f>IFERROR(__xludf.DUMMYFUNCTION("IFERROR(GOOGLEFINANCE(A118, ""volume"") / GOOGLEFINANCE(A118, ""volumeavg""), )"),"")</f>
        <v/>
      </c>
      <c r="X118" s="9">
        <f>IFERROR(__xludf.DUMMYFUNCTION("B118 * GOOGLEFINANCE(A118, ""volume"")"),1.8184276803E9)</f>
        <v>1818427680</v>
      </c>
      <c r="Y118" s="9">
        <f>IFERROR(__xludf.DUMMYFUNCTION("IFERROR(((B118 - GOOGLEFINANCE(A118, ""priceopen"")) / GOOGLEFINANCE(A118, ""priceopen"")) * GOOGLEFINANCE(A118, ""volume""), 0)"),-2465.084243176207)</f>
        <v>-2465.084243</v>
      </c>
    </row>
    <row r="119">
      <c r="A119" s="4" t="s">
        <v>837</v>
      </c>
      <c r="B119" s="7">
        <f>IFERROR(__xludf.DUMMYFUNCTION("GOOGLEFINANCE(A119, ""price"")"),555.5)</f>
        <v>555.5</v>
      </c>
      <c r="C119" s="7">
        <f>IFERROR(__xludf.DUMMYFUNCTION("GOOGLEFINANCE(A119, ""changepct"")"),-1.33)</f>
        <v>-1.33</v>
      </c>
      <c r="D119" s="9">
        <f>IFERROR(__xludf.DUMMYFUNCTION("GOOGLEFINANCE(A119, ""priceopen"")"),561.4)</f>
        <v>561.4</v>
      </c>
      <c r="E119" s="9">
        <f>IFERROR(__xludf.DUMMYFUNCTION("GOOGLEFINANCE(A119, ""high"")"),563.0)</f>
        <v>563</v>
      </c>
      <c r="F119" s="9">
        <f>IFERROR(__xludf.DUMMYFUNCTION("GOOGLEFINANCE(A119, ""low"")"),552.2)</f>
        <v>552.2</v>
      </c>
      <c r="G119" s="9">
        <f>IFERROR(__xludf.DUMMYFUNCTION("GOOGLEFINANCE(A119, ""price"")"),555.5)</f>
        <v>555.5</v>
      </c>
      <c r="H119" s="9">
        <f>IFERROR(__xludf.DUMMYFUNCTION("MAX(INDEX(GOOGLEFINANCE(A119, ""high"", TODAY()-30, TODAY()), 0, 2))"),583.4)</f>
        <v>583.4</v>
      </c>
      <c r="I119" s="9">
        <f>IFERROR(__xludf.DUMMYFUNCTION("MIN(INDEX(GOOGLEFINANCE(A119, ""low"", TODAY()-30, TODAY()), 0, 2))"),539.2)</f>
        <v>539.2</v>
      </c>
      <c r="J119" s="9">
        <f>IFERROR(__xludf.DUMMYFUNCTION("GOOGLEFINANCE(A119, ""high52"")"),617.35)</f>
        <v>617.35</v>
      </c>
      <c r="K119" s="9">
        <f>IFERROR(__xludf.DUMMYFUNCTION("GOOGLEFINANCE(A119, ""low52"")"),427.75)</f>
        <v>427.75</v>
      </c>
      <c r="L119" s="9">
        <f t="shared" si="1"/>
        <v>0.1001862801</v>
      </c>
      <c r="M119" s="9">
        <f t="shared" si="2"/>
        <v>0.2986557569</v>
      </c>
      <c r="N119" s="9">
        <f t="shared" si="3"/>
        <v>0.01955813111</v>
      </c>
      <c r="O119" s="9">
        <f t="shared" si="4"/>
        <v>0.3687782805</v>
      </c>
      <c r="P119" s="9">
        <f>IFERROR(__xludf.DUMMYFUNCTION("GOOGLEFINANCE(A119, ""pe"")"),50.05)</f>
        <v>50.05</v>
      </c>
      <c r="Q119" s="9">
        <f>IFERROR(__xludf.DUMMYFUNCTION("IFERROR(GOOGLEFINANCE(A119, ""volume"") / GOOGLEFINANCE(A119, ""volumeavg""), 0)"),0.0)</f>
        <v>0</v>
      </c>
      <c r="R119" s="9">
        <f>IFERROR(__xludf.DUMMYFUNCTION("AVERAGE(INDEX(GOOGLEFINANCE(A119, ""price"", TODAY()-30, TODAY()), 0, 2))"),557.2456521739131)</f>
        <v>557.2456522</v>
      </c>
      <c r="S119" s="9">
        <f>IFERROR(__xludf.DUMMYFUNCTION("AVERAGE(INDEX(GOOGLEFINANCE(A119, ""price"", TODAY()-75, TODAY()), 0, 2))"),563.5169811320757)</f>
        <v>563.5169811</v>
      </c>
      <c r="T119" s="9">
        <f>IFERROR(__xludf.DUMMYFUNCTION("AVERAGE(INDEX(GOOGLEFINANCE(A119, ""price"", TODAY()-300, TODAY()), 0, 2))"),520.2776119402981)</f>
        <v>520.2776119</v>
      </c>
      <c r="U119" s="9">
        <f t="shared" si="5"/>
        <v>-0.003132643866</v>
      </c>
      <c r="V119" s="15">
        <f>IFERROR(__xludf.DUMMYFUNCTION("LET(hist, GOOGLEFINANCE(A119,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rs))))))"),50.8225616921269)</f>
        <v>50.82256169</v>
      </c>
      <c r="W119" s="16" t="str">
        <f>IFERROR(__xludf.DUMMYFUNCTION("IFERROR(GOOGLEFINANCE(A119, ""volume"") / GOOGLEFINANCE(A119, ""volumeavg""), )"),"")</f>
        <v/>
      </c>
      <c r="X119" s="9">
        <f>IFERROR(__xludf.DUMMYFUNCTION("B119 * GOOGLEFINANCE(A119, ""volume"")"),7.755674355E8)</f>
        <v>775567435.5</v>
      </c>
      <c r="Y119" s="9">
        <f>IFERROR(__xludf.DUMMYFUNCTION("IFERROR(((B119 - GOOGLEFINANCE(A119, ""priceopen"")) / GOOGLEFINANCE(A119, ""priceopen"")) * GOOGLEFINANCE(A119, ""volume""), 0)"),-14672.871214820037)</f>
        <v>-14672.87121</v>
      </c>
    </row>
    <row r="120">
      <c r="A120" s="4" t="s">
        <v>846</v>
      </c>
      <c r="B120" s="7">
        <f>IFERROR(__xludf.DUMMYFUNCTION("GOOGLEFINANCE(A120, ""price"")"),1580.0)</f>
        <v>1580</v>
      </c>
      <c r="C120" s="7">
        <f>IFERROR(__xludf.DUMMYFUNCTION("GOOGLEFINANCE(A120, ""changepct"")"),0.86)</f>
        <v>0.86</v>
      </c>
      <c r="D120" s="9">
        <f>IFERROR(__xludf.DUMMYFUNCTION("GOOGLEFINANCE(A120, ""priceopen"")"),1566.5)</f>
        <v>1566.5</v>
      </c>
      <c r="E120" s="9">
        <f>IFERROR(__xludf.DUMMYFUNCTION("GOOGLEFINANCE(A120, ""high"")"),1584.4)</f>
        <v>1584.4</v>
      </c>
      <c r="F120" s="9">
        <f>IFERROR(__xludf.DUMMYFUNCTION("GOOGLEFINANCE(A120, ""low"")"),1554.0)</f>
        <v>1554</v>
      </c>
      <c r="G120" s="9">
        <f>IFERROR(__xludf.DUMMYFUNCTION("GOOGLEFINANCE(A120, ""price"")"),1580.0)</f>
        <v>1580</v>
      </c>
      <c r="H120" s="9">
        <f>IFERROR(__xludf.DUMMYFUNCTION("MAX(INDEX(GOOGLEFINANCE(A120, ""high"", TODAY()-30, TODAY()), 0, 2))"),1593.0)</f>
        <v>1593</v>
      </c>
      <c r="I120" s="9">
        <f>IFERROR(__xludf.DUMMYFUNCTION("MIN(INDEX(GOOGLEFINANCE(A120, ""low"", TODAY()-30, TODAY()), 0, 2))"),1484.8)</f>
        <v>1484.8</v>
      </c>
      <c r="J120" s="9">
        <f>IFERROR(__xludf.DUMMYFUNCTION("GOOGLEFINANCE(A120, ""high52"")"),1749.0)</f>
        <v>1749</v>
      </c>
      <c r="K120" s="9">
        <f>IFERROR(__xludf.DUMMYFUNCTION("GOOGLEFINANCE(A120, ""low52"")"),1304.1)</f>
        <v>1304.1</v>
      </c>
      <c r="L120" s="9">
        <f t="shared" si="1"/>
        <v>0.0966266438</v>
      </c>
      <c r="M120" s="9">
        <f t="shared" si="2"/>
        <v>0.2115635304</v>
      </c>
      <c r="N120" s="9">
        <f t="shared" si="3"/>
        <v>0.01956241956</v>
      </c>
      <c r="O120" s="9">
        <f t="shared" si="4"/>
        <v>0.8798521257</v>
      </c>
      <c r="P120" s="9">
        <f>IFERROR(__xludf.DUMMYFUNCTION("GOOGLEFINANCE(A120, ""pe"")"),63.64)</f>
        <v>63.64</v>
      </c>
      <c r="Q120" s="9">
        <f>IFERROR(__xludf.DUMMYFUNCTION("IFERROR(GOOGLEFINANCE(A120, ""volume"") / GOOGLEFINANCE(A120, ""volumeavg""), 0)"),0.0)</f>
        <v>0</v>
      </c>
      <c r="R120" s="9">
        <f>IFERROR(__xludf.DUMMYFUNCTION("AVERAGE(INDEX(GOOGLEFINANCE(A120, ""price"", TODAY()-30, TODAY()), 0, 2))"),1548.6869565217391)</f>
        <v>1548.686957</v>
      </c>
      <c r="S120" s="9">
        <f>IFERROR(__xludf.DUMMYFUNCTION("AVERAGE(INDEX(GOOGLEFINANCE(A120, ""price"", TODAY()-75, TODAY()), 0, 2))"),1551.930188679246)</f>
        <v>1551.930189</v>
      </c>
      <c r="T120" s="9">
        <f>IFERROR(__xludf.DUMMYFUNCTION("AVERAGE(INDEX(GOOGLEFINANCE(A120, ""price"", TODAY()-300, TODAY()), 0, 2))"),1546.800995024875)</f>
        <v>1546.800995</v>
      </c>
      <c r="U120" s="9">
        <f t="shared" si="5"/>
        <v>0.02021909163</v>
      </c>
      <c r="V120" s="15">
        <f>IFERROR(__xludf.DUMMYFUNCTION("LET(hist, GOOGLEFINANCE(A120,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rs))))))"),59.843137254901976)</f>
        <v>59.84313725</v>
      </c>
      <c r="W120" s="16" t="str">
        <f>IFERROR(__xludf.DUMMYFUNCTION("IFERROR(GOOGLEFINANCE(A120, ""volume"") / GOOGLEFINANCE(A120, ""volumeavg""), )"),"")</f>
        <v/>
      </c>
      <c r="X120" s="9">
        <f>IFERROR(__xludf.DUMMYFUNCTION("B120 * GOOGLEFINANCE(A120, ""volume"")"),4.6026032E8)</f>
        <v>460260320</v>
      </c>
      <c r="Y120" s="9">
        <f>IFERROR(__xludf.DUMMYFUNCTION("IFERROR(((B120 - GOOGLEFINANCE(A120, ""priceopen"")) / GOOGLEFINANCE(A120, ""priceopen"")) * GOOGLEFINANCE(A120, ""volume""), 0)"),2510.4398340248963)</f>
        <v>2510.439834</v>
      </c>
    </row>
    <row r="121">
      <c r="A121" s="4" t="s">
        <v>854</v>
      </c>
      <c r="B121" s="7">
        <f>IFERROR(__xludf.DUMMYFUNCTION("GOOGLEFINANCE(A121, ""price"")"),344.2)</f>
        <v>344.2</v>
      </c>
      <c r="C121" s="7">
        <f>IFERROR(__xludf.DUMMYFUNCTION("GOOGLEFINANCE(A121, ""changepct"")"),-0.15)</f>
        <v>-0.15</v>
      </c>
      <c r="D121" s="9">
        <f>IFERROR(__xludf.DUMMYFUNCTION("GOOGLEFINANCE(A121, ""priceopen"")"),344.7)</f>
        <v>344.7</v>
      </c>
      <c r="E121" s="9">
        <f>IFERROR(__xludf.DUMMYFUNCTION("GOOGLEFINANCE(A121, ""high"")"),347.2)</f>
        <v>347.2</v>
      </c>
      <c r="F121" s="9">
        <f>IFERROR(__xludf.DUMMYFUNCTION("GOOGLEFINANCE(A121, ""low"")"),339.0)</f>
        <v>339</v>
      </c>
      <c r="G121" s="9">
        <f>IFERROR(__xludf.DUMMYFUNCTION("GOOGLEFINANCE(A121, ""price"")"),344.2)</f>
        <v>344.2</v>
      </c>
      <c r="H121" s="9">
        <f>IFERROR(__xludf.DUMMYFUNCTION("MAX(INDEX(GOOGLEFINANCE(A121, ""high"", TODAY()-30, TODAY()), 0, 2))"),378.7)</f>
        <v>378.7</v>
      </c>
      <c r="I121" s="9">
        <f>IFERROR(__xludf.DUMMYFUNCTION("MIN(INDEX(GOOGLEFINANCE(A121, ""low"", TODAY()-30, TODAY()), 0, 2))"),339.0)</f>
        <v>339</v>
      </c>
      <c r="J121" s="9">
        <f>IFERROR(__xludf.DUMMYFUNCTION("GOOGLEFINANCE(A121, ""high52"")"),390.5)</f>
        <v>390.5</v>
      </c>
      <c r="K121" s="9">
        <f>IFERROR(__xludf.DUMMYFUNCTION("GOOGLEFINANCE(A121, ""low52"")"),304.05)</f>
        <v>304.05</v>
      </c>
      <c r="L121" s="9">
        <f t="shared" si="1"/>
        <v>0.1185659411</v>
      </c>
      <c r="M121" s="9">
        <f t="shared" si="2"/>
        <v>0.1320506496</v>
      </c>
      <c r="N121" s="9">
        <f t="shared" si="3"/>
        <v>0.02418879056</v>
      </c>
      <c r="O121" s="9">
        <f t="shared" si="4"/>
        <v>0.1309823678</v>
      </c>
      <c r="P121" s="9">
        <f>IFERROR(__xludf.DUMMYFUNCTION("GOOGLEFINANCE(A121, ""pe"")"),5.65)</f>
        <v>5.65</v>
      </c>
      <c r="Q121" s="9">
        <f>IFERROR(__xludf.DUMMYFUNCTION("IFERROR(GOOGLEFINANCE(A121, ""volume"") / GOOGLEFINANCE(A121, ""volumeavg""), 0)"),0.0)</f>
        <v>0</v>
      </c>
      <c r="R121" s="9">
        <f>IFERROR(__xludf.DUMMYFUNCTION("AVERAGE(INDEX(GOOGLEFINANCE(A121, ""price"", TODAY()-30, TODAY()), 0, 2))"),360.4304347826087)</f>
        <v>360.4304348</v>
      </c>
      <c r="S121" s="9">
        <f>IFERROR(__xludf.DUMMYFUNCTION("AVERAGE(INDEX(GOOGLEFINANCE(A121, ""price"", TODAY()-75, TODAY()), 0, 2))"),355.9716981132076)</f>
        <v>355.9716981</v>
      </c>
      <c r="T121" s="9">
        <f>IFERROR(__xludf.DUMMYFUNCTION("AVERAGE(INDEX(GOOGLEFINANCE(A121, ""price"", TODAY()-300, TODAY()), 0, 2))"),355.2653465346534)</f>
        <v>355.2653465</v>
      </c>
      <c r="U121" s="9">
        <f t="shared" si="5"/>
        <v>-0.04503070001</v>
      </c>
      <c r="V121" s="15">
        <f>IFERROR(__xludf.DUMMYFUNCTION("LET(hist, GOOGLEFINANCE(A121,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rs))))))"),39.769926047658174)</f>
        <v>39.76992605</v>
      </c>
      <c r="W121" s="16" t="str">
        <f>IFERROR(__xludf.DUMMYFUNCTION("IFERROR(GOOGLEFINANCE(A121, ""volume"") / GOOGLEFINANCE(A121, ""volumeavg""), )"),"")</f>
        <v/>
      </c>
      <c r="X121" s="9">
        <f>IFERROR(__xludf.DUMMYFUNCTION("B121 * GOOGLEFINANCE(A121, ""volume"")"),3.9000809794E9)</f>
        <v>3900080979</v>
      </c>
      <c r="Y121" s="9">
        <f>IFERROR(__xludf.DUMMYFUNCTION("IFERROR(((B121 - GOOGLEFINANCE(A121, ""priceopen"")) / GOOGLEFINANCE(A121, ""priceopen"")) * GOOGLEFINANCE(A121, ""volume""), 0)"),-16435.823904844794)</f>
        <v>-16435.8239</v>
      </c>
    </row>
    <row r="122">
      <c r="A122" s="4" t="s">
        <v>861</v>
      </c>
      <c r="B122" s="7">
        <f>IFERROR(__xludf.DUMMYFUNCTION("GOOGLEFINANCE(A122, ""price"")"),1839.0)</f>
        <v>1839</v>
      </c>
      <c r="C122" s="7">
        <f>IFERROR(__xludf.DUMMYFUNCTION("GOOGLEFINANCE(A122, ""changepct"")"),-1.02)</f>
        <v>-1.02</v>
      </c>
      <c r="D122" s="9">
        <f>IFERROR(__xludf.DUMMYFUNCTION("GOOGLEFINANCE(A122, ""priceopen"")"),1856.3)</f>
        <v>1856.3</v>
      </c>
      <c r="E122" s="9">
        <f>IFERROR(__xludf.DUMMYFUNCTION("GOOGLEFINANCE(A122, ""high"")"),1862.3)</f>
        <v>1862.3</v>
      </c>
      <c r="F122" s="9">
        <f>IFERROR(__xludf.DUMMYFUNCTION("GOOGLEFINANCE(A122, ""low"")"),1835.0)</f>
        <v>1835</v>
      </c>
      <c r="G122" s="9">
        <f>IFERROR(__xludf.DUMMYFUNCTION("GOOGLEFINANCE(A122, ""price"")"),1839.0)</f>
        <v>1839</v>
      </c>
      <c r="H122" s="9">
        <f>IFERROR(__xludf.DUMMYFUNCTION("MAX(INDEX(GOOGLEFINANCE(A122, ""high"", TODAY()-30, TODAY()), 0, 2))"),1870.8)</f>
        <v>1870.8</v>
      </c>
      <c r="I122" s="9">
        <f>IFERROR(__xludf.DUMMYFUNCTION("MIN(INDEX(GOOGLEFINANCE(A122, ""low"", TODAY()-30, TODAY()), 0, 2))"),1520.4)</f>
        <v>1520.4</v>
      </c>
      <c r="J122" s="9">
        <f>IFERROR(__xludf.DUMMYFUNCTION("GOOGLEFINANCE(A122, ""high52"")"),1870.8)</f>
        <v>1870.8</v>
      </c>
      <c r="K122" s="9">
        <f>IFERROR(__xludf.DUMMYFUNCTION("GOOGLEFINANCE(A122, ""low52"")"),810.05)</f>
        <v>810.05</v>
      </c>
      <c r="L122" s="9">
        <f t="shared" si="1"/>
        <v>0.01699807569</v>
      </c>
      <c r="M122" s="9">
        <f t="shared" si="2"/>
        <v>1.270230233</v>
      </c>
      <c r="N122" s="9">
        <f t="shared" si="3"/>
        <v>0.0148773842</v>
      </c>
      <c r="O122" s="9">
        <f t="shared" si="4"/>
        <v>0.9092465753</v>
      </c>
      <c r="P122" s="9">
        <f>IFERROR(__xludf.DUMMYFUNCTION("GOOGLEFINANCE(A122, ""pe"")"),90.93)</f>
        <v>90.93</v>
      </c>
      <c r="Q122" s="9">
        <f>IFERROR(__xludf.DUMMYFUNCTION("IFERROR(GOOGLEFINANCE(A122, ""volume"") / GOOGLEFINANCE(A122, ""volumeavg""), 0)"),0.0)</f>
        <v>0</v>
      </c>
      <c r="R122" s="9">
        <f>IFERROR(__xludf.DUMMYFUNCTION("AVERAGE(INDEX(GOOGLEFINANCE(A122, ""price"", TODAY()-30, TODAY()), 0, 2))"),1706.2695652173916)</f>
        <v>1706.269565</v>
      </c>
      <c r="S122" s="9">
        <f>IFERROR(__xludf.DUMMYFUNCTION("AVERAGE(INDEX(GOOGLEFINANCE(A122, ""price"", TODAY()-75, TODAY()), 0, 2))"),1556.3358490566038)</f>
        <v>1556.335849</v>
      </c>
      <c r="T122" s="9">
        <f>IFERROR(__xludf.DUMMYFUNCTION("AVERAGE(INDEX(GOOGLEFINANCE(A122, ""price"", TODAY()-300, TODAY()), 0, 2))"),1189.0686567164173)</f>
        <v>1189.068657</v>
      </c>
      <c r="U122" s="9">
        <f t="shared" si="5"/>
        <v>0.07778983901</v>
      </c>
      <c r="V122" s="15">
        <f>IFERROR(__xludf.DUMMYFUNCTION("LET(hist, GOOGLEFINANCE(A122,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rs))))))"),90.55571551972359)</f>
        <v>90.55571552</v>
      </c>
      <c r="W122" s="16" t="str">
        <f>IFERROR(__xludf.DUMMYFUNCTION("IFERROR(GOOGLEFINANCE(A122, ""volume"") / GOOGLEFINANCE(A122, ""volumeavg""), )"),"")</f>
        <v/>
      </c>
      <c r="X122" s="9">
        <f>IFERROR(__xludf.DUMMYFUNCTION("B122 * GOOGLEFINANCE(A122, ""volume"")"),2.001834255E9)</f>
        <v>2001834255</v>
      </c>
      <c r="Y122" s="9">
        <f>IFERROR(__xludf.DUMMYFUNCTION("IFERROR(((B122 - GOOGLEFINANCE(A122, ""priceopen"")) / GOOGLEFINANCE(A122, ""priceopen"")) * GOOGLEFINANCE(A122, ""volume""), 0)"),-10144.819533480553)</f>
        <v>-10144.81953</v>
      </c>
    </row>
    <row r="123">
      <c r="A123" s="4" t="s">
        <v>871</v>
      </c>
      <c r="B123" s="7">
        <f>IFERROR(__xludf.DUMMYFUNCTION("GOOGLEFINANCE(A123, ""price"")"),585.0)</f>
        <v>585</v>
      </c>
      <c r="C123" s="7">
        <f>IFERROR(__xludf.DUMMYFUNCTION("GOOGLEFINANCE(A123, ""changepct"")"),-0.71)</f>
        <v>-0.71</v>
      </c>
      <c r="D123" s="9">
        <f>IFERROR(__xludf.DUMMYFUNCTION("GOOGLEFINANCE(A123, ""priceopen"")"),592.9)</f>
        <v>592.9</v>
      </c>
      <c r="E123" s="9">
        <f>IFERROR(__xludf.DUMMYFUNCTION("GOOGLEFINANCE(A123, ""high"")"),593.35)</f>
        <v>593.35</v>
      </c>
      <c r="F123" s="9">
        <f>IFERROR(__xludf.DUMMYFUNCTION("GOOGLEFINANCE(A123, ""low"")"),581.3)</f>
        <v>581.3</v>
      </c>
      <c r="G123" s="9">
        <f>IFERROR(__xludf.DUMMYFUNCTION("GOOGLEFINANCE(A123, ""price"")"),585.0)</f>
        <v>585</v>
      </c>
      <c r="H123" s="9">
        <f>IFERROR(__xludf.DUMMYFUNCTION("MAX(INDEX(GOOGLEFINANCE(A123, ""high"", TODAY()-30, TODAY()), 0, 2))"),593.35)</f>
        <v>593.35</v>
      </c>
      <c r="I123" s="9">
        <f>IFERROR(__xludf.DUMMYFUNCTION("MIN(INDEX(GOOGLEFINANCE(A123, ""low"", TODAY()-30, TODAY()), 0, 2))"),530.0)</f>
        <v>530</v>
      </c>
      <c r="J123" s="9">
        <f>IFERROR(__xludf.DUMMYFUNCTION("GOOGLEFINANCE(A123, ""high52"")"),593.35)</f>
        <v>593.35</v>
      </c>
      <c r="K123" s="9">
        <f>IFERROR(__xludf.DUMMYFUNCTION("GOOGLEFINANCE(A123, ""low52"")"),356.1)</f>
        <v>356.1</v>
      </c>
      <c r="L123" s="9">
        <f t="shared" si="1"/>
        <v>0.01407263841</v>
      </c>
      <c r="M123" s="9">
        <f t="shared" si="2"/>
        <v>0.6427969671</v>
      </c>
      <c r="N123" s="9">
        <f t="shared" si="3"/>
        <v>0.02072939962</v>
      </c>
      <c r="O123" s="9">
        <f t="shared" si="4"/>
        <v>0.8681925809</v>
      </c>
      <c r="P123" s="9">
        <f>IFERROR(__xludf.DUMMYFUNCTION("GOOGLEFINANCE(A123, ""pe"")"),201.69)</f>
        <v>201.69</v>
      </c>
      <c r="Q123" s="9">
        <f>IFERROR(__xludf.DUMMYFUNCTION("IFERROR(GOOGLEFINANCE(A123, ""volume"") / GOOGLEFINANCE(A123, ""volumeavg""), 0)"),0.0)</f>
        <v>0</v>
      </c>
      <c r="R123" s="9">
        <f>IFERROR(__xludf.DUMMYFUNCTION("AVERAGE(INDEX(GOOGLEFINANCE(A123, ""price"", TODAY()-30, TODAY()), 0, 2))"),559.6326086956523)</f>
        <v>559.6326087</v>
      </c>
      <c r="S123" s="9">
        <f>IFERROR(__xludf.DUMMYFUNCTION("AVERAGE(INDEX(GOOGLEFINANCE(A123, ""price"", TODAY()-75, TODAY()), 0, 2))"),535.2905660377361)</f>
        <v>535.290566</v>
      </c>
      <c r="T123" s="9">
        <f>IFERROR(__xludf.DUMMYFUNCTION("AVERAGE(INDEX(GOOGLEFINANCE(A123, ""price"", TODAY()-300, TODAY()), 0, 2))"),489.89465240641664)</f>
        <v>489.8946524</v>
      </c>
      <c r="U123" s="9">
        <f t="shared" si="5"/>
        <v>0.04532865117</v>
      </c>
      <c r="V123" s="15">
        <f>IFERROR(__xludf.DUMMYFUNCTION("LET(hist, GOOGLEFINANCE(A123,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rs))))))"),65.64351103931071)</f>
        <v>65.64351104</v>
      </c>
      <c r="W123" s="16" t="str">
        <f>IFERROR(__xludf.DUMMYFUNCTION("IFERROR(GOOGLEFINANCE(A123, ""volume"") / GOOGLEFINANCE(A123, ""volumeavg""), )"),"")</f>
        <v/>
      </c>
      <c r="X123" s="9">
        <f>IFERROR(__xludf.DUMMYFUNCTION("B123 * GOOGLEFINANCE(A123, ""volume"")"),2.94137298E9)</f>
        <v>2941372980</v>
      </c>
      <c r="Y123" s="9">
        <f>IFERROR(__xludf.DUMMYFUNCTION("IFERROR(((B123 - GOOGLEFINANCE(A123, ""priceopen"")) / GOOGLEFINANCE(A123, ""priceopen"")) * GOOGLEFINANCE(A123, ""volume""), 0)"),-66994.61157024774)</f>
        <v>-66994.61157</v>
      </c>
    </row>
    <row r="124">
      <c r="A124" s="4" t="s">
        <v>877</v>
      </c>
      <c r="B124" s="7">
        <f>IFERROR(__xludf.DUMMYFUNCTION("GOOGLEFINANCE(A124, ""price"")"),175.95)</f>
        <v>175.95</v>
      </c>
      <c r="C124" s="7">
        <f>IFERROR(__xludf.DUMMYFUNCTION("GOOGLEFINANCE(A124, ""changepct"")"),0.64)</f>
        <v>0.64</v>
      </c>
      <c r="D124" s="9">
        <f>IFERROR(__xludf.DUMMYFUNCTION("GOOGLEFINANCE(A124, ""priceopen"")"),174.83)</f>
        <v>174.83</v>
      </c>
      <c r="E124" s="9">
        <f>IFERROR(__xludf.DUMMYFUNCTION("GOOGLEFINANCE(A124, ""high"")"),177.38)</f>
        <v>177.38</v>
      </c>
      <c r="F124" s="9">
        <f>IFERROR(__xludf.DUMMYFUNCTION("GOOGLEFINANCE(A124, ""low"")"),174.43)</f>
        <v>174.43</v>
      </c>
      <c r="G124" s="9">
        <f>IFERROR(__xludf.DUMMYFUNCTION("GOOGLEFINANCE(A124, ""price"")"),175.95)</f>
        <v>175.95</v>
      </c>
      <c r="H124" s="9">
        <f>IFERROR(__xludf.DUMMYFUNCTION("MAX(INDEX(GOOGLEFINANCE(A124, ""high"", TODAY()-30, TODAY()), 0, 2))"),179.0)</f>
        <v>179</v>
      </c>
      <c r="I124" s="9">
        <f>IFERROR(__xludf.DUMMYFUNCTION("MIN(INDEX(GOOGLEFINANCE(A124, ""low"", TODAY()-30, TODAY()), 0, 2))"),147.59)</f>
        <v>147.59</v>
      </c>
      <c r="J124" s="9">
        <f>IFERROR(__xludf.DUMMYFUNCTION("GOOGLEFINANCE(A124, ""high52"")"),215.42)</f>
        <v>215.42</v>
      </c>
      <c r="K124" s="9">
        <f>IFERROR(__xludf.DUMMYFUNCTION("GOOGLEFINANCE(A124, ""low52"")"),118.9)</f>
        <v>118.9</v>
      </c>
      <c r="L124" s="9">
        <f t="shared" si="1"/>
        <v>0.1832234704</v>
      </c>
      <c r="M124" s="9">
        <f t="shared" si="2"/>
        <v>0.4798149706</v>
      </c>
      <c r="N124" s="9">
        <f t="shared" si="3"/>
        <v>0.0169122284</v>
      </c>
      <c r="O124" s="9">
        <f t="shared" si="4"/>
        <v>0.9028971665</v>
      </c>
      <c r="P124" s="9">
        <f>IFERROR(__xludf.DUMMYFUNCTION("GOOGLEFINANCE(A124, ""pe"")"),29.77)</f>
        <v>29.77</v>
      </c>
      <c r="Q124" s="9">
        <f>IFERROR(__xludf.DUMMYFUNCTION("IFERROR(GOOGLEFINANCE(A124, ""volume"") / GOOGLEFINANCE(A124, ""volumeavg""), 0)"),0.0)</f>
        <v>0</v>
      </c>
      <c r="R124" s="9">
        <f>IFERROR(__xludf.DUMMYFUNCTION("AVERAGE(INDEX(GOOGLEFINANCE(A124, ""price"", TODAY()-30, TODAY()), 0, 2))"),162.73608695652175)</f>
        <v>162.736087</v>
      </c>
      <c r="S124" s="9">
        <f>IFERROR(__xludf.DUMMYFUNCTION("AVERAGE(INDEX(GOOGLEFINANCE(A124, ""price"", TODAY()-75, TODAY()), 0, 2))"),157.94188679245283)</f>
        <v>157.9418868</v>
      </c>
      <c r="T124" s="9">
        <f>IFERROR(__xludf.DUMMYFUNCTION("AVERAGE(INDEX(GOOGLEFINANCE(A124, ""price"", TODAY()-300, TODAY()), 0, 2))"),167.69851485148519)</f>
        <v>167.6985149</v>
      </c>
      <c r="U124" s="9">
        <f t="shared" si="5"/>
        <v>0.08119841942</v>
      </c>
      <c r="V124" s="15">
        <f>IFERROR(__xludf.DUMMYFUNCTION("LET(hist, GOOGLEFINANCE(A124,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rs))))))"),84.28533824690707)</f>
        <v>84.28533825</v>
      </c>
      <c r="W124" s="16" t="str">
        <f>IFERROR(__xludf.DUMMYFUNCTION("IFERROR(GOOGLEFINANCE(A124, ""volume"") / GOOGLEFINANCE(A124, ""volumeavg""), )"),"")</f>
        <v/>
      </c>
      <c r="X124" s="9">
        <f>IFERROR(__xludf.DUMMYFUNCTION("B124 * GOOGLEFINANCE(A124, ""volume"")"),1.8672644483999999E9)</f>
        <v>1867264448</v>
      </c>
      <c r="Y124" s="9">
        <f>IFERROR(__xludf.DUMMYFUNCTION("IFERROR(((B124 - GOOGLEFINANCE(A124, ""priceopen"")) / GOOGLEFINANCE(A124, ""priceopen"")) * GOOGLEFINANCE(A124, ""volume""), 0)"),67985.86421094633)</f>
        <v>67985.86421</v>
      </c>
    </row>
    <row r="125">
      <c r="A125" s="4" t="s">
        <v>884</v>
      </c>
      <c r="B125" s="7">
        <f>IFERROR(__xludf.DUMMYFUNCTION("GOOGLEFINANCE(A125, ""price"")"),11590.0)</f>
        <v>11590</v>
      </c>
      <c r="C125" s="7">
        <f>IFERROR(__xludf.DUMMYFUNCTION("GOOGLEFINANCE(A125, ""changepct"")"),-2.57)</f>
        <v>-2.57</v>
      </c>
      <c r="D125" s="9">
        <f>IFERROR(__xludf.DUMMYFUNCTION("GOOGLEFINANCE(A125, ""priceopen"")"),11851.0)</f>
        <v>11851</v>
      </c>
      <c r="E125" s="9">
        <f>IFERROR(__xludf.DUMMYFUNCTION("GOOGLEFINANCE(A125, ""high"")"),11899.0)</f>
        <v>11899</v>
      </c>
      <c r="F125" s="9">
        <f>IFERROR(__xludf.DUMMYFUNCTION("GOOGLEFINANCE(A125, ""low"")"),11532.0)</f>
        <v>11532</v>
      </c>
      <c r="G125" s="9">
        <f>IFERROR(__xludf.DUMMYFUNCTION("GOOGLEFINANCE(A125, ""price"")"),11590.0)</f>
        <v>11590</v>
      </c>
      <c r="H125" s="9">
        <f>IFERROR(__xludf.DUMMYFUNCTION("MAX(INDEX(GOOGLEFINANCE(A125, ""high"", TODAY()-30, TODAY()), 0, 2))"),11979.0)</f>
        <v>11979</v>
      </c>
      <c r="I125" s="9">
        <f>IFERROR(__xludf.DUMMYFUNCTION("MIN(INDEX(GOOGLEFINANCE(A125, ""low"", TODAY()-30, TODAY()), 0, 2))"),9937.0)</f>
        <v>9937</v>
      </c>
      <c r="J125" s="9">
        <f>IFERROR(__xludf.DUMMYFUNCTION("GOOGLEFINANCE(A125, ""high52"")"),11979.0)</f>
        <v>11979</v>
      </c>
      <c r="K125" s="9">
        <f>IFERROR(__xludf.DUMMYFUNCTION("GOOGLEFINANCE(A125, ""low52"")"),6234.5)</f>
        <v>6234.5</v>
      </c>
      <c r="L125" s="9">
        <f t="shared" si="1"/>
        <v>0.03247349528</v>
      </c>
      <c r="M125" s="9">
        <f t="shared" si="2"/>
        <v>0.8590103457</v>
      </c>
      <c r="N125" s="9">
        <f t="shared" si="3"/>
        <v>0.03182448838</v>
      </c>
      <c r="O125" s="9">
        <f t="shared" si="4"/>
        <v>0.8095004897</v>
      </c>
      <c r="P125" s="9">
        <f>IFERROR(__xludf.DUMMYFUNCTION("GOOGLEFINANCE(A125, ""pe"")"),29.65)</f>
        <v>29.65</v>
      </c>
      <c r="Q125" s="9">
        <f>IFERROR(__xludf.DUMMYFUNCTION("IFERROR(GOOGLEFINANCE(A125, ""volume"") / GOOGLEFINANCE(A125, ""volumeavg""), 0)"),0.0)</f>
        <v>0</v>
      </c>
      <c r="R125" s="9">
        <f>IFERROR(__xludf.DUMMYFUNCTION("AVERAGE(INDEX(GOOGLEFINANCE(A125, ""price"", TODAY()-30, TODAY()), 0, 2))"),11475.434782608696)</f>
        <v>11475.43478</v>
      </c>
      <c r="S125" s="9">
        <f>IFERROR(__xludf.DUMMYFUNCTION("AVERAGE(INDEX(GOOGLEFINANCE(A125, ""price"", TODAY()-75, TODAY()), 0, 2))"),10773.962264150943)</f>
        <v>10773.96226</v>
      </c>
      <c r="T125" s="9">
        <f>IFERROR(__xludf.DUMMYFUNCTION("AVERAGE(INDEX(GOOGLEFINANCE(A125, ""price"", TODAY()-300, TODAY()), 0, 2))"),8661.118811881188)</f>
        <v>8661.118812</v>
      </c>
      <c r="U125" s="9">
        <f t="shared" si="5"/>
        <v>0.009983518669</v>
      </c>
      <c r="V125" s="15">
        <f>IFERROR(__xludf.DUMMYFUNCTION("LET(hist, GOOGLEFINANCE(A125,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rs))))))"),68.31726555652936)</f>
        <v>68.31726556</v>
      </c>
      <c r="W125" s="16" t="str">
        <f>IFERROR(__xludf.DUMMYFUNCTION("IFERROR(GOOGLEFINANCE(A125, ""volume"") / GOOGLEFINANCE(A125, ""volumeavg""), )"),"")</f>
        <v/>
      </c>
      <c r="X125" s="9">
        <f>IFERROR(__xludf.DUMMYFUNCTION("B125 * GOOGLEFINANCE(A125, ""volume"")"),2.83611936E9)</f>
        <v>2836119360</v>
      </c>
      <c r="Y125" s="9">
        <f>IFERROR(__xludf.DUMMYFUNCTION("IFERROR(((B125 - GOOGLEFINANCE(A125, ""priceopen"")) / GOOGLEFINANCE(A125, ""priceopen"")) * GOOGLEFINANCE(A125, ""volume""), 0)"),-5389.228250780525)</f>
        <v>-5389.228251</v>
      </c>
    </row>
    <row r="126">
      <c r="A126" s="4" t="s">
        <v>893</v>
      </c>
      <c r="B126" s="7">
        <f>IFERROR(__xludf.DUMMYFUNCTION("GOOGLEFINANCE(A126, ""price"")"),2552.0)</f>
        <v>2552</v>
      </c>
      <c r="C126" s="7">
        <f>IFERROR(__xludf.DUMMYFUNCTION("GOOGLEFINANCE(A126, ""changepct"")"),-0.08)</f>
        <v>-0.08</v>
      </c>
      <c r="D126" s="9">
        <f>IFERROR(__xludf.DUMMYFUNCTION("GOOGLEFINANCE(A126, ""priceopen"")"),2554.0)</f>
        <v>2554</v>
      </c>
      <c r="E126" s="9">
        <f>IFERROR(__xludf.DUMMYFUNCTION("GOOGLEFINANCE(A126, ""high"")"),2569.9)</f>
        <v>2569.9</v>
      </c>
      <c r="F126" s="9">
        <f>IFERROR(__xludf.DUMMYFUNCTION("GOOGLEFINANCE(A126, ""low"")"),2485.9)</f>
        <v>2485.9</v>
      </c>
      <c r="G126" s="9">
        <f>IFERROR(__xludf.DUMMYFUNCTION("GOOGLEFINANCE(A126, ""price"")"),2552.0)</f>
        <v>2552</v>
      </c>
      <c r="H126" s="9">
        <f>IFERROR(__xludf.DUMMYFUNCTION("MAX(INDEX(GOOGLEFINANCE(A126, ""high"", TODAY()-30, TODAY()), 0, 2))"),2588.8)</f>
        <v>2588.8</v>
      </c>
      <c r="I126" s="9">
        <f>IFERROR(__xludf.DUMMYFUNCTION("MIN(INDEX(GOOGLEFINANCE(A126, ""low"", TODAY()-30, TODAY()), 0, 2))"),2270.1)</f>
        <v>2270.1</v>
      </c>
      <c r="J126" s="9">
        <f>IFERROR(__xludf.DUMMYFUNCTION("GOOGLEFINANCE(A126, ""high52"")"),3061.4)</f>
        <v>3061.4</v>
      </c>
      <c r="K126" s="9">
        <f>IFERROR(__xludf.DUMMYFUNCTION("GOOGLEFINANCE(A126, ""low52"")"),2057.4)</f>
        <v>2057.4</v>
      </c>
      <c r="L126" s="9">
        <f t="shared" si="1"/>
        <v>0.1663944601</v>
      </c>
      <c r="M126" s="9">
        <f t="shared" si="2"/>
        <v>0.2404005055</v>
      </c>
      <c r="N126" s="9">
        <f t="shared" si="3"/>
        <v>0.03379057886</v>
      </c>
      <c r="O126" s="9">
        <f t="shared" si="4"/>
        <v>0.8845309068</v>
      </c>
      <c r="P126" s="9">
        <f>IFERROR(__xludf.DUMMYFUNCTION("GOOGLEFINANCE(A126, ""pe"")"),38.4)</f>
        <v>38.4</v>
      </c>
      <c r="Q126" s="9">
        <f>IFERROR(__xludf.DUMMYFUNCTION("IFERROR(GOOGLEFINANCE(A126, ""volume"") / GOOGLEFINANCE(A126, ""volumeavg""), 0)"),0.0)</f>
        <v>0</v>
      </c>
      <c r="R126" s="9">
        <f>IFERROR(__xludf.DUMMYFUNCTION("AVERAGE(INDEX(GOOGLEFINANCE(A126, ""price"", TODAY()-30, TODAY()), 0, 2))"),2389.4304347826087)</f>
        <v>2389.430435</v>
      </c>
      <c r="S126" s="9">
        <f>IFERROR(__xludf.DUMMYFUNCTION("AVERAGE(INDEX(GOOGLEFINANCE(A126, ""price"", TODAY()-75, TODAY()), 0, 2))"),2433.7000000000003)</f>
        <v>2433.7</v>
      </c>
      <c r="T126" s="9">
        <f>IFERROR(__xludf.DUMMYFUNCTION("AVERAGE(INDEX(GOOGLEFINANCE(A126, ""price"", TODAY()-300, TODAY()), 0, 2))"),2492.534158415841)</f>
        <v>2492.534158</v>
      </c>
      <c r="U126" s="9">
        <f t="shared" si="5"/>
        <v>0.06803695259</v>
      </c>
      <c r="V126" s="15">
        <f>IFERROR(__xludf.DUMMYFUNCTION("LET(hist, GOOGLEFINANCE(A126,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rs))))))"),79.60233918128657)</f>
        <v>79.60233918</v>
      </c>
      <c r="W126" s="16" t="str">
        <f>IFERROR(__xludf.DUMMYFUNCTION("IFERROR(GOOGLEFINANCE(A126, ""volume"") / GOOGLEFINANCE(A126, ""volumeavg""), )"),"")</f>
        <v/>
      </c>
      <c r="X126" s="9">
        <f>IFERROR(__xludf.DUMMYFUNCTION("B126 * GOOGLEFINANCE(A126, ""volume"")"),1.767665768E9)</f>
        <v>1767665768</v>
      </c>
      <c r="Y126" s="9">
        <f>IFERROR(__xludf.DUMMYFUNCTION("IFERROR(((B126 - GOOGLEFINANCE(A126, ""priceopen"")) / GOOGLEFINANCE(A126, ""priceopen"")) * GOOGLEFINANCE(A126, ""volume""), 0)"),-542.4111198120595)</f>
        <v>-542.4111198</v>
      </c>
    </row>
    <row r="127">
      <c r="A127" s="4" t="s">
        <v>899</v>
      </c>
      <c r="B127" s="7">
        <f>IFERROR(__xludf.DUMMYFUNCTION("GOOGLEFINANCE(A127, ""price"")"),1195.0)</f>
        <v>1195</v>
      </c>
      <c r="C127" s="7">
        <f>IFERROR(__xludf.DUMMYFUNCTION("GOOGLEFINANCE(A127, ""changepct"")"),-0.83)</f>
        <v>-0.83</v>
      </c>
      <c r="D127" s="9">
        <f>IFERROR(__xludf.DUMMYFUNCTION("GOOGLEFINANCE(A127, ""priceopen"")"),1206.8)</f>
        <v>1206.8</v>
      </c>
      <c r="E127" s="9">
        <f>IFERROR(__xludf.DUMMYFUNCTION("GOOGLEFINANCE(A127, ""high"")"),1206.8)</f>
        <v>1206.8</v>
      </c>
      <c r="F127" s="9">
        <f>IFERROR(__xludf.DUMMYFUNCTION("GOOGLEFINANCE(A127, ""low"")"),1190.0)</f>
        <v>1190</v>
      </c>
      <c r="G127" s="9">
        <f>IFERROR(__xludf.DUMMYFUNCTION("GOOGLEFINANCE(A127, ""price"")"),1195.0)</f>
        <v>1195</v>
      </c>
      <c r="H127" s="9">
        <f>IFERROR(__xludf.DUMMYFUNCTION("MAX(INDEX(GOOGLEFINANCE(A127, ""high"", TODAY()-30, TODAY()), 0, 2))"),1249.1)</f>
        <v>1249.1</v>
      </c>
      <c r="I127" s="9">
        <f>IFERROR(__xludf.DUMMYFUNCTION("MIN(INDEX(GOOGLEFINANCE(A127, ""low"", TODAY()-30, TODAY()), 0, 2))"),1101.0)</f>
        <v>1101</v>
      </c>
      <c r="J127" s="9">
        <f>IFERROR(__xludf.DUMMYFUNCTION("GOOGLEFINANCE(A127, ""high52"")"),1414.9)</f>
        <v>1414.9</v>
      </c>
      <c r="K127" s="9">
        <f>IFERROR(__xludf.DUMMYFUNCTION("GOOGLEFINANCE(A127, ""low52"")"),1101.0)</f>
        <v>1101</v>
      </c>
      <c r="L127" s="9">
        <f t="shared" si="1"/>
        <v>0.155417344</v>
      </c>
      <c r="M127" s="9">
        <f t="shared" si="2"/>
        <v>0.08537693006</v>
      </c>
      <c r="N127" s="9">
        <f t="shared" si="3"/>
        <v>0.01411764706</v>
      </c>
      <c r="O127" s="9">
        <f t="shared" si="4"/>
        <v>0.6347062795</v>
      </c>
      <c r="P127" s="9">
        <f>IFERROR(__xludf.DUMMYFUNCTION("GOOGLEFINANCE(A127, ""pe"")"),30.9)</f>
        <v>30.9</v>
      </c>
      <c r="Q127" s="9">
        <f>IFERROR(__xludf.DUMMYFUNCTION("IFERROR(GOOGLEFINANCE(A127, ""volume"") / GOOGLEFINANCE(A127, ""volumeavg""), 0)"),0.0)</f>
        <v>0</v>
      </c>
      <c r="R127" s="9">
        <f>IFERROR(__xludf.DUMMYFUNCTION("AVERAGE(INDEX(GOOGLEFINANCE(A127, ""price"", TODAY()-30, TODAY()), 0, 2))"),1184.0304347826084)</f>
        <v>1184.030435</v>
      </c>
      <c r="S127" s="9">
        <f>IFERROR(__xludf.DUMMYFUNCTION("AVERAGE(INDEX(GOOGLEFINANCE(A127, ""price"", TODAY()-75, TODAY()), 0, 2))"),1250.7641509433963)</f>
        <v>1250.764151</v>
      </c>
      <c r="T127" s="9">
        <f>IFERROR(__xludf.DUMMYFUNCTION("AVERAGE(INDEX(GOOGLEFINANCE(A127, ""price"", TODAY()-300, TODAY()), 0, 2))"),1258.6104477611943)</f>
        <v>1258.610448</v>
      </c>
      <c r="U127" s="9">
        <f t="shared" si="5"/>
        <v>0.009264597341</v>
      </c>
      <c r="V127" s="15">
        <f>IFERROR(__xludf.DUMMYFUNCTION("LET(hist, GOOGLEFINANCE(A127,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rs))))))"),60.78055022392833)</f>
        <v>60.78055022</v>
      </c>
      <c r="W127" s="16" t="str">
        <f>IFERROR(__xludf.DUMMYFUNCTION("IFERROR(GOOGLEFINANCE(A127, ""volume"") / GOOGLEFINANCE(A127, ""volumeavg""), )"),"")</f>
        <v/>
      </c>
      <c r="X127" s="9">
        <f>IFERROR(__xludf.DUMMYFUNCTION("B127 * GOOGLEFINANCE(A127, ""volume"")"),2.828456255E9)</f>
        <v>2828456255</v>
      </c>
      <c r="Y127" s="9">
        <f>IFERROR(__xludf.DUMMYFUNCTION("IFERROR(((B127 - GOOGLEFINANCE(A127, ""priceopen"")) / GOOGLEFINANCE(A127, ""priceopen"")) * GOOGLEFINANCE(A127, ""volume""), 0)"),-23143.45889956902)</f>
        <v>-23143.4589</v>
      </c>
    </row>
    <row r="128">
      <c r="A128" s="4" t="s">
        <v>905</v>
      </c>
      <c r="B128" s="7">
        <f>IFERROR(__xludf.DUMMYFUNCTION("GOOGLEFINANCE(A128, ""price"")"),326.0)</f>
        <v>326</v>
      </c>
      <c r="C128" s="7">
        <f>IFERROR(__xludf.DUMMYFUNCTION("GOOGLEFINANCE(A128, ""changepct"")"),0.31)</f>
        <v>0.31</v>
      </c>
      <c r="D128" s="9">
        <f>IFERROR(__xludf.DUMMYFUNCTION("GOOGLEFINANCE(A128, ""priceopen"")"),325.9)</f>
        <v>325.9</v>
      </c>
      <c r="E128" s="9">
        <f>IFERROR(__xludf.DUMMYFUNCTION("GOOGLEFINANCE(A128, ""high"")"),328.05)</f>
        <v>328.05</v>
      </c>
      <c r="F128" s="9">
        <f>IFERROR(__xludf.DUMMYFUNCTION("GOOGLEFINANCE(A128, ""low"")"),321.6)</f>
        <v>321.6</v>
      </c>
      <c r="G128" s="9">
        <f>IFERROR(__xludf.DUMMYFUNCTION("GOOGLEFINANCE(A128, ""price"")"),326.0)</f>
        <v>326</v>
      </c>
      <c r="H128" s="9">
        <f>IFERROR(__xludf.DUMMYFUNCTION("MAX(INDEX(GOOGLEFINANCE(A128, ""high"", TODAY()-30, TODAY()), 0, 2))"),348.0)</f>
        <v>348</v>
      </c>
      <c r="I128" s="9">
        <f>IFERROR(__xludf.DUMMYFUNCTION("MIN(INDEX(GOOGLEFINANCE(A128, ""low"", TODAY()-30, TODAY()), 0, 2))"),317.05)</f>
        <v>317.05</v>
      </c>
      <c r="J128" s="9">
        <f>IFERROR(__xludf.DUMMYFUNCTION("GOOGLEFINANCE(A128, ""high52"")"),348.0)</f>
        <v>348</v>
      </c>
      <c r="K128" s="9">
        <f>IFERROR(__xludf.DUMMYFUNCTION("GOOGLEFINANCE(A128, ""low52"")"),202.64)</f>
        <v>202.64</v>
      </c>
      <c r="L128" s="9">
        <f t="shared" si="1"/>
        <v>0.0632183908</v>
      </c>
      <c r="M128" s="9">
        <f t="shared" si="2"/>
        <v>0.6087643111</v>
      </c>
      <c r="N128" s="9">
        <f t="shared" si="3"/>
        <v>0.02005597015</v>
      </c>
      <c r="O128" s="9">
        <f t="shared" si="4"/>
        <v>0.2891760905</v>
      </c>
      <c r="P128" s="9">
        <f>IFERROR(__xludf.DUMMYFUNCTION("GOOGLEFINANCE(A128, ""pe"")"),362.89)</f>
        <v>362.89</v>
      </c>
      <c r="Q128" s="9">
        <f>IFERROR(__xludf.DUMMYFUNCTION("IFERROR(GOOGLEFINANCE(A128, ""volume"") / GOOGLEFINANCE(A128, ""volumeavg""), 0)"),0.0)</f>
        <v>0</v>
      </c>
      <c r="R128" s="9">
        <f>IFERROR(__xludf.DUMMYFUNCTION("AVERAGE(INDEX(GOOGLEFINANCE(A128, ""price"", TODAY()-30, TODAY()), 0, 2))"),329.1282608695652)</f>
        <v>329.1282609</v>
      </c>
      <c r="S128" s="9">
        <f>IFERROR(__xludf.DUMMYFUNCTION("AVERAGE(INDEX(GOOGLEFINANCE(A128, ""price"", TODAY()-75, TODAY()), 0, 2))"),307.1594339622642)</f>
        <v>307.159434</v>
      </c>
      <c r="T128" s="9">
        <f>IFERROR(__xludf.DUMMYFUNCTION("AVERAGE(INDEX(GOOGLEFINANCE(A128, ""price"", TODAY()-300, TODAY()), 0, 2))"),271.01262376237634)</f>
        <v>271.0126238</v>
      </c>
      <c r="U128" s="9">
        <f t="shared" si="5"/>
        <v>-0.009504686293</v>
      </c>
      <c r="V128" s="15">
        <f>IFERROR(__xludf.DUMMYFUNCTION("LET(hist, GOOGLEFINANCE(A128,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rs))))))"),52.97346752058554)</f>
        <v>52.97346752</v>
      </c>
      <c r="W128" s="16" t="str">
        <f>IFERROR(__xludf.DUMMYFUNCTION("IFERROR(GOOGLEFINANCE(A128, ""volume"") / GOOGLEFINANCE(A128, ""volumeavg""), )"),"")</f>
        <v/>
      </c>
      <c r="X128" s="9">
        <f>IFERROR(__xludf.DUMMYFUNCTION("B128 * GOOGLEFINANCE(A128, ""volume"")"),1.249234282E9)</f>
        <v>1249234282</v>
      </c>
      <c r="Y128" s="9">
        <f>IFERROR(__xludf.DUMMYFUNCTION("IFERROR(((B128 - GOOGLEFINANCE(A128, ""priceopen"")) / GOOGLEFINANCE(A128, ""priceopen"")) * GOOGLEFINANCE(A128, ""volume""), 0)"),1175.8229518259807)</f>
        <v>1175.822952</v>
      </c>
    </row>
    <row r="129">
      <c r="A129" s="4" t="s">
        <v>911</v>
      </c>
      <c r="B129" s="7">
        <f>IFERROR(__xludf.DUMMYFUNCTION("GOOGLEFINANCE(A129, ""price"")"),25410.0)</f>
        <v>25410</v>
      </c>
      <c r="C129" s="7">
        <f>IFERROR(__xludf.DUMMYFUNCTION("GOOGLEFINANCE(A129, ""changepct"")"),-0.39)</f>
        <v>-0.39</v>
      </c>
      <c r="D129" s="9">
        <f>IFERROR(__xludf.DUMMYFUNCTION("GOOGLEFINANCE(A129, ""priceopen"")"),25470.0)</f>
        <v>25470</v>
      </c>
      <c r="E129" s="9">
        <f>IFERROR(__xludf.DUMMYFUNCTION("GOOGLEFINANCE(A129, ""high"")"),25570.0)</f>
        <v>25570</v>
      </c>
      <c r="F129" s="9">
        <f>IFERROR(__xludf.DUMMYFUNCTION("GOOGLEFINANCE(A129, ""low"")"),25150.0)</f>
        <v>25150</v>
      </c>
      <c r="G129" s="9">
        <f>IFERROR(__xludf.DUMMYFUNCTION("GOOGLEFINANCE(A129, ""price"")"),25410.0)</f>
        <v>25410</v>
      </c>
      <c r="H129" s="9">
        <f>IFERROR(__xludf.DUMMYFUNCTION("MAX(INDEX(GOOGLEFINANCE(A129, ""high"", TODAY()-30, TODAY()), 0, 2))"),27550.0)</f>
        <v>27550</v>
      </c>
      <c r="I129" s="9">
        <f>IFERROR(__xludf.DUMMYFUNCTION("MIN(INDEX(GOOGLEFINANCE(A129, ""low"", TODAY()-30, TODAY()), 0, 2))"),25150.0)</f>
        <v>25150</v>
      </c>
      <c r="J129" s="9">
        <f>IFERROR(__xludf.DUMMYFUNCTION("GOOGLEFINANCE(A129, ""high52"")"),31920.0)</f>
        <v>31920</v>
      </c>
      <c r="K129" s="9">
        <f>IFERROR(__xludf.DUMMYFUNCTION("GOOGLEFINANCE(A129, ""low52"")"),22550.0)</f>
        <v>22550</v>
      </c>
      <c r="L129" s="9">
        <f t="shared" si="1"/>
        <v>0.2039473684</v>
      </c>
      <c r="M129" s="9">
        <f t="shared" si="2"/>
        <v>0.1268292683</v>
      </c>
      <c r="N129" s="9">
        <f t="shared" si="3"/>
        <v>0.01669980119</v>
      </c>
      <c r="O129" s="9">
        <f t="shared" si="4"/>
        <v>0.1083333333</v>
      </c>
      <c r="P129" s="9">
        <f>IFERROR(__xludf.DUMMYFUNCTION("GOOGLEFINANCE(A129, ""pe"")"),56.24)</f>
        <v>56.24</v>
      </c>
      <c r="Q129" s="9">
        <f>IFERROR(__xludf.DUMMYFUNCTION("IFERROR(GOOGLEFINANCE(A129, ""volume"") / GOOGLEFINANCE(A129, ""volumeavg""), 0)"),0.0)</f>
        <v>0</v>
      </c>
      <c r="R129" s="9">
        <f>IFERROR(__xludf.DUMMYFUNCTION("AVERAGE(INDEX(GOOGLEFINANCE(A129, ""price"", TODAY()-30, TODAY()), 0, 2))"),26557.608695652172)</f>
        <v>26557.6087</v>
      </c>
      <c r="S129" s="9">
        <f>IFERROR(__xludf.DUMMYFUNCTION("AVERAGE(INDEX(GOOGLEFINANCE(A129, ""price"", TODAY()-75, TODAY()), 0, 2))"),25785.283018867925)</f>
        <v>25785.28302</v>
      </c>
      <c r="T129" s="9">
        <f>IFERROR(__xludf.DUMMYFUNCTION("AVERAGE(INDEX(GOOGLEFINANCE(A129, ""price"", TODAY()-300, TODAY()), 0, 2))"),25968.638613861385)</f>
        <v>25968.63861</v>
      </c>
      <c r="U129" s="9">
        <f t="shared" si="5"/>
        <v>-0.04321204928</v>
      </c>
      <c r="V129" s="15">
        <f>IFERROR(__xludf.DUMMYFUNCTION("LET(hist, GOOGLEFINANCE(A129,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rs))))))"),33.10901749663526)</f>
        <v>33.1090175</v>
      </c>
      <c r="W129" s="16" t="str">
        <f>IFERROR(__xludf.DUMMYFUNCTION("IFERROR(GOOGLEFINANCE(A129, ""volume"") / GOOGLEFINANCE(A129, ""volumeavg""), )"),"")</f>
        <v/>
      </c>
      <c r="X129" s="9">
        <f>IFERROR(__xludf.DUMMYFUNCTION("B129 * GOOGLEFINANCE(A129, ""volume"")"),5.0487129E8)</f>
        <v>504871290</v>
      </c>
      <c r="Y129" s="9">
        <f>IFERROR(__xludf.DUMMYFUNCTION("IFERROR(((B129 - GOOGLEFINANCE(A129, ""priceopen"")) / GOOGLEFINANCE(A129, ""priceopen"")) * GOOGLEFINANCE(A129, ""volume""), 0)"),-46.80565371024735)</f>
        <v>-46.80565371</v>
      </c>
    </row>
    <row r="130">
      <c r="A130" s="4" t="s">
        <v>923</v>
      </c>
      <c r="B130" s="7">
        <f>IFERROR(__xludf.DUMMYFUNCTION("GOOGLEFINANCE(A130, ""price"")"),1663.0)</f>
        <v>1663</v>
      </c>
      <c r="C130" s="7">
        <f>IFERROR(__xludf.DUMMYFUNCTION("GOOGLEFINANCE(A130, ""changepct"")"),0.3)</f>
        <v>0.3</v>
      </c>
      <c r="D130" s="9">
        <f>IFERROR(__xludf.DUMMYFUNCTION("GOOGLEFINANCE(A130, ""priceopen"")"),1658.0)</f>
        <v>1658</v>
      </c>
      <c r="E130" s="9">
        <f>IFERROR(__xludf.DUMMYFUNCTION("GOOGLEFINANCE(A130, ""high"")"),1667.0)</f>
        <v>1667</v>
      </c>
      <c r="F130" s="9">
        <f>IFERROR(__xludf.DUMMYFUNCTION("GOOGLEFINANCE(A130, ""low"")"),1652.3)</f>
        <v>1652.3</v>
      </c>
      <c r="G130" s="9">
        <f>IFERROR(__xludf.DUMMYFUNCTION("GOOGLEFINANCE(A130, ""price"")"),1663.0)</f>
        <v>1663</v>
      </c>
      <c r="H130" s="9">
        <f>IFERROR(__xludf.DUMMYFUNCTION("MAX(INDEX(GOOGLEFINANCE(A130, ""high"", TODAY()-30, TODAY()), 0, 2))"),1671.9)</f>
        <v>1671.9</v>
      </c>
      <c r="I130" s="9">
        <f>IFERROR(__xludf.DUMMYFUNCTION("MIN(INDEX(GOOGLEFINANCE(A130, ""low"", TODAY()-30, TODAY()), 0, 2))"),1512.0)</f>
        <v>1512</v>
      </c>
      <c r="J130" s="9">
        <f>IFERROR(__xludf.DUMMYFUNCTION("GOOGLEFINANCE(A130, ""high52"")"),1671.9)</f>
        <v>1671.9</v>
      </c>
      <c r="K130" s="9">
        <f>IFERROR(__xludf.DUMMYFUNCTION("GOOGLEFINANCE(A130, ""low52"")"),1016.1)</f>
        <v>1016.1</v>
      </c>
      <c r="L130" s="9">
        <f t="shared" si="1"/>
        <v>0.005323284885</v>
      </c>
      <c r="M130" s="9">
        <f t="shared" si="2"/>
        <v>0.636649936</v>
      </c>
      <c r="N130" s="9">
        <f t="shared" si="3"/>
        <v>0.008896689463</v>
      </c>
      <c r="O130" s="9">
        <f t="shared" si="4"/>
        <v>0.9443402126</v>
      </c>
      <c r="P130" s="9">
        <f>IFERROR(__xludf.DUMMYFUNCTION("GOOGLEFINANCE(A130, ""pe"")"),25.98)</f>
        <v>25.98</v>
      </c>
      <c r="Q130" s="9">
        <f>IFERROR(__xludf.DUMMYFUNCTION("IFERROR(GOOGLEFINANCE(A130, ""volume"") / GOOGLEFINANCE(A130, ""volumeavg""), 0)"),0.0)</f>
        <v>0</v>
      </c>
      <c r="R130" s="9">
        <f>IFERROR(__xludf.DUMMYFUNCTION("AVERAGE(INDEX(GOOGLEFINANCE(A130, ""price"", TODAY()-30, TODAY()), 0, 2))"),1577.4826086956525)</f>
        <v>1577.482609</v>
      </c>
      <c r="S130" s="9">
        <f>IFERROR(__xludf.DUMMYFUNCTION("AVERAGE(INDEX(GOOGLEFINANCE(A130, ""price"", TODAY()-75, TODAY()), 0, 2))"),1533.1566037735845)</f>
        <v>1533.156604</v>
      </c>
      <c r="T130" s="9">
        <f>IFERROR(__xludf.DUMMYFUNCTION("AVERAGE(INDEX(GOOGLEFINANCE(A130, ""price"", TODAY()-300, TODAY()), 0, 2))"),1326.432178217822)</f>
        <v>1326.432178</v>
      </c>
      <c r="U130" s="9">
        <f t="shared" si="5"/>
        <v>0.0542113053</v>
      </c>
      <c r="V130" s="15">
        <f>IFERROR(__xludf.DUMMYFUNCTION("LET(hist, GOOGLEFINANCE(A130,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rs))))))"),74.52185792349724)</f>
        <v>74.52185792</v>
      </c>
      <c r="W130" s="16" t="str">
        <f>IFERROR(__xludf.DUMMYFUNCTION("IFERROR(GOOGLEFINANCE(A130, ""volume"") / GOOGLEFINANCE(A130, ""volumeavg""), )"),"")</f>
        <v/>
      </c>
      <c r="X130" s="9">
        <f>IFERROR(__xludf.DUMMYFUNCTION("B130 * GOOGLEFINANCE(A130, ""volume"")"),1.323849443E9)</f>
        <v>1323849443</v>
      </c>
      <c r="Y130" s="9">
        <f>IFERROR(__xludf.DUMMYFUNCTION("IFERROR(((B130 - GOOGLEFINANCE(A130, ""priceopen"")) / GOOGLEFINANCE(A130, ""priceopen"")) * GOOGLEFINANCE(A130, ""volume""), 0)"),2400.66646562123)</f>
        <v>2400.666466</v>
      </c>
    </row>
    <row r="131">
      <c r="A131" s="4" t="s">
        <v>935</v>
      </c>
      <c r="B131" s="7">
        <f>IFERROR(__xludf.DUMMYFUNCTION("GOOGLEFINANCE(A131, ""price"")"),82.69)</f>
        <v>82.69</v>
      </c>
      <c r="C131" s="7">
        <f>IFERROR(__xludf.DUMMYFUNCTION("GOOGLEFINANCE(A131, ""changepct"")"),0.3)</f>
        <v>0.3</v>
      </c>
      <c r="D131" s="9">
        <f>IFERROR(__xludf.DUMMYFUNCTION("GOOGLEFINANCE(A131, ""priceopen"")"),82.44)</f>
        <v>82.44</v>
      </c>
      <c r="E131" s="9">
        <f>IFERROR(__xludf.DUMMYFUNCTION("GOOGLEFINANCE(A131, ""high"")"),83.44)</f>
        <v>83.44</v>
      </c>
      <c r="F131" s="9">
        <f>IFERROR(__xludf.DUMMYFUNCTION("GOOGLEFINANCE(A131, ""low"")"),82.2)</f>
        <v>82.2</v>
      </c>
      <c r="G131" s="9">
        <f>IFERROR(__xludf.DUMMYFUNCTION("GOOGLEFINANCE(A131, ""price"")"),82.69)</f>
        <v>82.69</v>
      </c>
      <c r="H131" s="9">
        <f>IFERROR(__xludf.DUMMYFUNCTION("MAX(INDEX(GOOGLEFINANCE(A131, ""high"", TODAY()-30, TODAY()), 0, 2))"),89.94)</f>
        <v>89.94</v>
      </c>
      <c r="I131" s="9">
        <f>IFERROR(__xludf.DUMMYFUNCTION("MIN(INDEX(GOOGLEFINANCE(A131, ""low"", TODAY()-30, TODAY()), 0, 2))"),81.73)</f>
        <v>81.73</v>
      </c>
      <c r="J131" s="9">
        <f>IFERROR(__xludf.DUMMYFUNCTION("GOOGLEFINANCE(A131, ""high52"")"),118.38)</f>
        <v>118.38</v>
      </c>
      <c r="K131" s="9">
        <f>IFERROR(__xludf.DUMMYFUNCTION("GOOGLEFINANCE(A131, ""low52"")"),61.01)</f>
        <v>61.01</v>
      </c>
      <c r="L131" s="9">
        <f t="shared" si="1"/>
        <v>0.3014867376</v>
      </c>
      <c r="M131" s="9">
        <f t="shared" si="2"/>
        <v>0.3553515817</v>
      </c>
      <c r="N131" s="9">
        <f t="shared" si="3"/>
        <v>0.01508515815</v>
      </c>
      <c r="O131" s="9">
        <f t="shared" si="4"/>
        <v>0.1169305725</v>
      </c>
      <c r="P131" s="9">
        <f>IFERROR(__xludf.DUMMYFUNCTION("GOOGLEFINANCE(A131, ""pe"")"),9.54)</f>
        <v>9.54</v>
      </c>
      <c r="Q131" s="9">
        <f>IFERROR(__xludf.DUMMYFUNCTION("IFERROR(GOOGLEFINANCE(A131, ""volume"") / GOOGLEFINANCE(A131, ""volumeavg""), 0)"),0.0)</f>
        <v>0</v>
      </c>
      <c r="R131" s="9">
        <f>IFERROR(__xludf.DUMMYFUNCTION("AVERAGE(INDEX(GOOGLEFINANCE(A131, ""price"", TODAY()-30, TODAY()), 0, 2))"),84.73913043478261)</f>
        <v>84.73913043</v>
      </c>
      <c r="S131" s="9">
        <f>IFERROR(__xludf.DUMMYFUNCTION("AVERAGE(INDEX(GOOGLEFINANCE(A131, ""price"", TODAY()-75, TODAY()), 0, 2))"),82.06377358490566)</f>
        <v>82.06377358</v>
      </c>
      <c r="T131" s="9">
        <f>IFERROR(__xludf.DUMMYFUNCTION("AVERAGE(INDEX(GOOGLEFINANCE(A131, ""price"", TODAY()-300, TODAY()), 0, 2))"),89.9475742574257)</f>
        <v>89.94757426</v>
      </c>
      <c r="U131" s="9">
        <f t="shared" si="5"/>
        <v>-0.02418163161</v>
      </c>
      <c r="V131" s="15">
        <f>IFERROR(__xludf.DUMMYFUNCTION("LET(hist, GOOGLEFINANCE(A131,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rs))))))"),30.82595870206488)</f>
        <v>30.8259587</v>
      </c>
      <c r="W131" s="16" t="str">
        <f>IFERROR(__xludf.DUMMYFUNCTION("IFERROR(GOOGLEFINANCE(A131, ""volume"") / GOOGLEFINANCE(A131, ""volumeavg""), )"),"")</f>
        <v/>
      </c>
      <c r="X131" s="9">
        <f>IFERROR(__xludf.DUMMYFUNCTION("B131 * GOOGLEFINANCE(A131, ""volume"")"),2.545760492E8)</f>
        <v>254576049.2</v>
      </c>
      <c r="Y131" s="9">
        <f>IFERROR(__xludf.DUMMYFUNCTION("IFERROR(((B131 - GOOGLEFINANCE(A131, ""priceopen"")) / GOOGLEFINANCE(A131, ""priceopen"")) * GOOGLEFINANCE(A131, ""volume""), 0)"),9336.123241145075)</f>
        <v>9336.123241</v>
      </c>
    </row>
    <row r="132">
      <c r="A132" s="4" t="s">
        <v>941</v>
      </c>
      <c r="B132" s="7">
        <f>IFERROR(__xludf.DUMMYFUNCTION("GOOGLEFINANCE(A132, ""price"")"),355.15)</f>
        <v>355.15</v>
      </c>
      <c r="C132" s="7">
        <f>IFERROR(__xludf.DUMMYFUNCTION("GOOGLEFINANCE(A132, ""changepct"")"),0.17)</f>
        <v>0.17</v>
      </c>
      <c r="D132" s="9">
        <f>IFERROR(__xludf.DUMMYFUNCTION("GOOGLEFINANCE(A132, ""priceopen"")"),354.55)</f>
        <v>354.55</v>
      </c>
      <c r="E132" s="9">
        <f>IFERROR(__xludf.DUMMYFUNCTION("GOOGLEFINANCE(A132, ""high"")"),357.65)</f>
        <v>357.65</v>
      </c>
      <c r="F132" s="9">
        <f>IFERROR(__xludf.DUMMYFUNCTION("GOOGLEFINANCE(A132, ""low"")"),353.8)</f>
        <v>353.8</v>
      </c>
      <c r="G132" s="9">
        <f>IFERROR(__xludf.DUMMYFUNCTION("GOOGLEFINANCE(A132, ""price"")"),355.15)</f>
        <v>355.15</v>
      </c>
      <c r="H132" s="9">
        <f>IFERROR(__xludf.DUMMYFUNCTION("MAX(INDEX(GOOGLEFINANCE(A132, ""high"", TODAY()-30, TODAY()), 0, 2))"),371.7)</f>
        <v>371.7</v>
      </c>
      <c r="I132" s="9">
        <f>IFERROR(__xludf.DUMMYFUNCTION("MIN(INDEX(GOOGLEFINANCE(A132, ""low"", TODAY()-30, TODAY()), 0, 2))"),323.4)</f>
        <v>323.4</v>
      </c>
      <c r="J132" s="9">
        <f>IFERROR(__xludf.DUMMYFUNCTION("GOOGLEFINANCE(A132, ""high52"")"),371.7)</f>
        <v>371.7</v>
      </c>
      <c r="K132" s="9">
        <f>IFERROR(__xludf.DUMMYFUNCTION("GOOGLEFINANCE(A132, ""low52"")"),188.4)</f>
        <v>188.4</v>
      </c>
      <c r="L132" s="9">
        <f t="shared" si="1"/>
        <v>0.04452515469</v>
      </c>
      <c r="M132" s="9">
        <f t="shared" si="2"/>
        <v>0.8850849257</v>
      </c>
      <c r="N132" s="9">
        <f t="shared" si="3"/>
        <v>0.01088185415</v>
      </c>
      <c r="O132" s="9">
        <f t="shared" si="4"/>
        <v>0.6573498965</v>
      </c>
      <c r="P132" s="9">
        <f>IFERROR(__xludf.DUMMYFUNCTION("GOOGLEFINANCE(A132, ""pe"")"),19.01)</f>
        <v>19.01</v>
      </c>
      <c r="Q132" s="9">
        <f>IFERROR(__xludf.DUMMYFUNCTION("IFERROR(GOOGLEFINANCE(A132, ""volume"") / GOOGLEFINANCE(A132, ""volumeavg""), 0)"),0.0)</f>
        <v>0</v>
      </c>
      <c r="R132" s="9">
        <f>IFERROR(__xludf.DUMMYFUNCTION("AVERAGE(INDEX(GOOGLEFINANCE(A132, ""price"", TODAY()-30, TODAY()), 0, 2))"),351.65000000000003)</f>
        <v>351.65</v>
      </c>
      <c r="S132" s="9">
        <f>IFERROR(__xludf.DUMMYFUNCTION("AVERAGE(INDEX(GOOGLEFINANCE(A132, ""price"", TODAY()-75, TODAY()), 0, 2))"),332.2066037735848)</f>
        <v>332.2066038</v>
      </c>
      <c r="T132" s="9">
        <f>IFERROR(__xludf.DUMMYFUNCTION("AVERAGE(INDEX(GOOGLEFINANCE(A132, ""price"", TODAY()-300, TODAY()), 0, 2))"),285.9731683168317)</f>
        <v>285.9731683</v>
      </c>
      <c r="U132" s="9">
        <f t="shared" si="5"/>
        <v>0.009953078345</v>
      </c>
      <c r="V132" s="15">
        <f>IFERROR(__xludf.DUMMYFUNCTION("LET(hist, GOOGLEFINANCE(A132,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rs))))))"),52.166224580017726)</f>
        <v>52.16622458</v>
      </c>
      <c r="W132" s="16" t="str">
        <f>IFERROR(__xludf.DUMMYFUNCTION("IFERROR(GOOGLEFINANCE(A132, ""volume"") / GOOGLEFINANCE(A132, ""volumeavg""), )"),"")</f>
        <v/>
      </c>
      <c r="X132" s="9">
        <f>IFERROR(__xludf.DUMMYFUNCTION("B132 * GOOGLEFINANCE(A132, ""volume"")"),1.19679050755E9)</f>
        <v>1196790508</v>
      </c>
      <c r="Y132" s="9">
        <f>IFERROR(__xludf.DUMMYFUNCTION("IFERROR(((B132 - GOOGLEFINANCE(A132, ""priceopen"")) / GOOGLEFINANCE(A132, ""priceopen"")) * GOOGLEFINANCE(A132, ""volume""), 0)"),5702.694119305838)</f>
        <v>5702.694119</v>
      </c>
    </row>
    <row r="133">
      <c r="A133" s="4" t="s">
        <v>948</v>
      </c>
      <c r="B133" s="7">
        <f>IFERROR(__xludf.DUMMYFUNCTION("GOOGLEFINANCE(A133, ""price"")"),5465.0)</f>
        <v>5465</v>
      </c>
      <c r="C133" s="7">
        <f>IFERROR(__xludf.DUMMYFUNCTION("GOOGLEFINANCE(A133, ""changepct"")"),-1.28)</f>
        <v>-1.28</v>
      </c>
      <c r="D133" s="9">
        <f>IFERROR(__xludf.DUMMYFUNCTION("GOOGLEFINANCE(A133, ""priceopen"")"),5530.0)</f>
        <v>5530</v>
      </c>
      <c r="E133" s="9">
        <f>IFERROR(__xludf.DUMMYFUNCTION("GOOGLEFINANCE(A133, ""high"")"),5530.0)</f>
        <v>5530</v>
      </c>
      <c r="F133" s="9">
        <f>IFERROR(__xludf.DUMMYFUNCTION("GOOGLEFINANCE(A133, ""low"")"),5390.0)</f>
        <v>5390</v>
      </c>
      <c r="G133" s="9">
        <f>IFERROR(__xludf.DUMMYFUNCTION("GOOGLEFINANCE(A133, ""price"")"),5465.0)</f>
        <v>5465</v>
      </c>
      <c r="H133" s="9">
        <f>IFERROR(__xludf.DUMMYFUNCTION("MAX(INDEX(GOOGLEFINANCE(A133, ""high"", TODAY()-30, TODAY()), 0, 2))"),5698.0)</f>
        <v>5698</v>
      </c>
      <c r="I133" s="9">
        <f>IFERROR(__xludf.DUMMYFUNCTION("MIN(INDEX(GOOGLEFINANCE(A133, ""low"", TODAY()-30, TODAY()), 0, 2))"),4965.1)</f>
        <v>4965.1</v>
      </c>
      <c r="J133" s="9">
        <f>IFERROR(__xludf.DUMMYFUNCTION("GOOGLEFINANCE(A133, ""high52"")"),6599.0)</f>
        <v>6599</v>
      </c>
      <c r="K133" s="9">
        <f>IFERROR(__xludf.DUMMYFUNCTION("GOOGLEFINANCE(A133, ""low52"")"),4244.5)</f>
        <v>4244.5</v>
      </c>
      <c r="L133" s="9">
        <f t="shared" si="1"/>
        <v>0.1718442188</v>
      </c>
      <c r="M133" s="9">
        <f t="shared" si="2"/>
        <v>0.2875485923</v>
      </c>
      <c r="N133" s="9">
        <f t="shared" si="3"/>
        <v>0.02597402597</v>
      </c>
      <c r="O133" s="9">
        <f t="shared" si="4"/>
        <v>0.6820848683</v>
      </c>
      <c r="P133" s="9">
        <f>IFERROR(__xludf.DUMMYFUNCTION("GOOGLEFINANCE(A133, ""pe"")"),44.74)</f>
        <v>44.74</v>
      </c>
      <c r="Q133" s="9">
        <f>IFERROR(__xludf.DUMMYFUNCTION("IFERROR(GOOGLEFINANCE(A133, ""volume"") / GOOGLEFINANCE(A133, ""volumeavg""), 0)"),0.0)</f>
        <v>0</v>
      </c>
      <c r="R133" s="9">
        <f>IFERROR(__xludf.DUMMYFUNCTION("AVERAGE(INDEX(GOOGLEFINANCE(A133, ""price"", TODAY()-30, TODAY()), 0, 2))"),5330.673913043478)</f>
        <v>5330.673913</v>
      </c>
      <c r="S133" s="9">
        <f>IFERROR(__xludf.DUMMYFUNCTION("AVERAGE(INDEX(GOOGLEFINANCE(A133, ""price"", TODAY()-75, TODAY()), 0, 2))"),5080.881132075471)</f>
        <v>5080.881132</v>
      </c>
      <c r="T133" s="9">
        <f>IFERROR(__xludf.DUMMYFUNCTION("AVERAGE(INDEX(GOOGLEFINANCE(A133, ""price"", TODAY()-300, TODAY()), 0, 2))"),5485.614356435645)</f>
        <v>5485.614356</v>
      </c>
      <c r="U133" s="9">
        <f t="shared" si="5"/>
        <v>0.02519870642</v>
      </c>
      <c r="V133" s="15">
        <f>IFERROR(__xludf.DUMMYFUNCTION("LET(hist, GOOGLEFINANCE(A133,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rs))))))"),77.09792216737459)</f>
        <v>77.09792217</v>
      </c>
      <c r="W133" s="16" t="str">
        <f>IFERROR(__xludf.DUMMYFUNCTION("IFERROR(GOOGLEFINANCE(A133, ""volume"") / GOOGLEFINANCE(A133, ""volumeavg""), )"),"")</f>
        <v/>
      </c>
      <c r="X133" s="9">
        <f>IFERROR(__xludf.DUMMYFUNCTION("B133 * GOOGLEFINANCE(A133, ""volume"")"),1.8995247E9)</f>
        <v>1899524700</v>
      </c>
      <c r="Y133" s="9">
        <f>IFERROR(__xludf.DUMMYFUNCTION("IFERROR(((B133 - GOOGLEFINANCE(A133, ""priceopen"")) / GOOGLEFINANCE(A133, ""priceopen"")) * GOOGLEFINANCE(A133, ""volume""), 0)"),-4085.479204339964)</f>
        <v>-4085.479204</v>
      </c>
    </row>
    <row r="134">
      <c r="A134" s="4" t="s">
        <v>955</v>
      </c>
      <c r="B134" s="7">
        <f>IFERROR(__xludf.DUMMYFUNCTION("GOOGLEFINANCE(A134, ""price"")"),1602.3)</f>
        <v>1602.3</v>
      </c>
      <c r="C134" s="7">
        <f>IFERROR(__xludf.DUMMYFUNCTION("GOOGLEFINANCE(A134, ""changepct"")"),0.54)</f>
        <v>0.54</v>
      </c>
      <c r="D134" s="9">
        <f>IFERROR(__xludf.DUMMYFUNCTION("GOOGLEFINANCE(A134, ""priceopen"")"),1593.7)</f>
        <v>1593.7</v>
      </c>
      <c r="E134" s="9">
        <f>IFERROR(__xludf.DUMMYFUNCTION("GOOGLEFINANCE(A134, ""high"")"),1623.7)</f>
        <v>1623.7</v>
      </c>
      <c r="F134" s="9">
        <f>IFERROR(__xludf.DUMMYFUNCTION("GOOGLEFINANCE(A134, ""low"")"),1591.3)</f>
        <v>1591.3</v>
      </c>
      <c r="G134" s="9">
        <f>IFERROR(__xludf.DUMMYFUNCTION("GOOGLEFINANCE(A134, ""price"")"),1602.3)</f>
        <v>1602.3</v>
      </c>
      <c r="H134" s="9">
        <f>IFERROR(__xludf.DUMMYFUNCTION("MAX(INDEX(GOOGLEFINANCE(A134, ""high"", TODAY()-30, TODAY()), 0, 2))"),1639.9)</f>
        <v>1639.9</v>
      </c>
      <c r="I134" s="9">
        <f>IFERROR(__xludf.DUMMYFUNCTION("MIN(INDEX(GOOGLEFINANCE(A134, ""low"", TODAY()-30, TODAY()), 0, 2))"),1236.5)</f>
        <v>1236.5</v>
      </c>
      <c r="J134" s="9">
        <f>IFERROR(__xludf.DUMMYFUNCTION("GOOGLEFINANCE(A134, ""high52"")"),1639.9)</f>
        <v>1639.9</v>
      </c>
      <c r="K134" s="9">
        <f>IFERROR(__xludf.DUMMYFUNCTION("GOOGLEFINANCE(A134, ""low52"")"),930.6)</f>
        <v>930.6</v>
      </c>
      <c r="L134" s="9">
        <f t="shared" si="1"/>
        <v>0.02292822733</v>
      </c>
      <c r="M134" s="9">
        <f t="shared" si="2"/>
        <v>0.721792392</v>
      </c>
      <c r="N134" s="9">
        <f t="shared" si="3"/>
        <v>0.02036071137</v>
      </c>
      <c r="O134" s="9">
        <f t="shared" si="4"/>
        <v>0.9067922657</v>
      </c>
      <c r="P134" s="9">
        <f>IFERROR(__xludf.DUMMYFUNCTION("GOOGLEFINANCE(A134, ""pe"")"),160.07)</f>
        <v>160.07</v>
      </c>
      <c r="Q134" s="9">
        <f>IFERROR(__xludf.DUMMYFUNCTION("IFERROR(GOOGLEFINANCE(A134, ""volume"") / GOOGLEFINANCE(A134, ""volumeavg""), 0)"),0.0)</f>
        <v>0</v>
      </c>
      <c r="R134" s="9">
        <f>IFERROR(__xludf.DUMMYFUNCTION("AVERAGE(INDEX(GOOGLEFINANCE(A134, ""price"", TODAY()-30, TODAY()), 0, 2))"),1383.182608695652)</f>
        <v>1383.182609</v>
      </c>
      <c r="S134" s="9">
        <f>IFERROR(__xludf.DUMMYFUNCTION("AVERAGE(INDEX(GOOGLEFINANCE(A134, ""price"", TODAY()-75, TODAY()), 0, 2))"),1239.2471698113209)</f>
        <v>1239.24717</v>
      </c>
      <c r="T134" s="9">
        <f>IFERROR(__xludf.DUMMYFUNCTION("AVERAGE(INDEX(GOOGLEFINANCE(A134, ""price"", TODAY()-300, TODAY()), 0, 2))"),1209.2688118811884)</f>
        <v>1209.268812</v>
      </c>
      <c r="U134" s="9">
        <f t="shared" si="5"/>
        <v>0.1584153748</v>
      </c>
      <c r="V134" s="15">
        <f>IFERROR(__xludf.DUMMYFUNCTION("LET(hist, GOOGLEFINANCE(A134,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rs))))))"),97.21925133689837)</f>
        <v>97.21925134</v>
      </c>
      <c r="W134" s="16" t="str">
        <f>IFERROR(__xludf.DUMMYFUNCTION("IFERROR(GOOGLEFINANCE(A134, ""volume"") / GOOGLEFINANCE(A134, ""volumeavg""), )"),"")</f>
        <v/>
      </c>
      <c r="X134" s="9">
        <f>IFERROR(__xludf.DUMMYFUNCTION("B134 * GOOGLEFINANCE(A134, ""volume"")"),4.181698563E9)</f>
        <v>4181698563</v>
      </c>
      <c r="Y134" s="9">
        <f>IFERROR(__xludf.DUMMYFUNCTION("IFERROR(((B134 - GOOGLEFINANCE(A134, ""priceopen"")) / GOOGLEFINANCE(A134, ""priceopen"")) * GOOGLEFINANCE(A134, ""volume""), 0)"),14083.181276275185)</f>
        <v>14083.18128</v>
      </c>
    </row>
    <row r="135">
      <c r="A135" s="4" t="s">
        <v>962</v>
      </c>
      <c r="B135" s="7">
        <f>IFERROR(__xludf.DUMMYFUNCTION("GOOGLEFINANCE(A135, ""price"")"),13730.0)</f>
        <v>13730</v>
      </c>
      <c r="C135" s="7">
        <f>IFERROR(__xludf.DUMMYFUNCTION("GOOGLEFINANCE(A135, ""changepct"")"),-2.09)</f>
        <v>-2.09</v>
      </c>
      <c r="D135" s="9">
        <f>IFERROR(__xludf.DUMMYFUNCTION("GOOGLEFINANCE(A135, ""priceopen"")"),14061.0)</f>
        <v>14061</v>
      </c>
      <c r="E135" s="9">
        <f>IFERROR(__xludf.DUMMYFUNCTION("GOOGLEFINANCE(A135, ""high"")"),14090.0)</f>
        <v>14090</v>
      </c>
      <c r="F135" s="9">
        <f>IFERROR(__xludf.DUMMYFUNCTION("GOOGLEFINANCE(A135, ""low"")"),13670.0)</f>
        <v>13670</v>
      </c>
      <c r="G135" s="9">
        <f>IFERROR(__xludf.DUMMYFUNCTION("GOOGLEFINANCE(A135, ""price"")"),13730.0)</f>
        <v>13730</v>
      </c>
      <c r="H135" s="9">
        <f>IFERROR(__xludf.DUMMYFUNCTION("MAX(INDEX(GOOGLEFINANCE(A135, ""high"", TODAY()-30, TODAY()), 0, 2))"),14685.0)</f>
        <v>14685</v>
      </c>
      <c r="I135" s="9">
        <f>IFERROR(__xludf.DUMMYFUNCTION("MIN(INDEX(GOOGLEFINANCE(A135, ""low"", TODAY()-30, TODAY()), 0, 2))"),13180.0)</f>
        <v>13180</v>
      </c>
      <c r="J135" s="9">
        <f>IFERROR(__xludf.DUMMYFUNCTION("GOOGLEFINANCE(A135, ""high52"")"),18471.0)</f>
        <v>18471</v>
      </c>
      <c r="K135" s="9">
        <f>IFERROR(__xludf.DUMMYFUNCTION("GOOGLEFINANCE(A135, ""low52"")"),9600.0)</f>
        <v>9600</v>
      </c>
      <c r="L135" s="9">
        <f t="shared" si="1"/>
        <v>0.2566726219</v>
      </c>
      <c r="M135" s="9">
        <f t="shared" si="2"/>
        <v>0.4302083333</v>
      </c>
      <c r="N135" s="9">
        <f t="shared" si="3"/>
        <v>0.03072421361</v>
      </c>
      <c r="O135" s="9">
        <f t="shared" si="4"/>
        <v>0.365448505</v>
      </c>
      <c r="P135" s="9">
        <f>IFERROR(__xludf.DUMMYFUNCTION("GOOGLEFINANCE(A135, ""pe"")"),50.97)</f>
        <v>50.97</v>
      </c>
      <c r="Q135" s="9">
        <f>IFERROR(__xludf.DUMMYFUNCTION("IFERROR(GOOGLEFINANCE(A135, ""volume"") / GOOGLEFINANCE(A135, ""volumeavg""), 0)"),0.0)</f>
        <v>0</v>
      </c>
      <c r="R135" s="9">
        <f>IFERROR(__xludf.DUMMYFUNCTION("AVERAGE(INDEX(GOOGLEFINANCE(A135, ""price"", TODAY()-30, TODAY()), 0, 2))"),14022.130434782608)</f>
        <v>14022.13043</v>
      </c>
      <c r="S135" s="9">
        <f>IFERROR(__xludf.DUMMYFUNCTION("AVERAGE(INDEX(GOOGLEFINANCE(A135, ""price"", TODAY()-75, TODAY()), 0, 2))"),12945.603773584906)</f>
        <v>12945.60377</v>
      </c>
      <c r="T135" s="9">
        <f>IFERROR(__xludf.DUMMYFUNCTION("AVERAGE(INDEX(GOOGLEFINANCE(A135, ""price"", TODAY()-300, TODAY()), 0, 2))"),12371.08208955224)</f>
        <v>12371.08209</v>
      </c>
      <c r="U135" s="9">
        <f t="shared" si="5"/>
        <v>-0.02083352713</v>
      </c>
      <c r="V135" s="15">
        <f>IFERROR(__xludf.DUMMYFUNCTION("LET(hist, GOOGLEFINANCE(A135,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rs))))))"),49.25831202046036)</f>
        <v>49.25831202</v>
      </c>
      <c r="W135" s="16" t="str">
        <f>IFERROR(__xludf.DUMMYFUNCTION("IFERROR(GOOGLEFINANCE(A135, ""volume"") / GOOGLEFINANCE(A135, ""volumeavg""), )"),"")</f>
        <v/>
      </c>
      <c r="X135" s="9">
        <f>IFERROR(__xludf.DUMMYFUNCTION("B135 * GOOGLEFINANCE(A135, ""volume"")"),4.47445597E9)</f>
        <v>4474455970</v>
      </c>
      <c r="Y135" s="9">
        <f>IFERROR(__xludf.DUMMYFUNCTION("IFERROR(((B135 - GOOGLEFINANCE(A135, ""priceopen"")) / GOOGLEFINANCE(A135, ""priceopen"")) * GOOGLEFINANCE(A135, ""volume""), 0)"),-7671.521157812389)</f>
        <v>-7671.521158</v>
      </c>
    </row>
    <row r="136">
      <c r="A136" s="4" t="s">
        <v>971</v>
      </c>
      <c r="B136" s="7">
        <f>IFERROR(__xludf.DUMMYFUNCTION("GOOGLEFINANCE(A136, ""price"")"),191.97)</f>
        <v>191.97</v>
      </c>
      <c r="C136" s="7">
        <f>IFERROR(__xludf.DUMMYFUNCTION("GOOGLEFINANCE(A136, ""changepct"")"),0.82)</f>
        <v>0.82</v>
      </c>
      <c r="D136" s="9">
        <f>IFERROR(__xludf.DUMMYFUNCTION("GOOGLEFINANCE(A136, ""priceopen"")"),190.75)</f>
        <v>190.75</v>
      </c>
      <c r="E136" s="9">
        <f>IFERROR(__xludf.DUMMYFUNCTION("GOOGLEFINANCE(A136, ""high"")"),194.17)</f>
        <v>194.17</v>
      </c>
      <c r="F136" s="9">
        <f>IFERROR(__xludf.DUMMYFUNCTION("GOOGLEFINANCE(A136, ""low"")"),190.44)</f>
        <v>190.44</v>
      </c>
      <c r="G136" s="9">
        <f>IFERROR(__xludf.DUMMYFUNCTION("GOOGLEFINANCE(A136, ""price"")"),191.97)</f>
        <v>191.97</v>
      </c>
      <c r="H136" s="9">
        <f>IFERROR(__xludf.DUMMYFUNCTION("MAX(INDEX(GOOGLEFINANCE(A136, ""high"", TODAY()-30, TODAY()), 0, 2))"),195.9)</f>
        <v>195.9</v>
      </c>
      <c r="I136" s="9">
        <f>IFERROR(__xludf.DUMMYFUNCTION("MIN(INDEX(GOOGLEFINANCE(A136, ""low"", TODAY()-30, TODAY()), 0, 2))"),173.5)</f>
        <v>173.5</v>
      </c>
      <c r="J136" s="9">
        <f>IFERROR(__xludf.DUMMYFUNCTION("GOOGLEFINANCE(A136, ""high52"")"),254.4)</f>
        <v>254.4</v>
      </c>
      <c r="K136" s="9">
        <f>IFERROR(__xludf.DUMMYFUNCTION("GOOGLEFINANCE(A136, ""low52"")"),125.56)</f>
        <v>125.56</v>
      </c>
      <c r="L136" s="9">
        <f t="shared" si="1"/>
        <v>0.2454009434</v>
      </c>
      <c r="M136" s="9">
        <f t="shared" si="2"/>
        <v>0.528910481</v>
      </c>
      <c r="N136" s="9">
        <f t="shared" si="3"/>
        <v>0.01958622138</v>
      </c>
      <c r="O136" s="9">
        <f t="shared" si="4"/>
        <v>0.8245535714</v>
      </c>
      <c r="P136" s="9" t="str">
        <f>IFERROR(__xludf.DUMMYFUNCTION("GOOGLEFINANCE(A136, ""pe"")"),"#N/A")</f>
        <v>#N/A</v>
      </c>
      <c r="Q136" s="9">
        <f>IFERROR(__xludf.DUMMYFUNCTION("IFERROR(GOOGLEFINANCE(A136, ""volume"") / GOOGLEFINANCE(A136, ""volumeavg""), 0)"),0.0)</f>
        <v>0</v>
      </c>
      <c r="R136" s="9">
        <f>IFERROR(__xludf.DUMMYFUNCTION("AVERAGE(INDEX(GOOGLEFINANCE(A136, ""price"", TODAY()-30, TODAY()), 0, 2))"),187.57782608695655)</f>
        <v>187.5778261</v>
      </c>
      <c r="S136" s="9">
        <f>IFERROR(__xludf.DUMMYFUNCTION("AVERAGE(INDEX(GOOGLEFINANCE(A136, ""price"", TODAY()-75, TODAY()), 0, 2))"),182.7137735849056)</f>
        <v>182.7137736</v>
      </c>
      <c r="T136" s="9">
        <f>IFERROR(__xludf.DUMMYFUNCTION("AVERAGE(INDEX(GOOGLEFINANCE(A136, ""price"", TODAY()-300, TODAY()), 0, 2))"),173.77981818181823)</f>
        <v>173.7798182</v>
      </c>
      <c r="U136" s="9">
        <f t="shared" si="5"/>
        <v>0.02341520853</v>
      </c>
      <c r="V136" s="15">
        <f>IFERROR(__xludf.DUMMYFUNCTION("LET(hist, GOOGLEFINANCE(A136,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rs))))))"),54.03181568842568)</f>
        <v>54.03181569</v>
      </c>
      <c r="W136" s="16" t="str">
        <f>IFERROR(__xludf.DUMMYFUNCTION("IFERROR(GOOGLEFINANCE(A136, ""volume"") / GOOGLEFINANCE(A136, ""volumeavg""), )"),"")</f>
        <v/>
      </c>
      <c r="X136" s="9">
        <f>IFERROR(__xludf.DUMMYFUNCTION("B136 * GOOGLEFINANCE(A136, ""volume"")"),1.60939815624E9)</f>
        <v>1609398156</v>
      </c>
      <c r="Y136" s="9">
        <f>IFERROR(__xludf.DUMMYFUNCTION("IFERROR(((B136 - GOOGLEFINANCE(A136, ""priceopen"")) / GOOGLEFINANCE(A136, ""priceopen"")) * GOOGLEFINANCE(A136, ""volume""), 0)"),53619.82825688069)</f>
        <v>53619.82826</v>
      </c>
    </row>
    <row r="137">
      <c r="A137" s="4" t="s">
        <v>979</v>
      </c>
      <c r="B137" s="7">
        <f>IFERROR(__xludf.DUMMYFUNCTION("GOOGLEFINANCE(A137, ""price"")"),390.15)</f>
        <v>390.15</v>
      </c>
      <c r="C137" s="7">
        <f>IFERROR(__xludf.DUMMYFUNCTION("GOOGLEFINANCE(A137, ""changepct"")"),-0.18)</f>
        <v>-0.18</v>
      </c>
      <c r="D137" s="9">
        <f>IFERROR(__xludf.DUMMYFUNCTION("GOOGLEFINANCE(A137, ""priceopen"")"),392.0)</f>
        <v>392</v>
      </c>
      <c r="E137" s="9">
        <f>IFERROR(__xludf.DUMMYFUNCTION("GOOGLEFINANCE(A137, ""high"")"),393.0)</f>
        <v>393</v>
      </c>
      <c r="F137" s="9">
        <f>IFERROR(__xludf.DUMMYFUNCTION("GOOGLEFINANCE(A137, ""low"")"),385.8)</f>
        <v>385.8</v>
      </c>
      <c r="G137" s="9">
        <f>IFERROR(__xludf.DUMMYFUNCTION("GOOGLEFINANCE(A137, ""price"")"),390.15)</f>
        <v>390.15</v>
      </c>
      <c r="H137" s="9">
        <f>IFERROR(__xludf.DUMMYFUNCTION("MAX(INDEX(GOOGLEFINANCE(A137, ""high"", TODAY()-30, TODAY()), 0, 2))"),409.95)</f>
        <v>409.95</v>
      </c>
      <c r="I137" s="9">
        <f>IFERROR(__xludf.DUMMYFUNCTION("MIN(INDEX(GOOGLEFINANCE(A137, ""low"", TODAY()-30, TODAY()), 0, 2))"),372.05)</f>
        <v>372.05</v>
      </c>
      <c r="J137" s="9">
        <f>IFERROR(__xludf.DUMMYFUNCTION("GOOGLEFINANCE(A137, ""high52"")"),508.45)</f>
        <v>508.45</v>
      </c>
      <c r="K137" s="9">
        <f>IFERROR(__xludf.DUMMYFUNCTION("GOOGLEFINANCE(A137, ""low52"")"),316.2)</f>
        <v>316.2</v>
      </c>
      <c r="L137" s="9">
        <f t="shared" si="1"/>
        <v>0.2326679123</v>
      </c>
      <c r="M137" s="9">
        <f t="shared" si="2"/>
        <v>0.2338709677</v>
      </c>
      <c r="N137" s="9">
        <f t="shared" si="3"/>
        <v>0.01866251944</v>
      </c>
      <c r="O137" s="9">
        <f t="shared" si="4"/>
        <v>0.4775725594</v>
      </c>
      <c r="P137" s="9">
        <f>IFERROR(__xludf.DUMMYFUNCTION("GOOGLEFINANCE(A137, ""pe"")"),49.68)</f>
        <v>49.68</v>
      </c>
      <c r="Q137" s="9">
        <f>IFERROR(__xludf.DUMMYFUNCTION("IFERROR(GOOGLEFINANCE(A137, ""volume"") / GOOGLEFINANCE(A137, ""volumeavg""), 0)"),0.0)</f>
        <v>0</v>
      </c>
      <c r="R137" s="9">
        <f>IFERROR(__xludf.DUMMYFUNCTION("AVERAGE(INDEX(GOOGLEFINANCE(A137, ""price"", TODAY()-30, TODAY()), 0, 2))"),393.654347826087)</f>
        <v>393.6543478</v>
      </c>
      <c r="S137" s="9">
        <f>IFERROR(__xludf.DUMMYFUNCTION("AVERAGE(INDEX(GOOGLEFINANCE(A137, ""price"", TODAY()-75, TODAY()), 0, 2))"),392.9735849056604)</f>
        <v>392.9735849</v>
      </c>
      <c r="T137" s="9">
        <f>IFERROR(__xludf.DUMMYFUNCTION("AVERAGE(INDEX(GOOGLEFINANCE(A137, ""price"", TODAY()-300, TODAY()), 0, 2))"),416.96014851485154)</f>
        <v>416.9601485</v>
      </c>
      <c r="U137" s="9">
        <f t="shared" si="5"/>
        <v>-0.008902093538</v>
      </c>
      <c r="V137" s="15">
        <f>IFERROR(__xludf.DUMMYFUNCTION("LET(hist, GOOGLEFINANCE(A137,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rs))))))"),54.545454545454575)</f>
        <v>54.54545455</v>
      </c>
      <c r="W137" s="16" t="str">
        <f>IFERROR(__xludf.DUMMYFUNCTION("IFERROR(GOOGLEFINANCE(A137, ""volume"") / GOOGLEFINANCE(A137, ""volumeavg""), )"),"")</f>
        <v/>
      </c>
      <c r="X137" s="9">
        <f>IFERROR(__xludf.DUMMYFUNCTION("B137 * GOOGLEFINANCE(A137, ""volume"")"),4.1019177141E9)</f>
        <v>4101917714</v>
      </c>
      <c r="Y137" s="9">
        <f>IFERROR(__xludf.DUMMYFUNCTION("IFERROR(((B137 - GOOGLEFINANCE(A137, ""priceopen"")) / GOOGLEFINANCE(A137, ""priceopen"")) * GOOGLEFINANCE(A137, ""volume""), 0)"),-49618.19872449041)</f>
        <v>-49618.19872</v>
      </c>
    </row>
    <row r="138">
      <c r="A138" s="4" t="s">
        <v>985</v>
      </c>
      <c r="B138" s="7">
        <f>IFERROR(__xludf.DUMMYFUNCTION("GOOGLEFINANCE(A138, ""price"")"),1627.6)</f>
        <v>1627.6</v>
      </c>
      <c r="C138" s="7">
        <f>IFERROR(__xludf.DUMMYFUNCTION("GOOGLEFINANCE(A138, ""changepct"")"),-0.97)</f>
        <v>-0.97</v>
      </c>
      <c r="D138" s="9">
        <f>IFERROR(__xludf.DUMMYFUNCTION("GOOGLEFINANCE(A138, ""priceopen"")"),1646.7)</f>
        <v>1646.7</v>
      </c>
      <c r="E138" s="9">
        <f>IFERROR(__xludf.DUMMYFUNCTION("GOOGLEFINANCE(A138, ""high"")"),1649.6)</f>
        <v>1649.6</v>
      </c>
      <c r="F138" s="9">
        <f>IFERROR(__xludf.DUMMYFUNCTION("GOOGLEFINANCE(A138, ""low"")"),1621.0)</f>
        <v>1621</v>
      </c>
      <c r="G138" s="9">
        <f>IFERROR(__xludf.DUMMYFUNCTION("GOOGLEFINANCE(A138, ""price"")"),1627.6)</f>
        <v>1627.6</v>
      </c>
      <c r="H138" s="9">
        <f>IFERROR(__xludf.DUMMYFUNCTION("MAX(INDEX(GOOGLEFINANCE(A138, ""high"", TODAY()-30, TODAY()), 0, 2))"),1821.9)</f>
        <v>1821.9</v>
      </c>
      <c r="I138" s="9">
        <f>IFERROR(__xludf.DUMMYFUNCTION("MIN(INDEX(GOOGLEFINANCE(A138, ""low"", TODAY()-30, TODAY()), 0, 2))"),1544.6)</f>
        <v>1544.6</v>
      </c>
      <c r="J138" s="9">
        <f>IFERROR(__xludf.DUMMYFUNCTION("GOOGLEFINANCE(A138, ""high52"")"),2064.9)</f>
        <v>2064.9</v>
      </c>
      <c r="K138" s="9">
        <f>IFERROR(__xludf.DUMMYFUNCTION("GOOGLEFINANCE(A138, ""low52"")"),1544.6)</f>
        <v>1544.6</v>
      </c>
      <c r="L138" s="9">
        <f t="shared" si="1"/>
        <v>0.2117778101</v>
      </c>
      <c r="M138" s="9">
        <f t="shared" si="2"/>
        <v>0.05373559498</v>
      </c>
      <c r="N138" s="9">
        <f t="shared" si="3"/>
        <v>0.01764342998</v>
      </c>
      <c r="O138" s="9">
        <f t="shared" si="4"/>
        <v>0.2993148215</v>
      </c>
      <c r="P138" s="9">
        <f>IFERROR(__xludf.DUMMYFUNCTION("GOOGLEFINANCE(A138, ""pe"")"),33.63)</f>
        <v>33.63</v>
      </c>
      <c r="Q138" s="9">
        <f>IFERROR(__xludf.DUMMYFUNCTION("IFERROR(GOOGLEFINANCE(A138, ""volume"") / GOOGLEFINANCE(A138, ""volumeavg""), 0)"),0.0)</f>
        <v>0</v>
      </c>
      <c r="R138" s="9">
        <f>IFERROR(__xludf.DUMMYFUNCTION("AVERAGE(INDEX(GOOGLEFINANCE(A138, ""price"", TODAY()-30, TODAY()), 0, 2))"),1662.5739130434783)</f>
        <v>1662.573913</v>
      </c>
      <c r="S138" s="9">
        <f>IFERROR(__xludf.DUMMYFUNCTION("AVERAGE(INDEX(GOOGLEFINANCE(A138, ""price"", TODAY()-75, TODAY()), 0, 2))"),1727.633962264151)</f>
        <v>1727.633962</v>
      </c>
      <c r="T138" s="9">
        <f>IFERROR(__xludf.DUMMYFUNCTION("AVERAGE(INDEX(GOOGLEFINANCE(A138, ""price"", TODAY()-300, TODAY()), 0, 2))"),1850.9653465346537)</f>
        <v>1850.965347</v>
      </c>
      <c r="U138" s="9">
        <f t="shared" si="5"/>
        <v>-0.02103600494</v>
      </c>
      <c r="V138" s="15">
        <f>IFERROR(__xludf.DUMMYFUNCTION("LET(hist, GOOGLEFINANCE(A138,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rs))))))"),52.546148949713555)</f>
        <v>52.54614895</v>
      </c>
      <c r="W138" s="16" t="str">
        <f>IFERROR(__xludf.DUMMYFUNCTION("IFERROR(GOOGLEFINANCE(A138, ""volume"") / GOOGLEFINANCE(A138, ""volumeavg""), )"),"")</f>
        <v/>
      </c>
      <c r="X138" s="9">
        <f>IFERROR(__xludf.DUMMYFUNCTION("B138 * GOOGLEFINANCE(A138, ""volume"")"),1.2132765163999999E9)</f>
        <v>1213276516</v>
      </c>
      <c r="Y138" s="9">
        <f>IFERROR(__xludf.DUMMYFUNCTION("IFERROR(((B138 - GOOGLEFINANCE(A138, ""priceopen"")) / GOOGLEFINANCE(A138, ""priceopen"")) * GOOGLEFINANCE(A138, ""volume""), 0)"),-8646.31377907336)</f>
        <v>-8646.313779</v>
      </c>
    </row>
    <row r="139">
      <c r="A139" s="4" t="s">
        <v>990</v>
      </c>
      <c r="B139" s="7">
        <f>IFERROR(__xludf.DUMMYFUNCTION("GOOGLEFINANCE(A139, ""price"")"),1499.0)</f>
        <v>1499</v>
      </c>
      <c r="C139" s="7">
        <f>IFERROR(__xludf.DUMMYFUNCTION("GOOGLEFINANCE(A139, ""changepct"")"),-1.06)</f>
        <v>-1.06</v>
      </c>
      <c r="D139" s="9">
        <f>IFERROR(__xludf.DUMMYFUNCTION("GOOGLEFINANCE(A139, ""priceopen"")"),1515.1)</f>
        <v>1515.1</v>
      </c>
      <c r="E139" s="9">
        <f>IFERROR(__xludf.DUMMYFUNCTION("GOOGLEFINANCE(A139, ""high"")"),1515.4)</f>
        <v>1515.4</v>
      </c>
      <c r="F139" s="9">
        <f>IFERROR(__xludf.DUMMYFUNCTION("GOOGLEFINANCE(A139, ""low"")"),1477.8)</f>
        <v>1477.8</v>
      </c>
      <c r="G139" s="9">
        <f>IFERROR(__xludf.DUMMYFUNCTION("GOOGLEFINANCE(A139, ""price"")"),1499.0)</f>
        <v>1499</v>
      </c>
      <c r="H139" s="9">
        <f>IFERROR(__xludf.DUMMYFUNCTION("MAX(INDEX(GOOGLEFINANCE(A139, ""high"", TODAY()-30, TODAY()), 0, 2))"),1678.1)</f>
        <v>1678.1</v>
      </c>
      <c r="I139" s="9">
        <f>IFERROR(__xludf.DUMMYFUNCTION("MIN(INDEX(GOOGLEFINANCE(A139, ""low"", TODAY()-30, TODAY()), 0, 2))"),1477.8)</f>
        <v>1477.8</v>
      </c>
      <c r="J139" s="9">
        <f>IFERROR(__xludf.DUMMYFUNCTION("GOOGLEFINANCE(A139, ""high52"")"),1955.6)</f>
        <v>1955.6</v>
      </c>
      <c r="K139" s="9">
        <f>IFERROR(__xludf.DUMMYFUNCTION("GOOGLEFINANCE(A139, ""low52"")"),1430.0)</f>
        <v>1430</v>
      </c>
      <c r="L139" s="9">
        <f t="shared" si="1"/>
        <v>0.2334833299</v>
      </c>
      <c r="M139" s="9">
        <f t="shared" si="2"/>
        <v>0.04825174825</v>
      </c>
      <c r="N139" s="9">
        <f t="shared" si="3"/>
        <v>0.02544322642</v>
      </c>
      <c r="O139" s="9">
        <f t="shared" si="4"/>
        <v>0.1058412381</v>
      </c>
      <c r="P139" s="9">
        <f>IFERROR(__xludf.DUMMYFUNCTION("GOOGLEFINANCE(A139, ""pe"")"),41.1)</f>
        <v>41.1</v>
      </c>
      <c r="Q139" s="9">
        <f>IFERROR(__xludf.DUMMYFUNCTION("IFERROR(GOOGLEFINANCE(A139, ""volume"") / GOOGLEFINANCE(A139, ""volumeavg""), 0)"),0.0)</f>
        <v>0</v>
      </c>
      <c r="R139" s="9">
        <f>IFERROR(__xludf.DUMMYFUNCTION("AVERAGE(INDEX(GOOGLEFINANCE(A139, ""price"", TODAY()-30, TODAY()), 0, 2))"),1596.2130434782607)</f>
        <v>1596.213043</v>
      </c>
      <c r="S139" s="9">
        <f>IFERROR(__xludf.DUMMYFUNCTION("AVERAGE(INDEX(GOOGLEFINANCE(A139, ""price"", TODAY()-75, TODAY()), 0, 2))"),1532.9924528301888)</f>
        <v>1532.992453</v>
      </c>
      <c r="T139" s="9">
        <f>IFERROR(__xludf.DUMMYFUNCTION("AVERAGE(INDEX(GOOGLEFINANCE(A139, ""price"", TODAY()-300, TODAY()), 0, 2))"),1626.881188118812)</f>
        <v>1626.881188</v>
      </c>
      <c r="U139" s="9">
        <f t="shared" si="5"/>
        <v>-0.06090229865</v>
      </c>
      <c r="V139" s="15">
        <f>IFERROR(__xludf.DUMMYFUNCTION("LET(hist, GOOGLEFINANCE(A139,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rs))))))"),33.793836344314556)</f>
        <v>33.79383634</v>
      </c>
      <c r="W139" s="16" t="str">
        <f>IFERROR(__xludf.DUMMYFUNCTION("IFERROR(GOOGLEFINANCE(A139, ""volume"") / GOOGLEFINANCE(A139, ""volumeavg""), )"),"")</f>
        <v/>
      </c>
      <c r="X139" s="9">
        <f>IFERROR(__xludf.DUMMYFUNCTION("B139 * GOOGLEFINANCE(A139, ""volume"")"),4.00537297E8)</f>
        <v>400537297</v>
      </c>
      <c r="Y139" s="9">
        <f>IFERROR(__xludf.DUMMYFUNCTION("IFERROR(((B139 - GOOGLEFINANCE(A139, ""priceopen"")) / GOOGLEFINANCE(A139, ""priceopen"")) * GOOGLEFINANCE(A139, ""volume""), 0)"),-2839.395617450977)</f>
        <v>-2839.395617</v>
      </c>
    </row>
    <row r="140">
      <c r="A140" s="4" t="s">
        <v>997</v>
      </c>
      <c r="B140" s="7">
        <f>IFERROR(__xludf.DUMMYFUNCTION("GOOGLEFINANCE(A140, ""price"")"),1336.0)</f>
        <v>1336</v>
      </c>
      <c r="C140" s="7">
        <f>IFERROR(__xludf.DUMMYFUNCTION("GOOGLEFINANCE(A140, ""changepct"")"),-1.76)</f>
        <v>-1.76</v>
      </c>
      <c r="D140" s="9">
        <f>IFERROR(__xludf.DUMMYFUNCTION("GOOGLEFINANCE(A140, ""priceopen"")"),1360.1)</f>
        <v>1360.1</v>
      </c>
      <c r="E140" s="9">
        <f>IFERROR(__xludf.DUMMYFUNCTION("GOOGLEFINANCE(A140, ""high"")"),1364.0)</f>
        <v>1364</v>
      </c>
      <c r="F140" s="9">
        <f>IFERROR(__xludf.DUMMYFUNCTION("GOOGLEFINANCE(A140, ""low"")"),1329.6)</f>
        <v>1329.6</v>
      </c>
      <c r="G140" s="9">
        <f>IFERROR(__xludf.DUMMYFUNCTION("GOOGLEFINANCE(A140, ""price"")"),1336.0)</f>
        <v>1336</v>
      </c>
      <c r="H140" s="9">
        <f>IFERROR(__xludf.DUMMYFUNCTION("MAX(INDEX(GOOGLEFINANCE(A140, ""high"", TODAY()-30, TODAY()), 0, 2))"),1391.0)</f>
        <v>1391</v>
      </c>
      <c r="I140" s="9">
        <f>IFERROR(__xludf.DUMMYFUNCTION("MIN(INDEX(GOOGLEFINANCE(A140, ""low"", TODAY()-30, TODAY()), 0, 2))"),1140.0)</f>
        <v>1140</v>
      </c>
      <c r="J140" s="9">
        <f>IFERROR(__xludf.DUMMYFUNCTION("GOOGLEFINANCE(A140, ""high52"")"),1437.8)</f>
        <v>1437.8</v>
      </c>
      <c r="K140" s="9">
        <f>IFERROR(__xludf.DUMMYFUNCTION("GOOGLEFINANCE(A140, ""low52"")"),908.3)</f>
        <v>908.3</v>
      </c>
      <c r="L140" s="9">
        <f t="shared" si="1"/>
        <v>0.07080261511</v>
      </c>
      <c r="M140" s="9">
        <f t="shared" si="2"/>
        <v>0.4708796653</v>
      </c>
      <c r="N140" s="9">
        <f t="shared" si="3"/>
        <v>0.02587244284</v>
      </c>
      <c r="O140" s="9">
        <f t="shared" si="4"/>
        <v>0.780876494</v>
      </c>
      <c r="P140" s="9">
        <f>IFERROR(__xludf.DUMMYFUNCTION("GOOGLEFINANCE(A140, ""pe"")"),59.75)</f>
        <v>59.75</v>
      </c>
      <c r="Q140" s="9">
        <f>IFERROR(__xludf.DUMMYFUNCTION("IFERROR(GOOGLEFINANCE(A140, ""volume"") / GOOGLEFINANCE(A140, ""volumeavg""), 0)"),0.0)</f>
        <v>0</v>
      </c>
      <c r="R140" s="9">
        <f>IFERROR(__xludf.DUMMYFUNCTION("AVERAGE(INDEX(GOOGLEFINANCE(A140, ""price"", TODAY()-30, TODAY()), 0, 2))"),1228.2108695652173)</f>
        <v>1228.21087</v>
      </c>
      <c r="S140" s="9">
        <f>IFERROR(__xludf.DUMMYFUNCTION("AVERAGE(INDEX(GOOGLEFINANCE(A140, ""price"", TODAY()-75, TODAY()), 0, 2))"),1111.6537735849056)</f>
        <v>1111.653774</v>
      </c>
      <c r="T140" s="9">
        <f>IFERROR(__xludf.DUMMYFUNCTION("AVERAGE(INDEX(GOOGLEFINANCE(A140, ""price"", TODAY()-300, TODAY()), 0, 2))"),1159.9391089108908)</f>
        <v>1159.939109</v>
      </c>
      <c r="U140" s="9">
        <f t="shared" si="5"/>
        <v>0.0877610947</v>
      </c>
      <c r="V140" s="15">
        <f>IFERROR(__xludf.DUMMYFUNCTION("LET(hist, GOOGLEFINANCE(A140,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rs))))))"),74.13965443381409)</f>
        <v>74.13965443</v>
      </c>
      <c r="W140" s="16" t="str">
        <f>IFERROR(__xludf.DUMMYFUNCTION("IFERROR(GOOGLEFINANCE(A140, ""volume"") / GOOGLEFINANCE(A140, ""volumeavg""), )"),"")</f>
        <v/>
      </c>
      <c r="X140" s="9">
        <f>IFERROR(__xludf.DUMMYFUNCTION("B140 * GOOGLEFINANCE(A140, ""volume"")"),2.388015832E9)</f>
        <v>2388015832</v>
      </c>
      <c r="Y140" s="9">
        <f>IFERROR(__xludf.DUMMYFUNCTION("IFERROR(((B140 - GOOGLEFINANCE(A140, ""priceopen"")) / GOOGLEFINANCE(A140, ""priceopen"")) * GOOGLEFINANCE(A140, ""volume""), 0)"),-31672.106242187958)</f>
        <v>-31672.10624</v>
      </c>
    </row>
    <row r="141">
      <c r="A141" s="4" t="s">
        <v>1003</v>
      </c>
      <c r="B141" s="7">
        <f>IFERROR(__xludf.DUMMYFUNCTION("GOOGLEFINANCE(A141, ""price"")"),76.5)</f>
        <v>76.5</v>
      </c>
      <c r="C141" s="7">
        <f>IFERROR(__xludf.DUMMYFUNCTION("GOOGLEFINANCE(A141, ""changepct"")"),-0.58)</f>
        <v>-0.58</v>
      </c>
      <c r="D141" s="9">
        <f>IFERROR(__xludf.DUMMYFUNCTION("GOOGLEFINANCE(A141, ""priceopen"")"),76.65)</f>
        <v>76.65</v>
      </c>
      <c r="E141" s="9">
        <f>IFERROR(__xludf.DUMMYFUNCTION("GOOGLEFINANCE(A141, ""high"")"),76.85)</f>
        <v>76.85</v>
      </c>
      <c r="F141" s="9">
        <f>IFERROR(__xludf.DUMMYFUNCTION("GOOGLEFINANCE(A141, ""low"")"),76.0)</f>
        <v>76</v>
      </c>
      <c r="G141" s="9">
        <f>IFERROR(__xludf.DUMMYFUNCTION("GOOGLEFINANCE(A141, ""price"")"),76.5)</f>
        <v>76.5</v>
      </c>
      <c r="H141" s="9">
        <f>IFERROR(__xludf.DUMMYFUNCTION("MAX(INDEX(GOOGLEFINANCE(A141, ""high"", TODAY()-30, TODAY()), 0, 2))"),83.0)</f>
        <v>83</v>
      </c>
      <c r="I141" s="9">
        <f>IFERROR(__xludf.DUMMYFUNCTION("MIN(INDEX(GOOGLEFINANCE(A141, ""low"", TODAY()-30, TODAY()), 0, 2))"),76.0)</f>
        <v>76</v>
      </c>
      <c r="J141" s="9">
        <f>IFERROR(__xludf.DUMMYFUNCTION("GOOGLEFINANCE(A141, ""high52"")"),89.22)</f>
        <v>89.22</v>
      </c>
      <c r="K141" s="9">
        <f>IFERROR(__xludf.DUMMYFUNCTION("GOOGLEFINANCE(A141, ""low52"")"),71.62)</f>
        <v>71.62</v>
      </c>
      <c r="L141" s="9">
        <f t="shared" si="1"/>
        <v>0.1425689307</v>
      </c>
      <c r="M141" s="9">
        <f t="shared" si="2"/>
        <v>0.06813739179</v>
      </c>
      <c r="N141" s="9">
        <f t="shared" si="3"/>
        <v>0.01118421053</v>
      </c>
      <c r="O141" s="9">
        <f t="shared" si="4"/>
        <v>0.07142857143</v>
      </c>
      <c r="P141" s="9">
        <f>IFERROR(__xludf.DUMMYFUNCTION("GOOGLEFINANCE(A141, ""pe"")"),20.27)</f>
        <v>20.27</v>
      </c>
      <c r="Q141" s="9">
        <f>IFERROR(__xludf.DUMMYFUNCTION("IFERROR(GOOGLEFINANCE(A141, ""volume"") / GOOGLEFINANCE(A141, ""volumeavg""), 0)"),0.0)</f>
        <v>0</v>
      </c>
      <c r="R141" s="9">
        <f>IFERROR(__xludf.DUMMYFUNCTION("AVERAGE(INDEX(GOOGLEFINANCE(A141, ""price"", TODAY()-30, TODAY()), 0, 2))"),78.83173913043478)</f>
        <v>78.83173913</v>
      </c>
      <c r="S141" s="9">
        <f>IFERROR(__xludf.DUMMYFUNCTION("AVERAGE(INDEX(GOOGLEFINANCE(A141, ""price"", TODAY()-75, TODAY()), 0, 2))"),77.80735849056603)</f>
        <v>77.80735849</v>
      </c>
      <c r="T141" s="9">
        <f>IFERROR(__xludf.DUMMYFUNCTION("AVERAGE(INDEX(GOOGLEFINANCE(A141, ""price"", TODAY()-300, TODAY()), 0, 2))"),78.66559405940596)</f>
        <v>78.66559406</v>
      </c>
      <c r="U141" s="9">
        <f t="shared" si="5"/>
        <v>-0.02957868437</v>
      </c>
      <c r="V141" s="15">
        <f>IFERROR(__xludf.DUMMYFUNCTION("LET(hist, GOOGLEFINANCE(A141,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rs))))))"),32.688391038696494)</f>
        <v>32.68839104</v>
      </c>
      <c r="W141" s="16" t="str">
        <f>IFERROR(__xludf.DUMMYFUNCTION("IFERROR(GOOGLEFINANCE(A141, ""volume"") / GOOGLEFINANCE(A141, ""volumeavg""), )"),"")</f>
        <v/>
      </c>
      <c r="X141" s="9">
        <f>IFERROR(__xludf.DUMMYFUNCTION("B141 * GOOGLEFINANCE(A141, ""volume"")"),5.579991855E8)</f>
        <v>557999185.5</v>
      </c>
      <c r="Y141" s="9">
        <f>IFERROR(__xludf.DUMMYFUNCTION("IFERROR(((B141 - GOOGLEFINANCE(A141, ""priceopen"")) / GOOGLEFINANCE(A141, ""priceopen"")) * GOOGLEFINANCE(A141, ""volume""), 0)"),-14274.181996086645)</f>
        <v>-14274.182</v>
      </c>
    </row>
    <row r="142">
      <c r="A142" s="4" t="s">
        <v>1009</v>
      </c>
      <c r="B142" s="7">
        <f>IFERROR(__xludf.DUMMYFUNCTION("GOOGLEFINANCE(A142, ""price"")"),1262.2)</f>
        <v>1262.2</v>
      </c>
      <c r="C142" s="7">
        <f>IFERROR(__xludf.DUMMYFUNCTION("GOOGLEFINANCE(A142, ""changepct"")"),-0.96)</f>
        <v>-0.96</v>
      </c>
      <c r="D142" s="9">
        <f>IFERROR(__xludf.DUMMYFUNCTION("GOOGLEFINANCE(A142, ""priceopen"")"),1271.3)</f>
        <v>1271.3</v>
      </c>
      <c r="E142" s="9">
        <f>IFERROR(__xludf.DUMMYFUNCTION("GOOGLEFINANCE(A142, ""high"")"),1276.9)</f>
        <v>1276.9</v>
      </c>
      <c r="F142" s="9">
        <f>IFERROR(__xludf.DUMMYFUNCTION("GOOGLEFINANCE(A142, ""low"")"),1257.7)</f>
        <v>1257.7</v>
      </c>
      <c r="G142" s="9">
        <f>IFERROR(__xludf.DUMMYFUNCTION("GOOGLEFINANCE(A142, ""price"")"),1262.2)</f>
        <v>1262.2</v>
      </c>
      <c r="H142" s="9">
        <f>IFERROR(__xludf.DUMMYFUNCTION("MAX(INDEX(GOOGLEFINANCE(A142, ""high"", TODAY()-30, TODAY()), 0, 2))"),1301.5)</f>
        <v>1301.5</v>
      </c>
      <c r="I142" s="9">
        <f>IFERROR(__xludf.DUMMYFUNCTION("MIN(INDEX(GOOGLEFINANCE(A142, ""low"", TODAY()-30, TODAY()), 0, 2))"),1141.2)</f>
        <v>1141.2</v>
      </c>
      <c r="J142" s="9">
        <f>IFERROR(__xludf.DUMMYFUNCTION("GOOGLEFINANCE(A142, ""high52"")"),1621.1)</f>
        <v>1621.1</v>
      </c>
      <c r="K142" s="9">
        <f>IFERROR(__xludf.DUMMYFUNCTION("GOOGLEFINANCE(A142, ""low52"")"),1123.6)</f>
        <v>1123.6</v>
      </c>
      <c r="L142" s="9">
        <f t="shared" si="1"/>
        <v>0.2213928814</v>
      </c>
      <c r="M142" s="9">
        <f t="shared" si="2"/>
        <v>0.1233535066</v>
      </c>
      <c r="N142" s="9">
        <f t="shared" si="3"/>
        <v>0.01526596168</v>
      </c>
      <c r="O142" s="9">
        <f t="shared" si="4"/>
        <v>0.754834685</v>
      </c>
      <c r="P142" s="9">
        <f>IFERROR(__xludf.DUMMYFUNCTION("GOOGLEFINANCE(A142, ""pe"")"),48.53)</f>
        <v>48.53</v>
      </c>
      <c r="Q142" s="9">
        <f>IFERROR(__xludf.DUMMYFUNCTION("IFERROR(GOOGLEFINANCE(A142, ""volume"") / GOOGLEFINANCE(A142, ""volumeavg""), 0)"),0.0)</f>
        <v>0</v>
      </c>
      <c r="R142" s="9">
        <f>IFERROR(__xludf.DUMMYFUNCTION("AVERAGE(INDEX(GOOGLEFINANCE(A142, ""price"", TODAY()-30, TODAY()), 0, 2))"),1237.1739130434785)</f>
        <v>1237.173913</v>
      </c>
      <c r="S142" s="9">
        <f>IFERROR(__xludf.DUMMYFUNCTION("AVERAGE(INDEX(GOOGLEFINANCE(A142, ""price"", TODAY()-75, TODAY()), 0, 2))"),1201.0792452830192)</f>
        <v>1201.079245</v>
      </c>
      <c r="T142" s="9">
        <f>IFERROR(__xludf.DUMMYFUNCTION("AVERAGE(INDEX(GOOGLEFINANCE(A142, ""price"", TODAY()-300, TODAY()), 0, 2))"),1318.916831683168)</f>
        <v>1318.916832</v>
      </c>
      <c r="U142" s="9">
        <f t="shared" si="5"/>
        <v>0.02022843086</v>
      </c>
      <c r="V142" s="15">
        <f>IFERROR(__xludf.DUMMYFUNCTION("LET(hist, GOOGLEFINANCE(A142,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rs))))))"),69.30623686054653)</f>
        <v>69.30623686</v>
      </c>
      <c r="W142" s="16" t="str">
        <f>IFERROR(__xludf.DUMMYFUNCTION("IFERROR(GOOGLEFINANCE(A142, ""volume"") / GOOGLEFINANCE(A142, ""volumeavg""), )"),"")</f>
        <v/>
      </c>
      <c r="X142" s="9">
        <f>IFERROR(__xludf.DUMMYFUNCTION("B142 * GOOGLEFINANCE(A142, ""volume"")"),5.307778196E8)</f>
        <v>530777819.6</v>
      </c>
      <c r="Y142" s="9">
        <f>IFERROR(__xludf.DUMMYFUNCTION("IFERROR(((B142 - GOOGLEFINANCE(A142, ""priceopen"")) / GOOGLEFINANCE(A142, ""priceopen"")) * GOOGLEFINANCE(A142, ""volume""), 0)"),-3010.079288916827)</f>
        <v>-3010.079289</v>
      </c>
    </row>
    <row r="143">
      <c r="A143" s="4" t="s">
        <v>1014</v>
      </c>
      <c r="B143" s="7">
        <f>IFERROR(__xludf.DUMMYFUNCTION("GOOGLEFINANCE(A143, ""price"")"),1022.6)</f>
        <v>1022.6</v>
      </c>
      <c r="C143" s="7">
        <f>IFERROR(__xludf.DUMMYFUNCTION("GOOGLEFINANCE(A143, ""changepct"")"),1.36)</f>
        <v>1.36</v>
      </c>
      <c r="D143" s="9">
        <f>IFERROR(__xludf.DUMMYFUNCTION("GOOGLEFINANCE(A143, ""priceopen"")"),1009.0)</f>
        <v>1009</v>
      </c>
      <c r="E143" s="9">
        <f>IFERROR(__xludf.DUMMYFUNCTION("GOOGLEFINANCE(A143, ""high"")"),1022.7)</f>
        <v>1022.7</v>
      </c>
      <c r="F143" s="9">
        <f>IFERROR(__xludf.DUMMYFUNCTION("GOOGLEFINANCE(A143, ""low"")"),1006.5)</f>
        <v>1006.5</v>
      </c>
      <c r="G143" s="9">
        <f>IFERROR(__xludf.DUMMYFUNCTION("GOOGLEFINANCE(A143, ""price"")"),1022.6)</f>
        <v>1022.6</v>
      </c>
      <c r="H143" s="9">
        <f>IFERROR(__xludf.DUMMYFUNCTION("MAX(INDEX(GOOGLEFINANCE(A143, ""high"", TODAY()-30, TODAY()), 0, 2))"),1077.85)</f>
        <v>1077.85</v>
      </c>
      <c r="I143" s="9">
        <f>IFERROR(__xludf.DUMMYFUNCTION("MIN(INDEX(GOOGLEFINANCE(A143, ""low"", TODAY()-30, TODAY()), 0, 2))"),984.05)</f>
        <v>984.05</v>
      </c>
      <c r="J143" s="9">
        <f>IFERROR(__xludf.DUMMYFUNCTION("GOOGLEFINANCE(A143, ""high52"")"),1077.85)</f>
        <v>1077.85</v>
      </c>
      <c r="K143" s="9">
        <f>IFERROR(__xludf.DUMMYFUNCTION("GOOGLEFINANCE(A143, ""low52"")"),710.6)</f>
        <v>710.6</v>
      </c>
      <c r="L143" s="9">
        <f t="shared" si="1"/>
        <v>0.05125945169</v>
      </c>
      <c r="M143" s="9">
        <f t="shared" si="2"/>
        <v>0.4390655784</v>
      </c>
      <c r="N143" s="9">
        <f t="shared" si="3"/>
        <v>0.01609538003</v>
      </c>
      <c r="O143" s="9">
        <f t="shared" si="4"/>
        <v>0.4109808102</v>
      </c>
      <c r="P143" s="9">
        <f>IFERROR(__xludf.DUMMYFUNCTION("GOOGLEFINANCE(A143, ""pe"")"),60.48)</f>
        <v>60.48</v>
      </c>
      <c r="Q143" s="9">
        <f>IFERROR(__xludf.DUMMYFUNCTION("IFERROR(GOOGLEFINANCE(A143, ""volume"") / GOOGLEFINANCE(A143, ""volumeavg""), 0)"),0.0)</f>
        <v>0</v>
      </c>
      <c r="R143" s="9">
        <f>IFERROR(__xludf.DUMMYFUNCTION("AVERAGE(INDEX(GOOGLEFINANCE(A143, ""price"", TODAY()-30, TODAY()), 0, 2))"),1018.6260869565218)</f>
        <v>1018.626087</v>
      </c>
      <c r="S143" s="9">
        <f>IFERROR(__xludf.DUMMYFUNCTION("AVERAGE(INDEX(GOOGLEFINANCE(A143, ""price"", TODAY()-75, TODAY()), 0, 2))"),971.3924528301887)</f>
        <v>971.3924528</v>
      </c>
      <c r="T143" s="9">
        <f>IFERROR(__xludf.DUMMYFUNCTION("AVERAGE(INDEX(GOOGLEFINANCE(A143, ""price"", TODAY()-300, TODAY()), 0, 2))"),894.0267326732675)</f>
        <v>894.0267327</v>
      </c>
      <c r="U143" s="9">
        <f t="shared" si="5"/>
        <v>0.003901248058</v>
      </c>
      <c r="V143" s="15">
        <f>IFERROR(__xludf.DUMMYFUNCTION("LET(hist, GOOGLEFINANCE(A143,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rs))))))"),54.830917874396135)</f>
        <v>54.83091787</v>
      </c>
      <c r="W143" s="16" t="str">
        <f>IFERROR(__xludf.DUMMYFUNCTION("IFERROR(GOOGLEFINANCE(A143, ""volume"") / GOOGLEFINANCE(A143, ""volumeavg""), )"),"")</f>
        <v/>
      </c>
      <c r="X143" s="9">
        <f>IFERROR(__xludf.DUMMYFUNCTION("B143 * GOOGLEFINANCE(A143, ""volume"")"),9.358129606E8)</f>
        <v>935812960.6</v>
      </c>
      <c r="Y143" s="9">
        <f>IFERROR(__xludf.DUMMYFUNCTION("IFERROR(((B143 - GOOGLEFINANCE(A143, ""priceopen"")) / GOOGLEFINANCE(A143, ""priceopen"")) * GOOGLEFINANCE(A143, ""volume""), 0)"),12334.768681863252)</f>
        <v>12334.76868</v>
      </c>
    </row>
    <row r="144">
      <c r="A144" s="4" t="s">
        <v>1019</v>
      </c>
      <c r="B144" s="7">
        <f>IFERROR(__xludf.DUMMYFUNCTION("GOOGLEFINANCE(A144, ""price"")"),278.85)</f>
        <v>278.85</v>
      </c>
      <c r="C144" s="7">
        <f>IFERROR(__xludf.DUMMYFUNCTION("GOOGLEFINANCE(A144, ""changepct"")"),-0.59)</f>
        <v>-0.59</v>
      </c>
      <c r="D144" s="9">
        <f>IFERROR(__xludf.DUMMYFUNCTION("GOOGLEFINANCE(A144, ""priceopen"")"),282.0)</f>
        <v>282</v>
      </c>
      <c r="E144" s="9">
        <f>IFERROR(__xludf.DUMMYFUNCTION("GOOGLEFINANCE(A144, ""high"")"),282.0)</f>
        <v>282</v>
      </c>
      <c r="F144" s="9">
        <f>IFERROR(__xludf.DUMMYFUNCTION("GOOGLEFINANCE(A144, ""low"")"),276.0)</f>
        <v>276</v>
      </c>
      <c r="G144" s="9">
        <f>IFERROR(__xludf.DUMMYFUNCTION("GOOGLEFINANCE(A144, ""price"")"),278.85)</f>
        <v>278.85</v>
      </c>
      <c r="H144" s="9">
        <f>IFERROR(__xludf.DUMMYFUNCTION("MAX(INDEX(GOOGLEFINANCE(A144, ""high"", TODAY()-30, TODAY()), 0, 2))"),305.0)</f>
        <v>305</v>
      </c>
      <c r="I144" s="9">
        <f>IFERROR(__xludf.DUMMYFUNCTION("MIN(INDEX(GOOGLEFINANCE(A144, ""low"", TODAY()-30, TODAY()), 0, 2))"),242.51)</f>
        <v>242.51</v>
      </c>
      <c r="J144" s="9">
        <f>IFERROR(__xludf.DUMMYFUNCTION("GOOGLEFINANCE(A144, ""high52"")"),474.0)</f>
        <v>474</v>
      </c>
      <c r="K144" s="9">
        <f>IFERROR(__xludf.DUMMYFUNCTION("GOOGLEFINANCE(A144, ""low52"")"),235.75)</f>
        <v>235.75</v>
      </c>
      <c r="L144" s="9">
        <f t="shared" si="1"/>
        <v>0.4117088608</v>
      </c>
      <c r="M144" s="9">
        <f t="shared" si="2"/>
        <v>0.1828207847</v>
      </c>
      <c r="N144" s="9">
        <f t="shared" si="3"/>
        <v>0.02173913043</v>
      </c>
      <c r="O144" s="9">
        <f t="shared" si="4"/>
        <v>0.5815330453</v>
      </c>
      <c r="P144" s="9" t="str">
        <f>IFERROR(__xludf.DUMMYFUNCTION("GOOGLEFINANCE(A144, ""pe"")"),"#N/A")</f>
        <v>#N/A</v>
      </c>
      <c r="Q144" s="9">
        <f>IFERROR(__xludf.DUMMYFUNCTION("IFERROR(GOOGLEFINANCE(A144, ""volume"") / GOOGLEFINANCE(A144, ""volumeavg""), 0)"),0.0)</f>
        <v>0</v>
      </c>
      <c r="R144" s="9">
        <f>IFERROR(__xludf.DUMMYFUNCTION("AVERAGE(INDEX(GOOGLEFINANCE(A144, ""price"", TODAY()-30, TODAY()), 0, 2))"),275.4252173913044)</f>
        <v>275.4252174</v>
      </c>
      <c r="S144" s="9">
        <f>IFERROR(__xludf.DUMMYFUNCTION("AVERAGE(INDEX(GOOGLEFINANCE(A144, ""price"", TODAY()-75, TODAY()), 0, 2))"),262.35150943396224)</f>
        <v>262.3515094</v>
      </c>
      <c r="T144" s="9">
        <f>IFERROR(__xludf.DUMMYFUNCTION("AVERAGE(INDEX(GOOGLEFINANCE(A144, ""price"", TODAY()-300, TODAY()), 0, 2))"),316.5766336633664)</f>
        <v>316.5766337</v>
      </c>
      <c r="U144" s="9">
        <f t="shared" si="5"/>
        <v>0.01243452811</v>
      </c>
      <c r="V144" s="15">
        <f>IFERROR(__xludf.DUMMYFUNCTION("LET(hist, GOOGLEFINANCE(A144,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rs))))))"),60.29377746935)</f>
        <v>60.29377747</v>
      </c>
      <c r="W144" s="16" t="str">
        <f>IFERROR(__xludf.DUMMYFUNCTION("IFERROR(GOOGLEFINANCE(A144, ""volume"") / GOOGLEFINANCE(A144, ""volumeavg""), )"),"")</f>
        <v/>
      </c>
      <c r="X144" s="9">
        <f>IFERROR(__xludf.DUMMYFUNCTION("B144 * GOOGLEFINANCE(A144, ""volume"")"),1.9511000652E9)</f>
        <v>1951100065</v>
      </c>
      <c r="Y144" s="9">
        <f>IFERROR(__xludf.DUMMYFUNCTION("IFERROR(((B144 - GOOGLEFINANCE(A144, ""priceopen"")) / GOOGLEFINANCE(A144, ""priceopen"")) * GOOGLEFINANCE(A144, ""volume""), 0)"),-78157.44255319092)</f>
        <v>-78157.44255</v>
      </c>
    </row>
    <row r="145">
      <c r="A145" s="4" t="s">
        <v>1022</v>
      </c>
      <c r="B145" s="7">
        <f>IFERROR(__xludf.DUMMYFUNCTION("GOOGLEFINANCE(A145, ""price"")"),1085.0)</f>
        <v>1085</v>
      </c>
      <c r="C145" s="7">
        <f>IFERROR(__xludf.DUMMYFUNCTION("GOOGLEFINANCE(A145, ""changepct"")"),1.32)</f>
        <v>1.32</v>
      </c>
      <c r="D145" s="9">
        <f>IFERROR(__xludf.DUMMYFUNCTION("GOOGLEFINANCE(A145, ""priceopen"")"),1070.9)</f>
        <v>1070.9</v>
      </c>
      <c r="E145" s="9">
        <f>IFERROR(__xludf.DUMMYFUNCTION("GOOGLEFINANCE(A145, ""high"")"),1091.4)</f>
        <v>1091.4</v>
      </c>
      <c r="F145" s="9">
        <f>IFERROR(__xludf.DUMMYFUNCTION("GOOGLEFINANCE(A145, ""low"")"),1062.0)</f>
        <v>1062</v>
      </c>
      <c r="G145" s="9">
        <f>IFERROR(__xludf.DUMMYFUNCTION("GOOGLEFINANCE(A145, ""price"")"),1085.0)</f>
        <v>1085</v>
      </c>
      <c r="H145" s="9">
        <f>IFERROR(__xludf.DUMMYFUNCTION("MAX(INDEX(GOOGLEFINANCE(A145, ""high"", TODAY()-30, TODAY()), 0, 2))"),1105.9)</f>
        <v>1105.9</v>
      </c>
      <c r="I145" s="9">
        <f>IFERROR(__xludf.DUMMYFUNCTION("MIN(INDEX(GOOGLEFINANCE(A145, ""low"", TODAY()-30, TODAY()), 0, 2))"),960.0)</f>
        <v>960</v>
      </c>
      <c r="J145" s="9">
        <f>IFERROR(__xludf.DUMMYFUNCTION("GOOGLEFINANCE(A145, ""high52"")"),1105.9)</f>
        <v>1105.9</v>
      </c>
      <c r="K145" s="9">
        <f>IFERROR(__xludf.DUMMYFUNCTION("GOOGLEFINANCE(A145, ""low52"")"),682.15)</f>
        <v>682.15</v>
      </c>
      <c r="L145" s="9">
        <f t="shared" si="1"/>
        <v>0.0188986346</v>
      </c>
      <c r="M145" s="9">
        <f t="shared" si="2"/>
        <v>0.5905592612</v>
      </c>
      <c r="N145" s="9">
        <f t="shared" si="3"/>
        <v>0.02768361582</v>
      </c>
      <c r="O145" s="9">
        <f t="shared" si="4"/>
        <v>0.8567511995</v>
      </c>
      <c r="P145" s="9">
        <f>IFERROR(__xludf.DUMMYFUNCTION("GOOGLEFINANCE(A145, ""pe"")"),28.65)</f>
        <v>28.65</v>
      </c>
      <c r="Q145" s="9">
        <f>IFERROR(__xludf.DUMMYFUNCTION("IFERROR(GOOGLEFINANCE(A145, ""volume"") / GOOGLEFINANCE(A145, ""volumeavg""), 0)"),0.0)</f>
        <v>0</v>
      </c>
      <c r="R145" s="9">
        <f>IFERROR(__xludf.DUMMYFUNCTION("AVERAGE(INDEX(GOOGLEFINANCE(A145, ""price"", TODAY()-30, TODAY()), 0, 2))"),1040.8521739130435)</f>
        <v>1040.852174</v>
      </c>
      <c r="S145" s="9">
        <f>IFERROR(__xludf.DUMMYFUNCTION("AVERAGE(INDEX(GOOGLEFINANCE(A145, ""price"", TODAY()-75, TODAY()), 0, 2))"),1027.861320754717)</f>
        <v>1027.861321</v>
      </c>
      <c r="T145" s="9">
        <f>IFERROR(__xludf.DUMMYFUNCTION("AVERAGE(INDEX(GOOGLEFINANCE(A145, ""price"", TODAY()-300, TODAY()), 0, 2))"),977.1331683168314)</f>
        <v>977.1331683</v>
      </c>
      <c r="U145" s="9">
        <f t="shared" si="5"/>
        <v>0.04241507795</v>
      </c>
      <c r="V145" s="15">
        <f>IFERROR(__xludf.DUMMYFUNCTION("LET(hist, GOOGLEFINANCE(A145,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rs))))))"),76.29491367242186)</f>
        <v>76.29491367</v>
      </c>
      <c r="W145" s="16" t="str">
        <f>IFERROR(__xludf.DUMMYFUNCTION("IFERROR(GOOGLEFINANCE(A145, ""volume"") / GOOGLEFINANCE(A145, ""volumeavg""), )"),"")</f>
        <v/>
      </c>
      <c r="X145" s="9">
        <f>IFERROR(__xludf.DUMMYFUNCTION("B145 * GOOGLEFINANCE(A145, ""volume"")"),1.705959605E9)</f>
        <v>1705959605</v>
      </c>
      <c r="Y145" s="9">
        <f>IFERROR(__xludf.DUMMYFUNCTION("IFERROR(((B145 - GOOGLEFINANCE(A145, ""priceopen"")) / GOOGLEFINANCE(A145, ""priceopen"")) * GOOGLEFINANCE(A145, ""volume""), 0)"),20701.851993650067)</f>
        <v>20701.85199</v>
      </c>
    </row>
    <row r="146">
      <c r="A146" s="4" t="s">
        <v>1026</v>
      </c>
      <c r="B146" s="7">
        <f>IFERROR(__xludf.DUMMYFUNCTION("GOOGLEFINANCE(A146, ""price"")"),314.55)</f>
        <v>314.55</v>
      </c>
      <c r="C146" s="7">
        <f>IFERROR(__xludf.DUMMYFUNCTION("GOOGLEFINANCE(A146, ""changepct"")"),-0.27)</f>
        <v>-0.27</v>
      </c>
      <c r="D146" s="9">
        <f>IFERROR(__xludf.DUMMYFUNCTION("GOOGLEFINANCE(A146, ""priceopen"")"),315.0)</f>
        <v>315</v>
      </c>
      <c r="E146" s="9">
        <f>IFERROR(__xludf.DUMMYFUNCTION("GOOGLEFINANCE(A146, ""high"")"),317.2)</f>
        <v>317.2</v>
      </c>
      <c r="F146" s="9">
        <f>IFERROR(__xludf.DUMMYFUNCTION("GOOGLEFINANCE(A146, ""low"")"),309.75)</f>
        <v>309.75</v>
      </c>
      <c r="G146" s="9">
        <f>IFERROR(__xludf.DUMMYFUNCTION("GOOGLEFINANCE(A146, ""price"")"),314.55)</f>
        <v>314.55</v>
      </c>
      <c r="H146" s="9">
        <f>IFERROR(__xludf.DUMMYFUNCTION("MAX(INDEX(GOOGLEFINANCE(A146, ""high"", TODAY()-30, TODAY()), 0, 2))"),333.5)</f>
        <v>333.5</v>
      </c>
      <c r="I146" s="9">
        <f>IFERROR(__xludf.DUMMYFUNCTION("MIN(INDEX(GOOGLEFINANCE(A146, ""low"", TODAY()-30, TODAY()), 0, 2))"),297.15)</f>
        <v>297.15</v>
      </c>
      <c r="J146" s="9">
        <f>IFERROR(__xludf.DUMMYFUNCTION("GOOGLEFINANCE(A146, ""high52"")"),338.6)</f>
        <v>338.6</v>
      </c>
      <c r="K146" s="9">
        <f>IFERROR(__xludf.DUMMYFUNCTION("GOOGLEFINANCE(A146, ""low52"")"),195.4)</f>
        <v>195.4</v>
      </c>
      <c r="L146" s="9">
        <f t="shared" si="1"/>
        <v>0.07102776137</v>
      </c>
      <c r="M146" s="9">
        <f t="shared" si="2"/>
        <v>0.6097748209</v>
      </c>
      <c r="N146" s="9">
        <f t="shared" si="3"/>
        <v>0.02405165456</v>
      </c>
      <c r="O146" s="9">
        <f t="shared" si="4"/>
        <v>0.4786795048</v>
      </c>
      <c r="P146" s="9" t="str">
        <f>IFERROR(__xludf.DUMMYFUNCTION("GOOGLEFINANCE(A146, ""pe"")"),"#N/A")</f>
        <v>#N/A</v>
      </c>
      <c r="Q146" s="9">
        <f>IFERROR(__xludf.DUMMYFUNCTION("IFERROR(GOOGLEFINANCE(A146, ""volume"") / GOOGLEFINANCE(A146, ""volumeavg""), 0)"),0.0)</f>
        <v>0</v>
      </c>
      <c r="R146" s="9">
        <f>IFERROR(__xludf.DUMMYFUNCTION("AVERAGE(INDEX(GOOGLEFINANCE(A146, ""price"", TODAY()-30, TODAY()), 0, 2))"),311.83695652173907)</f>
        <v>311.8369565</v>
      </c>
      <c r="S146" s="9">
        <f>IFERROR(__xludf.DUMMYFUNCTION("AVERAGE(INDEX(GOOGLEFINANCE(A146, ""price"", TODAY()-75, TODAY()), 0, 2))"),300.7783018867924)</f>
        <v>300.7783019</v>
      </c>
      <c r="T146" s="9">
        <f>IFERROR(__xludf.DUMMYFUNCTION("AVERAGE(INDEX(GOOGLEFINANCE(A146, ""price"", TODAY()-300, TODAY()), 0, 2))"),290.3517326732674)</f>
        <v>290.3517327</v>
      </c>
      <c r="U146" s="9">
        <f t="shared" si="5"/>
        <v>0.008700198682</v>
      </c>
      <c r="V146" s="15">
        <f>IFERROR(__xludf.DUMMYFUNCTION("LET(hist, GOOGLEFINANCE(A146,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rs))))))"),62.04162537165507)</f>
        <v>62.04162537</v>
      </c>
      <c r="W146" s="16" t="str">
        <f>IFERROR(__xludf.DUMMYFUNCTION("IFERROR(GOOGLEFINANCE(A146, ""volume"") / GOOGLEFINANCE(A146, ""volumeavg""), )"),"")</f>
        <v/>
      </c>
      <c r="X146" s="9">
        <f>IFERROR(__xludf.DUMMYFUNCTION("B146 * GOOGLEFINANCE(A146, ""volume"")"),1.47464468595E9)</f>
        <v>1474644686</v>
      </c>
      <c r="Y146" s="9">
        <f>IFERROR(__xludf.DUMMYFUNCTION("IFERROR(((B146 - GOOGLEFINANCE(A146, ""priceopen"")) / GOOGLEFINANCE(A146, ""priceopen"")) * GOOGLEFINANCE(A146, ""volume""), 0)"),-6697.298571428402)</f>
        <v>-6697.298571</v>
      </c>
    </row>
    <row r="147">
      <c r="A147" s="4" t="s">
        <v>1031</v>
      </c>
      <c r="B147" s="7">
        <f>IFERROR(__xludf.DUMMYFUNCTION("GOOGLEFINANCE(A147, ""price"")"),2572.9)</f>
        <v>2572.9</v>
      </c>
      <c r="C147" s="7">
        <f>IFERROR(__xludf.DUMMYFUNCTION("GOOGLEFINANCE(A147, ""changepct"")"),0.11)</f>
        <v>0.11</v>
      </c>
      <c r="D147" s="9">
        <f>IFERROR(__xludf.DUMMYFUNCTION("GOOGLEFINANCE(A147, ""priceopen"")"),2570.1)</f>
        <v>2570.1</v>
      </c>
      <c r="E147" s="9">
        <f>IFERROR(__xludf.DUMMYFUNCTION("GOOGLEFINANCE(A147, ""high"")"),2594.0)</f>
        <v>2594</v>
      </c>
      <c r="F147" s="9">
        <f>IFERROR(__xludf.DUMMYFUNCTION("GOOGLEFINANCE(A147, ""low"")"),2552.0)</f>
        <v>2552</v>
      </c>
      <c r="G147" s="9">
        <f>IFERROR(__xludf.DUMMYFUNCTION("GOOGLEFINANCE(A147, ""price"")"),2572.9)</f>
        <v>2572.9</v>
      </c>
      <c r="H147" s="9">
        <f>IFERROR(__xludf.DUMMYFUNCTION("MAX(INDEX(GOOGLEFINANCE(A147, ""high"", TODAY()-30, TODAY()), 0, 2))"),2970.0)</f>
        <v>2970</v>
      </c>
      <c r="I147" s="9">
        <f>IFERROR(__xludf.DUMMYFUNCTION("MIN(INDEX(GOOGLEFINANCE(A147, ""low"", TODAY()-30, TODAY()), 0, 2))"),2550.0)</f>
        <v>2550</v>
      </c>
      <c r="J147" s="9">
        <f>IFERROR(__xludf.DUMMYFUNCTION("GOOGLEFINANCE(A147, ""high52"")"),3210.0)</f>
        <v>3210</v>
      </c>
      <c r="K147" s="9">
        <f>IFERROR(__xludf.DUMMYFUNCTION("GOOGLEFINANCE(A147, ""low52"")"),2355.0)</f>
        <v>2355</v>
      </c>
      <c r="L147" s="9">
        <f t="shared" si="1"/>
        <v>0.1984735202</v>
      </c>
      <c r="M147" s="9">
        <f t="shared" si="2"/>
        <v>0.09252653928</v>
      </c>
      <c r="N147" s="9">
        <f t="shared" si="3"/>
        <v>0.01645768025</v>
      </c>
      <c r="O147" s="9">
        <f t="shared" si="4"/>
        <v>0.05452380952</v>
      </c>
      <c r="P147" s="9">
        <f>IFERROR(__xludf.DUMMYFUNCTION("GOOGLEFINANCE(A147, ""pe"")"),35.28)</f>
        <v>35.28</v>
      </c>
      <c r="Q147" s="9">
        <f>IFERROR(__xludf.DUMMYFUNCTION("IFERROR(GOOGLEFINANCE(A147, ""volume"") / GOOGLEFINANCE(A147, ""volumeavg""), 0)"),0.0)</f>
        <v>0</v>
      </c>
      <c r="R147" s="9">
        <f>IFERROR(__xludf.DUMMYFUNCTION("AVERAGE(INDEX(GOOGLEFINANCE(A147, ""price"", TODAY()-30, TODAY()), 0, 2))"),2698.447826086957)</f>
        <v>2698.447826</v>
      </c>
      <c r="S147" s="9">
        <f>IFERROR(__xludf.DUMMYFUNCTION("AVERAGE(INDEX(GOOGLEFINANCE(A147, ""price"", TODAY()-75, TODAY()), 0, 2))"),2717.5415094339623)</f>
        <v>2717.541509</v>
      </c>
      <c r="T147" s="9">
        <f>IFERROR(__xludf.DUMMYFUNCTION("AVERAGE(INDEX(GOOGLEFINANCE(A147, ""price"", TODAY()-300, TODAY()), 0, 2))"),2764.01782178218)</f>
        <v>2764.017822</v>
      </c>
      <c r="U147" s="9">
        <f t="shared" si="5"/>
        <v>-0.04652594164</v>
      </c>
      <c r="V147" s="15">
        <f>IFERROR(__xludf.DUMMYFUNCTION("LET(hist, GOOGLEFINANCE(A147,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rs))))))"),42.546461051799156)</f>
        <v>42.54646105</v>
      </c>
      <c r="W147" s="16" t="str">
        <f>IFERROR(__xludf.DUMMYFUNCTION("IFERROR(GOOGLEFINANCE(A147, ""volume"") / GOOGLEFINANCE(A147, ""volumeavg""), )"),"")</f>
        <v/>
      </c>
      <c r="X147" s="9">
        <f>IFERROR(__xludf.DUMMYFUNCTION("B147 * GOOGLEFINANCE(A147, ""volume"")"),7.108125101E8)</f>
        <v>710812510.1</v>
      </c>
      <c r="Y147" s="9">
        <f>IFERROR(__xludf.DUMMYFUNCTION("IFERROR(((B147 - GOOGLEFINANCE(A147, ""priceopen"")) / GOOGLEFINANCE(A147, ""priceopen"")) * GOOGLEFINANCE(A147, ""volume""), 0)"),300.9817516828334)</f>
        <v>300.9817517</v>
      </c>
    </row>
    <row r="148">
      <c r="A148" s="4" t="s">
        <v>1038</v>
      </c>
      <c r="B148" s="7">
        <f>IFERROR(__xludf.DUMMYFUNCTION("GOOGLEFINANCE(A148, ""price"")"),2657.0)</f>
        <v>2657</v>
      </c>
      <c r="C148" s="7">
        <f>IFERROR(__xludf.DUMMYFUNCTION("GOOGLEFINANCE(A148, ""changepct"")"),-1.74)</f>
        <v>-1.74</v>
      </c>
      <c r="D148" s="9">
        <f>IFERROR(__xludf.DUMMYFUNCTION("GOOGLEFINANCE(A148, ""priceopen"")"),2704.0)</f>
        <v>2704</v>
      </c>
      <c r="E148" s="9">
        <f>IFERROR(__xludf.DUMMYFUNCTION("GOOGLEFINANCE(A148, ""high"")"),2709.1)</f>
        <v>2709.1</v>
      </c>
      <c r="F148" s="9">
        <f>IFERROR(__xludf.DUMMYFUNCTION("GOOGLEFINANCE(A148, ""low"")"),2650.9)</f>
        <v>2650.9</v>
      </c>
      <c r="G148" s="9">
        <f>IFERROR(__xludf.DUMMYFUNCTION("GOOGLEFINANCE(A148, ""price"")"),2657.0)</f>
        <v>2657</v>
      </c>
      <c r="H148" s="9">
        <f>IFERROR(__xludf.DUMMYFUNCTION("MAX(INDEX(GOOGLEFINANCE(A148, ""high"", TODAY()-30, TODAY()), 0, 2))"),2914.0)</f>
        <v>2914</v>
      </c>
      <c r="I148" s="9">
        <f>IFERROR(__xludf.DUMMYFUNCTION("MIN(INDEX(GOOGLEFINANCE(A148, ""low"", TODAY()-30, TODAY()), 0, 2))"),2561.0)</f>
        <v>2561</v>
      </c>
      <c r="J148" s="9">
        <f>IFERROR(__xludf.DUMMYFUNCTION("GOOGLEFINANCE(A148, ""high52"")"),3865.0)</f>
        <v>3865</v>
      </c>
      <c r="K148" s="9">
        <f>IFERROR(__xludf.DUMMYFUNCTION("GOOGLEFINANCE(A148, ""low52"")"),2403.0)</f>
        <v>2403</v>
      </c>
      <c r="L148" s="9">
        <f t="shared" si="1"/>
        <v>0.3125485123</v>
      </c>
      <c r="M148" s="9">
        <f t="shared" si="2"/>
        <v>0.1057012068</v>
      </c>
      <c r="N148" s="9">
        <f t="shared" si="3"/>
        <v>0.0219548078</v>
      </c>
      <c r="O148" s="9">
        <f t="shared" si="4"/>
        <v>0.2719546742</v>
      </c>
      <c r="P148" s="9">
        <f>IFERROR(__xludf.DUMMYFUNCTION("GOOGLEFINANCE(A148, ""pe"")"),20.04)</f>
        <v>20.04</v>
      </c>
      <c r="Q148" s="9">
        <f>IFERROR(__xludf.DUMMYFUNCTION("IFERROR(GOOGLEFINANCE(A148, ""volume"") / GOOGLEFINANCE(A148, ""volumeavg""), 0)"),0.0)</f>
        <v>0</v>
      </c>
      <c r="R148" s="9">
        <f>IFERROR(__xludf.DUMMYFUNCTION("AVERAGE(INDEX(GOOGLEFINANCE(A148, ""price"", TODAY()-30, TODAY()), 0, 2))"),2731.491304347826)</f>
        <v>2731.491304</v>
      </c>
      <c r="S148" s="9">
        <f>IFERROR(__xludf.DUMMYFUNCTION("AVERAGE(INDEX(GOOGLEFINANCE(A148, ""price"", TODAY()-75, TODAY()), 0, 2))"),2882.5)</f>
        <v>2882.5</v>
      </c>
      <c r="T148" s="9">
        <f>IFERROR(__xludf.DUMMYFUNCTION("AVERAGE(INDEX(GOOGLEFINANCE(A148, ""price"", TODAY()-300, TODAY()), 0, 2))"),3015.749009900988)</f>
        <v>3015.74901</v>
      </c>
      <c r="U148" s="9">
        <f t="shared" si="5"/>
        <v>-0.02727129471</v>
      </c>
      <c r="V148" s="15">
        <f>IFERROR(__xludf.DUMMYFUNCTION("LET(hist, GOOGLEFINANCE(A148,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rs))))))"),45.52330335241207)</f>
        <v>45.52330335</v>
      </c>
      <c r="W148" s="16" t="str">
        <f>IFERROR(__xludf.DUMMYFUNCTION("IFERROR(GOOGLEFINANCE(A148, ""volume"") / GOOGLEFINANCE(A148, ""volumeavg""), )"),"")</f>
        <v/>
      </c>
      <c r="X148" s="9">
        <f>IFERROR(__xludf.DUMMYFUNCTION("B148 * GOOGLEFINANCE(A148, ""volume"")"),1.441239167E9)</f>
        <v>1441239167</v>
      </c>
      <c r="Y148" s="9">
        <f>IFERROR(__xludf.DUMMYFUNCTION("IFERROR(((B148 - GOOGLEFINANCE(A148, ""priceopen"")) / GOOGLEFINANCE(A148, ""priceopen"")) * GOOGLEFINANCE(A148, ""volume""), 0)"),-9428.349482248519)</f>
        <v>-9428.349482</v>
      </c>
    </row>
    <row r="149">
      <c r="A149" s="4" t="s">
        <v>1045</v>
      </c>
      <c r="B149" s="7">
        <f>IFERROR(__xludf.DUMMYFUNCTION("GOOGLEFINANCE(A149, ""price"")"),1798.0)</f>
        <v>1798</v>
      </c>
      <c r="C149" s="7">
        <f>IFERROR(__xludf.DUMMYFUNCTION("GOOGLEFINANCE(A149, ""changepct"")"),-1.15)</f>
        <v>-1.15</v>
      </c>
      <c r="D149" s="9">
        <f>IFERROR(__xludf.DUMMYFUNCTION("GOOGLEFINANCE(A149, ""priceopen"")"),1819.0)</f>
        <v>1819</v>
      </c>
      <c r="E149" s="9">
        <f>IFERROR(__xludf.DUMMYFUNCTION("GOOGLEFINANCE(A149, ""high"")"),1819.1)</f>
        <v>1819.1</v>
      </c>
      <c r="F149" s="9">
        <f>IFERROR(__xludf.DUMMYFUNCTION("GOOGLEFINANCE(A149, ""low"")"),1780.4)</f>
        <v>1780.4</v>
      </c>
      <c r="G149" s="9">
        <f>IFERROR(__xludf.DUMMYFUNCTION("GOOGLEFINANCE(A149, ""price"")"),1798.0)</f>
        <v>1798</v>
      </c>
      <c r="H149" s="9">
        <f>IFERROR(__xludf.DUMMYFUNCTION("MAX(INDEX(GOOGLEFINANCE(A149, ""high"", TODAY()-30, TODAY()), 0, 2))"),1836.0)</f>
        <v>1836</v>
      </c>
      <c r="I149" s="9">
        <f>IFERROR(__xludf.DUMMYFUNCTION("MIN(INDEX(GOOGLEFINANCE(A149, ""low"", TODAY()-30, TODAY()), 0, 2))"),1430.0)</f>
        <v>1430</v>
      </c>
      <c r="J149" s="9">
        <f>IFERROR(__xludf.DUMMYFUNCTION("GOOGLEFINANCE(A149, ""high52"")"),1989.7)</f>
        <v>1989.7</v>
      </c>
      <c r="K149" s="9">
        <f>IFERROR(__xludf.DUMMYFUNCTION("GOOGLEFINANCE(A149, ""low52"")"),1008.1)</f>
        <v>1008.1</v>
      </c>
      <c r="L149" s="9">
        <f t="shared" si="1"/>
        <v>0.09634618284</v>
      </c>
      <c r="M149" s="9">
        <f t="shared" si="2"/>
        <v>0.7835532189</v>
      </c>
      <c r="N149" s="9">
        <f t="shared" si="3"/>
        <v>0.02173668838</v>
      </c>
      <c r="O149" s="9">
        <f t="shared" si="4"/>
        <v>0.9064039409</v>
      </c>
      <c r="P149" s="9">
        <f>IFERROR(__xludf.DUMMYFUNCTION("GOOGLEFINANCE(A149, ""pe"")"),34.06)</f>
        <v>34.06</v>
      </c>
      <c r="Q149" s="9">
        <f>IFERROR(__xludf.DUMMYFUNCTION("IFERROR(GOOGLEFINANCE(A149, ""volume"") / GOOGLEFINANCE(A149, ""volumeavg""), 0)"),0.0)</f>
        <v>0</v>
      </c>
      <c r="R149" s="9">
        <f>IFERROR(__xludf.DUMMYFUNCTION("AVERAGE(INDEX(GOOGLEFINANCE(A149, ""price"", TODAY()-30, TODAY()), 0, 2))"),1639.8478260869565)</f>
        <v>1639.847826</v>
      </c>
      <c r="S149" s="9">
        <f>IFERROR(__xludf.DUMMYFUNCTION("AVERAGE(INDEX(GOOGLEFINANCE(A149, ""price"", TODAY()-75, TODAY()), 0, 2))"),1533.8490566037738)</f>
        <v>1533.849057</v>
      </c>
      <c r="T149" s="9">
        <f>IFERROR(__xludf.DUMMYFUNCTION("AVERAGE(INDEX(GOOGLEFINANCE(A149, ""price"", TODAY()-300, TODAY()), 0, 2))"),1523.3123762376242)</f>
        <v>1523.312376</v>
      </c>
      <c r="U149" s="9">
        <f t="shared" si="5"/>
        <v>0.09644320125</v>
      </c>
      <c r="V149" s="15">
        <f>IFERROR(__xludf.DUMMYFUNCTION("LET(hist, GOOGLEFINANCE(A149,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rs))))))"),86.6734279918864)</f>
        <v>86.67342799</v>
      </c>
      <c r="W149" s="16" t="str">
        <f>IFERROR(__xludf.DUMMYFUNCTION("IFERROR(GOOGLEFINANCE(A149, ""volume"") / GOOGLEFINANCE(A149, ""volumeavg""), )"),"")</f>
        <v/>
      </c>
      <c r="X149" s="9">
        <f>IFERROR(__xludf.DUMMYFUNCTION("B149 * GOOGLEFINANCE(A149, ""volume"")"),2.862957198E9)</f>
        <v>2862957198</v>
      </c>
      <c r="Y149" s="9">
        <f>IFERROR(__xludf.DUMMYFUNCTION("IFERROR(((B149 - GOOGLEFINANCE(A149, ""priceopen"")) / GOOGLEFINANCE(A149, ""priceopen"")) * GOOGLEFINANCE(A149, ""volume""), 0)"),-18382.80428807037)</f>
        <v>-18382.80429</v>
      </c>
    </row>
    <row r="150">
      <c r="A150" s="4" t="s">
        <v>1051</v>
      </c>
      <c r="B150" s="7">
        <f>IFERROR(__xludf.DUMMYFUNCTION("GOOGLEFINANCE(A150, ""price"")"),92.69)</f>
        <v>92.69</v>
      </c>
      <c r="C150" s="7">
        <f>IFERROR(__xludf.DUMMYFUNCTION("GOOGLEFINANCE(A150, ""changepct"")"),-0.34)</f>
        <v>-0.34</v>
      </c>
      <c r="D150" s="9">
        <f>IFERROR(__xludf.DUMMYFUNCTION("GOOGLEFINANCE(A150, ""priceopen"")"),93.01)</f>
        <v>93.01</v>
      </c>
      <c r="E150" s="9">
        <f>IFERROR(__xludf.DUMMYFUNCTION("GOOGLEFINANCE(A150, ""high"")"),93.24)</f>
        <v>93.24</v>
      </c>
      <c r="F150" s="9">
        <f>IFERROR(__xludf.DUMMYFUNCTION("GOOGLEFINANCE(A150, ""low"")"),91.7)</f>
        <v>91.7</v>
      </c>
      <c r="G150" s="9">
        <f>IFERROR(__xludf.DUMMYFUNCTION("GOOGLEFINANCE(A150, ""price"")"),92.69)</f>
        <v>92.69</v>
      </c>
      <c r="H150" s="9">
        <f>IFERROR(__xludf.DUMMYFUNCTION("MAX(INDEX(GOOGLEFINANCE(A150, ""high"", TODAY()-30, TODAY()), 0, 2))"),99.6)</f>
        <v>99.6</v>
      </c>
      <c r="I150" s="9">
        <f>IFERROR(__xludf.DUMMYFUNCTION("MIN(INDEX(GOOGLEFINANCE(A150, ""low"", TODAY()-30, TODAY()), 0, 2))"),89.5)</f>
        <v>89.5</v>
      </c>
      <c r="J150" s="9">
        <f>IFERROR(__xludf.DUMMYFUNCTION("GOOGLEFINANCE(A150, ""high52"")"),119.95)</f>
        <v>119.95</v>
      </c>
      <c r="K150" s="9">
        <f>IFERROR(__xludf.DUMMYFUNCTION("GOOGLEFINANCE(A150, ""low52"")"),84.0)</f>
        <v>84</v>
      </c>
      <c r="L150" s="9">
        <f t="shared" si="1"/>
        <v>0.2272613589</v>
      </c>
      <c r="M150" s="9">
        <f t="shared" si="2"/>
        <v>0.103452381</v>
      </c>
      <c r="N150" s="9">
        <f t="shared" si="3"/>
        <v>0.01679389313</v>
      </c>
      <c r="O150" s="9">
        <f t="shared" si="4"/>
        <v>0.3158415842</v>
      </c>
      <c r="P150" s="9">
        <f>IFERROR(__xludf.DUMMYFUNCTION("GOOGLEFINANCE(A150, ""pe"")"),131.02)</f>
        <v>131.02</v>
      </c>
      <c r="Q150" s="9">
        <f>IFERROR(__xludf.DUMMYFUNCTION("IFERROR(GOOGLEFINANCE(A150, ""volume"") / GOOGLEFINANCE(A150, ""volumeavg""), 0)"),0.0)</f>
        <v>0</v>
      </c>
      <c r="R150" s="9">
        <f>IFERROR(__xludf.DUMMYFUNCTION("AVERAGE(INDEX(GOOGLEFINANCE(A150, ""price"", TODAY()-30, TODAY()), 0, 2))"),92.45217391304347)</f>
        <v>92.45217391</v>
      </c>
      <c r="S150" s="9">
        <f>IFERROR(__xludf.DUMMYFUNCTION("AVERAGE(INDEX(GOOGLEFINANCE(A150, ""price"", TODAY()-75, TODAY()), 0, 2))"),95.11377358490566)</f>
        <v>95.11377358</v>
      </c>
      <c r="T150" s="9">
        <f>IFERROR(__xludf.DUMMYFUNCTION("AVERAGE(INDEX(GOOGLEFINANCE(A150, ""price"", TODAY()-300, TODAY()), 0, 2))"),96.48069306930692)</f>
        <v>96.48069307</v>
      </c>
      <c r="U150" s="9">
        <f t="shared" si="5"/>
        <v>0.002572422874</v>
      </c>
      <c r="V150" s="15">
        <f>IFERROR(__xludf.DUMMYFUNCTION("LET(hist, GOOGLEFINANCE(A150,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rs))))))"),28.044280442804435)</f>
        <v>28.04428044</v>
      </c>
      <c r="W150" s="16" t="str">
        <f>IFERROR(__xludf.DUMMYFUNCTION("IFERROR(GOOGLEFINANCE(A150, ""volume"") / GOOGLEFINANCE(A150, ""volumeavg""), )"),"")</f>
        <v/>
      </c>
      <c r="X150" s="9">
        <f>IFERROR(__xludf.DUMMYFUNCTION("B150 * GOOGLEFINANCE(A150, ""volume"")"),1.8045018966E8)</f>
        <v>180450189.7</v>
      </c>
      <c r="Y150" s="9">
        <f>IFERROR(__xludf.DUMMYFUNCTION("IFERROR(((B150 - GOOGLEFINANCE(A150, ""priceopen"")) / GOOGLEFINANCE(A150, ""priceopen"")) * GOOGLEFINANCE(A150, ""volume""), 0)"),-6697.9946242341075)</f>
        <v>-6697.994624</v>
      </c>
    </row>
    <row r="151">
      <c r="A151" s="4" t="s">
        <v>1055</v>
      </c>
      <c r="B151" s="7">
        <f>IFERROR(__xludf.DUMMYFUNCTION("GOOGLEFINANCE(A151, ""price"")"),503.85)</f>
        <v>503.85</v>
      </c>
      <c r="C151" s="7">
        <f>IFERROR(__xludf.DUMMYFUNCTION("GOOGLEFINANCE(A151, ""changepct"")"),0.47)</f>
        <v>0.47</v>
      </c>
      <c r="D151" s="9">
        <f>IFERROR(__xludf.DUMMYFUNCTION("GOOGLEFINANCE(A151, ""priceopen"")"),501.5)</f>
        <v>501.5</v>
      </c>
      <c r="E151" s="9">
        <f>IFERROR(__xludf.DUMMYFUNCTION("GOOGLEFINANCE(A151, ""high"")"),506.4)</f>
        <v>506.4</v>
      </c>
      <c r="F151" s="9">
        <f>IFERROR(__xludf.DUMMYFUNCTION("GOOGLEFINANCE(A151, ""low"")"),494.5)</f>
        <v>494.5</v>
      </c>
      <c r="G151" s="9">
        <f>IFERROR(__xludf.DUMMYFUNCTION("GOOGLEFINANCE(A151, ""price"")"),503.85)</f>
        <v>503.85</v>
      </c>
      <c r="H151" s="9">
        <f>IFERROR(__xludf.DUMMYFUNCTION("MAX(INDEX(GOOGLEFINANCE(A151, ""high"", TODAY()-30, TODAY()), 0, 2))"),531.95)</f>
        <v>531.95</v>
      </c>
      <c r="I151" s="9">
        <f>IFERROR(__xludf.DUMMYFUNCTION("MIN(INDEX(GOOGLEFINANCE(A151, ""low"", TODAY()-30, TODAY()), 0, 2))"),490.3)</f>
        <v>490.3</v>
      </c>
      <c r="J151" s="9">
        <f>IFERROR(__xludf.DUMMYFUNCTION("GOOGLEFINANCE(A151, ""high52"")"),706.8)</f>
        <v>706.8</v>
      </c>
      <c r="K151" s="9">
        <f>IFERROR(__xludf.DUMMYFUNCTION("GOOGLEFINANCE(A151, ""low52"")"),459.5)</f>
        <v>459.5</v>
      </c>
      <c r="L151" s="9">
        <f t="shared" si="1"/>
        <v>0.287139219</v>
      </c>
      <c r="M151" s="9">
        <f t="shared" si="2"/>
        <v>0.0965179543</v>
      </c>
      <c r="N151" s="9">
        <f t="shared" si="3"/>
        <v>0.02406471183</v>
      </c>
      <c r="O151" s="9">
        <f t="shared" si="4"/>
        <v>0.3253301321</v>
      </c>
      <c r="P151" s="9">
        <f>IFERROR(__xludf.DUMMYFUNCTION("GOOGLEFINANCE(A151, ""pe"")"),46.79)</f>
        <v>46.79</v>
      </c>
      <c r="Q151" s="9">
        <f>IFERROR(__xludf.DUMMYFUNCTION("IFERROR(GOOGLEFINANCE(A151, ""volume"") / GOOGLEFINANCE(A151, ""volumeavg""), 0)"),0.0)</f>
        <v>0</v>
      </c>
      <c r="R151" s="9">
        <f>IFERROR(__xludf.DUMMYFUNCTION("AVERAGE(INDEX(GOOGLEFINANCE(A151, ""price"", TODAY()-30, TODAY()), 0, 2))"),507.8673913043478)</f>
        <v>507.8673913</v>
      </c>
      <c r="S151" s="9">
        <f>IFERROR(__xludf.DUMMYFUNCTION("AVERAGE(INDEX(GOOGLEFINANCE(A151, ""price"", TODAY()-75, TODAY()), 0, 2))"),496.94716981132075)</f>
        <v>496.9471698</v>
      </c>
      <c r="T151" s="9">
        <f>IFERROR(__xludf.DUMMYFUNCTION("AVERAGE(INDEX(GOOGLEFINANCE(A151, ""price"", TODAY()-300, TODAY()), 0, 2))"),576.0589108910893)</f>
        <v>576.0589109</v>
      </c>
      <c r="U151" s="9">
        <f t="shared" si="5"/>
        <v>-0.007910315514</v>
      </c>
      <c r="V151" s="15">
        <f>IFERROR(__xludf.DUMMYFUNCTION("LET(hist, GOOGLEFINANCE(A151,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rs))))))"),54.07653910149749)</f>
        <v>54.0765391</v>
      </c>
      <c r="W151" s="16" t="str">
        <f>IFERROR(__xludf.DUMMYFUNCTION("IFERROR(GOOGLEFINANCE(A151, ""volume"") / GOOGLEFINANCE(A151, ""volumeavg""), )"),"")</f>
        <v/>
      </c>
      <c r="X151" s="9">
        <f>IFERROR(__xludf.DUMMYFUNCTION("B151 * GOOGLEFINANCE(A151, ""volume"")"),6.441268785E8)</f>
        <v>644126878.5</v>
      </c>
      <c r="Y151" s="9">
        <f>IFERROR(__xludf.DUMMYFUNCTION("IFERROR(((B151 - GOOGLEFINANCE(A151, ""priceopen"")) / GOOGLEFINANCE(A151, ""priceopen"")) * GOOGLEFINANCE(A151, ""volume""), 0)"),5990.555333998064)</f>
        <v>5990.555334</v>
      </c>
    </row>
    <row r="152">
      <c r="A152" s="4" t="s">
        <v>1059</v>
      </c>
      <c r="B152" s="7">
        <f>IFERROR(__xludf.DUMMYFUNCTION("GOOGLEFINANCE(A152, ""price"")"),85.62)</f>
        <v>85.62</v>
      </c>
      <c r="C152" s="7">
        <f>IFERROR(__xludf.DUMMYFUNCTION("GOOGLEFINANCE(A152, ""changepct"")"),0.2)</f>
        <v>0.2</v>
      </c>
      <c r="D152" s="9">
        <f>IFERROR(__xludf.DUMMYFUNCTION("GOOGLEFINANCE(A152, ""priceopen"")"),85.87)</f>
        <v>85.87</v>
      </c>
      <c r="E152" s="9">
        <f>IFERROR(__xludf.DUMMYFUNCTION("GOOGLEFINANCE(A152, ""high"")"),86.07)</f>
        <v>86.07</v>
      </c>
      <c r="F152" s="9">
        <f>IFERROR(__xludf.DUMMYFUNCTION("GOOGLEFINANCE(A152, ""low"")"),84.89)</f>
        <v>84.89</v>
      </c>
      <c r="G152" s="9">
        <f>IFERROR(__xludf.DUMMYFUNCTION("GOOGLEFINANCE(A152, ""price"")"),85.62)</f>
        <v>85.62</v>
      </c>
      <c r="H152" s="9">
        <f>IFERROR(__xludf.DUMMYFUNCTION("MAX(INDEX(GOOGLEFINANCE(A152, ""high"", TODAY()-30, TODAY()), 0, 2))"),87.19)</f>
        <v>87.19</v>
      </c>
      <c r="I152" s="9">
        <f>IFERROR(__xludf.DUMMYFUNCTION("MIN(INDEX(GOOGLEFINANCE(A152, ""low"", TODAY()-30, TODAY()), 0, 2))"),81.77)</f>
        <v>81.77</v>
      </c>
      <c r="J152" s="9">
        <f>IFERROR(__xludf.DUMMYFUNCTION("GOOGLEFINANCE(A152, ""high52"")"),97.49)</f>
        <v>97.49</v>
      </c>
      <c r="K152" s="9">
        <f>IFERROR(__xludf.DUMMYFUNCTION("GOOGLEFINANCE(A152, ""low52"")"),68.19)</f>
        <v>68.19</v>
      </c>
      <c r="L152" s="9">
        <f t="shared" si="1"/>
        <v>0.1217560775</v>
      </c>
      <c r="M152" s="9">
        <f t="shared" si="2"/>
        <v>0.2556093269</v>
      </c>
      <c r="N152" s="9">
        <f t="shared" si="3"/>
        <v>0.01390034162</v>
      </c>
      <c r="O152" s="9">
        <f t="shared" si="4"/>
        <v>0.7103321033</v>
      </c>
      <c r="P152" s="9">
        <f>IFERROR(__xludf.DUMMYFUNCTION("GOOGLEFINANCE(A152, ""pe"")"),10.11)</f>
        <v>10.11</v>
      </c>
      <c r="Q152" s="9">
        <f>IFERROR(__xludf.DUMMYFUNCTION("IFERROR(GOOGLEFINANCE(A152, ""volume"") / GOOGLEFINANCE(A152, ""volumeavg""), 0)"),0.0)</f>
        <v>0</v>
      </c>
      <c r="R152" s="9">
        <f>IFERROR(__xludf.DUMMYFUNCTION("AVERAGE(INDEX(GOOGLEFINANCE(A152, ""price"", TODAY()-30, TODAY()), 0, 2))"),84.50956521739131)</f>
        <v>84.50956522</v>
      </c>
      <c r="S152" s="9">
        <f>IFERROR(__xludf.DUMMYFUNCTION("AVERAGE(INDEX(GOOGLEFINANCE(A152, ""price"", TODAY()-75, TODAY()), 0, 2))"),86.4998113207547)</f>
        <v>86.49981132</v>
      </c>
      <c r="T152" s="9">
        <f>IFERROR(__xludf.DUMMYFUNCTION("AVERAGE(INDEX(GOOGLEFINANCE(A152, ""price"", TODAY()-300, TODAY()), 0, 2))"),82.45519801980203)</f>
        <v>82.45519802</v>
      </c>
      <c r="U152" s="9">
        <f t="shared" si="5"/>
        <v>0.01313975264</v>
      </c>
      <c r="V152" s="15">
        <f>IFERROR(__xludf.DUMMYFUNCTION("LET(hist, GOOGLEFINANCE(A152,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rs))))))"),66.10671936758892)</f>
        <v>66.10671937</v>
      </c>
      <c r="W152" s="16" t="str">
        <f>IFERROR(__xludf.DUMMYFUNCTION("IFERROR(GOOGLEFINANCE(A152, ""volume"") / GOOGLEFINANCE(A152, ""volumeavg""), )"),"")</f>
        <v/>
      </c>
      <c r="X152" s="9">
        <f>IFERROR(__xludf.DUMMYFUNCTION("B152 * GOOGLEFINANCE(A152, ""volume"")"),1.56394271142E9)</f>
        <v>1563942711</v>
      </c>
      <c r="Y152" s="9">
        <f>IFERROR(__xludf.DUMMYFUNCTION("IFERROR(((B152 - GOOGLEFINANCE(A152, ""priceopen"")) / GOOGLEFINANCE(A152, ""priceopen"")) * GOOGLEFINANCE(A152, ""volume""), 0)"),-53179.48934435775)</f>
        <v>-53179.48934</v>
      </c>
    </row>
    <row r="153">
      <c r="A153" s="4" t="s">
        <v>1067</v>
      </c>
      <c r="B153" s="7">
        <f>IFERROR(__xludf.DUMMYFUNCTION("GOOGLEFINANCE(A153, ""price"")"),407.95)</f>
        <v>407.95</v>
      </c>
      <c r="C153" s="7">
        <f>IFERROR(__xludf.DUMMYFUNCTION("GOOGLEFINANCE(A153, ""changepct"")"),-1.14)</f>
        <v>-1.14</v>
      </c>
      <c r="D153" s="9">
        <f>IFERROR(__xludf.DUMMYFUNCTION("GOOGLEFINANCE(A153, ""priceopen"")"),412.65)</f>
        <v>412.65</v>
      </c>
      <c r="E153" s="9">
        <f>IFERROR(__xludf.DUMMYFUNCTION("GOOGLEFINANCE(A153, ""high"")"),413.1)</f>
        <v>413.1</v>
      </c>
      <c r="F153" s="9">
        <f>IFERROR(__xludf.DUMMYFUNCTION("GOOGLEFINANCE(A153, ""low"")"),405.05)</f>
        <v>405.05</v>
      </c>
      <c r="G153" s="9">
        <f>IFERROR(__xludf.DUMMYFUNCTION("GOOGLEFINANCE(A153, ""price"")"),407.95)</f>
        <v>407.95</v>
      </c>
      <c r="H153" s="9">
        <f>IFERROR(__xludf.DUMMYFUNCTION("MAX(INDEX(GOOGLEFINANCE(A153, ""high"", TODAY()-30, TODAY()), 0, 2))"),442.75)</f>
        <v>442.75</v>
      </c>
      <c r="I153" s="9">
        <f>IFERROR(__xludf.DUMMYFUNCTION("MIN(INDEX(GOOGLEFINANCE(A153, ""low"", TODAY()-30, TODAY()), 0, 2))"),405.05)</f>
        <v>405.05</v>
      </c>
      <c r="J153" s="9">
        <f>IFERROR(__xludf.DUMMYFUNCTION("GOOGLEFINANCE(A153, ""high52"")"),577.0)</f>
        <v>577</v>
      </c>
      <c r="K153" s="9">
        <f>IFERROR(__xludf.DUMMYFUNCTION("GOOGLEFINANCE(A153, ""low52"")"),403.35)</f>
        <v>403.35</v>
      </c>
      <c r="L153" s="9">
        <f t="shared" si="1"/>
        <v>0.2929809359</v>
      </c>
      <c r="M153" s="9">
        <f t="shared" si="2"/>
        <v>0.01140448742</v>
      </c>
      <c r="N153" s="9">
        <f t="shared" si="3"/>
        <v>0.01987408962</v>
      </c>
      <c r="O153" s="9">
        <f t="shared" si="4"/>
        <v>0.07692307692</v>
      </c>
      <c r="P153" s="9">
        <f>IFERROR(__xludf.DUMMYFUNCTION("GOOGLEFINANCE(A153, ""pe"")"),36.74)</f>
        <v>36.74</v>
      </c>
      <c r="Q153" s="9">
        <f>IFERROR(__xludf.DUMMYFUNCTION("IFERROR(GOOGLEFINANCE(A153, ""volume"") / GOOGLEFINANCE(A153, ""volumeavg""), 0)"),0.0)</f>
        <v>0</v>
      </c>
      <c r="R153" s="9">
        <f>IFERROR(__xludf.DUMMYFUNCTION("AVERAGE(INDEX(GOOGLEFINANCE(A153, ""price"", TODAY()-30, TODAY()), 0, 2))"),422.99130434782614)</f>
        <v>422.9913043</v>
      </c>
      <c r="S153" s="9">
        <f>IFERROR(__xludf.DUMMYFUNCTION("AVERAGE(INDEX(GOOGLEFINANCE(A153, ""price"", TODAY()-75, TODAY()), 0, 2))"),427.50471698113205)</f>
        <v>427.504717</v>
      </c>
      <c r="T153" s="9">
        <f>IFERROR(__xludf.DUMMYFUNCTION("AVERAGE(INDEX(GOOGLEFINANCE(A153, ""price"", TODAY()-300, TODAY()), 0, 2))"),471.5326732673264)</f>
        <v>471.5326733</v>
      </c>
      <c r="U153" s="9">
        <f t="shared" si="5"/>
        <v>-0.03555937012</v>
      </c>
      <c r="V153" s="15">
        <f>IFERROR(__xludf.DUMMYFUNCTION("LET(hist, GOOGLEFINANCE(A153,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rs))))))"),40.74650077760501)</f>
        <v>40.74650078</v>
      </c>
      <c r="W153" s="16" t="str">
        <f>IFERROR(__xludf.DUMMYFUNCTION("IFERROR(GOOGLEFINANCE(A153, ""volume"") / GOOGLEFINANCE(A153, ""volumeavg""), )"),"")</f>
        <v/>
      </c>
      <c r="X153" s="9">
        <f>IFERROR(__xludf.DUMMYFUNCTION("B153 * GOOGLEFINANCE(A153, ""volume"")"),6.8413215E8)</f>
        <v>684132150</v>
      </c>
      <c r="Y153" s="9">
        <f>IFERROR(__xludf.DUMMYFUNCTION("IFERROR(((B153 - GOOGLEFINANCE(A153, ""priceopen"")) / GOOGLEFINANCE(A153, ""priceopen"")) * GOOGLEFINANCE(A153, ""volume""), 0)"),-19100.69065794252)</f>
        <v>-19100.69066</v>
      </c>
    </row>
    <row r="154">
      <c r="A154" s="4" t="s">
        <v>1074</v>
      </c>
      <c r="B154" s="7">
        <f>IFERROR(__xludf.DUMMYFUNCTION("GOOGLEFINANCE(A154, ""price"")"),471.9)</f>
        <v>471.9</v>
      </c>
      <c r="C154" s="7">
        <f>IFERROR(__xludf.DUMMYFUNCTION("GOOGLEFINANCE(A154, ""changepct"")"),0.33)</f>
        <v>0.33</v>
      </c>
      <c r="D154" s="9">
        <f>IFERROR(__xludf.DUMMYFUNCTION("GOOGLEFINANCE(A154, ""priceopen"")"),471.9)</f>
        <v>471.9</v>
      </c>
      <c r="E154" s="9">
        <f>IFERROR(__xludf.DUMMYFUNCTION("GOOGLEFINANCE(A154, ""high"")"),475.55)</f>
        <v>475.55</v>
      </c>
      <c r="F154" s="9">
        <f>IFERROR(__xludf.DUMMYFUNCTION("GOOGLEFINANCE(A154, ""low"")"),466.65)</f>
        <v>466.65</v>
      </c>
      <c r="G154" s="9">
        <f>IFERROR(__xludf.DUMMYFUNCTION("GOOGLEFINANCE(A154, ""price"")"),471.9)</f>
        <v>471.9</v>
      </c>
      <c r="H154" s="9">
        <f>IFERROR(__xludf.DUMMYFUNCTION("MAX(INDEX(GOOGLEFINANCE(A154, ""high"", TODAY()-30, TODAY()), 0, 2))"),484.0)</f>
        <v>484</v>
      </c>
      <c r="I154" s="9">
        <f>IFERROR(__xludf.DUMMYFUNCTION("MIN(INDEX(GOOGLEFINANCE(A154, ""low"", TODAY()-30, TODAY()), 0, 2))"),422.35)</f>
        <v>422.35</v>
      </c>
      <c r="J154" s="9">
        <f>IFERROR(__xludf.DUMMYFUNCTION("GOOGLEFINANCE(A154, ""high52"")"),531.0)</f>
        <v>531</v>
      </c>
      <c r="K154" s="9">
        <f>IFERROR(__xludf.DUMMYFUNCTION("GOOGLEFINANCE(A154, ""low52"")"),384.6)</f>
        <v>384.6</v>
      </c>
      <c r="L154" s="9">
        <f t="shared" si="1"/>
        <v>0.111299435</v>
      </c>
      <c r="M154" s="9">
        <f t="shared" si="2"/>
        <v>0.2269890796</v>
      </c>
      <c r="N154" s="9">
        <f t="shared" si="3"/>
        <v>0.01907210972</v>
      </c>
      <c r="O154" s="9">
        <f t="shared" si="4"/>
        <v>0.803730738</v>
      </c>
      <c r="P154" s="9">
        <f>IFERROR(__xludf.DUMMYFUNCTION("GOOGLEFINANCE(A154, ""pe"")"),9.19)</f>
        <v>9.19</v>
      </c>
      <c r="Q154" s="9">
        <f>IFERROR(__xludf.DUMMYFUNCTION("IFERROR(GOOGLEFINANCE(A154, ""volume"") / GOOGLEFINANCE(A154, ""volumeavg""), 0)"),0.0)</f>
        <v>0</v>
      </c>
      <c r="R154" s="9">
        <f>IFERROR(__xludf.DUMMYFUNCTION("AVERAGE(INDEX(GOOGLEFINANCE(A154, ""price"", TODAY()-30, TODAY()), 0, 2))"),448.2913043478261)</f>
        <v>448.2913043</v>
      </c>
      <c r="S154" s="9">
        <f>IFERROR(__xludf.DUMMYFUNCTION("AVERAGE(INDEX(GOOGLEFINANCE(A154, ""price"", TODAY()-75, TODAY()), 0, 2))"),441.95471698113204)</f>
        <v>441.954717</v>
      </c>
      <c r="T154" s="9">
        <f>IFERROR(__xludf.DUMMYFUNCTION("AVERAGE(INDEX(GOOGLEFINANCE(A154, ""price"", TODAY()-300, TODAY()), 0, 2))"),450.0383663366339)</f>
        <v>450.0383663</v>
      </c>
      <c r="U154" s="9">
        <f t="shared" si="5"/>
        <v>0.05266373767</v>
      </c>
      <c r="V154" s="15">
        <f>IFERROR(__xludf.DUMMYFUNCTION("LET(hist, GOOGLEFINANCE(A154,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rs))))))"),58.418367346938766)</f>
        <v>58.41836735</v>
      </c>
      <c r="W154" s="16" t="str">
        <f>IFERROR(__xludf.DUMMYFUNCTION("IFERROR(GOOGLEFINANCE(A154, ""volume"") / GOOGLEFINANCE(A154, ""volumeavg""), )"),"")</f>
        <v/>
      </c>
      <c r="X154" s="9">
        <f>IFERROR(__xludf.DUMMYFUNCTION("B154 * GOOGLEFINANCE(A154, ""volume"")"),1.3084022093999999E9)</f>
        <v>1308402209</v>
      </c>
      <c r="Y154" s="9">
        <f>IFERROR(__xludf.DUMMYFUNCTION("IFERROR(((B154 - GOOGLEFINANCE(A154, ""priceopen"")) / GOOGLEFINANCE(A154, ""priceopen"")) * GOOGLEFINANCE(A154, ""volume""), 0)"),0.0)</f>
        <v>0</v>
      </c>
    </row>
    <row r="155">
      <c r="A155" s="4" t="s">
        <v>1078</v>
      </c>
      <c r="B155" s="7">
        <f>IFERROR(__xludf.DUMMYFUNCTION("GOOGLEFINANCE(A155, ""price"")"),1175.0)</f>
        <v>1175</v>
      </c>
      <c r="C155" s="7">
        <f>IFERROR(__xludf.DUMMYFUNCTION("GOOGLEFINANCE(A155, ""changepct"")"),0.32)</f>
        <v>0.32</v>
      </c>
      <c r="D155" s="9">
        <f>IFERROR(__xludf.DUMMYFUNCTION("GOOGLEFINANCE(A155, ""priceopen"")"),1180.2)</f>
        <v>1180.2</v>
      </c>
      <c r="E155" s="9">
        <f>IFERROR(__xludf.DUMMYFUNCTION("GOOGLEFINANCE(A155, ""high"")"),1183.0)</f>
        <v>1183</v>
      </c>
      <c r="F155" s="9">
        <f>IFERROR(__xludf.DUMMYFUNCTION("GOOGLEFINANCE(A155, ""low"")"),1167.6)</f>
        <v>1167.6</v>
      </c>
      <c r="G155" s="9">
        <f>IFERROR(__xludf.DUMMYFUNCTION("GOOGLEFINANCE(A155, ""price"")"),1175.0)</f>
        <v>1175</v>
      </c>
      <c r="H155" s="9">
        <f>IFERROR(__xludf.DUMMYFUNCTION("MAX(INDEX(GOOGLEFINANCE(A155, ""high"", TODAY()-30, TODAY()), 0, 2))"),1223.0)</f>
        <v>1223</v>
      </c>
      <c r="I155" s="9">
        <f>IFERROR(__xludf.DUMMYFUNCTION("MIN(INDEX(GOOGLEFINANCE(A155, ""low"", TODAY()-30, TODAY()), 0, 2))"),1079.4)</f>
        <v>1079.4</v>
      </c>
      <c r="J155" s="9">
        <f>IFERROR(__xludf.DUMMYFUNCTION("GOOGLEFINANCE(A155, ""high52"")"),1233.5)</f>
        <v>1233.5</v>
      </c>
      <c r="K155" s="9">
        <f>IFERROR(__xludf.DUMMYFUNCTION("GOOGLEFINANCE(A155, ""low52"")"),780.25)</f>
        <v>780.25</v>
      </c>
      <c r="L155" s="9">
        <f t="shared" si="1"/>
        <v>0.04742602351</v>
      </c>
      <c r="M155" s="9">
        <f t="shared" si="2"/>
        <v>0.5059275873</v>
      </c>
      <c r="N155" s="9">
        <f t="shared" si="3"/>
        <v>0.01318944844</v>
      </c>
      <c r="O155" s="9">
        <f t="shared" si="4"/>
        <v>0.6657381616</v>
      </c>
      <c r="P155" s="9">
        <f>IFERROR(__xludf.DUMMYFUNCTION("GOOGLEFINANCE(A155, ""pe"")"),46.72)</f>
        <v>46.72</v>
      </c>
      <c r="Q155" s="9">
        <f>IFERROR(__xludf.DUMMYFUNCTION("IFERROR(GOOGLEFINANCE(A155, ""volume"") / GOOGLEFINANCE(A155, ""volumeavg""), 0)"),0.0)</f>
        <v>0</v>
      </c>
      <c r="R155" s="9">
        <f>IFERROR(__xludf.DUMMYFUNCTION("AVERAGE(INDEX(GOOGLEFINANCE(A155, ""price"", TODAY()-30, TODAY()), 0, 2))"),1170.6434782608694)</f>
        <v>1170.643478</v>
      </c>
      <c r="S155" s="9">
        <f>IFERROR(__xludf.DUMMYFUNCTION("AVERAGE(INDEX(GOOGLEFINANCE(A155, ""price"", TODAY()-75, TODAY()), 0, 2))"),1155.849056603774)</f>
        <v>1155.849057</v>
      </c>
      <c r="T155" s="9">
        <f>IFERROR(__xludf.DUMMYFUNCTION("AVERAGE(INDEX(GOOGLEFINANCE(A155, ""price"", TODAY()-300, TODAY()), 0, 2))"),978.0606435643562)</f>
        <v>978.0606436</v>
      </c>
      <c r="U155" s="9">
        <f t="shared" si="5"/>
        <v>0.003721476111</v>
      </c>
      <c r="V155" s="15">
        <f>IFERROR(__xludf.DUMMYFUNCTION("LET(hist, GOOGLEFINANCE(A155,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rs))))))"),67.91569086651054)</f>
        <v>67.91569087</v>
      </c>
      <c r="W155" s="16" t="str">
        <f>IFERROR(__xludf.DUMMYFUNCTION("IFERROR(GOOGLEFINANCE(A155, ""volume"") / GOOGLEFINANCE(A155, ""volumeavg""), )"),"")</f>
        <v/>
      </c>
      <c r="X155" s="9">
        <f>IFERROR(__xludf.DUMMYFUNCTION("B155 * GOOGLEFINANCE(A155, ""volume"")"),7.51557025E8)</f>
        <v>751557025</v>
      </c>
      <c r="Y155" s="9">
        <f>IFERROR(__xludf.DUMMYFUNCTION("IFERROR(((B155 - GOOGLEFINANCE(A155, ""priceopen"")) / GOOGLEFINANCE(A155, ""priceopen"")) * GOOGLEFINANCE(A155, ""volume""), 0)"),-2818.1999661074638)</f>
        <v>-2818.199966</v>
      </c>
    </row>
    <row r="156">
      <c r="A156" s="4" t="s">
        <v>1083</v>
      </c>
      <c r="B156" s="7">
        <f>IFERROR(__xludf.DUMMYFUNCTION("GOOGLEFINANCE(A156, ""price"")"),1718.2)</f>
        <v>1718.2</v>
      </c>
      <c r="C156" s="7">
        <f>IFERROR(__xludf.DUMMYFUNCTION("GOOGLEFINANCE(A156, ""changepct"")"),-0.85)</f>
        <v>-0.85</v>
      </c>
      <c r="D156" s="9">
        <f>IFERROR(__xludf.DUMMYFUNCTION("GOOGLEFINANCE(A156, ""priceopen"")"),1733.0)</f>
        <v>1733</v>
      </c>
      <c r="E156" s="9">
        <f>IFERROR(__xludf.DUMMYFUNCTION("GOOGLEFINANCE(A156, ""high"")"),1739.0)</f>
        <v>1739</v>
      </c>
      <c r="F156" s="9">
        <f>IFERROR(__xludf.DUMMYFUNCTION("GOOGLEFINANCE(A156, ""low"")"),1691.2)</f>
        <v>1691.2</v>
      </c>
      <c r="G156" s="9">
        <f>IFERROR(__xludf.DUMMYFUNCTION("GOOGLEFINANCE(A156, ""price"")"),1718.2)</f>
        <v>1718.2</v>
      </c>
      <c r="H156" s="9">
        <f>IFERROR(__xludf.DUMMYFUNCTION("MAX(INDEX(GOOGLEFINANCE(A156, ""high"", TODAY()-30, TODAY()), 0, 2))"),1747.0)</f>
        <v>1747</v>
      </c>
      <c r="I156" s="9">
        <f>IFERROR(__xludf.DUMMYFUNCTION("MIN(INDEX(GOOGLEFINANCE(A156, ""low"", TODAY()-30, TODAY()), 0, 2))"),1502.1)</f>
        <v>1502.1</v>
      </c>
      <c r="J156" s="9">
        <f>IFERROR(__xludf.DUMMYFUNCTION("GOOGLEFINANCE(A156, ""high52"")"),1974.0)</f>
        <v>1974</v>
      </c>
      <c r="K156" s="9">
        <f>IFERROR(__xludf.DUMMYFUNCTION("GOOGLEFINANCE(A156, ""low52"")"),1364.0)</f>
        <v>1364</v>
      </c>
      <c r="L156" s="9">
        <f t="shared" si="1"/>
        <v>0.1295845998</v>
      </c>
      <c r="M156" s="9">
        <f t="shared" si="2"/>
        <v>0.2596774194</v>
      </c>
      <c r="N156" s="9">
        <f t="shared" si="3"/>
        <v>0.02826395459</v>
      </c>
      <c r="O156" s="9">
        <f t="shared" si="4"/>
        <v>0.88240098</v>
      </c>
      <c r="P156" s="9">
        <f>IFERROR(__xludf.DUMMYFUNCTION("GOOGLEFINANCE(A156, ""pe"")"),106.59)</f>
        <v>106.59</v>
      </c>
      <c r="Q156" s="9">
        <f>IFERROR(__xludf.DUMMYFUNCTION("IFERROR(GOOGLEFINANCE(A156, ""volume"") / GOOGLEFINANCE(A156, ""volumeavg""), 0)"),0.0)</f>
        <v>0</v>
      </c>
      <c r="R156" s="9">
        <f>IFERROR(__xludf.DUMMYFUNCTION("AVERAGE(INDEX(GOOGLEFINANCE(A156, ""price"", TODAY()-30, TODAY()), 0, 2))"),1599.2086956521741)</f>
        <v>1599.208696</v>
      </c>
      <c r="S156" s="9">
        <f>IFERROR(__xludf.DUMMYFUNCTION("AVERAGE(INDEX(GOOGLEFINANCE(A156, ""price"", TODAY()-75, TODAY()), 0, 2))"),1598.726415094339)</f>
        <v>1598.726415</v>
      </c>
      <c r="T156" s="9">
        <f>IFERROR(__xludf.DUMMYFUNCTION("AVERAGE(INDEX(GOOGLEFINANCE(A156, ""price"", TODAY()-300, TODAY()), 0, 2))"),1649.6465346534644)</f>
        <v>1649.646535</v>
      </c>
      <c r="U156" s="9">
        <f t="shared" si="5"/>
        <v>0.07440636402</v>
      </c>
      <c r="V156" s="15">
        <f>IFERROR(__xludf.DUMMYFUNCTION("LET(hist, GOOGLEFINANCE(A156,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rs))))))"),76.82587819054838)</f>
        <v>76.82587819</v>
      </c>
      <c r="W156" s="16" t="str">
        <f>IFERROR(__xludf.DUMMYFUNCTION("IFERROR(GOOGLEFINANCE(A156, ""volume"") / GOOGLEFINANCE(A156, ""volumeavg""), )"),"")</f>
        <v/>
      </c>
      <c r="X156" s="9">
        <f>IFERROR(__xludf.DUMMYFUNCTION("B156 * GOOGLEFINANCE(A156, ""volume"")"),1.3525825038E9)</f>
        <v>1352582504</v>
      </c>
      <c r="Y156" s="9">
        <f>IFERROR(__xludf.DUMMYFUNCTION("IFERROR(((B156 - GOOGLEFINANCE(A156, ""priceopen"")) / GOOGLEFINANCE(A156, ""priceopen"")) * GOOGLEFINANCE(A156, ""volume""), 0)"),-6722.8466243508165)</f>
        <v>-6722.846624</v>
      </c>
    </row>
    <row r="157">
      <c r="A157" s="4" t="s">
        <v>1088</v>
      </c>
      <c r="B157" s="7">
        <f>IFERROR(__xludf.DUMMYFUNCTION("GOOGLEFINANCE(A157, ""price"")"),85.5)</f>
        <v>85.5</v>
      </c>
      <c r="C157" s="7">
        <f>IFERROR(__xludf.DUMMYFUNCTION("GOOGLEFINANCE(A157, ""changepct"")"),1.46)</f>
        <v>1.46</v>
      </c>
      <c r="D157" s="9">
        <f>IFERROR(__xludf.DUMMYFUNCTION("GOOGLEFINANCE(A157, ""priceopen"")"),83.61)</f>
        <v>83.61</v>
      </c>
      <c r="E157" s="9">
        <f>IFERROR(__xludf.DUMMYFUNCTION("GOOGLEFINANCE(A157, ""high"")"),85.8)</f>
        <v>85.8</v>
      </c>
      <c r="F157" s="9">
        <f>IFERROR(__xludf.DUMMYFUNCTION("GOOGLEFINANCE(A157, ""low"")"),83.61)</f>
        <v>83.61</v>
      </c>
      <c r="G157" s="9">
        <f>IFERROR(__xludf.DUMMYFUNCTION("GOOGLEFINANCE(A157, ""price"")"),85.5)</f>
        <v>85.5</v>
      </c>
      <c r="H157" s="9">
        <f>IFERROR(__xludf.DUMMYFUNCTION("MAX(INDEX(GOOGLEFINANCE(A157, ""high"", TODAY()-30, TODAY()), 0, 2))"),88.76)</f>
        <v>88.76</v>
      </c>
      <c r="I157" s="9">
        <f>IFERROR(__xludf.DUMMYFUNCTION("MIN(INDEX(GOOGLEFINANCE(A157, ""low"", TODAY()-30, TODAY()), 0, 2))"),78.78)</f>
        <v>78.78</v>
      </c>
      <c r="J157" s="9">
        <f>IFERROR(__xludf.DUMMYFUNCTION("GOOGLEFINANCE(A157, ""high52"")"),88.76)</f>
        <v>88.76</v>
      </c>
      <c r="K157" s="9">
        <f>IFERROR(__xludf.DUMMYFUNCTION("GOOGLEFINANCE(A157, ""low52"")"),58.08)</f>
        <v>58.08</v>
      </c>
      <c r="L157" s="9">
        <f t="shared" si="1"/>
        <v>0.03672825597</v>
      </c>
      <c r="M157" s="9">
        <f t="shared" si="2"/>
        <v>0.472107438</v>
      </c>
      <c r="N157" s="9">
        <f t="shared" si="3"/>
        <v>0.02619303911</v>
      </c>
      <c r="O157" s="9">
        <f t="shared" si="4"/>
        <v>0.6733466934</v>
      </c>
      <c r="P157" s="9">
        <f>IFERROR(__xludf.DUMMYFUNCTION("GOOGLEFINANCE(A157, ""pe"")"),30.78)</f>
        <v>30.78</v>
      </c>
      <c r="Q157" s="9">
        <f>IFERROR(__xludf.DUMMYFUNCTION("IFERROR(GOOGLEFINANCE(A157, ""volume"") / GOOGLEFINANCE(A157, ""volumeavg""), 0)"),0.0)</f>
        <v>0</v>
      </c>
      <c r="R157" s="9">
        <f>IFERROR(__xludf.DUMMYFUNCTION("AVERAGE(INDEX(GOOGLEFINANCE(A157, ""price"", TODAY()-30, TODAY()), 0, 2))"),83.10130434782607)</f>
        <v>83.10130435</v>
      </c>
      <c r="S157" s="9">
        <f>IFERROR(__xludf.DUMMYFUNCTION("AVERAGE(INDEX(GOOGLEFINANCE(A157, ""price"", TODAY()-75, TODAY()), 0, 2))"),79.49924528301888)</f>
        <v>79.49924528</v>
      </c>
      <c r="T157" s="9">
        <f>IFERROR(__xludf.DUMMYFUNCTION("AVERAGE(INDEX(GOOGLEFINANCE(A157, ""price"", TODAY()-300, TODAY()), 0, 2))"),76.7589603960396)</f>
        <v>76.7589604</v>
      </c>
      <c r="U157" s="9">
        <f t="shared" si="5"/>
        <v>0.02886471724</v>
      </c>
      <c r="V157" s="15">
        <f>IFERROR(__xludf.DUMMYFUNCTION("LET(hist, GOOGLEFINANCE(A157,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rs))))))"),73.48726114649686)</f>
        <v>73.48726115</v>
      </c>
      <c r="W157" s="16" t="str">
        <f>IFERROR(__xludf.DUMMYFUNCTION("IFERROR(GOOGLEFINANCE(A157, ""volume"") / GOOGLEFINANCE(A157, ""volumeavg""), )"),"")</f>
        <v/>
      </c>
      <c r="X157" s="9">
        <f>IFERROR(__xludf.DUMMYFUNCTION("B157 * GOOGLEFINANCE(A157, ""volume"")"),1.4208908985E9)</f>
        <v>1420890899</v>
      </c>
      <c r="Y157" s="9">
        <f>IFERROR(__xludf.DUMMYFUNCTION("IFERROR(((B157 - GOOGLEFINANCE(A157, ""priceopen"")) / GOOGLEFINANCE(A157, ""priceopen"")) * GOOGLEFINANCE(A157, ""volume""), 0)"),375662.80624327244)</f>
        <v>375662.8062</v>
      </c>
    </row>
    <row r="158">
      <c r="A158" s="4" t="s">
        <v>1093</v>
      </c>
      <c r="B158" s="7">
        <f>IFERROR(__xludf.DUMMYFUNCTION("GOOGLEFINANCE(A158, ""price"")"),348.0)</f>
        <v>348</v>
      </c>
      <c r="C158" s="7">
        <f>IFERROR(__xludf.DUMMYFUNCTION("GOOGLEFINANCE(A158, ""changepct"")"),1.8)</f>
        <v>1.8</v>
      </c>
      <c r="D158" s="9">
        <f>IFERROR(__xludf.DUMMYFUNCTION("GOOGLEFINANCE(A158, ""priceopen"")"),341.85)</f>
        <v>341.85</v>
      </c>
      <c r="E158" s="9">
        <f>IFERROR(__xludf.DUMMYFUNCTION("GOOGLEFINANCE(A158, ""high"")"),355.0)</f>
        <v>355</v>
      </c>
      <c r="F158" s="9">
        <f>IFERROR(__xludf.DUMMYFUNCTION("GOOGLEFINANCE(A158, ""low"")"),339.0)</f>
        <v>339</v>
      </c>
      <c r="G158" s="9">
        <f>IFERROR(__xludf.DUMMYFUNCTION("GOOGLEFINANCE(A158, ""price"")"),348.0)</f>
        <v>348</v>
      </c>
      <c r="H158" s="9">
        <f>IFERROR(__xludf.DUMMYFUNCTION("MAX(INDEX(GOOGLEFINANCE(A158, ""high"", TODAY()-30, TODAY()), 0, 2))"),355.8)</f>
        <v>355.8</v>
      </c>
      <c r="I158" s="9">
        <f>IFERROR(__xludf.DUMMYFUNCTION("MIN(INDEX(GOOGLEFINANCE(A158, ""low"", TODAY()-30, TODAY()), 0, 2))"),310.1)</f>
        <v>310.1</v>
      </c>
      <c r="J158" s="9">
        <f>IFERROR(__xludf.DUMMYFUNCTION("GOOGLEFINANCE(A158, ""high52"")"),355.8)</f>
        <v>355.8</v>
      </c>
      <c r="K158" s="9">
        <f>IFERROR(__xludf.DUMMYFUNCTION("GOOGLEFINANCE(A158, ""low52"")"),233.42)</f>
        <v>233.42</v>
      </c>
      <c r="L158" s="9">
        <f t="shared" si="1"/>
        <v>0.02192242833</v>
      </c>
      <c r="M158" s="9">
        <f t="shared" si="2"/>
        <v>0.4908748179</v>
      </c>
      <c r="N158" s="9">
        <f t="shared" si="3"/>
        <v>0.04719764012</v>
      </c>
      <c r="O158" s="9">
        <f t="shared" si="4"/>
        <v>0.829321663</v>
      </c>
      <c r="P158" s="9">
        <f>IFERROR(__xludf.DUMMYFUNCTION("GOOGLEFINANCE(A158, ""pe"")"),49.12)</f>
        <v>49.12</v>
      </c>
      <c r="Q158" s="9">
        <f>IFERROR(__xludf.DUMMYFUNCTION("IFERROR(GOOGLEFINANCE(A158, ""volume"") / GOOGLEFINANCE(A158, ""volumeavg""), 0)"),0.0)</f>
        <v>0</v>
      </c>
      <c r="R158" s="9">
        <f>IFERROR(__xludf.DUMMYFUNCTION("AVERAGE(INDEX(GOOGLEFINANCE(A158, ""price"", TODAY()-30, TODAY()), 0, 2))"),333.1217391304348)</f>
        <v>333.1217391</v>
      </c>
      <c r="S158" s="9">
        <f>IFERROR(__xludf.DUMMYFUNCTION("AVERAGE(INDEX(GOOGLEFINANCE(A158, ""price"", TODAY()-75, TODAY()), 0, 2))"),315.8499999999999)</f>
        <v>315.85</v>
      </c>
      <c r="T158" s="9">
        <f>IFERROR(__xludf.DUMMYFUNCTION("AVERAGE(INDEX(GOOGLEFINANCE(A158, ""price"", TODAY()-300, TODAY()), 0, 2))"),282.0381188118813)</f>
        <v>282.0381188</v>
      </c>
      <c r="U158" s="9">
        <f t="shared" si="5"/>
        <v>0.04466313399</v>
      </c>
      <c r="V158" s="15">
        <f>IFERROR(__xludf.DUMMYFUNCTION("LET(hist, GOOGLEFINANCE(A158,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rs))))))"),66.89602446483184)</f>
        <v>66.89602446</v>
      </c>
      <c r="W158" s="16" t="str">
        <f>IFERROR(__xludf.DUMMYFUNCTION("IFERROR(GOOGLEFINANCE(A158, ""volume"") / GOOGLEFINANCE(A158, ""volumeavg""), )"),"")</f>
        <v/>
      </c>
      <c r="X158" s="9">
        <f>IFERROR(__xludf.DUMMYFUNCTION("B158 * GOOGLEFINANCE(A158, ""volume"")"),2.929854804E9)</f>
        <v>2929854804</v>
      </c>
      <c r="Y158" s="9">
        <f>IFERROR(__xludf.DUMMYFUNCTION("IFERROR(((B158 - GOOGLEFINANCE(A158, ""priceopen"")) / GOOGLEFINANCE(A158, ""priceopen"")) * GOOGLEFINANCE(A158, ""volume""), 0)"),151462.94120228113)</f>
        <v>151462.9412</v>
      </c>
    </row>
    <row r="159">
      <c r="A159" s="4" t="s">
        <v>1099</v>
      </c>
      <c r="B159" s="7">
        <f>IFERROR(__xludf.DUMMYFUNCTION("GOOGLEFINANCE(A159, ""price"")"),84.79)</f>
        <v>84.79</v>
      </c>
      <c r="C159" s="7">
        <f>IFERROR(__xludf.DUMMYFUNCTION("GOOGLEFINANCE(A159, ""changepct"")"),-0.46)</f>
        <v>-0.46</v>
      </c>
      <c r="D159" s="9">
        <f>IFERROR(__xludf.DUMMYFUNCTION("GOOGLEFINANCE(A159, ""priceopen"")"),85.6)</f>
        <v>85.6</v>
      </c>
      <c r="E159" s="9">
        <f>IFERROR(__xludf.DUMMYFUNCTION("GOOGLEFINANCE(A159, ""high"")"),85.62)</f>
        <v>85.62</v>
      </c>
      <c r="F159" s="9">
        <f>IFERROR(__xludf.DUMMYFUNCTION("GOOGLEFINANCE(A159, ""low"")"),84.62)</f>
        <v>84.62</v>
      </c>
      <c r="G159" s="9">
        <f>IFERROR(__xludf.DUMMYFUNCTION("GOOGLEFINANCE(A159, ""price"")"),84.79)</f>
        <v>84.79</v>
      </c>
      <c r="H159" s="9">
        <f>IFERROR(__xludf.DUMMYFUNCTION("MAX(INDEX(GOOGLEFINANCE(A159, ""high"", TODAY()-30, TODAY()), 0, 2))"),89.44)</f>
        <v>89.44</v>
      </c>
      <c r="I159" s="9">
        <f>IFERROR(__xludf.DUMMYFUNCTION("MIN(INDEX(GOOGLEFINANCE(A159, ""low"", TODAY()-30, TODAY()), 0, 2))"),83.55)</f>
        <v>83.55</v>
      </c>
      <c r="J159" s="9">
        <f>IFERROR(__xludf.DUMMYFUNCTION("GOOGLEFINANCE(A159, ""high52"")"),117.98)</f>
        <v>117.98</v>
      </c>
      <c r="K159" s="9">
        <f>IFERROR(__xludf.DUMMYFUNCTION("GOOGLEFINANCE(A159, ""low52"")"),72.65)</f>
        <v>72.65</v>
      </c>
      <c r="L159" s="9">
        <f t="shared" si="1"/>
        <v>0.2813188676</v>
      </c>
      <c r="M159" s="9">
        <f t="shared" si="2"/>
        <v>0.1671025465</v>
      </c>
      <c r="N159" s="9">
        <f t="shared" si="3"/>
        <v>0.01181753723</v>
      </c>
      <c r="O159" s="9">
        <f t="shared" si="4"/>
        <v>0.2105263158</v>
      </c>
      <c r="P159" s="9">
        <f>IFERROR(__xludf.DUMMYFUNCTION("GOOGLEFINANCE(A159, ""pe"")"),26.23)</f>
        <v>26.23</v>
      </c>
      <c r="Q159" s="9">
        <f>IFERROR(__xludf.DUMMYFUNCTION("IFERROR(GOOGLEFINANCE(A159, ""volume"") / GOOGLEFINANCE(A159, ""volumeavg""), 0)"),0.0)</f>
        <v>0</v>
      </c>
      <c r="R159" s="9">
        <f>IFERROR(__xludf.DUMMYFUNCTION("AVERAGE(INDEX(GOOGLEFINANCE(A159, ""price"", TODAY()-30, TODAY()), 0, 2))"),86.18217391304348)</f>
        <v>86.18217391</v>
      </c>
      <c r="S159" s="9">
        <f>IFERROR(__xludf.DUMMYFUNCTION("AVERAGE(INDEX(GOOGLEFINANCE(A159, ""price"", TODAY()-75, TODAY()), 0, 2))"),86.212641509434)</f>
        <v>86.21264151</v>
      </c>
      <c r="T159" s="9">
        <f>IFERROR(__xludf.DUMMYFUNCTION("AVERAGE(INDEX(GOOGLEFINANCE(A159, ""price"", TODAY()-300, TODAY()), 0, 2))"),90.95772277227721)</f>
        <v>90.95772277</v>
      </c>
      <c r="U159" s="9">
        <f t="shared" si="5"/>
        <v>-0.01615385003</v>
      </c>
      <c r="V159" s="15">
        <f>IFERROR(__xludf.DUMMYFUNCTION("LET(hist, GOOGLEFINANCE(A159,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rs))))))"),49.73262032085563)</f>
        <v>49.73262032</v>
      </c>
      <c r="W159" s="16" t="str">
        <f>IFERROR(__xludf.DUMMYFUNCTION("IFERROR(GOOGLEFINANCE(A159, ""volume"") / GOOGLEFINANCE(A159, ""volumeavg""), )"),"")</f>
        <v/>
      </c>
      <c r="X159" s="9">
        <f>IFERROR(__xludf.DUMMYFUNCTION("B159 * GOOGLEFINANCE(A159, ""volume"")"),1.5372333731E8)</f>
        <v>153723337.3</v>
      </c>
      <c r="Y159" s="9">
        <f>IFERROR(__xludf.DUMMYFUNCTION("IFERROR(((B159 - GOOGLEFINANCE(A159, ""priceopen"")) / GOOGLEFINANCE(A159, ""priceopen"")) * GOOGLEFINANCE(A159, ""volume""), 0)"),-17155.620210280125)</f>
        <v>-17155.62021</v>
      </c>
    </row>
    <row r="160">
      <c r="A160" s="4" t="s">
        <v>1105</v>
      </c>
      <c r="B160" s="7">
        <f>IFERROR(__xludf.DUMMYFUNCTION("GOOGLEFINANCE(A160, ""price"")"),661.0)</f>
        <v>661</v>
      </c>
      <c r="C160" s="7">
        <f>IFERROR(__xludf.DUMMYFUNCTION("GOOGLEFINANCE(A160, ""changepct"")"),-0.77)</f>
        <v>-0.77</v>
      </c>
      <c r="D160" s="9">
        <f>IFERROR(__xludf.DUMMYFUNCTION("GOOGLEFINANCE(A160, ""priceopen"")"),668.0)</f>
        <v>668</v>
      </c>
      <c r="E160" s="9">
        <f>IFERROR(__xludf.DUMMYFUNCTION("GOOGLEFINANCE(A160, ""high"")"),669.95)</f>
        <v>669.95</v>
      </c>
      <c r="F160" s="9">
        <f>IFERROR(__xludf.DUMMYFUNCTION("GOOGLEFINANCE(A160, ""low"")"),656.5)</f>
        <v>656.5</v>
      </c>
      <c r="G160" s="9">
        <f>IFERROR(__xludf.DUMMYFUNCTION("GOOGLEFINANCE(A160, ""price"")"),661.0)</f>
        <v>661</v>
      </c>
      <c r="H160" s="9">
        <f>IFERROR(__xludf.DUMMYFUNCTION("MAX(INDEX(GOOGLEFINANCE(A160, ""high"", TODAY()-30, TODAY()), 0, 2))"),740.45)</f>
        <v>740.45</v>
      </c>
      <c r="I160" s="9">
        <f>IFERROR(__xludf.DUMMYFUNCTION("MIN(INDEX(GOOGLEFINANCE(A160, ""low"", TODAY()-30, TODAY()), 0, 2))"),643.15)</f>
        <v>643.15</v>
      </c>
      <c r="J160" s="9">
        <f>IFERROR(__xludf.DUMMYFUNCTION("GOOGLEFINANCE(A160, ""high52"")"),859.85)</f>
        <v>859.85</v>
      </c>
      <c r="K160" s="9">
        <f>IFERROR(__xludf.DUMMYFUNCTION("GOOGLEFINANCE(A160, ""low52"")"),462.8)</f>
        <v>462.8</v>
      </c>
      <c r="L160" s="9">
        <f t="shared" si="1"/>
        <v>0.2312612665</v>
      </c>
      <c r="M160" s="9">
        <f t="shared" si="2"/>
        <v>0.4282627485</v>
      </c>
      <c r="N160" s="9">
        <f t="shared" si="3"/>
        <v>0.02048743336</v>
      </c>
      <c r="O160" s="9">
        <f t="shared" si="4"/>
        <v>0.1834532374</v>
      </c>
      <c r="P160" s="9">
        <f>IFERROR(__xludf.DUMMYFUNCTION("GOOGLEFINANCE(A160, ""pe"")"),114.91)</f>
        <v>114.91</v>
      </c>
      <c r="Q160" s="9">
        <f>IFERROR(__xludf.DUMMYFUNCTION("IFERROR(GOOGLEFINANCE(A160, ""volume"") / GOOGLEFINANCE(A160, ""volumeavg""), 0)"),0.0)</f>
        <v>0</v>
      </c>
      <c r="R160" s="9">
        <f>IFERROR(__xludf.DUMMYFUNCTION("AVERAGE(INDEX(GOOGLEFINANCE(A160, ""price"", TODAY()-30, TODAY()), 0, 2))"),675.8891304347827)</f>
        <v>675.8891304</v>
      </c>
      <c r="S160" s="9">
        <f>IFERROR(__xludf.DUMMYFUNCTION("AVERAGE(INDEX(GOOGLEFINANCE(A160, ""price"", TODAY()-75, TODAY()), 0, 2))"),704.938679245283)</f>
        <v>704.9386792</v>
      </c>
      <c r="T160" s="9">
        <f>IFERROR(__xludf.DUMMYFUNCTION("AVERAGE(INDEX(GOOGLEFINANCE(A160, ""price"", TODAY()-300, TODAY()), 0, 2))"),612.0631188118813)</f>
        <v>612.0631188</v>
      </c>
      <c r="U160" s="9">
        <f t="shared" si="5"/>
        <v>-0.02202895381</v>
      </c>
      <c r="V160" s="15">
        <f>IFERROR(__xludf.DUMMYFUNCTION("LET(hist, GOOGLEFINANCE(A160,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rs))))))"),48.75484228002214)</f>
        <v>48.75484228</v>
      </c>
      <c r="W160" s="16" t="str">
        <f>IFERROR(__xludf.DUMMYFUNCTION("IFERROR(GOOGLEFINANCE(A160, ""volume"") / GOOGLEFINANCE(A160, ""volumeavg""), )"),"")</f>
        <v/>
      </c>
      <c r="X160" s="9">
        <f>IFERROR(__xludf.DUMMYFUNCTION("B160 * GOOGLEFINANCE(A160, ""volume"")"),5.80667348E8)</f>
        <v>580667348</v>
      </c>
      <c r="Y160" s="9">
        <f>IFERROR(__xludf.DUMMYFUNCTION("IFERROR(((B160 - GOOGLEFINANCE(A160, ""priceopen"")) / GOOGLEFINANCE(A160, ""priceopen"")) * GOOGLEFINANCE(A160, ""volume""), 0)"),-9205.502994011975)</f>
        <v>-9205.502994</v>
      </c>
    </row>
    <row r="161">
      <c r="A161" s="4" t="s">
        <v>1111</v>
      </c>
      <c r="B161" s="7">
        <f>IFERROR(__xludf.DUMMYFUNCTION("GOOGLEFINANCE(A161, ""price"")"),22.83)</f>
        <v>22.83</v>
      </c>
      <c r="C161" s="7">
        <f>IFERROR(__xludf.DUMMYFUNCTION("GOOGLEFINANCE(A161, ""changepct"")"),0.35)</f>
        <v>0.35</v>
      </c>
      <c r="D161" s="9">
        <f>IFERROR(__xludf.DUMMYFUNCTION("GOOGLEFINANCE(A161, ""priceopen"")"),22.75)</f>
        <v>22.75</v>
      </c>
      <c r="E161" s="9">
        <f>IFERROR(__xludf.DUMMYFUNCTION("GOOGLEFINANCE(A161, ""high"")"),22.98)</f>
        <v>22.98</v>
      </c>
      <c r="F161" s="9">
        <f>IFERROR(__xludf.DUMMYFUNCTION("GOOGLEFINANCE(A161, ""low"")"),22.62)</f>
        <v>22.62</v>
      </c>
      <c r="G161" s="9">
        <f>IFERROR(__xludf.DUMMYFUNCTION("GOOGLEFINANCE(A161, ""price"")"),22.83)</f>
        <v>22.83</v>
      </c>
      <c r="H161" s="9">
        <f>IFERROR(__xludf.DUMMYFUNCTION("MAX(INDEX(GOOGLEFINANCE(A161, ""high"", TODAY()-30, TODAY()), 0, 2))"),23.93)</f>
        <v>23.93</v>
      </c>
      <c r="I161" s="9">
        <f>IFERROR(__xludf.DUMMYFUNCTION("MIN(INDEX(GOOGLEFINANCE(A161, ""low"", TODAY()-30, TODAY()), 0, 2))"),22.46)</f>
        <v>22.46</v>
      </c>
      <c r="J161" s="9">
        <f>IFERROR(__xludf.DUMMYFUNCTION("GOOGLEFINANCE(A161, ""high52"")"),25.78)</f>
        <v>25.78</v>
      </c>
      <c r="K161" s="9">
        <f>IFERROR(__xludf.DUMMYFUNCTION("GOOGLEFINANCE(A161, ""low52"")"),17.2)</f>
        <v>17.2</v>
      </c>
      <c r="L161" s="9">
        <f t="shared" si="1"/>
        <v>0.1144297905</v>
      </c>
      <c r="M161" s="9">
        <f t="shared" si="2"/>
        <v>0.3273255814</v>
      </c>
      <c r="N161" s="9">
        <f t="shared" si="3"/>
        <v>0.01591511936</v>
      </c>
      <c r="O161" s="9">
        <f t="shared" si="4"/>
        <v>0.2517006803</v>
      </c>
      <c r="P161" s="9">
        <f>IFERROR(__xludf.DUMMYFUNCTION("GOOGLEFINANCE(A161, ""pe"")"),19.06)</f>
        <v>19.06</v>
      </c>
      <c r="Q161" s="9">
        <f>IFERROR(__xludf.DUMMYFUNCTION("IFERROR(GOOGLEFINANCE(A161, ""volume"") / GOOGLEFINANCE(A161, ""volumeavg""), 0)"),0.0)</f>
        <v>0</v>
      </c>
      <c r="R161" s="9">
        <f>IFERROR(__xludf.DUMMYFUNCTION("AVERAGE(INDEX(GOOGLEFINANCE(A161, ""price"", TODAY()-30, TODAY()), 0, 2))"),23.054782608695653)</f>
        <v>23.05478261</v>
      </c>
      <c r="S161" s="9">
        <f>IFERROR(__xludf.DUMMYFUNCTION("AVERAGE(INDEX(GOOGLEFINANCE(A161, ""price"", TODAY()-75, TODAY()), 0, 2))"),23.5322641509434)</f>
        <v>23.53226415</v>
      </c>
      <c r="T161" s="9">
        <f>IFERROR(__xludf.DUMMYFUNCTION("AVERAGE(INDEX(GOOGLEFINANCE(A161, ""price"", TODAY()-300, TODAY()), 0, 2))"),21.885841584158417)</f>
        <v>21.88584158</v>
      </c>
      <c r="U161" s="9">
        <f t="shared" si="5"/>
        <v>-0.009749933995</v>
      </c>
      <c r="V161" s="15">
        <f>IFERROR(__xludf.DUMMYFUNCTION("LET(hist, GOOGLEFINANCE(A161,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rs))))))"),51.59235668789811)</f>
        <v>51.59235669</v>
      </c>
      <c r="W161" s="16" t="str">
        <f>IFERROR(__xludf.DUMMYFUNCTION("IFERROR(GOOGLEFINANCE(A161, ""volume"") / GOOGLEFINANCE(A161, ""volumeavg""), )"),"")</f>
        <v/>
      </c>
      <c r="X161" s="9">
        <f>IFERROR(__xludf.DUMMYFUNCTION("B161 * GOOGLEFINANCE(A161, ""volume"")"),1.5586022964299998E9)</f>
        <v>1558602296</v>
      </c>
      <c r="Y161" s="9">
        <f>IFERROR(__xludf.DUMMYFUNCTION("IFERROR(((B161 - GOOGLEFINANCE(A161, ""priceopen"")) / GOOGLEFINANCE(A161, ""priceopen"")) * GOOGLEFINANCE(A161, ""volume""), 0)"),240070.05186812676)</f>
        <v>240070.0519</v>
      </c>
    </row>
    <row r="162">
      <c r="A162" s="4" t="s">
        <v>1118</v>
      </c>
      <c r="B162" s="7">
        <f>IFERROR(__xludf.DUMMYFUNCTION("GOOGLEFINANCE(A162, ""price"")"),885.95)</f>
        <v>885.95</v>
      </c>
      <c r="C162" s="7">
        <f>IFERROR(__xludf.DUMMYFUNCTION("GOOGLEFINANCE(A162, ""changepct"")"),-5.27)</f>
        <v>-5.27</v>
      </c>
      <c r="D162" s="9">
        <f>IFERROR(__xludf.DUMMYFUNCTION("GOOGLEFINANCE(A162, ""priceopen"")"),935.25)</f>
        <v>935.25</v>
      </c>
      <c r="E162" s="9">
        <f>IFERROR(__xludf.DUMMYFUNCTION("GOOGLEFINANCE(A162, ""high"")"),936.0)</f>
        <v>936</v>
      </c>
      <c r="F162" s="9">
        <f>IFERROR(__xludf.DUMMYFUNCTION("GOOGLEFINANCE(A162, ""low"")"),879.1)</f>
        <v>879.1</v>
      </c>
      <c r="G162" s="9">
        <f>IFERROR(__xludf.DUMMYFUNCTION("GOOGLEFINANCE(A162, ""price"")"),885.95)</f>
        <v>885.95</v>
      </c>
      <c r="H162" s="9">
        <f>IFERROR(__xludf.DUMMYFUNCTION("MAX(INDEX(GOOGLEFINANCE(A162, ""high"", TODAY()-30, TODAY()), 0, 2))"),988.25)</f>
        <v>988.25</v>
      </c>
      <c r="I162" s="9">
        <f>IFERROR(__xludf.DUMMYFUNCTION("MIN(INDEX(GOOGLEFINANCE(A162, ""low"", TODAY()-30, TODAY()), 0, 2))"),879.1)</f>
        <v>879.1</v>
      </c>
      <c r="J162" s="9">
        <f>IFERROR(__xludf.DUMMYFUNCTION("GOOGLEFINANCE(A162, ""high52"")"),1104.3)</f>
        <v>1104.3</v>
      </c>
      <c r="K162" s="9">
        <f>IFERROR(__xludf.DUMMYFUNCTION("GOOGLEFINANCE(A162, ""low52"")"),766.8)</f>
        <v>766.8</v>
      </c>
      <c r="L162" s="9">
        <f t="shared" si="1"/>
        <v>0.1977270669</v>
      </c>
      <c r="M162" s="9">
        <f t="shared" si="2"/>
        <v>0.1553860198</v>
      </c>
      <c r="N162" s="9">
        <f t="shared" si="3"/>
        <v>0.06472528723</v>
      </c>
      <c r="O162" s="9">
        <f t="shared" si="4"/>
        <v>0.06275767293</v>
      </c>
      <c r="P162" s="9">
        <f>IFERROR(__xludf.DUMMYFUNCTION("GOOGLEFINANCE(A162, ""pe"")"),63.83)</f>
        <v>63.83</v>
      </c>
      <c r="Q162" s="9">
        <f>IFERROR(__xludf.DUMMYFUNCTION("IFERROR(GOOGLEFINANCE(A162, ""volume"") / GOOGLEFINANCE(A162, ""volumeavg""), 0)"),0.0)</f>
        <v>0</v>
      </c>
      <c r="R162" s="9">
        <f>IFERROR(__xludf.DUMMYFUNCTION("AVERAGE(INDEX(GOOGLEFINANCE(A162, ""price"", TODAY()-30, TODAY()), 0, 2))"),946.708695652174)</f>
        <v>946.7086957</v>
      </c>
      <c r="S162" s="9">
        <f>IFERROR(__xludf.DUMMYFUNCTION("AVERAGE(INDEX(GOOGLEFINANCE(A162, ""price"", TODAY()-75, TODAY()), 0, 2))"),955.9990566037736)</f>
        <v>955.9990566</v>
      </c>
      <c r="T162" s="9">
        <f>IFERROR(__xludf.DUMMYFUNCTION("AVERAGE(INDEX(GOOGLEFINANCE(A162, ""price"", TODAY()-300, TODAY()), 0, 2))"),924.8928217821782)</f>
        <v>924.8928218</v>
      </c>
      <c r="U162" s="9">
        <f t="shared" si="5"/>
        <v>-0.06417887142</v>
      </c>
      <c r="V162" s="15">
        <f>IFERROR(__xludf.DUMMYFUNCTION("LET(hist, GOOGLEFINANCE(A162,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rs))))))"),34.796238244514115)</f>
        <v>34.79623824</v>
      </c>
      <c r="W162" s="16" t="str">
        <f>IFERROR(__xludf.DUMMYFUNCTION("IFERROR(GOOGLEFINANCE(A162, ""volume"") / GOOGLEFINANCE(A162, ""volumeavg""), )"),"")</f>
        <v/>
      </c>
      <c r="X162" s="9">
        <f>IFERROR(__xludf.DUMMYFUNCTION("B162 * GOOGLEFINANCE(A162, ""volume"")"),3.809602719E9)</f>
        <v>3809602719</v>
      </c>
      <c r="Y162" s="9">
        <f>IFERROR(__xludf.DUMMYFUNCTION("IFERROR(((B162 - GOOGLEFINANCE(A162, ""priceopen"")) / GOOGLEFINANCE(A162, ""priceopen"")) * GOOGLEFINANCE(A162, ""volume""), 0)"),-226667.72093023235)</f>
        <v>-226667.7209</v>
      </c>
    </row>
    <row r="163">
      <c r="A163" s="4" t="s">
        <v>1122</v>
      </c>
      <c r="B163" s="7">
        <f>IFERROR(__xludf.DUMMYFUNCTION("GOOGLEFINANCE(A163, ""price"")"),1321.8)</f>
        <v>1321.8</v>
      </c>
      <c r="C163" s="7">
        <f>IFERROR(__xludf.DUMMYFUNCTION("GOOGLEFINANCE(A163, ""changepct"")"),-0.65)</f>
        <v>-0.65</v>
      </c>
      <c r="D163" s="9">
        <f>IFERROR(__xludf.DUMMYFUNCTION("GOOGLEFINANCE(A163, ""priceopen"")"),1335.0)</f>
        <v>1335</v>
      </c>
      <c r="E163" s="9">
        <f>IFERROR(__xludf.DUMMYFUNCTION("GOOGLEFINANCE(A163, ""high"")"),1338.9)</f>
        <v>1338.9</v>
      </c>
      <c r="F163" s="9">
        <f>IFERROR(__xludf.DUMMYFUNCTION("GOOGLEFINANCE(A163, ""low"")"),1311.4)</f>
        <v>1311.4</v>
      </c>
      <c r="G163" s="9">
        <f>IFERROR(__xludf.DUMMYFUNCTION("GOOGLEFINANCE(A163, ""price"")"),1321.8)</f>
        <v>1321.8</v>
      </c>
      <c r="H163" s="9">
        <f>IFERROR(__xludf.DUMMYFUNCTION("MAX(INDEX(GOOGLEFINANCE(A163, ""high"", TODAY()-30, TODAY()), 0, 2))"),1474.0)</f>
        <v>1474</v>
      </c>
      <c r="I163" s="9">
        <f>IFERROR(__xludf.DUMMYFUNCTION("MIN(INDEX(GOOGLEFINANCE(A163, ""low"", TODAY()-30, TODAY()), 0, 2))"),1311.4)</f>
        <v>1311.4</v>
      </c>
      <c r="J163" s="9">
        <f>IFERROR(__xludf.DUMMYFUNCTION("GOOGLEFINANCE(A163, ""high52"")"),1824.1)</f>
        <v>1824.1</v>
      </c>
      <c r="K163" s="9">
        <f>IFERROR(__xludf.DUMMYFUNCTION("GOOGLEFINANCE(A163, ""low52"")"),1188.0)</f>
        <v>1188</v>
      </c>
      <c r="L163" s="9">
        <f t="shared" si="1"/>
        <v>0.275368675</v>
      </c>
      <c r="M163" s="9">
        <f t="shared" si="2"/>
        <v>0.1126262626</v>
      </c>
      <c r="N163" s="9">
        <f t="shared" si="3"/>
        <v>0.02096995577</v>
      </c>
      <c r="O163" s="9">
        <f t="shared" si="4"/>
        <v>0.06396063961</v>
      </c>
      <c r="P163" s="9">
        <f>IFERROR(__xludf.DUMMYFUNCTION("GOOGLEFINANCE(A163, ""pe"")"),28.66)</f>
        <v>28.66</v>
      </c>
      <c r="Q163" s="9">
        <f>IFERROR(__xludf.DUMMYFUNCTION("IFERROR(GOOGLEFINANCE(A163, ""volume"") / GOOGLEFINANCE(A163, ""volumeavg""), 0)"),0.0)</f>
        <v>0</v>
      </c>
      <c r="R163" s="9">
        <f>IFERROR(__xludf.DUMMYFUNCTION("AVERAGE(INDEX(GOOGLEFINANCE(A163, ""price"", TODAY()-30, TODAY()), 0, 2))"),1399.5695652173913)</f>
        <v>1399.569565</v>
      </c>
      <c r="S163" s="9">
        <f>IFERROR(__xludf.DUMMYFUNCTION("AVERAGE(INDEX(GOOGLEFINANCE(A163, ""price"", TODAY()-75, TODAY()), 0, 2))"),1409.5037735849055)</f>
        <v>1409.503774</v>
      </c>
      <c r="T163" s="9">
        <f>IFERROR(__xludf.DUMMYFUNCTION("AVERAGE(INDEX(GOOGLEFINANCE(A163, ""price"", TODAY()-300, TODAY()), 0, 2))"),1412.7495049504944)</f>
        <v>1412.749505</v>
      </c>
      <c r="U163" s="9">
        <f t="shared" si="5"/>
        <v>-0.05556677364</v>
      </c>
      <c r="V163" s="15">
        <f>IFERROR(__xludf.DUMMYFUNCTION("LET(hist, GOOGLEFINANCE(A163,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rs))))))"),20.09698275862067)</f>
        <v>20.09698276</v>
      </c>
      <c r="W163" s="16" t="str">
        <f>IFERROR(__xludf.DUMMYFUNCTION("IFERROR(GOOGLEFINANCE(A163, ""volume"") / GOOGLEFINANCE(A163, ""volumeavg""), )"),"")</f>
        <v/>
      </c>
      <c r="X163" s="9">
        <f>IFERROR(__xludf.DUMMYFUNCTION("B163 * GOOGLEFINANCE(A163, ""volume"")"),2.22690255E8)</f>
        <v>222690255</v>
      </c>
      <c r="Y163" s="9">
        <f>IFERROR(__xludf.DUMMYFUNCTION("IFERROR(((B163 - GOOGLEFINANCE(A163, ""priceopen"")) / GOOGLEFINANCE(A163, ""priceopen"")) * GOOGLEFINANCE(A163, ""volume""), 0)"),-1665.8202247191068)</f>
        <v>-1665.820225</v>
      </c>
    </row>
    <row r="164">
      <c r="A164" s="4" t="s">
        <v>1126</v>
      </c>
      <c r="B164" s="7">
        <f>IFERROR(__xludf.DUMMYFUNCTION("GOOGLEFINANCE(A164, ""price"")"),172.79)</f>
        <v>172.79</v>
      </c>
      <c r="C164" s="7">
        <f>IFERROR(__xludf.DUMMYFUNCTION("GOOGLEFINANCE(A164, ""changepct"")"),-0.12)</f>
        <v>-0.12</v>
      </c>
      <c r="D164" s="9">
        <f>IFERROR(__xludf.DUMMYFUNCTION("GOOGLEFINANCE(A164, ""priceopen"")"),172.69)</f>
        <v>172.69</v>
      </c>
      <c r="E164" s="9">
        <f>IFERROR(__xludf.DUMMYFUNCTION("GOOGLEFINANCE(A164, ""high"")"),175.9)</f>
        <v>175.9</v>
      </c>
      <c r="F164" s="9">
        <f>IFERROR(__xludf.DUMMYFUNCTION("GOOGLEFINANCE(A164, ""low"")"),171.16)</f>
        <v>171.16</v>
      </c>
      <c r="G164" s="9">
        <f>IFERROR(__xludf.DUMMYFUNCTION("GOOGLEFINANCE(A164, ""price"")"),172.79)</f>
        <v>172.79</v>
      </c>
      <c r="H164" s="9">
        <f>IFERROR(__xludf.DUMMYFUNCTION("MAX(INDEX(GOOGLEFINANCE(A164, ""high"", TODAY()-30, TODAY()), 0, 2))"),180.11)</f>
        <v>180.11</v>
      </c>
      <c r="I164" s="9">
        <f>IFERROR(__xludf.DUMMYFUNCTION("MIN(INDEX(GOOGLEFINANCE(A164, ""low"", TODAY()-30, TODAY()), 0, 2))"),158.01)</f>
        <v>158.01</v>
      </c>
      <c r="J164" s="9">
        <f>IFERROR(__xludf.DUMMYFUNCTION("GOOGLEFINANCE(A164, ""high52"")"),209.7)</f>
        <v>209.7</v>
      </c>
      <c r="K164" s="9">
        <f>IFERROR(__xludf.DUMMYFUNCTION("GOOGLEFINANCE(A164, ""low52"")"),118.1)</f>
        <v>118.1</v>
      </c>
      <c r="L164" s="9">
        <f t="shared" si="1"/>
        <v>0.1760133524</v>
      </c>
      <c r="M164" s="9">
        <f t="shared" si="2"/>
        <v>0.4630821338</v>
      </c>
      <c r="N164" s="9">
        <f t="shared" si="3"/>
        <v>0.02769338631</v>
      </c>
      <c r="O164" s="9">
        <f t="shared" si="4"/>
        <v>0.6687782805</v>
      </c>
      <c r="P164" s="9">
        <f>IFERROR(__xludf.DUMMYFUNCTION("GOOGLEFINANCE(A164, ""pe"")"),16.71)</f>
        <v>16.71</v>
      </c>
      <c r="Q164" s="9">
        <f>IFERROR(__xludf.DUMMYFUNCTION("IFERROR(GOOGLEFINANCE(A164, ""volume"") / GOOGLEFINANCE(A164, ""volumeavg""), 0)"),0.0)</f>
        <v>0</v>
      </c>
      <c r="R164" s="9">
        <f>IFERROR(__xludf.DUMMYFUNCTION("AVERAGE(INDEX(GOOGLEFINANCE(A164, ""price"", TODAY()-30, TODAY()), 0, 2))"),167.8326086956522)</f>
        <v>167.8326087</v>
      </c>
      <c r="S164" s="9">
        <f>IFERROR(__xludf.DUMMYFUNCTION("AVERAGE(INDEX(GOOGLEFINANCE(A164, ""price"", TODAY()-75, TODAY()), 0, 2))"),174.71735849056606)</f>
        <v>174.7173585</v>
      </c>
      <c r="T164" s="9">
        <f>IFERROR(__xludf.DUMMYFUNCTION("AVERAGE(INDEX(GOOGLEFINANCE(A164, ""price"", TODAY()-300, TODAY()), 0, 2))"),159.5686138613862)</f>
        <v>159.5686139</v>
      </c>
      <c r="U164" s="9">
        <f t="shared" si="5"/>
        <v>0.02953771227</v>
      </c>
      <c r="V164" s="15">
        <f>IFERROR(__xludf.DUMMYFUNCTION("LET(hist, GOOGLEFINANCE(A164,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rs))))))"),69.4849657636201)</f>
        <v>69.48496576</v>
      </c>
      <c r="W164" s="16" t="str">
        <f>IFERROR(__xludf.DUMMYFUNCTION("IFERROR(GOOGLEFINANCE(A164, ""volume"") / GOOGLEFINANCE(A164, ""volumeavg""), )"),"")</f>
        <v/>
      </c>
      <c r="X164" s="9">
        <f>IFERROR(__xludf.DUMMYFUNCTION("B164 * GOOGLEFINANCE(A164, ""volume"")"),3.2719676822599998E9)</f>
        <v>3271967682</v>
      </c>
      <c r="Y164" s="9">
        <f>IFERROR(__xludf.DUMMYFUNCTION("IFERROR(((B164 - GOOGLEFINANCE(A164, ""priceopen"")) / GOOGLEFINANCE(A164, ""priceopen"")) * GOOGLEFINANCE(A164, ""volume""), 0)"),10965.368000462635)</f>
        <v>10965.368</v>
      </c>
    </row>
    <row r="165">
      <c r="A165" s="4" t="s">
        <v>1131</v>
      </c>
      <c r="B165" s="7">
        <f>IFERROR(__xludf.DUMMYFUNCTION("GOOGLEFINANCE(A165, ""price"")"),1587.0)</f>
        <v>1587</v>
      </c>
      <c r="C165" s="7">
        <f>IFERROR(__xludf.DUMMYFUNCTION("GOOGLEFINANCE(A165, ""changepct"")"),0.07)</f>
        <v>0.07</v>
      </c>
      <c r="D165" s="9">
        <f>IFERROR(__xludf.DUMMYFUNCTION("GOOGLEFINANCE(A165, ""priceopen"")"),1592.0)</f>
        <v>1592</v>
      </c>
      <c r="E165" s="9">
        <f>IFERROR(__xludf.DUMMYFUNCTION("GOOGLEFINANCE(A165, ""high"")"),1594.0)</f>
        <v>1594</v>
      </c>
      <c r="F165" s="9">
        <f>IFERROR(__xludf.DUMMYFUNCTION("GOOGLEFINANCE(A165, ""low"")"),1555.3)</f>
        <v>1555.3</v>
      </c>
      <c r="G165" s="9">
        <f>IFERROR(__xludf.DUMMYFUNCTION("GOOGLEFINANCE(A165, ""price"")"),1587.0)</f>
        <v>1587</v>
      </c>
      <c r="H165" s="9">
        <f>IFERROR(__xludf.DUMMYFUNCTION("MAX(INDEX(GOOGLEFINANCE(A165, ""high"", TODAY()-30, TODAY()), 0, 2))"),1730.5)</f>
        <v>1730.5</v>
      </c>
      <c r="I165" s="9">
        <f>IFERROR(__xludf.DUMMYFUNCTION("MIN(INDEX(GOOGLEFINANCE(A165, ""low"", TODAY()-30, TODAY()), 0, 2))"),1555.3)</f>
        <v>1555.3</v>
      </c>
      <c r="J165" s="9">
        <f>IFERROR(__xludf.DUMMYFUNCTION("GOOGLEFINANCE(A165, ""high52"")"),1805.2)</f>
        <v>1805.2</v>
      </c>
      <c r="K165" s="9">
        <f>IFERROR(__xludf.DUMMYFUNCTION("GOOGLEFINANCE(A165, ""low52"")"),1090.0)</f>
        <v>1090</v>
      </c>
      <c r="L165" s="9">
        <f t="shared" si="1"/>
        <v>0.1208730335</v>
      </c>
      <c r="M165" s="9">
        <f t="shared" si="2"/>
        <v>0.4559633028</v>
      </c>
      <c r="N165" s="9">
        <f t="shared" si="3"/>
        <v>0.02488265929</v>
      </c>
      <c r="O165" s="9">
        <f t="shared" si="4"/>
        <v>0.1809360731</v>
      </c>
      <c r="P165" s="9">
        <f>IFERROR(__xludf.DUMMYFUNCTION("GOOGLEFINANCE(A165, ""pe"")"),60.01)</f>
        <v>60.01</v>
      </c>
      <c r="Q165" s="9">
        <f>IFERROR(__xludf.DUMMYFUNCTION("IFERROR(GOOGLEFINANCE(A165, ""volume"") / GOOGLEFINANCE(A165, ""volumeavg""), 0)"),0.0)</f>
        <v>0</v>
      </c>
      <c r="R165" s="9">
        <f>IFERROR(__xludf.DUMMYFUNCTION("AVERAGE(INDEX(GOOGLEFINANCE(A165, ""price"", TODAY()-30, TODAY()), 0, 2))"),1638.7739130434782)</f>
        <v>1638.773913</v>
      </c>
      <c r="S165" s="9">
        <f>IFERROR(__xludf.DUMMYFUNCTION("AVERAGE(INDEX(GOOGLEFINANCE(A165, ""price"", TODAY()-75, TODAY()), 0, 2))"),1561.7584905660376)</f>
        <v>1561.758491</v>
      </c>
      <c r="T165" s="9">
        <f>IFERROR(__xludf.DUMMYFUNCTION("AVERAGE(INDEX(GOOGLEFINANCE(A165, ""price"", TODAY()-300, TODAY()), 0, 2))"),1518.7148514851483)</f>
        <v>1518.714851</v>
      </c>
      <c r="U165" s="9">
        <f t="shared" si="5"/>
        <v>-0.0315930786</v>
      </c>
      <c r="V165" s="15">
        <f>IFERROR(__xludf.DUMMYFUNCTION("LET(hist, GOOGLEFINANCE(A165,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rs))))))"),45.777326908445346)</f>
        <v>45.77732691</v>
      </c>
      <c r="W165" s="16" t="str">
        <f>IFERROR(__xludf.DUMMYFUNCTION("IFERROR(GOOGLEFINANCE(A165, ""volume"") / GOOGLEFINANCE(A165, ""volumeavg""), )"),"")</f>
        <v/>
      </c>
      <c r="X165" s="9">
        <f>IFERROR(__xludf.DUMMYFUNCTION("B165 * GOOGLEFINANCE(A165, ""volume"")"),3.51007899E8)</f>
        <v>351007899</v>
      </c>
      <c r="Y165" s="9">
        <f>IFERROR(__xludf.DUMMYFUNCTION("IFERROR(((B165 - GOOGLEFINANCE(A165, ""priceopen"")) / GOOGLEFINANCE(A165, ""priceopen"")) * GOOGLEFINANCE(A165, ""volume""), 0)"),-694.6513819095478)</f>
        <v>-694.6513819</v>
      </c>
    </row>
    <row r="166">
      <c r="A166" s="4" t="s">
        <v>1137</v>
      </c>
      <c r="B166" s="7">
        <f>IFERROR(__xludf.DUMMYFUNCTION("GOOGLEFINANCE(A166, ""price"")"),427.4)</f>
        <v>427.4</v>
      </c>
      <c r="C166" s="7">
        <f>IFERROR(__xludf.DUMMYFUNCTION("GOOGLEFINANCE(A166, ""changepct"")"),0.33)</f>
        <v>0.33</v>
      </c>
      <c r="D166" s="9">
        <f>IFERROR(__xludf.DUMMYFUNCTION("GOOGLEFINANCE(A166, ""priceopen"")"),427.75)</f>
        <v>427.75</v>
      </c>
      <c r="E166" s="9">
        <f>IFERROR(__xludf.DUMMYFUNCTION("GOOGLEFINANCE(A166, ""high"")"),430.5)</f>
        <v>430.5</v>
      </c>
      <c r="F166" s="9">
        <f>IFERROR(__xludf.DUMMYFUNCTION("GOOGLEFINANCE(A166, ""low"")"),422.6)</f>
        <v>422.6</v>
      </c>
      <c r="G166" s="9">
        <f>IFERROR(__xludf.DUMMYFUNCTION("GOOGLEFINANCE(A166, ""price"")"),427.4)</f>
        <v>427.4</v>
      </c>
      <c r="H166" s="9">
        <f>IFERROR(__xludf.DUMMYFUNCTION("MAX(INDEX(GOOGLEFINANCE(A166, ""high"", TODAY()-30, TODAY()), 0, 2))"),447.15)</f>
        <v>447.15</v>
      </c>
      <c r="I166" s="9">
        <f>IFERROR(__xludf.DUMMYFUNCTION("MIN(INDEX(GOOGLEFINANCE(A166, ""low"", TODAY()-30, TODAY()), 0, 2))"),402.7)</f>
        <v>402.7</v>
      </c>
      <c r="J166" s="9">
        <f>IFERROR(__xludf.DUMMYFUNCTION("GOOGLEFINANCE(A166, ""high52"")"),447.15)</f>
        <v>447.15</v>
      </c>
      <c r="K166" s="9">
        <f>IFERROR(__xludf.DUMMYFUNCTION("GOOGLEFINANCE(A166, ""low52"")"),337.05)</f>
        <v>337.05</v>
      </c>
      <c r="L166" s="9">
        <f t="shared" si="1"/>
        <v>0.0441686235</v>
      </c>
      <c r="M166" s="9">
        <f t="shared" si="2"/>
        <v>0.2680611185</v>
      </c>
      <c r="N166" s="9">
        <f t="shared" si="3"/>
        <v>0.01869380028</v>
      </c>
      <c r="O166" s="9">
        <f t="shared" si="4"/>
        <v>0.5556805399</v>
      </c>
      <c r="P166" s="9">
        <f>IFERROR(__xludf.DUMMYFUNCTION("GOOGLEFINANCE(A166, ""pe"")"),126.53)</f>
        <v>126.53</v>
      </c>
      <c r="Q166" s="9">
        <f>IFERROR(__xludf.DUMMYFUNCTION("IFERROR(GOOGLEFINANCE(A166, ""volume"") / GOOGLEFINANCE(A166, ""volumeavg""), 0)"),0.0)</f>
        <v>0</v>
      </c>
      <c r="R166" s="9">
        <f>IFERROR(__xludf.DUMMYFUNCTION("AVERAGE(INDEX(GOOGLEFINANCE(A166, ""price"", TODAY()-30, TODAY()), 0, 2))"),430.95)</f>
        <v>430.95</v>
      </c>
      <c r="S166" s="9">
        <f>IFERROR(__xludf.DUMMYFUNCTION("AVERAGE(INDEX(GOOGLEFINANCE(A166, ""price"", TODAY()-75, TODAY()), 0, 2))"),422.66320754716975)</f>
        <v>422.6632075</v>
      </c>
      <c r="T166" s="9">
        <f>IFERROR(__xludf.DUMMYFUNCTION("AVERAGE(INDEX(GOOGLEFINANCE(A166, ""price"", TODAY()-300, TODAY()), 0, 2))"),393.0774752475247)</f>
        <v>393.0774752</v>
      </c>
      <c r="U166" s="9">
        <f t="shared" si="5"/>
        <v>-0.008237614572</v>
      </c>
      <c r="V166" s="15">
        <f>IFERROR(__xludf.DUMMYFUNCTION("LET(hist, GOOGLEFINANCE(A166,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rs))))))"),41.92546583850931)</f>
        <v>41.92546584</v>
      </c>
      <c r="W166" s="16" t="str">
        <f>IFERROR(__xludf.DUMMYFUNCTION("IFERROR(GOOGLEFINANCE(A166, ""volume"") / GOOGLEFINANCE(A166, ""volumeavg""), )"),"")</f>
        <v/>
      </c>
      <c r="X166" s="9">
        <f>IFERROR(__xludf.DUMMYFUNCTION("B166 * GOOGLEFINANCE(A166, ""volume"")"),1.621260694E9)</f>
        <v>1621260694</v>
      </c>
      <c r="Y166" s="9">
        <f>IFERROR(__xludf.DUMMYFUNCTION("IFERROR(((B166 - GOOGLEFINANCE(A166, ""priceopen"")) / GOOGLEFINANCE(A166, ""priceopen"")) * GOOGLEFINANCE(A166, ""volume""), 0)"),-3103.818819404059)</f>
        <v>-3103.818819</v>
      </c>
    </row>
    <row r="167">
      <c r="A167" s="4" t="s">
        <v>1144</v>
      </c>
      <c r="B167" s="7">
        <f>IFERROR(__xludf.DUMMYFUNCTION("GOOGLEFINANCE(A167, ""price"")"),5450.5)</f>
        <v>5450.5</v>
      </c>
      <c r="C167" s="7">
        <f>IFERROR(__xludf.DUMMYFUNCTION("GOOGLEFINANCE(A167, ""changepct"")"),-1.39)</f>
        <v>-1.39</v>
      </c>
      <c r="D167" s="9">
        <f>IFERROR(__xludf.DUMMYFUNCTION("GOOGLEFINANCE(A167, ""priceopen"")"),5518.0)</f>
        <v>5518</v>
      </c>
      <c r="E167" s="9">
        <f>IFERROR(__xludf.DUMMYFUNCTION("GOOGLEFINANCE(A167, ""high"")"),5534.5)</f>
        <v>5534.5</v>
      </c>
      <c r="F167" s="9">
        <f>IFERROR(__xludf.DUMMYFUNCTION("GOOGLEFINANCE(A167, ""low"")"),5411.5)</f>
        <v>5411.5</v>
      </c>
      <c r="G167" s="9">
        <f>IFERROR(__xludf.DUMMYFUNCTION("GOOGLEFINANCE(A167, ""price"")"),5450.5)</f>
        <v>5450.5</v>
      </c>
      <c r="H167" s="9">
        <f>IFERROR(__xludf.DUMMYFUNCTION("MAX(INDEX(GOOGLEFINANCE(A167, ""high"", TODAY()-30, TODAY()), 0, 2))"),5882.5)</f>
        <v>5882.5</v>
      </c>
      <c r="I167" s="9">
        <f>IFERROR(__xludf.DUMMYFUNCTION("MIN(INDEX(GOOGLEFINANCE(A167, ""low"", TODAY()-30, TODAY()), 0, 2))"),5411.5)</f>
        <v>5411.5</v>
      </c>
      <c r="J167" s="9">
        <f>IFERROR(__xludf.DUMMYFUNCTION("GOOGLEFINANCE(A167, ""high52"")"),5933.5)</f>
        <v>5933.5</v>
      </c>
      <c r="K167" s="9">
        <f>IFERROR(__xludf.DUMMYFUNCTION("GOOGLEFINANCE(A167, ""low52"")"),4822.0)</f>
        <v>4822</v>
      </c>
      <c r="L167" s="9">
        <f t="shared" si="1"/>
        <v>0.0814022078</v>
      </c>
      <c r="M167" s="9">
        <f t="shared" si="2"/>
        <v>0.1303401078</v>
      </c>
      <c r="N167" s="9">
        <f t="shared" si="3"/>
        <v>0.02272937263</v>
      </c>
      <c r="O167" s="9">
        <f t="shared" si="4"/>
        <v>0.08280254777</v>
      </c>
      <c r="P167" s="9">
        <f>IFERROR(__xludf.DUMMYFUNCTION("GOOGLEFINANCE(A167, ""pe"")"),28.31)</f>
        <v>28.31</v>
      </c>
      <c r="Q167" s="9">
        <f>IFERROR(__xludf.DUMMYFUNCTION("IFERROR(GOOGLEFINANCE(A167, ""volume"") / GOOGLEFINANCE(A167, ""volumeavg""), 0)"),0.0)</f>
        <v>0</v>
      </c>
      <c r="R167" s="9">
        <f>IFERROR(__xludf.DUMMYFUNCTION("AVERAGE(INDEX(GOOGLEFINANCE(A167, ""price"", TODAY()-30, TODAY()), 0, 2))"),5634.565217391304)</f>
        <v>5634.565217</v>
      </c>
      <c r="S167" s="9">
        <f>IFERROR(__xludf.DUMMYFUNCTION("AVERAGE(INDEX(GOOGLEFINANCE(A167, ""price"", TODAY()-75, TODAY()), 0, 2))"),5514.669811320755)</f>
        <v>5514.669811</v>
      </c>
      <c r="T167" s="9">
        <f>IFERROR(__xludf.DUMMYFUNCTION("AVERAGE(INDEX(GOOGLEFINANCE(A167, ""price"", TODAY()-300, TODAY()), 0, 2))"),5547.3935643564355)</f>
        <v>5547.393564</v>
      </c>
      <c r="U167" s="9">
        <f t="shared" si="5"/>
        <v>-0.03266715537</v>
      </c>
      <c r="V167" s="15">
        <f>IFERROR(__xludf.DUMMYFUNCTION("LET(hist, GOOGLEFINANCE(A167,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rs))))))"),42.50614250614251)</f>
        <v>42.50614251</v>
      </c>
      <c r="W167" s="16" t="str">
        <f>IFERROR(__xludf.DUMMYFUNCTION("IFERROR(GOOGLEFINANCE(A167, ""volume"") / GOOGLEFINANCE(A167, ""volumeavg""), )"),"")</f>
        <v/>
      </c>
      <c r="X167" s="9">
        <f>IFERROR(__xludf.DUMMYFUNCTION("B167 * GOOGLEFINANCE(A167, ""volume"")"),6.019695715E8)</f>
        <v>601969571.5</v>
      </c>
      <c r="Y167" s="9">
        <f>IFERROR(__xludf.DUMMYFUNCTION("IFERROR(((B167 - GOOGLEFINANCE(A167, ""priceopen"")) / GOOGLEFINANCE(A167, ""priceopen"")) * GOOGLEFINANCE(A167, ""volume""), 0)"),-1351.0153135193912)</f>
        <v>-1351.015314</v>
      </c>
    </row>
    <row r="168">
      <c r="A168" s="4" t="s">
        <v>1153</v>
      </c>
      <c r="B168" s="7">
        <f>IFERROR(__xludf.DUMMYFUNCTION("GOOGLEFINANCE(A168, ""price"")"),2971.0)</f>
        <v>2971</v>
      </c>
      <c r="C168" s="7">
        <f>IFERROR(__xludf.DUMMYFUNCTION("GOOGLEFINANCE(A168, ""changepct"")"),2.63)</f>
        <v>2.63</v>
      </c>
      <c r="D168" s="9">
        <f>IFERROR(__xludf.DUMMYFUNCTION("GOOGLEFINANCE(A168, ""priceopen"")"),2965.0)</f>
        <v>2965</v>
      </c>
      <c r="E168" s="9">
        <f>IFERROR(__xludf.DUMMYFUNCTION("GOOGLEFINANCE(A168, ""high"")"),2987.9)</f>
        <v>2987.9</v>
      </c>
      <c r="F168" s="9">
        <f>IFERROR(__xludf.DUMMYFUNCTION("GOOGLEFINANCE(A168, ""low"")"),2880.1)</f>
        <v>2880.1</v>
      </c>
      <c r="G168" s="9">
        <f>IFERROR(__xludf.DUMMYFUNCTION("GOOGLEFINANCE(A168, ""price"")"),2971.0)</f>
        <v>2971</v>
      </c>
      <c r="H168" s="9">
        <f>IFERROR(__xludf.DUMMYFUNCTION("MAX(INDEX(GOOGLEFINANCE(A168, ""high"", TODAY()-30, TODAY()), 0, 2))"),2987.9)</f>
        <v>2987.9</v>
      </c>
      <c r="I168" s="9">
        <f>IFERROR(__xludf.DUMMYFUNCTION("MIN(INDEX(GOOGLEFINANCE(A168, ""low"", TODAY()-30, TODAY()), 0, 2))"),2565.5)</f>
        <v>2565.5</v>
      </c>
      <c r="J168" s="9">
        <f>IFERROR(__xludf.DUMMYFUNCTION("GOOGLEFINANCE(A168, ""high52"")"),3480.0)</f>
        <v>3480</v>
      </c>
      <c r="K168" s="9">
        <f>IFERROR(__xludf.DUMMYFUNCTION("GOOGLEFINANCE(A168, ""low52"")"),1460.8)</f>
        <v>1460.8</v>
      </c>
      <c r="L168" s="9">
        <f t="shared" si="1"/>
        <v>0.1462643678</v>
      </c>
      <c r="M168" s="9">
        <f t="shared" si="2"/>
        <v>1.033817087</v>
      </c>
      <c r="N168" s="9">
        <f t="shared" si="3"/>
        <v>0.03742925593</v>
      </c>
      <c r="O168" s="9">
        <f t="shared" si="4"/>
        <v>0.9599905303</v>
      </c>
      <c r="P168" s="9">
        <f>IFERROR(__xludf.DUMMYFUNCTION("GOOGLEFINANCE(A168, ""pe"")"),54.77)</f>
        <v>54.77</v>
      </c>
      <c r="Q168" s="9">
        <f>IFERROR(__xludf.DUMMYFUNCTION("IFERROR(GOOGLEFINANCE(A168, ""volume"") / GOOGLEFINANCE(A168, ""volumeavg""), 0)"),0.0)</f>
        <v>0</v>
      </c>
      <c r="R168" s="9">
        <f>IFERROR(__xludf.DUMMYFUNCTION("AVERAGE(INDEX(GOOGLEFINANCE(A168, ""price"", TODAY()-30, TODAY()), 0, 2))"),2757.086956521739)</f>
        <v>2757.086957</v>
      </c>
      <c r="S168" s="9">
        <f>IFERROR(__xludf.DUMMYFUNCTION("AVERAGE(INDEX(GOOGLEFINANCE(A168, ""price"", TODAY()-75, TODAY()), 0, 2))"),2800.5905660377357)</f>
        <v>2800.590566</v>
      </c>
      <c r="T168" s="9">
        <f>IFERROR(__xludf.DUMMYFUNCTION("AVERAGE(INDEX(GOOGLEFINANCE(A168, ""price"", TODAY()-300, TODAY()), 0, 2))"),2507.7287128712865)</f>
        <v>2507.728713</v>
      </c>
      <c r="U168" s="9">
        <f t="shared" si="5"/>
        <v>0.07758661473</v>
      </c>
      <c r="V168" s="15">
        <f>IFERROR(__xludf.DUMMYFUNCTION("LET(hist, GOOGLEFINANCE(A168,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rs))))))"),65.66777121452242)</f>
        <v>65.66777121</v>
      </c>
      <c r="W168" s="16" t="str">
        <f>IFERROR(__xludf.DUMMYFUNCTION("IFERROR(GOOGLEFINANCE(A168, ""volume"") / GOOGLEFINANCE(A168, ""volumeavg""), )"),"")</f>
        <v/>
      </c>
      <c r="X168" s="9">
        <f>IFERROR(__xludf.DUMMYFUNCTION("B168 * GOOGLEFINANCE(A168, ""volume"")"),1.8329043778E10)</f>
        <v>18329043778</v>
      </c>
      <c r="Y168" s="9">
        <f>IFERROR(__xludf.DUMMYFUNCTION("IFERROR(((B168 - GOOGLEFINANCE(A168, ""priceopen"")) / GOOGLEFINANCE(A168, ""priceopen"")) * GOOGLEFINANCE(A168, ""volume""), 0)"),12484.28600337268)</f>
        <v>12484.286</v>
      </c>
    </row>
    <row r="169">
      <c r="A169" s="4" t="s">
        <v>1162</v>
      </c>
      <c r="B169" s="7">
        <f>IFERROR(__xludf.DUMMYFUNCTION("GOOGLEFINANCE(A169, ""price"")"),1238.0)</f>
        <v>1238</v>
      </c>
      <c r="C169" s="7">
        <f>IFERROR(__xludf.DUMMYFUNCTION("GOOGLEFINANCE(A169, ""changepct"")"),-2.9)</f>
        <v>-2.9</v>
      </c>
      <c r="D169" s="9">
        <f>IFERROR(__xludf.DUMMYFUNCTION("GOOGLEFINANCE(A169, ""priceopen"")"),1275.0)</f>
        <v>1275</v>
      </c>
      <c r="E169" s="9">
        <f>IFERROR(__xludf.DUMMYFUNCTION("GOOGLEFINANCE(A169, ""high"")"),1278.7)</f>
        <v>1278.7</v>
      </c>
      <c r="F169" s="9">
        <f>IFERROR(__xludf.DUMMYFUNCTION("GOOGLEFINANCE(A169, ""low"")"),1232.4)</f>
        <v>1232.4</v>
      </c>
      <c r="G169" s="9">
        <f>IFERROR(__xludf.DUMMYFUNCTION("GOOGLEFINANCE(A169, ""price"")"),1238.0)</f>
        <v>1238</v>
      </c>
      <c r="H169" s="9">
        <f>IFERROR(__xludf.DUMMYFUNCTION("MAX(INDEX(GOOGLEFINANCE(A169, ""high"", TODAY()-30, TODAY()), 0, 2))"),1298.3)</f>
        <v>1298.3</v>
      </c>
      <c r="I169" s="9">
        <f>IFERROR(__xludf.DUMMYFUNCTION("MIN(INDEX(GOOGLEFINANCE(A169, ""low"", TODAY()-30, TODAY()), 0, 2))"),1101.1)</f>
        <v>1101.1</v>
      </c>
      <c r="J169" s="9">
        <f>IFERROR(__xludf.DUMMYFUNCTION("GOOGLEFINANCE(A169, ""high52"")"),1382.0)</f>
        <v>1382</v>
      </c>
      <c r="K169" s="9">
        <f>IFERROR(__xludf.DUMMYFUNCTION("GOOGLEFINANCE(A169, ""low52"")"),994.0)</f>
        <v>994</v>
      </c>
      <c r="L169" s="9">
        <f t="shared" si="1"/>
        <v>0.1041968162</v>
      </c>
      <c r="M169" s="9">
        <f t="shared" si="2"/>
        <v>0.245472837</v>
      </c>
      <c r="N169" s="9">
        <f t="shared" si="3"/>
        <v>0.03756897111</v>
      </c>
      <c r="O169" s="9">
        <f t="shared" si="4"/>
        <v>0.6942190669</v>
      </c>
      <c r="P169" s="9" t="str">
        <f>IFERROR(__xludf.DUMMYFUNCTION("GOOGLEFINANCE(A169, ""pe"")"),"#N/A")</f>
        <v>#N/A</v>
      </c>
      <c r="Q169" s="9">
        <f>IFERROR(__xludf.DUMMYFUNCTION("IFERROR(GOOGLEFINANCE(A169, ""volume"") / GOOGLEFINANCE(A169, ""volumeavg""), 0)"),0.0)</f>
        <v>0</v>
      </c>
      <c r="R169" s="9">
        <f>IFERROR(__xludf.DUMMYFUNCTION("AVERAGE(INDEX(GOOGLEFINANCE(A169, ""price"", TODAY()-30, TODAY()), 0, 2))"),1188.5086956521739)</f>
        <v>1188.508696</v>
      </c>
      <c r="S169" s="9">
        <f>IFERROR(__xludf.DUMMYFUNCTION("AVERAGE(INDEX(GOOGLEFINANCE(A169, ""price"", TODAY()-75, TODAY()), 0, 2))"),1140.3849056603776)</f>
        <v>1140.384906</v>
      </c>
      <c r="T169" s="9">
        <f>IFERROR(__xludf.DUMMYFUNCTION("AVERAGE(INDEX(GOOGLEFINANCE(A169, ""price"", TODAY()-300, TODAY()), 0, 2))"),1173.014851485148)</f>
        <v>1173.014851</v>
      </c>
      <c r="U169" s="9">
        <f t="shared" si="5"/>
        <v>0.04164151641</v>
      </c>
      <c r="V169" s="15">
        <f>IFERROR(__xludf.DUMMYFUNCTION("LET(hist, GOOGLEFINANCE(A169,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rs))))))"),73.34851936218679)</f>
        <v>73.34851936</v>
      </c>
      <c r="W169" s="16" t="str">
        <f>IFERROR(__xludf.DUMMYFUNCTION("IFERROR(GOOGLEFINANCE(A169, ""volume"") / GOOGLEFINANCE(A169, ""volumeavg""), )"),"")</f>
        <v/>
      </c>
      <c r="X169" s="9">
        <f>IFERROR(__xludf.DUMMYFUNCTION("B169 * GOOGLEFINANCE(A169, ""volume"")"),6.43773618E8)</f>
        <v>643773618</v>
      </c>
      <c r="Y169" s="9">
        <f>IFERROR(__xludf.DUMMYFUNCTION("IFERROR(((B169 - GOOGLEFINANCE(A169, ""priceopen"")) / GOOGLEFINANCE(A169, ""priceopen"")) * GOOGLEFINANCE(A169, ""volume""), 0)"),-15090.515294117646)</f>
        <v>-15090.51529</v>
      </c>
    </row>
    <row r="170">
      <c r="A170" s="4" t="s">
        <v>1170</v>
      </c>
      <c r="B170" s="7">
        <f>IFERROR(__xludf.DUMMYFUNCTION("GOOGLEFINANCE(A170, ""price"")"),1887.7)</f>
        <v>1887.7</v>
      </c>
      <c r="C170" s="7">
        <f>IFERROR(__xludf.DUMMYFUNCTION("GOOGLEFINANCE(A170, ""changepct"")"),-1.1)</f>
        <v>-1.1</v>
      </c>
      <c r="D170" s="9">
        <f>IFERROR(__xludf.DUMMYFUNCTION("GOOGLEFINANCE(A170, ""priceopen"")"),1906.2)</f>
        <v>1906.2</v>
      </c>
      <c r="E170" s="9">
        <f>IFERROR(__xludf.DUMMYFUNCTION("GOOGLEFINANCE(A170, ""high"")"),1910.0)</f>
        <v>1910</v>
      </c>
      <c r="F170" s="9">
        <f>IFERROR(__xludf.DUMMYFUNCTION("GOOGLEFINANCE(A170, ""low"")"),1870.0)</f>
        <v>1870</v>
      </c>
      <c r="G170" s="9">
        <f>IFERROR(__xludf.DUMMYFUNCTION("GOOGLEFINANCE(A170, ""price"")"),1887.7)</f>
        <v>1887.7</v>
      </c>
      <c r="H170" s="9">
        <f>IFERROR(__xludf.DUMMYFUNCTION("MAX(INDEX(GOOGLEFINANCE(A170, ""high"", TODAY()-30, TODAY()), 0, 2))"),2169.8)</f>
        <v>2169.8</v>
      </c>
      <c r="I170" s="9">
        <f>IFERROR(__xludf.DUMMYFUNCTION("MIN(INDEX(GOOGLEFINANCE(A170, ""low"", TODAY()-30, TODAY()), 0, 2))"),1870.0)</f>
        <v>1870</v>
      </c>
      <c r="J170" s="9">
        <f>IFERROR(__xludf.DUMMYFUNCTION("GOOGLEFINANCE(A170, ""high52"")"),2169.8)</f>
        <v>2169.8</v>
      </c>
      <c r="K170" s="9">
        <f>IFERROR(__xludf.DUMMYFUNCTION("GOOGLEFINANCE(A170, ""low52"")"),1416.3)</f>
        <v>1416.3</v>
      </c>
      <c r="L170" s="9">
        <f t="shared" si="1"/>
        <v>0.1300119827</v>
      </c>
      <c r="M170" s="9">
        <f t="shared" si="2"/>
        <v>0.3328390878</v>
      </c>
      <c r="N170" s="9">
        <f t="shared" si="3"/>
        <v>0.02139037433</v>
      </c>
      <c r="O170" s="9">
        <f t="shared" si="4"/>
        <v>0.05903935957</v>
      </c>
      <c r="P170" s="9">
        <f>IFERROR(__xludf.DUMMYFUNCTION("GOOGLEFINANCE(A170, ""pe"")"),52.74)</f>
        <v>52.74</v>
      </c>
      <c r="Q170" s="9">
        <f>IFERROR(__xludf.DUMMYFUNCTION("IFERROR(GOOGLEFINANCE(A170, ""volume"") / GOOGLEFINANCE(A170, ""volumeavg""), 0)"),0.0)</f>
        <v>0</v>
      </c>
      <c r="R170" s="9">
        <f>IFERROR(__xludf.DUMMYFUNCTION("AVERAGE(INDEX(GOOGLEFINANCE(A170, ""price"", TODAY()-30, TODAY()), 0, 2))"),1998.8913043478258)</f>
        <v>1998.891304</v>
      </c>
      <c r="S170" s="9">
        <f>IFERROR(__xludf.DUMMYFUNCTION("AVERAGE(INDEX(GOOGLEFINANCE(A170, ""price"", TODAY()-75, TODAY()), 0, 2))"),1931.524528301887)</f>
        <v>1931.524528</v>
      </c>
      <c r="T170" s="9">
        <f>IFERROR(__xludf.DUMMYFUNCTION("AVERAGE(INDEX(GOOGLEFINANCE(A170, ""price"", TODAY()-300, TODAY()), 0, 2))"),1785.6366336633648)</f>
        <v>1785.636634</v>
      </c>
      <c r="U170" s="9">
        <f t="shared" si="5"/>
        <v>-0.0556264886</v>
      </c>
      <c r="V170" s="15">
        <f>IFERROR(__xludf.DUMMYFUNCTION("LET(hist, GOOGLEFINANCE(A170,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rs))))))"),33.493427704752264)</f>
        <v>33.4934277</v>
      </c>
      <c r="W170" s="16" t="str">
        <f>IFERROR(__xludf.DUMMYFUNCTION("IFERROR(GOOGLEFINANCE(A170, ""volume"") / GOOGLEFINANCE(A170, ""volumeavg""), )"),"")</f>
        <v/>
      </c>
      <c r="X170" s="9">
        <f>IFERROR(__xludf.DUMMYFUNCTION("B170 * GOOGLEFINANCE(A170, ""volume"")"),1.0302840076E9)</f>
        <v>1030284008</v>
      </c>
      <c r="Y170" s="9">
        <f>IFERROR(__xludf.DUMMYFUNCTION("IFERROR(((B170 - GOOGLEFINANCE(A170, ""priceopen"")) / GOOGLEFINANCE(A170, ""priceopen"")) * GOOGLEFINANCE(A170, ""volume""), 0)"),-5296.966740111216)</f>
        <v>-5296.96674</v>
      </c>
    </row>
    <row r="171">
      <c r="A171" s="4" t="s">
        <v>1175</v>
      </c>
      <c r="B171" s="7">
        <f>IFERROR(__xludf.DUMMYFUNCTION("GOOGLEFINANCE(A171, ""price"")"),1781.4)</f>
        <v>1781.4</v>
      </c>
      <c r="C171" s="7">
        <f>IFERROR(__xludf.DUMMYFUNCTION("GOOGLEFINANCE(A171, ""changepct"")"),-0.68)</f>
        <v>-0.68</v>
      </c>
      <c r="D171" s="9">
        <f>IFERROR(__xludf.DUMMYFUNCTION("GOOGLEFINANCE(A171, ""priceopen"")"),1790.0)</f>
        <v>1790</v>
      </c>
      <c r="E171" s="9">
        <f>IFERROR(__xludf.DUMMYFUNCTION("GOOGLEFINANCE(A171, ""high"")"),1799.9)</f>
        <v>1799.9</v>
      </c>
      <c r="F171" s="9">
        <f>IFERROR(__xludf.DUMMYFUNCTION("GOOGLEFINANCE(A171, ""low"")"),1764.5)</f>
        <v>1764.5</v>
      </c>
      <c r="G171" s="9">
        <f>IFERROR(__xludf.DUMMYFUNCTION("GOOGLEFINANCE(A171, ""price"")"),1781.4)</f>
        <v>1781.4</v>
      </c>
      <c r="H171" s="9">
        <f>IFERROR(__xludf.DUMMYFUNCTION("MAX(INDEX(GOOGLEFINANCE(A171, ""high"", TODAY()-30, TODAY()), 0, 2))"),1947.9)</f>
        <v>1947.9</v>
      </c>
      <c r="I171" s="9">
        <f>IFERROR(__xludf.DUMMYFUNCTION("MIN(INDEX(GOOGLEFINANCE(A171, ""low"", TODAY()-30, TODAY()), 0, 2))"),1764.0)</f>
        <v>1764</v>
      </c>
      <c r="J171" s="9">
        <f>IFERROR(__xludf.DUMMYFUNCTION("GOOGLEFINANCE(A171, ""high52"")"),1986.1)</f>
        <v>1986.1</v>
      </c>
      <c r="K171" s="9">
        <f>IFERROR(__xludf.DUMMYFUNCTION("GOOGLEFINANCE(A171, ""low52"")"),1391.2)</f>
        <v>1391.2</v>
      </c>
      <c r="L171" s="9">
        <f t="shared" si="1"/>
        <v>0.1030663109</v>
      </c>
      <c r="M171" s="9">
        <f t="shared" si="2"/>
        <v>0.2804772858</v>
      </c>
      <c r="N171" s="9">
        <f t="shared" si="3"/>
        <v>0.02006234061</v>
      </c>
      <c r="O171" s="9">
        <f t="shared" si="4"/>
        <v>0.09461663948</v>
      </c>
      <c r="P171" s="9">
        <f>IFERROR(__xludf.DUMMYFUNCTION("GOOGLEFINANCE(A171, ""pe"")"),24.65)</f>
        <v>24.65</v>
      </c>
      <c r="Q171" s="9">
        <f>IFERROR(__xludf.DUMMYFUNCTION("IFERROR(GOOGLEFINANCE(A171, ""volume"") / GOOGLEFINANCE(A171, ""volumeavg""), 0)"),0.0)</f>
        <v>0</v>
      </c>
      <c r="R171" s="9">
        <f>IFERROR(__xludf.DUMMYFUNCTION("AVERAGE(INDEX(GOOGLEFINANCE(A171, ""price"", TODAY()-30, TODAY()), 0, 2))"),1837.7956521739131)</f>
        <v>1837.795652</v>
      </c>
      <c r="S171" s="9">
        <f>IFERROR(__xludf.DUMMYFUNCTION("AVERAGE(INDEX(GOOGLEFINANCE(A171, ""price"", TODAY()-75, TODAY()), 0, 2))"),1777.9735849056601)</f>
        <v>1777.973585</v>
      </c>
      <c r="T171" s="9">
        <f>IFERROR(__xludf.DUMMYFUNCTION("AVERAGE(INDEX(GOOGLEFINANCE(A171, ""price"", TODAY()-300, TODAY()), 0, 2))"),1661.9643564356436)</f>
        <v>1661.964356</v>
      </c>
      <c r="U171" s="9">
        <f t="shared" si="5"/>
        <v>-0.03068657394</v>
      </c>
      <c r="V171" s="15">
        <f>IFERROR(__xludf.DUMMYFUNCTION("LET(hist, GOOGLEFINANCE(A171,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rs))))))"),46.49730561970749)</f>
        <v>46.49730562</v>
      </c>
      <c r="W171" s="16" t="str">
        <f>IFERROR(__xludf.DUMMYFUNCTION("IFERROR(GOOGLEFINANCE(A171, ""volume"") / GOOGLEFINANCE(A171, ""volumeavg""), )"),"")</f>
        <v/>
      </c>
      <c r="X171" s="9">
        <f>IFERROR(__xludf.DUMMYFUNCTION("B171 * GOOGLEFINANCE(A171, ""volume"")"),3.06543312E8)</f>
        <v>306543312</v>
      </c>
      <c r="Y171" s="9">
        <f>IFERROR(__xludf.DUMMYFUNCTION("IFERROR(((B171 - GOOGLEFINANCE(A171, ""priceopen"")) / GOOGLEFINANCE(A171, ""priceopen"")) * GOOGLEFINANCE(A171, ""volume""), 0)"),-826.7530726256896)</f>
        <v>-826.7530726</v>
      </c>
    </row>
    <row r="172">
      <c r="A172" s="4" t="s">
        <v>1181</v>
      </c>
      <c r="B172" s="7">
        <f>IFERROR(__xludf.DUMMYFUNCTION("GOOGLEFINANCE(A172, ""price"")"),47.07)</f>
        <v>47.07</v>
      </c>
      <c r="C172" s="7">
        <f>IFERROR(__xludf.DUMMYFUNCTION("GOOGLEFINANCE(A172, ""changepct"")"),-0.91)</f>
        <v>-0.91</v>
      </c>
      <c r="D172" s="9">
        <f>IFERROR(__xludf.DUMMYFUNCTION("GOOGLEFINANCE(A172, ""priceopen"")"),47.49)</f>
        <v>47.49</v>
      </c>
      <c r="E172" s="9">
        <f>IFERROR(__xludf.DUMMYFUNCTION("GOOGLEFINANCE(A172, ""high"")"),47.49)</f>
        <v>47.49</v>
      </c>
      <c r="F172" s="9">
        <f>IFERROR(__xludf.DUMMYFUNCTION("GOOGLEFINANCE(A172, ""low"")"),46.9)</f>
        <v>46.9</v>
      </c>
      <c r="G172" s="9">
        <f>IFERROR(__xludf.DUMMYFUNCTION("GOOGLEFINANCE(A172, ""price"")"),47.07)</f>
        <v>47.07</v>
      </c>
      <c r="H172" s="9">
        <f>IFERROR(__xludf.DUMMYFUNCTION("MAX(INDEX(GOOGLEFINANCE(A172, ""high"", TODAY()-30, TODAY()), 0, 2))"),53.7)</f>
        <v>53.7</v>
      </c>
      <c r="I172" s="9">
        <f>IFERROR(__xludf.DUMMYFUNCTION("MIN(INDEX(GOOGLEFINANCE(A172, ""low"", TODAY()-30, TODAY()), 0, 2))"),45.93)</f>
        <v>45.93</v>
      </c>
      <c r="J172" s="9">
        <f>IFERROR(__xludf.DUMMYFUNCTION("GOOGLEFINANCE(A172, ""high52"")"),64.95)</f>
        <v>64.95</v>
      </c>
      <c r="K172" s="9">
        <f>IFERROR(__xludf.DUMMYFUNCTION("GOOGLEFINANCE(A172, ""low52"")"),38.19)</f>
        <v>38.19</v>
      </c>
      <c r="L172" s="9">
        <f t="shared" si="1"/>
        <v>0.2752886836</v>
      </c>
      <c r="M172" s="9">
        <f t="shared" si="2"/>
        <v>0.2325216025</v>
      </c>
      <c r="N172" s="9">
        <f t="shared" si="3"/>
        <v>0.01257995736</v>
      </c>
      <c r="O172" s="9">
        <f t="shared" si="4"/>
        <v>0.1467181467</v>
      </c>
      <c r="P172" s="9">
        <f>IFERROR(__xludf.DUMMYFUNCTION("GOOGLEFINANCE(A172, ""pe"")"),20.64)</f>
        <v>20.64</v>
      </c>
      <c r="Q172" s="9">
        <f>IFERROR(__xludf.DUMMYFUNCTION("IFERROR(GOOGLEFINANCE(A172, ""volume"") / GOOGLEFINANCE(A172, ""volumeavg""), 0)"),0.0)</f>
        <v>0</v>
      </c>
      <c r="R172" s="9">
        <f>IFERROR(__xludf.DUMMYFUNCTION("AVERAGE(INDEX(GOOGLEFINANCE(A172, ""price"", TODAY()-30, TODAY()), 0, 2))"),50.123913043478254)</f>
        <v>50.12391304</v>
      </c>
      <c r="S172" s="9">
        <f>IFERROR(__xludf.DUMMYFUNCTION("AVERAGE(INDEX(GOOGLEFINANCE(A172, ""price"", TODAY()-75, TODAY()), 0, 2))"),53.55433962264153)</f>
        <v>53.55433962</v>
      </c>
      <c r="T172" s="9">
        <f>IFERROR(__xludf.DUMMYFUNCTION("AVERAGE(INDEX(GOOGLEFINANCE(A172, ""price"", TODAY()-300, TODAY()), 0, 2))"),51.150198019801984)</f>
        <v>51.15019802</v>
      </c>
      <c r="U172" s="9">
        <f t="shared" si="5"/>
        <v>-0.06092726721</v>
      </c>
      <c r="V172" s="15">
        <f>IFERROR(__xludf.DUMMYFUNCTION("LET(hist, GOOGLEFINANCE(A172,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rs))))))"),20.560747663551396)</f>
        <v>20.56074766</v>
      </c>
      <c r="W172" s="16" t="str">
        <f>IFERROR(__xludf.DUMMYFUNCTION("IFERROR(GOOGLEFINANCE(A172, ""volume"") / GOOGLEFINANCE(A172, ""volumeavg""), )"),"")</f>
        <v/>
      </c>
      <c r="X172" s="9">
        <f>IFERROR(__xludf.DUMMYFUNCTION("B172 * GOOGLEFINANCE(A172, ""volume"")"),1.96568137377E9)</f>
        <v>1965681374</v>
      </c>
      <c r="Y172" s="9">
        <f>IFERROR(__xludf.DUMMYFUNCTION("IFERROR(((B172 - GOOGLEFINANCE(A172, ""priceopen"")) / GOOGLEFINANCE(A172, ""priceopen"")) * GOOGLEFINANCE(A172, ""volume""), 0)"),-369331.24068225035)</f>
        <v>-369331.2407</v>
      </c>
    </row>
    <row r="173">
      <c r="A173" s="4" t="s">
        <v>1186</v>
      </c>
      <c r="B173" s="7">
        <f>IFERROR(__xludf.DUMMYFUNCTION("GOOGLEFINANCE(A173, ""price"")"),33.9)</f>
        <v>33.9</v>
      </c>
      <c r="C173" s="7">
        <f>IFERROR(__xludf.DUMMYFUNCTION("GOOGLEFINANCE(A173, ""changepct"")"),-0.91)</f>
        <v>-0.91</v>
      </c>
      <c r="D173" s="9">
        <f>IFERROR(__xludf.DUMMYFUNCTION("GOOGLEFINANCE(A173, ""priceopen"")"),34.3)</f>
        <v>34.3</v>
      </c>
      <c r="E173" s="9">
        <f>IFERROR(__xludf.DUMMYFUNCTION("GOOGLEFINANCE(A173, ""high"")"),34.51)</f>
        <v>34.51</v>
      </c>
      <c r="F173" s="9">
        <f>IFERROR(__xludf.DUMMYFUNCTION("GOOGLEFINANCE(A173, ""low"")"),33.71)</f>
        <v>33.71</v>
      </c>
      <c r="G173" s="9">
        <f>IFERROR(__xludf.DUMMYFUNCTION("GOOGLEFINANCE(A173, ""price"")"),33.9)</f>
        <v>33.9</v>
      </c>
      <c r="H173" s="9">
        <f>IFERROR(__xludf.DUMMYFUNCTION("MAX(INDEX(GOOGLEFINANCE(A173, ""high"", TODAY()-30, TODAY()), 0, 2))"),36.2)</f>
        <v>36.2</v>
      </c>
      <c r="I173" s="9">
        <f>IFERROR(__xludf.DUMMYFUNCTION("MIN(INDEX(GOOGLEFINANCE(A173, ""low"", TODAY()-30, TODAY()), 0, 2))"),33.23)</f>
        <v>33.23</v>
      </c>
      <c r="J173" s="9">
        <f>IFERROR(__xludf.DUMMYFUNCTION("GOOGLEFINANCE(A173, ""high52"")"),41.8)</f>
        <v>41.8</v>
      </c>
      <c r="K173" s="9">
        <f>IFERROR(__xludf.DUMMYFUNCTION("GOOGLEFINANCE(A173, ""low52"")"),31.2)</f>
        <v>31.2</v>
      </c>
      <c r="L173" s="9">
        <f t="shared" si="1"/>
        <v>0.1889952153</v>
      </c>
      <c r="M173" s="9">
        <f t="shared" si="2"/>
        <v>0.08653846154</v>
      </c>
      <c r="N173" s="9">
        <f t="shared" si="3"/>
        <v>0.02373183032</v>
      </c>
      <c r="O173" s="9">
        <f t="shared" si="4"/>
        <v>0.2255892256</v>
      </c>
      <c r="P173" s="9">
        <f>IFERROR(__xludf.DUMMYFUNCTION("GOOGLEFINANCE(A173, ""pe"")"),10.65)</f>
        <v>10.65</v>
      </c>
      <c r="Q173" s="9">
        <f>IFERROR(__xludf.DUMMYFUNCTION("IFERROR(GOOGLEFINANCE(A173, ""volume"") / GOOGLEFINANCE(A173, ""volumeavg""), 0)"),0.0)</f>
        <v>0</v>
      </c>
      <c r="R173" s="9">
        <f>IFERROR(__xludf.DUMMYFUNCTION("AVERAGE(INDEX(GOOGLEFINANCE(A173, ""price"", TODAY()-30, TODAY()), 0, 2))"),34.119565217391305)</f>
        <v>34.11956522</v>
      </c>
      <c r="S173" s="9">
        <f>IFERROR(__xludf.DUMMYFUNCTION("AVERAGE(INDEX(GOOGLEFINANCE(A173, ""price"", TODAY()-75, TODAY()), 0, 2))"),34.01132075471698)</f>
        <v>34.01132075</v>
      </c>
      <c r="T173" s="9">
        <f>IFERROR(__xludf.DUMMYFUNCTION("AVERAGE(INDEX(GOOGLEFINANCE(A173, ""price"", TODAY()-300, TODAY()), 0, 2))"),35.33628712871289)</f>
        <v>35.33628713</v>
      </c>
      <c r="U173" s="9">
        <f t="shared" si="5"/>
        <v>-0.006435170436</v>
      </c>
      <c r="V173" s="15">
        <f>IFERROR(__xludf.DUMMYFUNCTION("LET(hist, GOOGLEFINANCE(A173,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rs))))))"),50.28089887640453)</f>
        <v>50.28089888</v>
      </c>
      <c r="W173" s="16" t="str">
        <f>IFERROR(__xludf.DUMMYFUNCTION("IFERROR(GOOGLEFINANCE(A173, ""volume"") / GOOGLEFINANCE(A173, ""volumeavg""), )"),"")</f>
        <v/>
      </c>
      <c r="X173" s="9">
        <f>IFERROR(__xludf.DUMMYFUNCTION("B173 * GOOGLEFINANCE(A173, ""volume"")"),1.0821280019999999E8)</f>
        <v>108212800.2</v>
      </c>
      <c r="Y173" s="9">
        <f>IFERROR(__xludf.DUMMYFUNCTION("IFERROR(((B173 - GOOGLEFINANCE(A173, ""priceopen"")) / GOOGLEFINANCE(A173, ""priceopen"")) * GOOGLEFINANCE(A173, ""volume""), 0)"),-37225.8658892127)</f>
        <v>-37225.86589</v>
      </c>
    </row>
    <row r="174">
      <c r="A174" s="4" t="s">
        <v>1191</v>
      </c>
      <c r="B174" s="7">
        <f>IFERROR(__xludf.DUMMYFUNCTION("GOOGLEFINANCE(A174, ""price"")"),418.8)</f>
        <v>418.8</v>
      </c>
      <c r="C174" s="7">
        <f>IFERROR(__xludf.DUMMYFUNCTION("GOOGLEFINANCE(A174, ""changepct"")"),7.94)</f>
        <v>7.94</v>
      </c>
      <c r="D174" s="9">
        <f>IFERROR(__xludf.DUMMYFUNCTION("GOOGLEFINANCE(A174, ""priceopen"")"),398.5)</f>
        <v>398.5</v>
      </c>
      <c r="E174" s="9">
        <f>IFERROR(__xludf.DUMMYFUNCTION("GOOGLEFINANCE(A174, ""high"")"),422.2)</f>
        <v>422.2</v>
      </c>
      <c r="F174" s="9">
        <f>IFERROR(__xludf.DUMMYFUNCTION("GOOGLEFINANCE(A174, ""low"")"),398.5)</f>
        <v>398.5</v>
      </c>
      <c r="G174" s="9">
        <f>IFERROR(__xludf.DUMMYFUNCTION("GOOGLEFINANCE(A174, ""price"")"),418.8)</f>
        <v>418.8</v>
      </c>
      <c r="H174" s="9">
        <f>IFERROR(__xludf.DUMMYFUNCTION("MAX(INDEX(GOOGLEFINANCE(A174, ""high"", TODAY()-30, TODAY()), 0, 2))"),422.2)</f>
        <v>422.2</v>
      </c>
      <c r="I174" s="9">
        <f>IFERROR(__xludf.DUMMYFUNCTION("MIN(INDEX(GOOGLEFINANCE(A174, ""low"", TODAY()-30, TODAY()), 0, 2))"),332.0)</f>
        <v>332</v>
      </c>
      <c r="J174" s="9">
        <f>IFERROR(__xludf.DUMMYFUNCTION("GOOGLEFINANCE(A174, ""high52"")"),445.15)</f>
        <v>445.15</v>
      </c>
      <c r="K174" s="9">
        <f>IFERROR(__xludf.DUMMYFUNCTION("GOOGLEFINANCE(A174, ""low52"")"),183.86)</f>
        <v>183.86</v>
      </c>
      <c r="L174" s="9">
        <f t="shared" si="1"/>
        <v>0.05919353027</v>
      </c>
      <c r="M174" s="9">
        <f t="shared" si="2"/>
        <v>1.27782008</v>
      </c>
      <c r="N174" s="9">
        <f t="shared" si="3"/>
        <v>0.05947302384</v>
      </c>
      <c r="O174" s="9">
        <f t="shared" si="4"/>
        <v>0.9623059867</v>
      </c>
      <c r="P174" s="9">
        <f>IFERROR(__xludf.DUMMYFUNCTION("GOOGLEFINANCE(A174, ""pe"")"),11.39)</f>
        <v>11.39</v>
      </c>
      <c r="Q174" s="9">
        <f>IFERROR(__xludf.DUMMYFUNCTION("IFERROR(GOOGLEFINANCE(A174, ""volume"") / GOOGLEFINANCE(A174, ""volumeavg""), 0)"),0.0)</f>
        <v>0</v>
      </c>
      <c r="R174" s="9">
        <f>IFERROR(__xludf.DUMMYFUNCTION("AVERAGE(INDEX(GOOGLEFINANCE(A174, ""price"", TODAY()-30, TODAY()), 0, 2))"),360.4369565217391)</f>
        <v>360.4369565</v>
      </c>
      <c r="S174" s="9">
        <f>IFERROR(__xludf.DUMMYFUNCTION("AVERAGE(INDEX(GOOGLEFINANCE(A174, ""price"", TODAY()-75, TODAY()), 0, 2))"),366.81886792452826)</f>
        <v>366.8188679</v>
      </c>
      <c r="T174" s="9">
        <f>IFERROR(__xludf.DUMMYFUNCTION("AVERAGE(INDEX(GOOGLEFINANCE(A174, ""price"", TODAY()-300, TODAY()), 0, 2))"),348.2677722772278)</f>
        <v>348.2677723</v>
      </c>
      <c r="U174" s="9">
        <f t="shared" si="5"/>
        <v>0.1619230282</v>
      </c>
      <c r="V174" s="15">
        <f>IFERROR(__xludf.DUMMYFUNCTION("LET(hist, GOOGLEFINANCE(A174,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rs))))))"),88.18369453044377)</f>
        <v>88.18369453</v>
      </c>
      <c r="W174" s="16" t="str">
        <f>IFERROR(__xludf.DUMMYFUNCTION("IFERROR(GOOGLEFINANCE(A174, ""volume"") / GOOGLEFINANCE(A174, ""volumeavg""), )"),"")</f>
        <v/>
      </c>
      <c r="X174" s="9">
        <f>IFERROR(__xludf.DUMMYFUNCTION("B174 * GOOGLEFINANCE(A174, ""volume"")"),1.4401833022800001E10)</f>
        <v>14401833023</v>
      </c>
      <c r="Y174" s="9">
        <f>IFERROR(__xludf.DUMMYFUNCTION("IFERROR(((B174 - GOOGLEFINANCE(A174, ""priceopen"")) / GOOGLEFINANCE(A174, ""priceopen"")) * GOOGLEFINANCE(A174, ""volume""), 0)"),1751776.9618569647)</f>
        <v>1751776.962</v>
      </c>
    </row>
    <row r="175">
      <c r="A175" s="4" t="s">
        <v>1197</v>
      </c>
      <c r="B175" s="7">
        <f>IFERROR(__xludf.DUMMYFUNCTION("GOOGLEFINANCE(A175, ""price"")"),4128.7)</f>
        <v>4128.7</v>
      </c>
      <c r="C175" s="7">
        <f>IFERROR(__xludf.DUMMYFUNCTION("GOOGLEFINANCE(A175, ""changepct"")"),-0.54)</f>
        <v>-0.54</v>
      </c>
      <c r="D175" s="9">
        <f>IFERROR(__xludf.DUMMYFUNCTION("GOOGLEFINANCE(A175, ""priceopen"")"),4151.3)</f>
        <v>4151.3</v>
      </c>
      <c r="E175" s="9">
        <f>IFERROR(__xludf.DUMMYFUNCTION("GOOGLEFINANCE(A175, ""high"")"),4189.9)</f>
        <v>4189.9</v>
      </c>
      <c r="F175" s="9">
        <f>IFERROR(__xludf.DUMMYFUNCTION("GOOGLEFINANCE(A175, ""low"")"),4105.5)</f>
        <v>4105.5</v>
      </c>
      <c r="G175" s="9">
        <f>IFERROR(__xludf.DUMMYFUNCTION("GOOGLEFINANCE(A175, ""price"")"),4128.7)</f>
        <v>4128.7</v>
      </c>
      <c r="H175" s="9">
        <f>IFERROR(__xludf.DUMMYFUNCTION("MAX(INDEX(GOOGLEFINANCE(A175, ""high"", TODAY()-30, TODAY()), 0, 2))"),4219.0)</f>
        <v>4219</v>
      </c>
      <c r="I175" s="9">
        <f>IFERROR(__xludf.DUMMYFUNCTION("MIN(INDEX(GOOGLEFINANCE(A175, ""low"", TODAY()-30, TODAY()), 0, 2))"),3950.1)</f>
        <v>3950.1</v>
      </c>
      <c r="J175" s="9">
        <f>IFERROR(__xludf.DUMMYFUNCTION("GOOGLEFINANCE(A175, ""high52"")"),4467.7)</f>
        <v>4467.7</v>
      </c>
      <c r="K175" s="9">
        <f>IFERROR(__xludf.DUMMYFUNCTION("GOOGLEFINANCE(A175, ""low52"")"),3518.4)</f>
        <v>3518.4</v>
      </c>
      <c r="L175" s="9">
        <f t="shared" si="1"/>
        <v>0.07587796853</v>
      </c>
      <c r="M175" s="9">
        <f t="shared" si="2"/>
        <v>0.1734595271</v>
      </c>
      <c r="N175" s="9">
        <f t="shared" si="3"/>
        <v>0.02055778833</v>
      </c>
      <c r="O175" s="9">
        <f t="shared" si="4"/>
        <v>0.6641874303</v>
      </c>
      <c r="P175" s="9">
        <f>IFERROR(__xludf.DUMMYFUNCTION("GOOGLEFINANCE(A175, ""pe"")"),51.55)</f>
        <v>51.55</v>
      </c>
      <c r="Q175" s="9">
        <f>IFERROR(__xludf.DUMMYFUNCTION("IFERROR(GOOGLEFINANCE(A175, ""volume"") / GOOGLEFINANCE(A175, ""volumeavg""), 0)"),0.0)</f>
        <v>0</v>
      </c>
      <c r="R175" s="9">
        <f>IFERROR(__xludf.DUMMYFUNCTION("AVERAGE(INDEX(GOOGLEFINANCE(A175, ""price"", TODAY()-30, TODAY()), 0, 2))"),4114.852173913043)</f>
        <v>4114.852174</v>
      </c>
      <c r="S175" s="9">
        <f>IFERROR(__xludf.DUMMYFUNCTION("AVERAGE(INDEX(GOOGLEFINANCE(A175, ""price"", TODAY()-75, TODAY()), 0, 2))"),4114.064150943397)</f>
        <v>4114.064151</v>
      </c>
      <c r="T175" s="9">
        <f>IFERROR(__xludf.DUMMYFUNCTION("AVERAGE(INDEX(GOOGLEFINANCE(A175, ""price"", TODAY()-300, TODAY()), 0, 2))"),3999.1420792079166)</f>
        <v>3999.142079</v>
      </c>
      <c r="U175" s="9">
        <f t="shared" si="5"/>
        <v>0.003365327721</v>
      </c>
      <c r="V175" s="15">
        <f>IFERROR(__xludf.DUMMYFUNCTION("LET(hist, GOOGLEFINANCE(A175,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rs))))))"),52.90656205420831)</f>
        <v>52.90656205</v>
      </c>
      <c r="W175" s="16" t="str">
        <f>IFERROR(__xludf.DUMMYFUNCTION("IFERROR(GOOGLEFINANCE(A175, ""volume"") / GOOGLEFINANCE(A175, ""volumeavg""), )"),"")</f>
        <v/>
      </c>
      <c r="X175" s="9">
        <f>IFERROR(__xludf.DUMMYFUNCTION("B175 * GOOGLEFINANCE(A175, ""volume"")"),2.4905969879999998E8)</f>
        <v>249059698.8</v>
      </c>
      <c r="Y175" s="9">
        <f>IFERROR(__xludf.DUMMYFUNCTION("IFERROR(((B175 - GOOGLEFINANCE(A175, ""priceopen"")) / GOOGLEFINANCE(A175, ""priceopen"")) * GOOGLEFINANCE(A175, ""volume""), 0)"),-328.40854672030974)</f>
        <v>-328.4085467</v>
      </c>
    </row>
    <row r="176">
      <c r="A176" s="4" t="s">
        <v>1202</v>
      </c>
      <c r="B176" s="7">
        <f>IFERROR(__xludf.DUMMYFUNCTION("GOOGLEFINANCE(A176, ""price"")"),2004.0)</f>
        <v>2004</v>
      </c>
      <c r="C176" s="7">
        <f>IFERROR(__xludf.DUMMYFUNCTION("GOOGLEFINANCE(A176, ""changepct"")"),-1.66)</f>
        <v>-1.66</v>
      </c>
      <c r="D176" s="9">
        <f>IFERROR(__xludf.DUMMYFUNCTION("GOOGLEFINANCE(A176, ""priceopen"")"),2035.0)</f>
        <v>2035</v>
      </c>
      <c r="E176" s="9">
        <f>IFERROR(__xludf.DUMMYFUNCTION("GOOGLEFINANCE(A176, ""high"")"),2042.0)</f>
        <v>2042</v>
      </c>
      <c r="F176" s="9">
        <f>IFERROR(__xludf.DUMMYFUNCTION("GOOGLEFINANCE(A176, ""low"")"),1984.0)</f>
        <v>1984</v>
      </c>
      <c r="G176" s="9">
        <f>IFERROR(__xludf.DUMMYFUNCTION("GOOGLEFINANCE(A176, ""price"")"),2004.0)</f>
        <v>2004</v>
      </c>
      <c r="H176" s="9">
        <f>IFERROR(__xludf.DUMMYFUNCTION("MAX(INDEX(GOOGLEFINANCE(A176, ""high"", TODAY()-30, TODAY()), 0, 2))"),2180.0)</f>
        <v>2180</v>
      </c>
      <c r="I176" s="9">
        <f>IFERROR(__xludf.DUMMYFUNCTION("MIN(INDEX(GOOGLEFINANCE(A176, ""low"", TODAY()-30, TODAY()), 0, 2))"),1965.2)</f>
        <v>1965.2</v>
      </c>
      <c r="J176" s="9">
        <f>IFERROR(__xludf.DUMMYFUNCTION("GOOGLEFINANCE(A176, ""high52"")"),2352.0)</f>
        <v>2352</v>
      </c>
      <c r="K176" s="9">
        <f>IFERROR(__xludf.DUMMYFUNCTION("GOOGLEFINANCE(A176, ""low52"")"),1434.0)</f>
        <v>1434</v>
      </c>
      <c r="L176" s="9">
        <f t="shared" si="1"/>
        <v>0.1479591837</v>
      </c>
      <c r="M176" s="9">
        <f t="shared" si="2"/>
        <v>0.3974895397</v>
      </c>
      <c r="N176" s="9">
        <f t="shared" si="3"/>
        <v>0.02923387097</v>
      </c>
      <c r="O176" s="9">
        <f t="shared" si="4"/>
        <v>0.1806331471</v>
      </c>
      <c r="P176" s="9">
        <f>IFERROR(__xludf.DUMMYFUNCTION("GOOGLEFINANCE(A176, ""pe"")"),37.73)</f>
        <v>37.73</v>
      </c>
      <c r="Q176" s="9">
        <f>IFERROR(__xludf.DUMMYFUNCTION("IFERROR(GOOGLEFINANCE(A176, ""volume"") / GOOGLEFINANCE(A176, ""volumeavg""), 0)"),0.0)</f>
        <v>0</v>
      </c>
      <c r="R176" s="9">
        <f>IFERROR(__xludf.DUMMYFUNCTION("AVERAGE(INDEX(GOOGLEFINANCE(A176, ""price"", TODAY()-30, TODAY()), 0, 2))"),2092.3521739130433)</f>
        <v>2092.352174</v>
      </c>
      <c r="S176" s="9">
        <f>IFERROR(__xludf.DUMMYFUNCTION("AVERAGE(INDEX(GOOGLEFINANCE(A176, ""price"", TODAY()-75, TODAY()), 0, 2))"),1939.3754716981132)</f>
        <v>1939.375472</v>
      </c>
      <c r="T176" s="9">
        <f>IFERROR(__xludf.DUMMYFUNCTION("AVERAGE(INDEX(GOOGLEFINANCE(A176, ""price"", TODAY()-300, TODAY()), 0, 2))"),1895.367326732674)</f>
        <v>1895.367327</v>
      </c>
      <c r="U176" s="9">
        <f t="shared" si="5"/>
        <v>-0.04222624423</v>
      </c>
      <c r="V176" s="15">
        <f>IFERROR(__xludf.DUMMYFUNCTION("LET(hist, GOOGLEFINANCE(A176,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rs))))))"),47.337156902908646)</f>
        <v>47.3371569</v>
      </c>
      <c r="W176" s="16" t="str">
        <f>IFERROR(__xludf.DUMMYFUNCTION("IFERROR(GOOGLEFINANCE(A176, ""volume"") / GOOGLEFINANCE(A176, ""volumeavg""), )"),"")</f>
        <v/>
      </c>
      <c r="X176" s="9">
        <f>IFERROR(__xludf.DUMMYFUNCTION("B176 * GOOGLEFINANCE(A176, ""volume"")"),9.3570768E8)</f>
        <v>935707680</v>
      </c>
      <c r="Y176" s="9">
        <f>IFERROR(__xludf.DUMMYFUNCTION("IFERROR(((B176 - GOOGLEFINANCE(A176, ""priceopen"")) / GOOGLEFINANCE(A176, ""priceopen"")) * GOOGLEFINANCE(A176, ""volume""), 0)"),-7112.786240786241)</f>
        <v>-7112.786241</v>
      </c>
    </row>
    <row r="177">
      <c r="A177" s="4" t="s">
        <v>1208</v>
      </c>
      <c r="B177" s="7">
        <f>IFERROR(__xludf.DUMMYFUNCTION("GOOGLEFINANCE(A177, ""price"")"),599.55)</f>
        <v>599.55</v>
      </c>
      <c r="C177" s="7">
        <f>IFERROR(__xludf.DUMMYFUNCTION("GOOGLEFINANCE(A177, ""changepct"")"),-0.44)</f>
        <v>-0.44</v>
      </c>
      <c r="D177" s="9">
        <f>IFERROR(__xludf.DUMMYFUNCTION("GOOGLEFINANCE(A177, ""priceopen"")"),605.0)</f>
        <v>605</v>
      </c>
      <c r="E177" s="9">
        <f>IFERROR(__xludf.DUMMYFUNCTION("GOOGLEFINANCE(A177, ""high"")"),608.6)</f>
        <v>608.6</v>
      </c>
      <c r="F177" s="9">
        <f>IFERROR(__xludf.DUMMYFUNCTION("GOOGLEFINANCE(A177, ""low"")"),585.05)</f>
        <v>585.05</v>
      </c>
      <c r="G177" s="9">
        <f>IFERROR(__xludf.DUMMYFUNCTION("GOOGLEFINANCE(A177, ""price"")"),599.55)</f>
        <v>599.55</v>
      </c>
      <c r="H177" s="9">
        <f>IFERROR(__xludf.DUMMYFUNCTION("MAX(INDEX(GOOGLEFINANCE(A177, ""high"", TODAY()-30, TODAY()), 0, 2))"),648.95)</f>
        <v>648.95</v>
      </c>
      <c r="I177" s="9">
        <f>IFERROR(__xludf.DUMMYFUNCTION("MIN(INDEX(GOOGLEFINANCE(A177, ""low"", TODAY()-30, TODAY()), 0, 2))"),469.0)</f>
        <v>469</v>
      </c>
      <c r="J177" s="9">
        <f>IFERROR(__xludf.DUMMYFUNCTION("GOOGLEFINANCE(A177, ""high52"")"),648.95)</f>
        <v>648.95</v>
      </c>
      <c r="K177" s="9">
        <f>IFERROR(__xludf.DUMMYFUNCTION("GOOGLEFINANCE(A177, ""low52"")"),327.05)</f>
        <v>327.05</v>
      </c>
      <c r="L177" s="9">
        <f t="shared" si="1"/>
        <v>0.07612296787</v>
      </c>
      <c r="M177" s="9">
        <f t="shared" si="2"/>
        <v>0.8332059318</v>
      </c>
      <c r="N177" s="9">
        <f t="shared" si="3"/>
        <v>0.04025296983</v>
      </c>
      <c r="O177" s="9">
        <f t="shared" si="4"/>
        <v>0.7254792998</v>
      </c>
      <c r="P177" s="9">
        <f>IFERROR(__xludf.DUMMYFUNCTION("GOOGLEFINANCE(A177, ""pe"")"),43.23)</f>
        <v>43.23</v>
      </c>
      <c r="Q177" s="9">
        <f>IFERROR(__xludf.DUMMYFUNCTION("IFERROR(GOOGLEFINANCE(A177, ""volume"") / GOOGLEFINANCE(A177, ""volumeavg""), 0)"),0.0)</f>
        <v>0</v>
      </c>
      <c r="R177" s="9">
        <f>IFERROR(__xludf.DUMMYFUNCTION("AVERAGE(INDEX(GOOGLEFINANCE(A177, ""price"", TODAY()-30, TODAY()), 0, 2))"),584.0369565217392)</f>
        <v>584.0369565</v>
      </c>
      <c r="S177" s="9">
        <f>IFERROR(__xludf.DUMMYFUNCTION("AVERAGE(INDEX(GOOGLEFINANCE(A177, ""price"", TODAY()-75, TODAY()), 0, 2))"),465.2773584905659)</f>
        <v>465.2773585</v>
      </c>
      <c r="T177" s="9">
        <f>IFERROR(__xludf.DUMMYFUNCTION("AVERAGE(INDEX(GOOGLEFINANCE(A177, ""price"", TODAY()-300, TODAY()), 0, 2))"),445.37363184079635)</f>
        <v>445.3736318</v>
      </c>
      <c r="U177" s="9">
        <f t="shared" si="5"/>
        <v>0.02656174974</v>
      </c>
      <c r="V177" s="15">
        <f>IFERROR(__xludf.DUMMYFUNCTION("LET(hist, GOOGLEFINANCE(A177,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rs))))))"),52.68895348837209)</f>
        <v>52.68895349</v>
      </c>
      <c r="W177" s="16" t="str">
        <f>IFERROR(__xludf.DUMMYFUNCTION("IFERROR(GOOGLEFINANCE(A177, ""volume"") / GOOGLEFINANCE(A177, ""volumeavg""), )"),"")</f>
        <v/>
      </c>
      <c r="X177" s="9">
        <f>IFERROR(__xludf.DUMMYFUNCTION("B177 * GOOGLEFINANCE(A177, ""volume"")"),5.546620512299999E9)</f>
        <v>5546620512</v>
      </c>
      <c r="Y177" s="9">
        <f>IFERROR(__xludf.DUMMYFUNCTION("IFERROR(((B177 - GOOGLEFINANCE(A177, ""priceopen"")) / GOOGLEFINANCE(A177, ""priceopen"")) * GOOGLEFINANCE(A177, ""volume""), 0)"),-83338.21107438086)</f>
        <v>-83338.21107</v>
      </c>
    </row>
    <row r="178">
      <c r="A178" s="4" t="s">
        <v>1213</v>
      </c>
      <c r="B178" s="7">
        <f>IFERROR(__xludf.DUMMYFUNCTION("GOOGLEFINANCE(A178, ""price"")"),2285.0)</f>
        <v>2285</v>
      </c>
      <c r="C178" s="7">
        <f>IFERROR(__xludf.DUMMYFUNCTION("GOOGLEFINANCE(A178, ""changepct"")"),0.4)</f>
        <v>0.4</v>
      </c>
      <c r="D178" s="9">
        <f>IFERROR(__xludf.DUMMYFUNCTION("GOOGLEFINANCE(A178, ""priceopen"")"),2276.0)</f>
        <v>2276</v>
      </c>
      <c r="E178" s="9">
        <f>IFERROR(__xludf.DUMMYFUNCTION("GOOGLEFINANCE(A178, ""high"")"),2310.0)</f>
        <v>2310</v>
      </c>
      <c r="F178" s="9">
        <f>IFERROR(__xludf.DUMMYFUNCTION("GOOGLEFINANCE(A178, ""low"")"),2272.4)</f>
        <v>2272.4</v>
      </c>
      <c r="G178" s="9">
        <f>IFERROR(__xludf.DUMMYFUNCTION("GOOGLEFINANCE(A178, ""price"")"),2285.0)</f>
        <v>2285</v>
      </c>
      <c r="H178" s="9">
        <f>IFERROR(__xludf.DUMMYFUNCTION("MAX(INDEX(GOOGLEFINANCE(A178, ""high"", TODAY()-30, TODAY()), 0, 2))"),2326.1)</f>
        <v>2326.1</v>
      </c>
      <c r="I178" s="9">
        <f>IFERROR(__xludf.DUMMYFUNCTION("MIN(INDEX(GOOGLEFINANCE(A178, ""low"", TODAY()-30, TODAY()), 0, 2))"),2162.0)</f>
        <v>2162</v>
      </c>
      <c r="J178" s="9">
        <f>IFERROR(__xludf.DUMMYFUNCTION("GOOGLEFINANCE(A178, ""high52"")"),2474.0)</f>
        <v>2474</v>
      </c>
      <c r="K178" s="9">
        <f>IFERROR(__xludf.DUMMYFUNCTION("GOOGLEFINANCE(A178, ""low52"")"),1792.6)</f>
        <v>1792.6</v>
      </c>
      <c r="L178" s="9">
        <f t="shared" si="1"/>
        <v>0.07639450283</v>
      </c>
      <c r="M178" s="9">
        <f t="shared" si="2"/>
        <v>0.2746848154</v>
      </c>
      <c r="N178" s="9">
        <f t="shared" si="3"/>
        <v>0.01654638268</v>
      </c>
      <c r="O178" s="9">
        <f t="shared" si="4"/>
        <v>0.7495429616</v>
      </c>
      <c r="P178" s="9">
        <f>IFERROR(__xludf.DUMMYFUNCTION("GOOGLEFINANCE(A178, ""pe"")"),47.37)</f>
        <v>47.37</v>
      </c>
      <c r="Q178" s="9">
        <f>IFERROR(__xludf.DUMMYFUNCTION("IFERROR(GOOGLEFINANCE(A178, ""volume"") / GOOGLEFINANCE(A178, ""volumeavg""), 0)"),0.0)</f>
        <v>0</v>
      </c>
      <c r="R178" s="9">
        <f>IFERROR(__xludf.DUMMYFUNCTION("AVERAGE(INDEX(GOOGLEFINANCE(A178, ""price"", TODAY()-30, TODAY()), 0, 2))"),2245.7260869565216)</f>
        <v>2245.726087</v>
      </c>
      <c r="S178" s="9">
        <f>IFERROR(__xludf.DUMMYFUNCTION("AVERAGE(INDEX(GOOGLEFINANCE(A178, ""price"", TODAY()-75, TODAY()), 0, 2))"),2216.51320754717)</f>
        <v>2216.513208</v>
      </c>
      <c r="T178" s="9">
        <f>IFERROR(__xludf.DUMMYFUNCTION("AVERAGE(INDEX(GOOGLEFINANCE(A178, ""price"", TODAY()-300, TODAY()), 0, 2))"),2106.087623762377)</f>
        <v>2106.087624</v>
      </c>
      <c r="U178" s="9">
        <f t="shared" si="5"/>
        <v>0.01748829177</v>
      </c>
      <c r="V178" s="15">
        <f>IFERROR(__xludf.DUMMYFUNCTION("LET(hist, GOOGLEFINANCE(A178,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rs))))))"),62.12510711225369)</f>
        <v>62.12510711</v>
      </c>
      <c r="W178" s="16" t="str">
        <f>IFERROR(__xludf.DUMMYFUNCTION("IFERROR(GOOGLEFINANCE(A178, ""volume"") / GOOGLEFINANCE(A178, ""volumeavg""), )"),"")</f>
        <v/>
      </c>
      <c r="X178" s="9">
        <f>IFERROR(__xludf.DUMMYFUNCTION("B178 * GOOGLEFINANCE(A178, ""volume"")"),1.061553875E9)</f>
        <v>1061553875</v>
      </c>
      <c r="Y178" s="9">
        <f>IFERROR(__xludf.DUMMYFUNCTION("IFERROR(((B178 - GOOGLEFINANCE(A178, ""priceopen"")) / GOOGLEFINANCE(A178, ""priceopen"")) * GOOGLEFINANCE(A178, ""volume""), 0)"),1837.0716168717047)</f>
        <v>1837.071617</v>
      </c>
    </row>
    <row r="179">
      <c r="A179" s="4" t="s">
        <v>1220</v>
      </c>
      <c r="B179" s="7">
        <f>IFERROR(__xludf.DUMMYFUNCTION("GOOGLEFINANCE(A179, ""price"")"),653.95)</f>
        <v>653.95</v>
      </c>
      <c r="C179" s="7">
        <f>IFERROR(__xludf.DUMMYFUNCTION("GOOGLEFINANCE(A179, ""changepct"")"),0.6)</f>
        <v>0.6</v>
      </c>
      <c r="D179" s="9">
        <f>IFERROR(__xludf.DUMMYFUNCTION("GOOGLEFINANCE(A179, ""priceopen"")"),650.0)</f>
        <v>650</v>
      </c>
      <c r="E179" s="9">
        <f>IFERROR(__xludf.DUMMYFUNCTION("GOOGLEFINANCE(A179, ""high"")"),656.6)</f>
        <v>656.6</v>
      </c>
      <c r="F179" s="9">
        <f>IFERROR(__xludf.DUMMYFUNCTION("GOOGLEFINANCE(A179, ""low"")"),644.4)</f>
        <v>644.4</v>
      </c>
      <c r="G179" s="9">
        <f>IFERROR(__xludf.DUMMYFUNCTION("GOOGLEFINANCE(A179, ""price"")"),653.95)</f>
        <v>653.95</v>
      </c>
      <c r="H179" s="9">
        <f>IFERROR(__xludf.DUMMYFUNCTION("MAX(INDEX(GOOGLEFINANCE(A179, ""high"", TODAY()-30, TODAY()), 0, 2))"),674.2)</f>
        <v>674.2</v>
      </c>
      <c r="I179" s="9">
        <f>IFERROR(__xludf.DUMMYFUNCTION("MIN(INDEX(GOOGLEFINANCE(A179, ""low"", TODAY()-30, TODAY()), 0, 2))"),602.55)</f>
        <v>602.55</v>
      </c>
      <c r="J179" s="9">
        <f>IFERROR(__xludf.DUMMYFUNCTION("GOOGLEFINANCE(A179, ""high52"")"),965.0)</f>
        <v>965</v>
      </c>
      <c r="K179" s="9">
        <f>IFERROR(__xludf.DUMMYFUNCTION("GOOGLEFINANCE(A179, ""low52"")"),565.45)</f>
        <v>565.45</v>
      </c>
      <c r="L179" s="9">
        <f t="shared" si="1"/>
        <v>0.3223316062</v>
      </c>
      <c r="M179" s="9">
        <f t="shared" si="2"/>
        <v>0.1565125122</v>
      </c>
      <c r="N179" s="9">
        <f t="shared" si="3"/>
        <v>0.01893234016</v>
      </c>
      <c r="O179" s="9">
        <f t="shared" si="4"/>
        <v>0.717376134</v>
      </c>
      <c r="P179" s="9">
        <f>IFERROR(__xludf.DUMMYFUNCTION("GOOGLEFINANCE(A179, ""pe"")"),27.36)</f>
        <v>27.36</v>
      </c>
      <c r="Q179" s="9">
        <f>IFERROR(__xludf.DUMMYFUNCTION("IFERROR(GOOGLEFINANCE(A179, ""volume"") / GOOGLEFINANCE(A179, ""volumeavg""), 0)"),0.0)</f>
        <v>0</v>
      </c>
      <c r="R179" s="9">
        <f>IFERROR(__xludf.DUMMYFUNCTION("AVERAGE(INDEX(GOOGLEFINANCE(A179, ""price"", TODAY()-30, TODAY()), 0, 2))"),647.9391304347826)</f>
        <v>647.9391304</v>
      </c>
      <c r="S179" s="9">
        <f>IFERROR(__xludf.DUMMYFUNCTION("AVERAGE(INDEX(GOOGLEFINANCE(A179, ""price"", TODAY()-75, TODAY()), 0, 2))"),622.1235849056603)</f>
        <v>622.1235849</v>
      </c>
      <c r="T179" s="9">
        <f>IFERROR(__xludf.DUMMYFUNCTION("AVERAGE(INDEX(GOOGLEFINANCE(A179, ""price"", TODAY()-300, TODAY()), 0, 2))"),736.2059405940593)</f>
        <v>736.2059406</v>
      </c>
      <c r="U179" s="9">
        <f t="shared" si="5"/>
        <v>0.009276904701</v>
      </c>
      <c r="V179" s="15">
        <f>IFERROR(__xludf.DUMMYFUNCTION("LET(hist, GOOGLEFINANCE(A179,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rs))))))"),68.7873844480696)</f>
        <v>68.78738445</v>
      </c>
      <c r="W179" s="16" t="str">
        <f>IFERROR(__xludf.DUMMYFUNCTION("IFERROR(GOOGLEFINANCE(A179, ""volume"") / GOOGLEFINANCE(A179, ""volumeavg""), )"),"")</f>
        <v/>
      </c>
      <c r="X179" s="9">
        <f>IFERROR(__xludf.DUMMYFUNCTION("B179 * GOOGLEFINANCE(A179, ""volume"")"),3.5040733640000004E8)</f>
        <v>350407336.4</v>
      </c>
      <c r="Y179" s="9">
        <f>IFERROR(__xludf.DUMMYFUNCTION("IFERROR(((B179 - GOOGLEFINANCE(A179, ""priceopen"")) / GOOGLEFINANCE(A179, ""priceopen"")) * GOOGLEFINANCE(A179, ""volume""), 0)"),3256.209846153884)</f>
        <v>3256.209846</v>
      </c>
    </row>
    <row r="180">
      <c r="A180" s="4" t="s">
        <v>1227</v>
      </c>
      <c r="B180" s="7">
        <f>IFERROR(__xludf.DUMMYFUNCTION("GOOGLEFINANCE(A180, ""price"")"),145.41)</f>
        <v>145.41</v>
      </c>
      <c r="C180" s="7">
        <f>IFERROR(__xludf.DUMMYFUNCTION("GOOGLEFINANCE(A180, ""changepct"")"),1.76)</f>
        <v>1.76</v>
      </c>
      <c r="D180" s="9">
        <f>IFERROR(__xludf.DUMMYFUNCTION("GOOGLEFINANCE(A180, ""priceopen"")"),142.4)</f>
        <v>142.4</v>
      </c>
      <c r="E180" s="9">
        <f>IFERROR(__xludf.DUMMYFUNCTION("GOOGLEFINANCE(A180, ""high"")"),146.12)</f>
        <v>146.12</v>
      </c>
      <c r="F180" s="9">
        <f>IFERROR(__xludf.DUMMYFUNCTION("GOOGLEFINANCE(A180, ""low"")"),141.9)</f>
        <v>141.9</v>
      </c>
      <c r="G180" s="9">
        <f>IFERROR(__xludf.DUMMYFUNCTION("GOOGLEFINANCE(A180, ""price"")"),145.41)</f>
        <v>145.41</v>
      </c>
      <c r="H180" s="9">
        <f>IFERROR(__xludf.DUMMYFUNCTION("MAX(INDEX(GOOGLEFINANCE(A180, ""high"", TODAY()-30, TODAY()), 0, 2))"),149.33)</f>
        <v>149.33</v>
      </c>
      <c r="I180" s="9">
        <f>IFERROR(__xludf.DUMMYFUNCTION("MIN(INDEX(GOOGLEFINANCE(A180, ""low"", TODAY()-30, TODAY()), 0, 2))"),135.62)</f>
        <v>135.62</v>
      </c>
      <c r="J180" s="9">
        <f>IFERROR(__xludf.DUMMYFUNCTION("GOOGLEFINANCE(A180, ""high52"")"),178.36)</f>
        <v>178.36</v>
      </c>
      <c r="K180" s="9">
        <f>IFERROR(__xludf.DUMMYFUNCTION("GOOGLEFINANCE(A180, ""low52"")"),109.85)</f>
        <v>109.85</v>
      </c>
      <c r="L180" s="9">
        <f t="shared" si="1"/>
        <v>0.1847387307</v>
      </c>
      <c r="M180" s="9">
        <f t="shared" si="2"/>
        <v>0.3237141557</v>
      </c>
      <c r="N180" s="9">
        <f t="shared" si="3"/>
        <v>0.029739253</v>
      </c>
      <c r="O180" s="9">
        <f t="shared" si="4"/>
        <v>0.7140773158</v>
      </c>
      <c r="P180" s="9">
        <f>IFERROR(__xludf.DUMMYFUNCTION("GOOGLEFINANCE(A180, ""pe"")"),5.62)</f>
        <v>5.62</v>
      </c>
      <c r="Q180" s="9">
        <f>IFERROR(__xludf.DUMMYFUNCTION("IFERROR(GOOGLEFINANCE(A180, ""volume"") / GOOGLEFINANCE(A180, ""volumeavg""), 0)"),0.0)</f>
        <v>0</v>
      </c>
      <c r="R180" s="9">
        <f>IFERROR(__xludf.DUMMYFUNCTION("AVERAGE(INDEX(GOOGLEFINANCE(A180, ""price"", TODAY()-30, TODAY()), 0, 2))"),142.08869565217393)</f>
        <v>142.0886957</v>
      </c>
      <c r="S180" s="9">
        <f>IFERROR(__xludf.DUMMYFUNCTION("AVERAGE(INDEX(GOOGLEFINANCE(A180, ""price"", TODAY()-75, TODAY()), 0, 2))"),142.45056603773583)</f>
        <v>142.450566</v>
      </c>
      <c r="T180" s="9">
        <f>IFERROR(__xludf.DUMMYFUNCTION("AVERAGE(INDEX(GOOGLEFINANCE(A180, ""price"", TODAY()-300, TODAY()), 0, 2))"),147.21064356435642)</f>
        <v>147.2106436</v>
      </c>
      <c r="U180" s="9">
        <f t="shared" si="5"/>
        <v>0.02337486689</v>
      </c>
      <c r="V180" s="15">
        <f>IFERROR(__xludf.DUMMYFUNCTION("LET(hist, GOOGLEFINANCE(A180,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rs))))))"),56.63183279742767)</f>
        <v>56.6318328</v>
      </c>
      <c r="W180" s="16" t="str">
        <f>IFERROR(__xludf.DUMMYFUNCTION("IFERROR(GOOGLEFINANCE(A180, ""volume"") / GOOGLEFINANCE(A180, ""volumeavg""), )"),"")</f>
        <v/>
      </c>
      <c r="X180" s="9">
        <f>IFERROR(__xludf.DUMMYFUNCTION("B180 * GOOGLEFINANCE(A180, ""volume"")"),1.30095200685E9)</f>
        <v>1300952007</v>
      </c>
      <c r="Y180" s="9">
        <f>IFERROR(__xludf.DUMMYFUNCTION("IFERROR(((B180 - GOOGLEFINANCE(A180, ""priceopen"")) / GOOGLEFINANCE(A180, ""priceopen"")) * GOOGLEFINANCE(A180, ""volume""), 0)"),189113.9245084264)</f>
        <v>189113.9245</v>
      </c>
    </row>
    <row r="181">
      <c r="A181" s="4" t="s">
        <v>1233</v>
      </c>
      <c r="B181" s="7">
        <f>IFERROR(__xludf.DUMMYFUNCTION("GOOGLEFINANCE(A181, ""price"")"),355.5)</f>
        <v>355.5</v>
      </c>
      <c r="C181" s="7">
        <f>IFERROR(__xludf.DUMMYFUNCTION("GOOGLEFINANCE(A181, ""changepct"")"),-0.06)</f>
        <v>-0.06</v>
      </c>
      <c r="D181" s="9">
        <f>IFERROR(__xludf.DUMMYFUNCTION("GOOGLEFINANCE(A181, ""priceopen"")"),355.75)</f>
        <v>355.75</v>
      </c>
      <c r="E181" s="9">
        <f>IFERROR(__xludf.DUMMYFUNCTION("GOOGLEFINANCE(A181, ""high"")"),358.5)</f>
        <v>358.5</v>
      </c>
      <c r="F181" s="9">
        <f>IFERROR(__xludf.DUMMYFUNCTION("GOOGLEFINANCE(A181, ""low"")"),352.8)</f>
        <v>352.8</v>
      </c>
      <c r="G181" s="9">
        <f>IFERROR(__xludf.DUMMYFUNCTION("GOOGLEFINANCE(A181, ""price"")"),355.5)</f>
        <v>355.5</v>
      </c>
      <c r="H181" s="9">
        <f>IFERROR(__xludf.DUMMYFUNCTION("MAX(INDEX(GOOGLEFINANCE(A181, ""high"", TODAY()-30, TODAY()), 0, 2))"),370.75)</f>
        <v>370.75</v>
      </c>
      <c r="I181" s="9">
        <f>IFERROR(__xludf.DUMMYFUNCTION("MIN(INDEX(GOOGLEFINANCE(A181, ""low"", TODAY()-30, TODAY()), 0, 2))"),351.5)</f>
        <v>351.5</v>
      </c>
      <c r="J181" s="9">
        <f>IFERROR(__xludf.DUMMYFUNCTION("GOOGLEFINANCE(A181, ""high52"")"),417.95)</f>
        <v>417.95</v>
      </c>
      <c r="K181" s="9">
        <f>IFERROR(__xludf.DUMMYFUNCTION("GOOGLEFINANCE(A181, ""low52"")"),346.7)</f>
        <v>346.7</v>
      </c>
      <c r="L181" s="9">
        <f t="shared" si="1"/>
        <v>0.1494197871</v>
      </c>
      <c r="M181" s="9">
        <f t="shared" si="2"/>
        <v>0.02538217479</v>
      </c>
      <c r="N181" s="9">
        <f t="shared" si="3"/>
        <v>0.01615646259</v>
      </c>
      <c r="O181" s="9">
        <f t="shared" si="4"/>
        <v>0.2077922078</v>
      </c>
      <c r="P181" s="9">
        <f>IFERROR(__xludf.DUMMYFUNCTION("GOOGLEFINANCE(A181, ""pe"")"),6.45)</f>
        <v>6.45</v>
      </c>
      <c r="Q181" s="9">
        <f>IFERROR(__xludf.DUMMYFUNCTION("IFERROR(GOOGLEFINANCE(A181, ""volume"") / GOOGLEFINANCE(A181, ""volumeavg""), 0)"),0.0)</f>
        <v>0</v>
      </c>
      <c r="R181" s="9">
        <f>IFERROR(__xludf.DUMMYFUNCTION("AVERAGE(INDEX(GOOGLEFINANCE(A181, ""price"", TODAY()-30, TODAY()), 0, 2))"),359.6347826086956)</f>
        <v>359.6347826</v>
      </c>
      <c r="S181" s="9">
        <f>IFERROR(__xludf.DUMMYFUNCTION("AVERAGE(INDEX(GOOGLEFINANCE(A181, ""price"", TODAY()-75, TODAY()), 0, 2))"),365.52358490566047)</f>
        <v>365.5235849</v>
      </c>
      <c r="T181" s="9">
        <f>IFERROR(__xludf.DUMMYFUNCTION("AVERAGE(INDEX(GOOGLEFINANCE(A181, ""price"", TODAY()-300, TODAY()), 0, 2))"),377.10074257425737)</f>
        <v>377.1007426</v>
      </c>
      <c r="U181" s="9">
        <f t="shared" si="5"/>
        <v>-0.01149717104</v>
      </c>
      <c r="V181" s="15">
        <f>IFERROR(__xludf.DUMMYFUNCTION("LET(hist, GOOGLEFINANCE(A181,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rs))))))"),40.990990990990966)</f>
        <v>40.99099099</v>
      </c>
      <c r="W181" s="16" t="str">
        <f>IFERROR(__xludf.DUMMYFUNCTION("IFERROR(GOOGLEFINANCE(A181, ""volume"") / GOOGLEFINANCE(A181, ""volumeavg""), )"),"")</f>
        <v/>
      </c>
      <c r="X181" s="9">
        <f>IFERROR(__xludf.DUMMYFUNCTION("B181 * GOOGLEFINANCE(A181, ""volume"")"),1.49436558E8)</f>
        <v>149436558</v>
      </c>
      <c r="Y181" s="9">
        <f>IFERROR(__xludf.DUMMYFUNCTION("IFERROR(((B181 - GOOGLEFINANCE(A181, ""priceopen"")) / GOOGLEFINANCE(A181, ""priceopen"")) * GOOGLEFINANCE(A181, ""volume""), 0)"),-295.40126493323964)</f>
        <v>-295.4012649</v>
      </c>
    </row>
    <row r="182">
      <c r="A182" s="4" t="s">
        <v>1243</v>
      </c>
      <c r="B182" s="7">
        <f>IFERROR(__xludf.DUMMYFUNCTION("GOOGLEFINANCE(A182, ""price"")"),2079.5)</f>
        <v>2079.5</v>
      </c>
      <c r="C182" s="7">
        <f>IFERROR(__xludf.DUMMYFUNCTION("GOOGLEFINANCE(A182, ""changepct"")"),-0.27)</f>
        <v>-0.27</v>
      </c>
      <c r="D182" s="9">
        <f>IFERROR(__xludf.DUMMYFUNCTION("GOOGLEFINANCE(A182, ""priceopen"")"),2074.7)</f>
        <v>2074.7</v>
      </c>
      <c r="E182" s="9">
        <f>IFERROR(__xludf.DUMMYFUNCTION("GOOGLEFINANCE(A182, ""high"")"),2085.9)</f>
        <v>2085.9</v>
      </c>
      <c r="F182" s="9">
        <f>IFERROR(__xludf.DUMMYFUNCTION("GOOGLEFINANCE(A182, ""low"")"),2052.0)</f>
        <v>2052</v>
      </c>
      <c r="G182" s="9">
        <f>IFERROR(__xludf.DUMMYFUNCTION("GOOGLEFINANCE(A182, ""price"")"),2079.5)</f>
        <v>2079.5</v>
      </c>
      <c r="H182" s="9">
        <f>IFERROR(__xludf.DUMMYFUNCTION("MAX(INDEX(GOOGLEFINANCE(A182, ""high"", TODAY()-30, TODAY()), 0, 2))"),2129.9)</f>
        <v>2129.9</v>
      </c>
      <c r="I182" s="9">
        <f>IFERROR(__xludf.DUMMYFUNCTION("MIN(INDEX(GOOGLEFINANCE(A182, ""low"", TODAY()-30, TODAY()), 0, 2))"),1955.0)</f>
        <v>1955</v>
      </c>
      <c r="J182" s="9">
        <f>IFERROR(__xludf.DUMMYFUNCTION("GOOGLEFINANCE(A182, ""high52"")"),2500.0)</f>
        <v>2500</v>
      </c>
      <c r="K182" s="9">
        <f>IFERROR(__xludf.DUMMYFUNCTION("GOOGLEFINANCE(A182, ""low52"")"),1706.5)</f>
        <v>1706.5</v>
      </c>
      <c r="L182" s="9">
        <f t="shared" si="1"/>
        <v>0.1682</v>
      </c>
      <c r="M182" s="9">
        <f t="shared" si="2"/>
        <v>0.2185760328</v>
      </c>
      <c r="N182" s="9">
        <f t="shared" si="3"/>
        <v>0.01652046784</v>
      </c>
      <c r="O182" s="9">
        <f t="shared" si="4"/>
        <v>0.7118353345</v>
      </c>
      <c r="P182" s="9">
        <f>IFERROR(__xludf.DUMMYFUNCTION("GOOGLEFINANCE(A182, ""pe"")"),33.48)</f>
        <v>33.48</v>
      </c>
      <c r="Q182" s="9">
        <f>IFERROR(__xludf.DUMMYFUNCTION("IFERROR(GOOGLEFINANCE(A182, ""volume"") / GOOGLEFINANCE(A182, ""volumeavg""), 0)"),0.0)</f>
        <v>0</v>
      </c>
      <c r="R182" s="9">
        <f>IFERROR(__xludf.DUMMYFUNCTION("AVERAGE(INDEX(GOOGLEFINANCE(A182, ""price"", TODAY()-30, TODAY()), 0, 2))"),2055.8434782608697)</f>
        <v>2055.843478</v>
      </c>
      <c r="S182" s="9">
        <f>IFERROR(__xludf.DUMMYFUNCTION("AVERAGE(INDEX(GOOGLEFINANCE(A182, ""price"", TODAY()-75, TODAY()), 0, 2))"),1988.9396226415104)</f>
        <v>1988.939623</v>
      </c>
      <c r="T182" s="9">
        <f>IFERROR(__xludf.DUMMYFUNCTION("AVERAGE(INDEX(GOOGLEFINANCE(A182, ""price"", TODAY()-300, TODAY()), 0, 2))"),2114.5613861386128)</f>
        <v>2114.561386</v>
      </c>
      <c r="U182" s="9">
        <f t="shared" si="5"/>
        <v>0.01150696636</v>
      </c>
      <c r="V182" s="15">
        <f>IFERROR(__xludf.DUMMYFUNCTION("LET(hist, GOOGLEFINANCE(A182,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rs))))))"),59.09747292418774)</f>
        <v>59.09747292</v>
      </c>
      <c r="W182" s="16" t="str">
        <f>IFERROR(__xludf.DUMMYFUNCTION("IFERROR(GOOGLEFINANCE(A182, ""volume"") / GOOGLEFINANCE(A182, ""volumeavg""), )"),"")</f>
        <v/>
      </c>
      <c r="X182" s="9">
        <f>IFERROR(__xludf.DUMMYFUNCTION("B182 * GOOGLEFINANCE(A182, ""volume"")"),2.19362296E8)</f>
        <v>219362296</v>
      </c>
      <c r="Y182" s="9">
        <f>IFERROR(__xludf.DUMMYFUNCTION("IFERROR(((B182 - GOOGLEFINANCE(A182, ""priceopen"")) / GOOGLEFINANCE(A182, ""priceopen"")) * GOOGLEFINANCE(A182, ""volume""), 0)"),244.0557188991272)</f>
        <v>244.0557189</v>
      </c>
    </row>
    <row r="183">
      <c r="A183" s="4" t="s">
        <v>1252</v>
      </c>
      <c r="B183" s="7">
        <f>IFERROR(__xludf.DUMMYFUNCTION("GOOGLEFINANCE(A183, ""price"")"),81.9)</f>
        <v>81.9</v>
      </c>
      <c r="C183" s="7">
        <f>IFERROR(__xludf.DUMMYFUNCTION("GOOGLEFINANCE(A183, ""changepct"")"),3.74)</f>
        <v>3.74</v>
      </c>
      <c r="D183" s="9">
        <f>IFERROR(__xludf.DUMMYFUNCTION("GOOGLEFINANCE(A183, ""priceopen"")"),78.85)</f>
        <v>78.85</v>
      </c>
      <c r="E183" s="9">
        <f>IFERROR(__xludf.DUMMYFUNCTION("GOOGLEFINANCE(A183, ""high"")"),81.99)</f>
        <v>81.99</v>
      </c>
      <c r="F183" s="9">
        <f>IFERROR(__xludf.DUMMYFUNCTION("GOOGLEFINANCE(A183, ""low"")"),78.75)</f>
        <v>78.75</v>
      </c>
      <c r="G183" s="9">
        <f>IFERROR(__xludf.DUMMYFUNCTION("GOOGLEFINANCE(A183, ""price"")"),81.9)</f>
        <v>81.9</v>
      </c>
      <c r="H183" s="9">
        <f>IFERROR(__xludf.DUMMYFUNCTION("MAX(INDEX(GOOGLEFINANCE(A183, ""high"", TODAY()-30, TODAY()), 0, 2))"),84.71)</f>
        <v>84.71</v>
      </c>
      <c r="I183" s="9">
        <f>IFERROR(__xludf.DUMMYFUNCTION("MIN(INDEX(GOOGLEFINANCE(A183, ""low"", TODAY()-30, TODAY()), 0, 2))"),77.2)</f>
        <v>77.2</v>
      </c>
      <c r="J183" s="9">
        <f>IFERROR(__xludf.DUMMYFUNCTION("GOOGLEFINANCE(A183, ""high52"")"),94.5)</f>
        <v>94.5</v>
      </c>
      <c r="K183" s="9">
        <f>IFERROR(__xludf.DUMMYFUNCTION("GOOGLEFINANCE(A183, ""low52"")"),51.71)</f>
        <v>51.71</v>
      </c>
      <c r="L183" s="9">
        <f t="shared" si="1"/>
        <v>0.1333333333</v>
      </c>
      <c r="M183" s="9">
        <f t="shared" si="2"/>
        <v>0.5838329143</v>
      </c>
      <c r="N183" s="9">
        <f t="shared" si="3"/>
        <v>0.04114285714</v>
      </c>
      <c r="O183" s="9">
        <f t="shared" si="4"/>
        <v>0.6258322237</v>
      </c>
      <c r="P183" s="9">
        <f>IFERROR(__xludf.DUMMYFUNCTION("GOOGLEFINANCE(A183, ""pe"")"),8.35)</f>
        <v>8.35</v>
      </c>
      <c r="Q183" s="9">
        <f>IFERROR(__xludf.DUMMYFUNCTION("IFERROR(GOOGLEFINANCE(A183, ""volume"") / GOOGLEFINANCE(A183, ""volumeavg""), 0)"),0.0)</f>
        <v>0</v>
      </c>
      <c r="R183" s="9">
        <f>IFERROR(__xludf.DUMMYFUNCTION("AVERAGE(INDEX(GOOGLEFINANCE(A183, ""price"", TODAY()-30, TODAY()), 0, 2))"),79.82434782608696)</f>
        <v>79.82434783</v>
      </c>
      <c r="S183" s="9">
        <f>IFERROR(__xludf.DUMMYFUNCTION("AVERAGE(INDEX(GOOGLEFINANCE(A183, ""price"", TODAY()-75, TODAY()), 0, 2))"),83.0767924528302)</f>
        <v>83.07679245</v>
      </c>
      <c r="T183" s="9">
        <f>IFERROR(__xludf.DUMMYFUNCTION("AVERAGE(INDEX(GOOGLEFINANCE(A183, ""price"", TODAY()-300, TODAY()), 0, 2))"),70.51628712871292)</f>
        <v>70.51628713</v>
      </c>
      <c r="U183" s="9">
        <f t="shared" si="5"/>
        <v>0.02600274516</v>
      </c>
      <c r="V183" s="15">
        <f>IFERROR(__xludf.DUMMYFUNCTION("LET(hist, GOOGLEFINANCE(A183,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rs))))))"),63.72469635627533)</f>
        <v>63.72469636</v>
      </c>
      <c r="W183" s="16" t="str">
        <f>IFERROR(__xludf.DUMMYFUNCTION("IFERROR(GOOGLEFINANCE(A183, ""volume"") / GOOGLEFINANCE(A183, ""volumeavg""), )"),"")</f>
        <v/>
      </c>
      <c r="X183" s="9">
        <f>IFERROR(__xludf.DUMMYFUNCTION("B183 * GOOGLEFINANCE(A183, ""volume"")"),2.1761250966000004E9)</f>
        <v>2176125097</v>
      </c>
      <c r="Y183" s="9">
        <f>IFERROR(__xludf.DUMMYFUNCTION("IFERROR(((B183 - GOOGLEFINANCE(A183, ""priceopen"")) / GOOGLEFINANCE(A183, ""priceopen"")) * GOOGLEFINANCE(A183, ""volume""), 0)"),1027775.1135066621)</f>
        <v>1027775.114</v>
      </c>
    </row>
    <row r="184">
      <c r="A184" s="4" t="s">
        <v>1257</v>
      </c>
      <c r="B184" s="7">
        <f>IFERROR(__xludf.DUMMYFUNCTION("GOOGLEFINANCE(A184, ""price"")"),558.0)</f>
        <v>558</v>
      </c>
      <c r="C184" s="7">
        <f>IFERROR(__xludf.DUMMYFUNCTION("GOOGLEFINANCE(A184, ""changepct"")"),4.31)</f>
        <v>4.31</v>
      </c>
      <c r="D184" s="9">
        <f>IFERROR(__xludf.DUMMYFUNCTION("GOOGLEFINANCE(A184, ""priceopen"")"),539.8)</f>
        <v>539.8</v>
      </c>
      <c r="E184" s="9">
        <f>IFERROR(__xludf.DUMMYFUNCTION("GOOGLEFINANCE(A184, ""high"")"),564.9)</f>
        <v>564.9</v>
      </c>
      <c r="F184" s="9">
        <f>IFERROR(__xludf.DUMMYFUNCTION("GOOGLEFINANCE(A184, ""low"")"),535.9)</f>
        <v>535.9</v>
      </c>
      <c r="G184" s="9">
        <f>IFERROR(__xludf.DUMMYFUNCTION("GOOGLEFINANCE(A184, ""price"")"),558.0)</f>
        <v>558</v>
      </c>
      <c r="H184" s="9">
        <f>IFERROR(__xludf.DUMMYFUNCTION("MAX(INDEX(GOOGLEFINANCE(A184, ""high"", TODAY()-30, TODAY()), 0, 2))"),564.9)</f>
        <v>564.9</v>
      </c>
      <c r="I184" s="9">
        <f>IFERROR(__xludf.DUMMYFUNCTION("MIN(INDEX(GOOGLEFINANCE(A184, ""low"", TODAY()-30, TODAY()), 0, 2))"),484.35)</f>
        <v>484.35</v>
      </c>
      <c r="J184" s="9">
        <f>IFERROR(__xludf.DUMMYFUNCTION("GOOGLEFINANCE(A184, ""high52"")"),594.55)</f>
        <v>594.55</v>
      </c>
      <c r="K184" s="9">
        <f>IFERROR(__xludf.DUMMYFUNCTION("GOOGLEFINANCE(A184, ""low52"")"),391.1)</f>
        <v>391.1</v>
      </c>
      <c r="L184" s="9">
        <f t="shared" si="1"/>
        <v>0.06147506518</v>
      </c>
      <c r="M184" s="9">
        <f t="shared" si="2"/>
        <v>0.426745078</v>
      </c>
      <c r="N184" s="9">
        <f t="shared" si="3"/>
        <v>0.05411457361</v>
      </c>
      <c r="O184" s="9">
        <f t="shared" si="4"/>
        <v>0.9143389199</v>
      </c>
      <c r="P184" s="9">
        <f>IFERROR(__xludf.DUMMYFUNCTION("GOOGLEFINANCE(A184, ""pe"")"),53.44)</f>
        <v>53.44</v>
      </c>
      <c r="Q184" s="9">
        <f>IFERROR(__xludf.DUMMYFUNCTION("IFERROR(GOOGLEFINANCE(A184, ""volume"") / GOOGLEFINANCE(A184, ""volumeavg""), 0)"),0.0)</f>
        <v>0</v>
      </c>
      <c r="R184" s="9">
        <f>IFERROR(__xludf.DUMMYFUNCTION("AVERAGE(INDEX(GOOGLEFINANCE(A184, ""price"", TODAY()-30, TODAY()), 0, 2))"),514.2)</f>
        <v>514.2</v>
      </c>
      <c r="S184" s="9">
        <f>IFERROR(__xludf.DUMMYFUNCTION("AVERAGE(INDEX(GOOGLEFINANCE(A184, ""price"", TODAY()-75, TODAY()), 0, 2))"),513.9283018867924)</f>
        <v>513.9283019</v>
      </c>
      <c r="T184" s="9">
        <f>IFERROR(__xludf.DUMMYFUNCTION("AVERAGE(INDEX(GOOGLEFINANCE(A184, ""price"", TODAY()-300, TODAY()), 0, 2))"),503.11113861386144)</f>
        <v>503.1111386</v>
      </c>
      <c r="U184" s="9">
        <f t="shared" si="5"/>
        <v>0.08518086348</v>
      </c>
      <c r="V184" s="15">
        <f>IFERROR(__xludf.DUMMYFUNCTION("LET(hist, GOOGLEFINANCE(A184,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rs))))))"),77.37799834574025)</f>
        <v>77.37799835</v>
      </c>
      <c r="W184" s="16" t="str">
        <f>IFERROR(__xludf.DUMMYFUNCTION("IFERROR(GOOGLEFINANCE(A184, ""volume"") / GOOGLEFINANCE(A184, ""volumeavg""), )"),"")</f>
        <v/>
      </c>
      <c r="X184" s="9">
        <f>IFERROR(__xludf.DUMMYFUNCTION("B184 * GOOGLEFINANCE(A184, ""volume"")"),1.030768848E9)</f>
        <v>1030768848</v>
      </c>
      <c r="Y184" s="9">
        <f>IFERROR(__xludf.DUMMYFUNCTION("IFERROR(((B184 - GOOGLEFINANCE(A184, ""priceopen"")) / GOOGLEFINANCE(A184, ""priceopen"")) * GOOGLEFINANCE(A184, ""volume""), 0)"),62282.43645794755)</f>
        <v>62282.43646</v>
      </c>
    </row>
    <row r="185">
      <c r="A185" s="4" t="s">
        <v>1261</v>
      </c>
      <c r="B185" s="7">
        <f>IFERROR(__xludf.DUMMYFUNCTION("GOOGLEFINANCE(A185, ""price"")"),739.95)</f>
        <v>739.95</v>
      </c>
      <c r="C185" s="7">
        <f>IFERROR(__xludf.DUMMYFUNCTION("GOOGLEFINANCE(A185, ""changepct"")"),2.05)</f>
        <v>2.05</v>
      </c>
      <c r="D185" s="9">
        <f>IFERROR(__xludf.DUMMYFUNCTION("GOOGLEFINANCE(A185, ""priceopen"")"),728.0)</f>
        <v>728</v>
      </c>
      <c r="E185" s="9">
        <f>IFERROR(__xludf.DUMMYFUNCTION("GOOGLEFINANCE(A185, ""high"")"),742.2)</f>
        <v>742.2</v>
      </c>
      <c r="F185" s="9">
        <f>IFERROR(__xludf.DUMMYFUNCTION("GOOGLEFINANCE(A185, ""low"")"),712.5)</f>
        <v>712.5</v>
      </c>
      <c r="G185" s="9">
        <f>IFERROR(__xludf.DUMMYFUNCTION("GOOGLEFINANCE(A185, ""price"")"),739.95)</f>
        <v>739.95</v>
      </c>
      <c r="H185" s="9">
        <f>IFERROR(__xludf.DUMMYFUNCTION("MAX(INDEX(GOOGLEFINANCE(A185, ""high"", TODAY()-30, TODAY()), 0, 2))"),755.0)</f>
        <v>755</v>
      </c>
      <c r="I185" s="9">
        <f>IFERROR(__xludf.DUMMYFUNCTION("MIN(INDEX(GOOGLEFINANCE(A185, ""low"", TODAY()-30, TODAY()), 0, 2))"),700.0)</f>
        <v>700</v>
      </c>
      <c r="J185" s="9">
        <f>IFERROR(__xludf.DUMMYFUNCTION("GOOGLEFINANCE(A185, ""high52"")"),884.0)</f>
        <v>884</v>
      </c>
      <c r="K185" s="9">
        <f>IFERROR(__xludf.DUMMYFUNCTION("GOOGLEFINANCE(A185, ""low52"")"),652.25)</f>
        <v>652.25</v>
      </c>
      <c r="L185" s="9">
        <f t="shared" si="1"/>
        <v>0.1629524887</v>
      </c>
      <c r="M185" s="9">
        <f t="shared" si="2"/>
        <v>0.1344576466</v>
      </c>
      <c r="N185" s="9">
        <f t="shared" si="3"/>
        <v>0.04168421053</v>
      </c>
      <c r="O185" s="9">
        <f t="shared" si="4"/>
        <v>0.7263636364</v>
      </c>
      <c r="P185" s="9">
        <f>IFERROR(__xludf.DUMMYFUNCTION("GOOGLEFINANCE(A185, ""pe"")"),18.78)</f>
        <v>18.78</v>
      </c>
      <c r="Q185" s="9">
        <f>IFERROR(__xludf.DUMMYFUNCTION("IFERROR(GOOGLEFINANCE(A185, ""volume"") / GOOGLEFINANCE(A185, ""volumeavg""), 0)"),0.0)</f>
        <v>0</v>
      </c>
      <c r="R185" s="9">
        <f>IFERROR(__xludf.DUMMYFUNCTION("AVERAGE(INDEX(GOOGLEFINANCE(A185, ""price"", TODAY()-30, TODAY()), 0, 2))"),730.7304347826087)</f>
        <v>730.7304348</v>
      </c>
      <c r="S185" s="9">
        <f>IFERROR(__xludf.DUMMYFUNCTION("AVERAGE(INDEX(GOOGLEFINANCE(A185, ""price"", TODAY()-75, TODAY()), 0, 2))"),709.6188679245282)</f>
        <v>709.6188679</v>
      </c>
      <c r="T185" s="9">
        <f>IFERROR(__xludf.DUMMYFUNCTION("AVERAGE(INDEX(GOOGLEFINANCE(A185, ""price"", TODAY()-300, TODAY()), 0, 2))"),753.2262376237619)</f>
        <v>753.2262376</v>
      </c>
      <c r="U185" s="9">
        <f t="shared" si="5"/>
        <v>0.01261691696</v>
      </c>
      <c r="V185" s="15">
        <f>IFERROR(__xludf.DUMMYFUNCTION("LET(hist, GOOGLEFINANCE(A185,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rs))))))"),51.020408163265294)</f>
        <v>51.02040816</v>
      </c>
      <c r="W185" s="16" t="str">
        <f>IFERROR(__xludf.DUMMYFUNCTION("IFERROR(GOOGLEFINANCE(A185, ""volume"") / GOOGLEFINANCE(A185, ""volumeavg""), )"),"")</f>
        <v/>
      </c>
      <c r="X185" s="9">
        <f>IFERROR(__xludf.DUMMYFUNCTION("B185 * GOOGLEFINANCE(A185, ""volume"")"),3.5986506315000004E8)</f>
        <v>359865063.2</v>
      </c>
      <c r="Y185" s="9">
        <f>IFERROR(__xludf.DUMMYFUNCTION("IFERROR(((B185 - GOOGLEFINANCE(A185, ""priceopen"")) / GOOGLEFINANCE(A185, ""priceopen"")) * GOOGLEFINANCE(A185, ""volume""), 0)"),7983.141689560471)</f>
        <v>7983.14169</v>
      </c>
    </row>
    <row r="186">
      <c r="A186" s="4" t="s">
        <v>1267</v>
      </c>
      <c r="B186" s="7">
        <f>IFERROR(__xludf.DUMMYFUNCTION("GOOGLEFINANCE(A186, ""price"")"),28150.0)</f>
        <v>28150</v>
      </c>
      <c r="C186" s="7">
        <f>IFERROR(__xludf.DUMMYFUNCTION("GOOGLEFINANCE(A186, ""changepct"")"),0.46)</f>
        <v>0.46</v>
      </c>
      <c r="D186" s="9">
        <f>IFERROR(__xludf.DUMMYFUNCTION("GOOGLEFINANCE(A186, ""priceopen"")"),28020.0)</f>
        <v>28020</v>
      </c>
      <c r="E186" s="9">
        <f>IFERROR(__xludf.DUMMYFUNCTION("GOOGLEFINANCE(A186, ""high"")"),28250.0)</f>
        <v>28250</v>
      </c>
      <c r="F186" s="9">
        <f>IFERROR(__xludf.DUMMYFUNCTION("GOOGLEFINANCE(A186, ""low"")"),27755.0)</f>
        <v>27755</v>
      </c>
      <c r="G186" s="9">
        <f>IFERROR(__xludf.DUMMYFUNCTION("GOOGLEFINANCE(A186, ""price"")"),28150.0)</f>
        <v>28150</v>
      </c>
      <c r="H186" s="9">
        <f>IFERROR(__xludf.DUMMYFUNCTION("MAX(INDEX(GOOGLEFINANCE(A186, ""high"", TODAY()-30, TODAY()), 0, 2))"),28940.0)</f>
        <v>28940</v>
      </c>
      <c r="I186" s="9">
        <f>IFERROR(__xludf.DUMMYFUNCTION("MIN(INDEX(GOOGLEFINANCE(A186, ""low"", TODAY()-30, TODAY()), 0, 2))"),27170.0)</f>
        <v>27170</v>
      </c>
      <c r="J186" s="9">
        <f>IFERROR(__xludf.DUMMYFUNCTION("GOOGLEFINANCE(A186, ""high52"")"),34060.0)</f>
        <v>34060</v>
      </c>
      <c r="K186" s="9">
        <f>IFERROR(__xludf.DUMMYFUNCTION("GOOGLEFINANCE(A186, ""low52"")"),25150.0)</f>
        <v>25150</v>
      </c>
      <c r="L186" s="9">
        <f t="shared" si="1"/>
        <v>0.1735173224</v>
      </c>
      <c r="M186" s="9">
        <f t="shared" si="2"/>
        <v>0.1192842942</v>
      </c>
      <c r="N186" s="9">
        <f t="shared" si="3"/>
        <v>0.01783462439</v>
      </c>
      <c r="O186" s="9">
        <f t="shared" si="4"/>
        <v>0.5536723164</v>
      </c>
      <c r="P186" s="9">
        <f>IFERROR(__xludf.DUMMYFUNCTION("GOOGLEFINANCE(A186, ""pe"")"),38.54)</f>
        <v>38.54</v>
      </c>
      <c r="Q186" s="9">
        <f>IFERROR(__xludf.DUMMYFUNCTION("IFERROR(GOOGLEFINANCE(A186, ""volume"") / GOOGLEFINANCE(A186, ""volumeavg""), 0)"),0.0)</f>
        <v>0</v>
      </c>
      <c r="R186" s="9">
        <f>IFERROR(__xludf.DUMMYFUNCTION("AVERAGE(INDEX(GOOGLEFINANCE(A186, ""price"", TODAY()-30, TODAY()), 0, 2))"),27948.91304347826)</f>
        <v>27948.91304</v>
      </c>
      <c r="S186" s="9">
        <f>IFERROR(__xludf.DUMMYFUNCTION("AVERAGE(INDEX(GOOGLEFINANCE(A186, ""price"", TODAY()-75, TODAY()), 0, 2))"),26920.754716981133)</f>
        <v>26920.75472</v>
      </c>
      <c r="T186" s="9">
        <f>IFERROR(__xludf.DUMMYFUNCTION("AVERAGE(INDEX(GOOGLEFINANCE(A186, ""price"", TODAY()-300, TODAY()), 0, 2))"),27456.80693069307)</f>
        <v>27456.80693</v>
      </c>
      <c r="U186" s="9">
        <f t="shared" si="5"/>
        <v>0.007194804185</v>
      </c>
      <c r="V186" s="15">
        <f>IFERROR(__xludf.DUMMYFUNCTION("LET(hist, GOOGLEFINANCE(A186,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rs))))))"),40.143369175627235)</f>
        <v>40.14336918</v>
      </c>
      <c r="W186" s="16" t="str">
        <f>IFERROR(__xludf.DUMMYFUNCTION("IFERROR(GOOGLEFINANCE(A186, ""volume"") / GOOGLEFINANCE(A186, ""volumeavg""), )"),"")</f>
        <v/>
      </c>
      <c r="X186" s="9">
        <f>IFERROR(__xludf.DUMMYFUNCTION("B186 * GOOGLEFINANCE(A186, ""volume"")"),3.352665E8)</f>
        <v>335266500</v>
      </c>
      <c r="Y186" s="9">
        <f>IFERROR(__xludf.DUMMYFUNCTION("IFERROR(((B186 - GOOGLEFINANCE(A186, ""priceopen"")) / GOOGLEFINANCE(A186, ""priceopen"")) * GOOGLEFINANCE(A186, ""volume""), 0)"),55.25695931477516)</f>
        <v>55.25695931</v>
      </c>
    </row>
    <row r="187">
      <c r="A187" s="4" t="s">
        <v>1275</v>
      </c>
      <c r="B187" s="7">
        <f>IFERROR(__xludf.DUMMYFUNCTION("GOOGLEFINANCE(A187, ""price"")"),4525.0)</f>
        <v>4525</v>
      </c>
      <c r="C187" s="7">
        <f>IFERROR(__xludf.DUMMYFUNCTION("GOOGLEFINANCE(A187, ""changepct"")"),-0.44)</f>
        <v>-0.44</v>
      </c>
      <c r="D187" s="9">
        <f>IFERROR(__xludf.DUMMYFUNCTION("GOOGLEFINANCE(A187, ""priceopen"")"),4553.0)</f>
        <v>4553</v>
      </c>
      <c r="E187" s="9">
        <f>IFERROR(__xludf.DUMMYFUNCTION("GOOGLEFINANCE(A187, ""high"")"),4553.0)</f>
        <v>4553</v>
      </c>
      <c r="F187" s="9">
        <f>IFERROR(__xludf.DUMMYFUNCTION("GOOGLEFINANCE(A187, ""low"")"),4485.0)</f>
        <v>4485</v>
      </c>
      <c r="G187" s="9">
        <f>IFERROR(__xludf.DUMMYFUNCTION("GOOGLEFINANCE(A187, ""price"")"),4525.0)</f>
        <v>4525</v>
      </c>
      <c r="H187" s="9">
        <f>IFERROR(__xludf.DUMMYFUNCTION("MAX(INDEX(GOOGLEFINANCE(A187, ""high"", TODAY()-30, TODAY()), 0, 2))"),4590.3)</f>
        <v>4590.3</v>
      </c>
      <c r="I187" s="9">
        <f>IFERROR(__xludf.DUMMYFUNCTION("MIN(INDEX(GOOGLEFINANCE(A187, ""low"", TODAY()-30, TODAY()), 0, 2))"),4011.3)</f>
        <v>4011.3</v>
      </c>
      <c r="J187" s="9">
        <f>IFERROR(__xludf.DUMMYFUNCTION("GOOGLEFINANCE(A187, ""high52"")"),4590.3)</f>
        <v>4590.3</v>
      </c>
      <c r="K187" s="9">
        <f>IFERROR(__xludf.DUMMYFUNCTION("GOOGLEFINANCE(A187, ""low52"")"),2500.0)</f>
        <v>2500</v>
      </c>
      <c r="L187" s="9">
        <f t="shared" si="1"/>
        <v>0.01422564974</v>
      </c>
      <c r="M187" s="9">
        <f t="shared" si="2"/>
        <v>0.81</v>
      </c>
      <c r="N187" s="9">
        <f t="shared" si="3"/>
        <v>0.01516164994</v>
      </c>
      <c r="O187" s="9">
        <f t="shared" si="4"/>
        <v>0.8872193437</v>
      </c>
      <c r="P187" s="9">
        <f>IFERROR(__xludf.DUMMYFUNCTION("GOOGLEFINANCE(A187, ""pe"")"),86.16)</f>
        <v>86.16</v>
      </c>
      <c r="Q187" s="9">
        <f>IFERROR(__xludf.DUMMYFUNCTION("IFERROR(GOOGLEFINANCE(A187, ""volume"") / GOOGLEFINANCE(A187, ""volumeavg""), 0)"),0.0)</f>
        <v>0</v>
      </c>
      <c r="R187" s="9">
        <f>IFERROR(__xludf.DUMMYFUNCTION("AVERAGE(INDEX(GOOGLEFINANCE(A187, ""price"", TODAY()-30, TODAY()), 0, 2))"),4282.256521739131)</f>
        <v>4282.256522</v>
      </c>
      <c r="S187" s="9">
        <f>IFERROR(__xludf.DUMMYFUNCTION("AVERAGE(INDEX(GOOGLEFINANCE(A187, ""price"", TODAY()-75, TODAY()), 0, 2))"),3967.698113207546)</f>
        <v>3967.698113</v>
      </c>
      <c r="T187" s="9">
        <f>IFERROR(__xludf.DUMMYFUNCTION("AVERAGE(INDEX(GOOGLEFINANCE(A187, ""price"", TODAY()-300, TODAY()), 0, 2))"),3301.1188118811892)</f>
        <v>3301.118812</v>
      </c>
      <c r="U187" s="9">
        <f t="shared" si="5"/>
        <v>0.05668587975</v>
      </c>
      <c r="V187" s="15">
        <f>IFERROR(__xludf.DUMMYFUNCTION("LET(hist, GOOGLEFINANCE(A187,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rs))))))"),81.3513875854672)</f>
        <v>81.35138759</v>
      </c>
      <c r="W187" s="16" t="str">
        <f>IFERROR(__xludf.DUMMYFUNCTION("IFERROR(GOOGLEFINANCE(A187, ""volume"") / GOOGLEFINANCE(A187, ""volumeavg""), )"),"")</f>
        <v/>
      </c>
      <c r="X187" s="9">
        <f>IFERROR(__xludf.DUMMYFUNCTION("B187 * GOOGLEFINANCE(A187, ""volume"")"),1.06953805E9)</f>
        <v>1069538050</v>
      </c>
      <c r="Y187" s="9">
        <f>IFERROR(__xludf.DUMMYFUNCTION("IFERROR(((B187 - GOOGLEFINANCE(A187, ""priceopen"")) / GOOGLEFINANCE(A187, ""priceopen"")) * GOOGLEFINANCE(A187, ""volume""), 0)"),-1453.5769822095322)</f>
        <v>-1453.576982</v>
      </c>
    </row>
    <row r="188">
      <c r="A188" s="4" t="s">
        <v>1281</v>
      </c>
      <c r="B188" s="7">
        <f>IFERROR(__xludf.DUMMYFUNCTION("GOOGLEFINANCE(A188, ""price"")"),388.8)</f>
        <v>388.8</v>
      </c>
      <c r="C188" s="7">
        <f>IFERROR(__xludf.DUMMYFUNCTION("GOOGLEFINANCE(A188, ""changepct"")"),-0.23)</f>
        <v>-0.23</v>
      </c>
      <c r="D188" s="9">
        <f>IFERROR(__xludf.DUMMYFUNCTION("GOOGLEFINANCE(A188, ""priceopen"")"),389.7)</f>
        <v>389.7</v>
      </c>
      <c r="E188" s="9">
        <f>IFERROR(__xludf.DUMMYFUNCTION("GOOGLEFINANCE(A188, ""high"")"),390.2)</f>
        <v>390.2</v>
      </c>
      <c r="F188" s="9">
        <f>IFERROR(__xludf.DUMMYFUNCTION("GOOGLEFINANCE(A188, ""low"")"),384.45)</f>
        <v>384.45</v>
      </c>
      <c r="G188" s="9">
        <f>IFERROR(__xludf.DUMMYFUNCTION("GOOGLEFINANCE(A188, ""price"")"),388.8)</f>
        <v>388.8</v>
      </c>
      <c r="H188" s="9">
        <f>IFERROR(__xludf.DUMMYFUNCTION("MAX(INDEX(GOOGLEFINANCE(A188, ""high"", TODAY()-30, TODAY()), 0, 2))"),392.7)</f>
        <v>392.7</v>
      </c>
      <c r="I188" s="9">
        <f>IFERROR(__xludf.DUMMYFUNCTION("MIN(INDEX(GOOGLEFINANCE(A188, ""low"", TODAY()-30, TODAY()), 0, 2))"),347.85)</f>
        <v>347.85</v>
      </c>
      <c r="J188" s="9">
        <f>IFERROR(__xludf.DUMMYFUNCTION("GOOGLEFINANCE(A188, ""high52"")"),392.7)</f>
        <v>392.7</v>
      </c>
      <c r="K188" s="9">
        <f>IFERROR(__xludf.DUMMYFUNCTION("GOOGLEFINANCE(A188, ""low52"")"),243.25)</f>
        <v>243.25</v>
      </c>
      <c r="L188" s="9">
        <f t="shared" si="1"/>
        <v>0.009931245225</v>
      </c>
      <c r="M188" s="9">
        <f t="shared" si="2"/>
        <v>0.5983556012</v>
      </c>
      <c r="N188" s="9">
        <f t="shared" si="3"/>
        <v>0.01495643127</v>
      </c>
      <c r="O188" s="9">
        <f t="shared" si="4"/>
        <v>0.9130434783</v>
      </c>
      <c r="P188" s="9">
        <f>IFERROR(__xludf.DUMMYFUNCTION("GOOGLEFINANCE(A188, ""pe"")"),28.26)</f>
        <v>28.26</v>
      </c>
      <c r="Q188" s="9">
        <f>IFERROR(__xludf.DUMMYFUNCTION("IFERROR(GOOGLEFINANCE(A188, ""volume"") / GOOGLEFINANCE(A188, ""volumeavg""), 0)"),0.0)</f>
        <v>0</v>
      </c>
      <c r="R188" s="9">
        <f>IFERROR(__xludf.DUMMYFUNCTION("AVERAGE(INDEX(GOOGLEFINANCE(A188, ""price"", TODAY()-30, TODAY()), 0, 2))"),374.5739130434782)</f>
        <v>374.573913</v>
      </c>
      <c r="S188" s="9">
        <f>IFERROR(__xludf.DUMMYFUNCTION("AVERAGE(INDEX(GOOGLEFINANCE(A188, ""price"", TODAY()-75, TODAY()), 0, 2))"),367.92452830188677)</f>
        <v>367.9245283</v>
      </c>
      <c r="T188" s="9">
        <f>IFERROR(__xludf.DUMMYFUNCTION("AVERAGE(INDEX(GOOGLEFINANCE(A188, ""price"", TODAY()-300, TODAY()), 0, 2))"),327.9809405940594)</f>
        <v>327.9809406</v>
      </c>
      <c r="U188" s="9">
        <f t="shared" si="5"/>
        <v>0.03797938527</v>
      </c>
      <c r="V188" s="15">
        <f>IFERROR(__xludf.DUMMYFUNCTION("LET(hist, GOOGLEFINANCE(A188,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rs))))))"),85.9859859859859)</f>
        <v>85.98598599</v>
      </c>
      <c r="W188" s="16" t="str">
        <f>IFERROR(__xludf.DUMMYFUNCTION("IFERROR(GOOGLEFINANCE(A188, ""volume"") / GOOGLEFINANCE(A188, ""volumeavg""), )"),"")</f>
        <v/>
      </c>
      <c r="X188" s="9">
        <f>IFERROR(__xludf.DUMMYFUNCTION("B188 * GOOGLEFINANCE(A188, ""volume"")"),8.902929024E8)</f>
        <v>890292902.4</v>
      </c>
      <c r="Y188" s="9">
        <f>IFERROR(__xludf.DUMMYFUNCTION("IFERROR(((B188 - GOOGLEFINANCE(A188, ""priceopen"")) / GOOGLEFINANCE(A188, ""priceopen"")) * GOOGLEFINANCE(A188, ""volume""), 0)"),-5288.332563510259)</f>
        <v>-5288.332564</v>
      </c>
    </row>
    <row r="189">
      <c r="A189" s="4" t="s">
        <v>1287</v>
      </c>
      <c r="B189" s="7">
        <f>IFERROR(__xludf.DUMMYFUNCTION("GOOGLEFINANCE(A189, ""price"")"),18200.0)</f>
        <v>18200</v>
      </c>
      <c r="C189" s="7">
        <f>IFERROR(__xludf.DUMMYFUNCTION("GOOGLEFINANCE(A189, ""changepct"")"),8.67)</f>
        <v>8.67</v>
      </c>
      <c r="D189" s="9">
        <f>IFERROR(__xludf.DUMMYFUNCTION("GOOGLEFINANCE(A189, ""priceopen"")"),16899.0)</f>
        <v>16899</v>
      </c>
      <c r="E189" s="9">
        <f>IFERROR(__xludf.DUMMYFUNCTION("GOOGLEFINANCE(A189, ""high"")"),18465.0)</f>
        <v>18465</v>
      </c>
      <c r="F189" s="9">
        <f>IFERROR(__xludf.DUMMYFUNCTION("GOOGLEFINANCE(A189, ""low"")"),16850.0)</f>
        <v>16850</v>
      </c>
      <c r="G189" s="9">
        <f>IFERROR(__xludf.DUMMYFUNCTION("GOOGLEFINANCE(A189, ""price"")"),18200.0)</f>
        <v>18200</v>
      </c>
      <c r="H189" s="9">
        <f>IFERROR(__xludf.DUMMYFUNCTION("MAX(INDEX(GOOGLEFINANCE(A189, ""high"", TODAY()-30, TODAY()), 0, 2))"),18465.0)</f>
        <v>18465</v>
      </c>
      <c r="I189" s="9">
        <f>IFERROR(__xludf.DUMMYFUNCTION("MIN(INDEX(GOOGLEFINANCE(A189, ""low"", TODAY()-30, TODAY()), 0, 2))"),13282.0)</f>
        <v>13282</v>
      </c>
      <c r="J189" s="9">
        <f>IFERROR(__xludf.DUMMYFUNCTION("GOOGLEFINANCE(A189, ""high52"")"),18465.0)</f>
        <v>18465</v>
      </c>
      <c r="K189" s="9">
        <f>IFERROR(__xludf.DUMMYFUNCTION("GOOGLEFINANCE(A189, ""low52"")"),6801.0)</f>
        <v>6801</v>
      </c>
      <c r="L189" s="9">
        <f t="shared" si="1"/>
        <v>0.01435147576</v>
      </c>
      <c r="M189" s="9">
        <f t="shared" si="2"/>
        <v>1.676077047</v>
      </c>
      <c r="N189" s="9">
        <f t="shared" si="3"/>
        <v>0.09584569733</v>
      </c>
      <c r="O189" s="9">
        <f t="shared" si="4"/>
        <v>0.9488713101</v>
      </c>
      <c r="P189" s="9">
        <f>IFERROR(__xludf.DUMMYFUNCTION("GOOGLEFINANCE(A189, ""pe"")"),62.02)</f>
        <v>62.02</v>
      </c>
      <c r="Q189" s="9">
        <f>IFERROR(__xludf.DUMMYFUNCTION("IFERROR(GOOGLEFINANCE(A189, ""volume"") / GOOGLEFINANCE(A189, ""volumeavg""), 0)"),0.0)</f>
        <v>0</v>
      </c>
      <c r="R189" s="9">
        <f>IFERROR(__xludf.DUMMYFUNCTION("AVERAGE(INDEX(GOOGLEFINANCE(A189, ""price"", TODAY()-30, TODAY()), 0, 2))"),14675.739130434782)</f>
        <v>14675.73913</v>
      </c>
      <c r="S189" s="9">
        <f>IFERROR(__xludf.DUMMYFUNCTION("AVERAGE(INDEX(GOOGLEFINANCE(A189, ""price"", TODAY()-75, TODAY()), 0, 2))"),14718.150943396226)</f>
        <v>14718.15094</v>
      </c>
      <c r="T189" s="9">
        <f>IFERROR(__xludf.DUMMYFUNCTION("AVERAGE(INDEX(GOOGLEFINANCE(A189, ""price"", TODAY()-300, TODAY()), 0, 2))"),11043.591584158416)</f>
        <v>11043.59158</v>
      </c>
      <c r="U189" s="9">
        <f t="shared" si="5"/>
        <v>0.2401419675</v>
      </c>
      <c r="V189" s="15">
        <f>IFERROR(__xludf.DUMMYFUNCTION("LET(hist, GOOGLEFINANCE(A189,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rs))))))"),86.52833200319233)</f>
        <v>86.528332</v>
      </c>
      <c r="W189" s="16" t="str">
        <f>IFERROR(__xludf.DUMMYFUNCTION("IFERROR(GOOGLEFINANCE(A189, ""volume"") / GOOGLEFINANCE(A189, ""volumeavg""), )"),"")</f>
        <v/>
      </c>
      <c r="X189" s="9">
        <f>IFERROR(__xludf.DUMMYFUNCTION("B189 * GOOGLEFINANCE(A189, ""volume"")"),6.893796E9)</f>
        <v>6893796000</v>
      </c>
      <c r="Y189" s="9">
        <f>IFERROR(__xludf.DUMMYFUNCTION("IFERROR(((B189 - GOOGLEFINANCE(A189, ""priceopen"")) / GOOGLEFINANCE(A189, ""priceopen"")) * GOOGLEFINANCE(A189, ""volume""), 0)"),29161.06160127818)</f>
        <v>29161.0616</v>
      </c>
    </row>
    <row r="190">
      <c r="A190" s="4" t="s">
        <v>1292</v>
      </c>
      <c r="B190" s="7">
        <f>IFERROR(__xludf.DUMMYFUNCTION("GOOGLEFINANCE(A190, ""price"")"),6780.0)</f>
        <v>6780</v>
      </c>
      <c r="C190" s="7">
        <f>IFERROR(__xludf.DUMMYFUNCTION("GOOGLEFINANCE(A190, ""changepct"")"),-2.75)</f>
        <v>-2.75</v>
      </c>
      <c r="D190" s="9">
        <f>IFERROR(__xludf.DUMMYFUNCTION("GOOGLEFINANCE(A190, ""priceopen"")"),6931.0)</f>
        <v>6931</v>
      </c>
      <c r="E190" s="9">
        <f>IFERROR(__xludf.DUMMYFUNCTION("GOOGLEFINANCE(A190, ""high"")"),6931.0)</f>
        <v>6931</v>
      </c>
      <c r="F190" s="9">
        <f>IFERROR(__xludf.DUMMYFUNCTION("GOOGLEFINANCE(A190, ""low"")"),6709.5)</f>
        <v>6709.5</v>
      </c>
      <c r="G190" s="9">
        <f>IFERROR(__xludf.DUMMYFUNCTION("GOOGLEFINANCE(A190, ""price"")"),6780.0)</f>
        <v>6780</v>
      </c>
      <c r="H190" s="9">
        <f>IFERROR(__xludf.DUMMYFUNCTION("MAX(INDEX(GOOGLEFINANCE(A190, ""high"", TODAY()-30, TODAY()), 0, 2))"),7319.5)</f>
        <v>7319.5</v>
      </c>
      <c r="I190" s="9">
        <f>IFERROR(__xludf.DUMMYFUNCTION("MIN(INDEX(GOOGLEFINANCE(A190, ""low"", TODAY()-30, TODAY()), 0, 2))"),6621.0)</f>
        <v>6621</v>
      </c>
      <c r="J190" s="9">
        <f>IFERROR(__xludf.DUMMYFUNCTION("GOOGLEFINANCE(A190, ""high52"")"),8049.0)</f>
        <v>8049</v>
      </c>
      <c r="K190" s="9">
        <f>IFERROR(__xludf.DUMMYFUNCTION("GOOGLEFINANCE(A190, ""low52"")"),5673.0)</f>
        <v>5673</v>
      </c>
      <c r="L190" s="9">
        <f t="shared" si="1"/>
        <v>0.1576593366</v>
      </c>
      <c r="M190" s="9">
        <f t="shared" si="2"/>
        <v>0.1951348493</v>
      </c>
      <c r="N190" s="9">
        <f t="shared" si="3"/>
        <v>0.03301289217</v>
      </c>
      <c r="O190" s="9">
        <f t="shared" si="4"/>
        <v>0.2276306371</v>
      </c>
      <c r="P190" s="9">
        <f>IFERROR(__xludf.DUMMYFUNCTION("GOOGLEFINANCE(A190, ""pe"")"),105.33)</f>
        <v>105.33</v>
      </c>
      <c r="Q190" s="9">
        <f>IFERROR(__xludf.DUMMYFUNCTION("IFERROR(GOOGLEFINANCE(A190, ""volume"") / GOOGLEFINANCE(A190, ""volumeavg""), 0)"),0.0)</f>
        <v>0</v>
      </c>
      <c r="R190" s="9">
        <f>IFERROR(__xludf.DUMMYFUNCTION("AVERAGE(INDEX(GOOGLEFINANCE(A190, ""price"", TODAY()-30, TODAY()), 0, 2))"),6937.978260869565)</f>
        <v>6937.978261</v>
      </c>
      <c r="S190" s="9">
        <f>IFERROR(__xludf.DUMMYFUNCTION("AVERAGE(INDEX(GOOGLEFINANCE(A190, ""price"", TODAY()-75, TODAY()), 0, 2))"),7016.3490566037735)</f>
        <v>7016.349057</v>
      </c>
      <c r="T190" s="9">
        <f>IFERROR(__xludf.DUMMYFUNCTION("AVERAGE(INDEX(GOOGLEFINANCE(A190, ""price"", TODAY()-300, TODAY()), 0, 2))"),6636.231343283582)</f>
        <v>6636.231343</v>
      </c>
      <c r="U190" s="9">
        <f t="shared" si="5"/>
        <v>-0.02277007147</v>
      </c>
      <c r="V190" s="15">
        <f>IFERROR(__xludf.DUMMYFUNCTION("LET(hist, GOOGLEFINANCE(A190,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rs))))))"),52.56797583081571)</f>
        <v>52.56797583</v>
      </c>
      <c r="W190" s="16" t="str">
        <f>IFERROR(__xludf.DUMMYFUNCTION("IFERROR(GOOGLEFINANCE(A190, ""volume"") / GOOGLEFINANCE(A190, ""volumeavg""), )"),"")</f>
        <v/>
      </c>
      <c r="X190" s="9">
        <f>IFERROR(__xludf.DUMMYFUNCTION("B190 * GOOGLEFINANCE(A190, ""volume"")"),3.2866728E8)</f>
        <v>328667280</v>
      </c>
      <c r="Y190" s="9">
        <f>IFERROR(__xludf.DUMMYFUNCTION("IFERROR(((B190 - GOOGLEFINANCE(A190, ""priceopen"")) / GOOGLEFINANCE(A190, ""priceopen"")) * GOOGLEFINANCE(A190, ""volume""), 0)"),-1056.106766700332)</f>
        <v>-1056.106767</v>
      </c>
    </row>
    <row r="191">
      <c r="A191" s="4" t="s">
        <v>1299</v>
      </c>
      <c r="B191" s="7">
        <f>IFERROR(__xludf.DUMMYFUNCTION("GOOGLEFINANCE(A191, ""price"")"),689.5)</f>
        <v>689.5</v>
      </c>
      <c r="C191" s="7">
        <f>IFERROR(__xludf.DUMMYFUNCTION("GOOGLEFINANCE(A191, ""changepct"")"),-0.52)</f>
        <v>-0.52</v>
      </c>
      <c r="D191" s="9">
        <f>IFERROR(__xludf.DUMMYFUNCTION("GOOGLEFINANCE(A191, ""priceopen"")"),685.7)</f>
        <v>685.7</v>
      </c>
      <c r="E191" s="9">
        <f>IFERROR(__xludf.DUMMYFUNCTION("GOOGLEFINANCE(A191, ""high"")"),699.2)</f>
        <v>699.2</v>
      </c>
      <c r="F191" s="9">
        <f>IFERROR(__xludf.DUMMYFUNCTION("GOOGLEFINANCE(A191, ""low"")"),685.0)</f>
        <v>685</v>
      </c>
      <c r="G191" s="9">
        <f>IFERROR(__xludf.DUMMYFUNCTION("GOOGLEFINANCE(A191, ""price"")"),689.5)</f>
        <v>689.5</v>
      </c>
      <c r="H191" s="9">
        <f>IFERROR(__xludf.DUMMYFUNCTION("MAX(INDEX(GOOGLEFINANCE(A191, ""high"", TODAY()-30, TODAY()), 0, 2))"),786.55)</f>
        <v>786.55</v>
      </c>
      <c r="I191" s="9">
        <f>IFERROR(__xludf.DUMMYFUNCTION("MIN(INDEX(GOOGLEFINANCE(A191, ""low"", TODAY()-30, TODAY()), 0, 2))"),657.0)</f>
        <v>657</v>
      </c>
      <c r="J191" s="9">
        <f>IFERROR(__xludf.DUMMYFUNCTION("GOOGLEFINANCE(A191, ""high52"")"),811.8)</f>
        <v>811.8</v>
      </c>
      <c r="K191" s="9">
        <f>IFERROR(__xludf.DUMMYFUNCTION("GOOGLEFINANCE(A191, ""low52"")"),555.3)</f>
        <v>555.3</v>
      </c>
      <c r="L191" s="9">
        <f t="shared" si="1"/>
        <v>0.1506528702</v>
      </c>
      <c r="M191" s="9">
        <f t="shared" si="2"/>
        <v>0.2416711687</v>
      </c>
      <c r="N191" s="9">
        <f t="shared" si="3"/>
        <v>0.02072992701</v>
      </c>
      <c r="O191" s="9">
        <f t="shared" si="4"/>
        <v>0.2508683906</v>
      </c>
      <c r="P191" s="9">
        <f>IFERROR(__xludf.DUMMYFUNCTION("GOOGLEFINANCE(A191, ""pe"")"),20.78)</f>
        <v>20.78</v>
      </c>
      <c r="Q191" s="9">
        <f>IFERROR(__xludf.DUMMYFUNCTION("IFERROR(GOOGLEFINANCE(A191, ""volume"") / GOOGLEFINANCE(A191, ""volumeavg""), 0)"),0.0)</f>
        <v>0</v>
      </c>
      <c r="R191" s="9">
        <f>IFERROR(__xludf.DUMMYFUNCTION("AVERAGE(INDEX(GOOGLEFINANCE(A191, ""price"", TODAY()-30, TODAY()), 0, 2))"),701.2804347826087)</f>
        <v>701.2804348</v>
      </c>
      <c r="S191" s="9">
        <f>IFERROR(__xludf.DUMMYFUNCTION("AVERAGE(INDEX(GOOGLEFINANCE(A191, ""price"", TODAY()-75, TODAY()), 0, 2))"),699.406603773585)</f>
        <v>699.4066038</v>
      </c>
      <c r="T191" s="9">
        <f>IFERROR(__xludf.DUMMYFUNCTION("AVERAGE(INDEX(GOOGLEFINANCE(A191, ""price"", TODAY()-300, TODAY()), 0, 2))"),703.8344059405941)</f>
        <v>703.8344059</v>
      </c>
      <c r="U191" s="9">
        <f t="shared" si="5"/>
        <v>-0.01679846492</v>
      </c>
      <c r="V191" s="15">
        <f>IFERROR(__xludf.DUMMYFUNCTION("LET(hist, GOOGLEFINANCE(A191,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rs))))))"),47.5924633635729)</f>
        <v>47.59246336</v>
      </c>
      <c r="W191" s="16" t="str">
        <f>IFERROR(__xludf.DUMMYFUNCTION("IFERROR(GOOGLEFINANCE(A191, ""volume"") / GOOGLEFINANCE(A191, ""volumeavg""), )"),"")</f>
        <v/>
      </c>
      <c r="X191" s="9">
        <f>IFERROR(__xludf.DUMMYFUNCTION("B191 * GOOGLEFINANCE(A191, ""volume"")"),1.91507246E8)</f>
        <v>191507246</v>
      </c>
      <c r="Y191" s="9">
        <f>IFERROR(__xludf.DUMMYFUNCTION("IFERROR(((B191 - GOOGLEFINANCE(A191, ""priceopen"")) / GOOGLEFINANCE(A191, ""priceopen"")) * GOOGLEFINANCE(A191, ""volume""), 0)"),1539.2189003937397)</f>
        <v>1539.2189</v>
      </c>
    </row>
    <row r="192">
      <c r="A192" s="4" t="s">
        <v>1305</v>
      </c>
      <c r="B192" s="7">
        <f>IFERROR(__xludf.DUMMYFUNCTION("GOOGLEFINANCE(A192, ""price"")"),1999.8)</f>
        <v>1999.8</v>
      </c>
      <c r="C192" s="7">
        <f>IFERROR(__xludf.DUMMYFUNCTION("GOOGLEFINANCE(A192, ""changepct"")"),-0.41)</f>
        <v>-0.41</v>
      </c>
      <c r="D192" s="9">
        <f>IFERROR(__xludf.DUMMYFUNCTION("GOOGLEFINANCE(A192, ""priceopen"")"),2008.0)</f>
        <v>2008</v>
      </c>
      <c r="E192" s="9">
        <f>IFERROR(__xludf.DUMMYFUNCTION("GOOGLEFINANCE(A192, ""high"")"),2008.0)</f>
        <v>2008</v>
      </c>
      <c r="F192" s="9">
        <f>IFERROR(__xludf.DUMMYFUNCTION("GOOGLEFINANCE(A192, ""low"")"),1994.0)</f>
        <v>1994</v>
      </c>
      <c r="G192" s="9">
        <f>IFERROR(__xludf.DUMMYFUNCTION("GOOGLEFINANCE(A192, ""price"")"),1999.8)</f>
        <v>1999.8</v>
      </c>
      <c r="H192" s="9">
        <f>IFERROR(__xludf.DUMMYFUNCTION("MAX(INDEX(GOOGLEFINANCE(A192, ""high"", TODAY()-30, TODAY()), 0, 2))"),2213.4)</f>
        <v>2213.4</v>
      </c>
      <c r="I192" s="9">
        <f>IFERROR(__xludf.DUMMYFUNCTION("MIN(INDEX(GOOGLEFINANCE(A192, ""low"", TODAY()-30, TODAY()), 0, 2))"),1986.3)</f>
        <v>1986.3</v>
      </c>
      <c r="J192" s="9">
        <f>IFERROR(__xludf.DUMMYFUNCTION("GOOGLEFINANCE(A192, ""high52"")"),2504.0)</f>
        <v>2504</v>
      </c>
      <c r="K192" s="9">
        <f>IFERROR(__xludf.DUMMYFUNCTION("GOOGLEFINANCE(A192, ""low52"")"),1782.0)</f>
        <v>1782</v>
      </c>
      <c r="L192" s="9">
        <f t="shared" si="1"/>
        <v>0.2013578275</v>
      </c>
      <c r="M192" s="9">
        <f t="shared" si="2"/>
        <v>0.1222222222</v>
      </c>
      <c r="N192" s="9">
        <f t="shared" si="3"/>
        <v>0.00702106319</v>
      </c>
      <c r="O192" s="9">
        <f t="shared" si="4"/>
        <v>0.05944517834</v>
      </c>
      <c r="P192" s="9">
        <f>IFERROR(__xludf.DUMMYFUNCTION("GOOGLEFINANCE(A192, ""pe"")"),40.36)</f>
        <v>40.36</v>
      </c>
      <c r="Q192" s="9">
        <f>IFERROR(__xludf.DUMMYFUNCTION("IFERROR(GOOGLEFINANCE(A192, ""volume"") / GOOGLEFINANCE(A192, ""volumeavg""), 0)"),0.0)</f>
        <v>0</v>
      </c>
      <c r="R192" s="9">
        <f>IFERROR(__xludf.DUMMYFUNCTION("AVERAGE(INDEX(GOOGLEFINANCE(A192, ""price"", TODAY()-30, TODAY()), 0, 2))"),2060.6043478260867)</f>
        <v>2060.604348</v>
      </c>
      <c r="S192" s="9">
        <f>IFERROR(__xludf.DUMMYFUNCTION("AVERAGE(INDEX(GOOGLEFINANCE(A192, ""price"", TODAY()-75, TODAY()), 0, 2))"),2042.6886792452833)</f>
        <v>2042.688679</v>
      </c>
      <c r="T192" s="9">
        <f>IFERROR(__xludf.DUMMYFUNCTION("AVERAGE(INDEX(GOOGLEFINANCE(A192, ""price"", TODAY()-300, TODAY()), 0, 2))"),2098.163366336634)</f>
        <v>2098.163366</v>
      </c>
      <c r="U192" s="9">
        <f t="shared" si="5"/>
        <v>-0.02950801685</v>
      </c>
      <c r="V192" s="15">
        <f>IFERROR(__xludf.DUMMYFUNCTION("LET(hist, GOOGLEFINANCE(A192,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rs))))))"),36.84039087947879)</f>
        <v>36.84039088</v>
      </c>
      <c r="W192" s="16" t="str">
        <f>IFERROR(__xludf.DUMMYFUNCTION("IFERROR(GOOGLEFINANCE(A192, ""volume"") / GOOGLEFINANCE(A192, ""volumeavg""), )"),"")</f>
        <v/>
      </c>
      <c r="X192" s="9">
        <f>IFERROR(__xludf.DUMMYFUNCTION("B192 * GOOGLEFINANCE(A192, ""volume"")"),6.368443091999999E8)</f>
        <v>636844309.2</v>
      </c>
      <c r="Y192" s="9">
        <f>IFERROR(__xludf.DUMMYFUNCTION("IFERROR(((B192 - GOOGLEFINANCE(A192, ""priceopen"")) / GOOGLEFINANCE(A192, ""priceopen"")) * GOOGLEFINANCE(A192, ""volume""), 0)"),-1300.4595617529953)</f>
        <v>-1300.459562</v>
      </c>
    </row>
    <row r="193">
      <c r="A193" s="4" t="s">
        <v>1312</v>
      </c>
      <c r="B193" s="7">
        <f>IFERROR(__xludf.DUMMYFUNCTION("GOOGLEFINANCE(A193, ""price"")"),130700.0)</f>
        <v>130700</v>
      </c>
      <c r="C193" s="7">
        <f>IFERROR(__xludf.DUMMYFUNCTION("GOOGLEFINANCE(A193, ""changepct"")"),-0.32)</f>
        <v>-0.32</v>
      </c>
      <c r="D193" s="9">
        <f>IFERROR(__xludf.DUMMYFUNCTION("GOOGLEFINANCE(A193, ""priceopen"")"),131540.0)</f>
        <v>131540</v>
      </c>
      <c r="E193" s="9">
        <f>IFERROR(__xludf.DUMMYFUNCTION("GOOGLEFINANCE(A193, ""high"")"),131985.0)</f>
        <v>131985</v>
      </c>
      <c r="F193" s="9">
        <f>IFERROR(__xludf.DUMMYFUNCTION("GOOGLEFINANCE(A193, ""low"")"),130430.0)</f>
        <v>130430</v>
      </c>
      <c r="G193" s="9">
        <f>IFERROR(__xludf.DUMMYFUNCTION("GOOGLEFINANCE(A193, ""price"")"),130700.0)</f>
        <v>130700</v>
      </c>
      <c r="H193" s="9">
        <f>IFERROR(__xludf.DUMMYFUNCTION("MAX(INDEX(GOOGLEFINANCE(A193, ""high"", TODAY()-30, TODAY()), 0, 2))"),135550.0)</f>
        <v>135550</v>
      </c>
      <c r="I193" s="9">
        <f>IFERROR(__xludf.DUMMYFUNCTION("MIN(INDEX(GOOGLEFINANCE(A193, ""low"", TODAY()-30, TODAY()), 0, 2))"),129550.0)</f>
        <v>129550</v>
      </c>
      <c r="J193" s="9">
        <f>IFERROR(__xludf.DUMMYFUNCTION("GOOGLEFINANCE(A193, ""high52"")"),163600.0)</f>
        <v>163600</v>
      </c>
      <c r="K193" s="9">
        <f>IFERROR(__xludf.DUMMYFUNCTION("GOOGLEFINANCE(A193, ""low52"")"),122000.0)</f>
        <v>122000</v>
      </c>
      <c r="L193" s="9">
        <f t="shared" si="1"/>
        <v>0.2011002445</v>
      </c>
      <c r="M193" s="9">
        <f t="shared" si="2"/>
        <v>0.07131147541</v>
      </c>
      <c r="N193" s="9">
        <f t="shared" si="3"/>
        <v>0.01192210381</v>
      </c>
      <c r="O193" s="9">
        <f t="shared" si="4"/>
        <v>0.1916666667</v>
      </c>
      <c r="P193" s="9">
        <f>IFERROR(__xludf.DUMMYFUNCTION("GOOGLEFINANCE(A193, ""pe"")"),22.85)</f>
        <v>22.85</v>
      </c>
      <c r="Q193" s="9">
        <f>IFERROR(__xludf.DUMMYFUNCTION("IFERROR(GOOGLEFINANCE(A193, ""volume"") / GOOGLEFINANCE(A193, ""volumeavg""), 0)"),0.0)</f>
        <v>0</v>
      </c>
      <c r="R193" s="9">
        <f>IFERROR(__xludf.DUMMYFUNCTION("AVERAGE(INDEX(GOOGLEFINANCE(A193, ""price"", TODAY()-30, TODAY()), 0, 2))"),132625.65217391305)</f>
        <v>132625.6522</v>
      </c>
      <c r="S193" s="9">
        <f>IFERROR(__xludf.DUMMYFUNCTION("AVERAGE(INDEX(GOOGLEFINANCE(A193, ""price"", TODAY()-75, TODAY()), 0, 2))"),130257.83018867925)</f>
        <v>130257.8302</v>
      </c>
      <c r="T193" s="9">
        <f>IFERROR(__xludf.DUMMYFUNCTION("AVERAGE(INDEX(GOOGLEFINANCE(A193, ""price"", TODAY()-300, TODAY()), 0, 2))"),139816.95544554456)</f>
        <v>139816.9554</v>
      </c>
      <c r="U193" s="9">
        <f t="shared" si="5"/>
        <v>-0.01451945489</v>
      </c>
      <c r="V193" s="15">
        <f>IFERROR(__xludf.DUMMYFUNCTION("LET(hist, GOOGLEFINANCE(A193,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rs))))))"),45.90864278672363)</f>
        <v>45.90864279</v>
      </c>
      <c r="W193" s="16" t="str">
        <f>IFERROR(__xludf.DUMMYFUNCTION("IFERROR(GOOGLEFINANCE(A193, ""volume"") / GOOGLEFINANCE(A193, ""volumeavg""), )"),"")</f>
        <v/>
      </c>
      <c r="X193" s="9">
        <f>IFERROR(__xludf.DUMMYFUNCTION("B193 * GOOGLEFINANCE(A193, ""volume"")"),5.388761E8)</f>
        <v>538876100</v>
      </c>
      <c r="Y193" s="9">
        <f>IFERROR(__xludf.DUMMYFUNCTION("IFERROR(((B193 - GOOGLEFINANCE(A193, ""priceopen"")) / GOOGLEFINANCE(A193, ""priceopen"")) * GOOGLEFINANCE(A193, ""volume""), 0)"),-26.329025391515888)</f>
        <v>-26.32902539</v>
      </c>
    </row>
    <row r="194">
      <c r="A194" s="4" t="s">
        <v>1318</v>
      </c>
      <c r="B194" s="7">
        <f>IFERROR(__xludf.DUMMYFUNCTION("GOOGLEFINANCE(A194, ""price"")"),395.5)</f>
        <v>395.5</v>
      </c>
      <c r="C194" s="7">
        <f>IFERROR(__xludf.DUMMYFUNCTION("GOOGLEFINANCE(A194, ""changepct"")"),-0.83)</f>
        <v>-0.83</v>
      </c>
      <c r="D194" s="9">
        <f>IFERROR(__xludf.DUMMYFUNCTION("GOOGLEFINANCE(A194, ""priceopen"")"),398.35)</f>
        <v>398.35</v>
      </c>
      <c r="E194" s="9">
        <f>IFERROR(__xludf.DUMMYFUNCTION("GOOGLEFINANCE(A194, ""high"")"),410.0)</f>
        <v>410</v>
      </c>
      <c r="F194" s="9">
        <f>IFERROR(__xludf.DUMMYFUNCTION("GOOGLEFINANCE(A194, ""low"")"),392.5)</f>
        <v>392.5</v>
      </c>
      <c r="G194" s="9">
        <f>IFERROR(__xludf.DUMMYFUNCTION("GOOGLEFINANCE(A194, ""price"")"),395.5)</f>
        <v>395.5</v>
      </c>
      <c r="H194" s="9">
        <f>IFERROR(__xludf.DUMMYFUNCTION("MAX(INDEX(GOOGLEFINANCE(A194, ""high"", TODAY()-30, TODAY()), 0, 2))"),415.0)</f>
        <v>415</v>
      </c>
      <c r="I194" s="9">
        <f>IFERROR(__xludf.DUMMYFUNCTION("MIN(INDEX(GOOGLEFINANCE(A194, ""low"", TODAY()-30, TODAY()), 0, 2))"),317.6)</f>
        <v>317.6</v>
      </c>
      <c r="J194" s="9">
        <f>IFERROR(__xludf.DUMMYFUNCTION("GOOGLEFINANCE(A194, ""high52"")"),415.0)</f>
        <v>415</v>
      </c>
      <c r="K194" s="9">
        <f>IFERROR(__xludf.DUMMYFUNCTION("GOOGLEFINANCE(A194, ""low52"")"),253.05)</f>
        <v>253.05</v>
      </c>
      <c r="L194" s="9">
        <f t="shared" si="1"/>
        <v>0.04698795181</v>
      </c>
      <c r="M194" s="9">
        <f t="shared" si="2"/>
        <v>0.5629322268</v>
      </c>
      <c r="N194" s="9">
        <f t="shared" si="3"/>
        <v>0.04458598726</v>
      </c>
      <c r="O194" s="9">
        <f t="shared" si="4"/>
        <v>0.7997946612</v>
      </c>
      <c r="P194" s="9">
        <f>IFERROR(__xludf.DUMMYFUNCTION("GOOGLEFINANCE(A194, ""pe"")"),16.9)</f>
        <v>16.9</v>
      </c>
      <c r="Q194" s="9">
        <f>IFERROR(__xludf.DUMMYFUNCTION("IFERROR(GOOGLEFINANCE(A194, ""volume"") / GOOGLEFINANCE(A194, ""volumeavg""), 0)"),0.0)</f>
        <v>0</v>
      </c>
      <c r="R194" s="9">
        <f>IFERROR(__xludf.DUMMYFUNCTION("AVERAGE(INDEX(GOOGLEFINANCE(A194, ""price"", TODAY()-30, TODAY()), 0, 2))"),370.49782608695654)</f>
        <v>370.4978261</v>
      </c>
      <c r="S194" s="9">
        <f>IFERROR(__xludf.DUMMYFUNCTION("AVERAGE(INDEX(GOOGLEFINANCE(A194, ""price"", TODAY()-75, TODAY()), 0, 2))"),333.4584905660377)</f>
        <v>333.4584906</v>
      </c>
      <c r="T194" s="9">
        <f>IFERROR(__xludf.DUMMYFUNCTION("AVERAGE(INDEX(GOOGLEFINANCE(A194, ""price"", TODAY()-300, TODAY()), 0, 2))"),337.52524752475256)</f>
        <v>337.5252475</v>
      </c>
      <c r="U194" s="9">
        <f t="shared" si="5"/>
        <v>0.06748264673</v>
      </c>
      <c r="V194" s="15">
        <f>IFERROR(__xludf.DUMMYFUNCTION("LET(hist, GOOGLEFINANCE(A194,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rs))))))"),59.40959409594096)</f>
        <v>59.4095941</v>
      </c>
      <c r="W194" s="16" t="str">
        <f>IFERROR(__xludf.DUMMYFUNCTION("IFERROR(GOOGLEFINANCE(A194, ""volume"") / GOOGLEFINANCE(A194, ""volumeavg""), )"),"")</f>
        <v/>
      </c>
      <c r="X194" s="9">
        <f>IFERROR(__xludf.DUMMYFUNCTION("B194 * GOOGLEFINANCE(A194, ""volume"")"),1.776652444E9)</f>
        <v>1776652444</v>
      </c>
      <c r="Y194" s="9">
        <f>IFERROR(__xludf.DUMMYFUNCTION("IFERROR(((B194 - GOOGLEFINANCE(A194, ""priceopen"")) / GOOGLEFINANCE(A194, ""priceopen"")) * GOOGLEFINANCE(A194, ""volume""), 0)"),-32139.271494916786)</f>
        <v>-32139.27149</v>
      </c>
    </row>
    <row r="195">
      <c r="A195" s="4" t="s">
        <v>1325</v>
      </c>
      <c r="B195" s="7">
        <f>IFERROR(__xludf.DUMMYFUNCTION("GOOGLEFINANCE(A195, ""price"")"),816.0)</f>
        <v>816</v>
      </c>
      <c r="C195" s="7">
        <f>IFERROR(__xludf.DUMMYFUNCTION("GOOGLEFINANCE(A195, ""changepct"")"),-1.5)</f>
        <v>-1.5</v>
      </c>
      <c r="D195" s="9">
        <f>IFERROR(__xludf.DUMMYFUNCTION("GOOGLEFINANCE(A195, ""priceopen"")"),825.2)</f>
        <v>825.2</v>
      </c>
      <c r="E195" s="9">
        <f>IFERROR(__xludf.DUMMYFUNCTION("GOOGLEFINANCE(A195, ""high"")"),833.9)</f>
        <v>833.9</v>
      </c>
      <c r="F195" s="9">
        <f>IFERROR(__xludf.DUMMYFUNCTION("GOOGLEFINANCE(A195, ""low"")"),816.0)</f>
        <v>816</v>
      </c>
      <c r="G195" s="9">
        <f>IFERROR(__xludf.DUMMYFUNCTION("GOOGLEFINANCE(A195, ""price"")"),816.0)</f>
        <v>816</v>
      </c>
      <c r="H195" s="9">
        <f>IFERROR(__xludf.DUMMYFUNCTION("MAX(INDEX(GOOGLEFINANCE(A195, ""high"", TODAY()-30, TODAY()), 0, 2))"),865.25)</f>
        <v>865.25</v>
      </c>
      <c r="I195" s="9">
        <f>IFERROR(__xludf.DUMMYFUNCTION("MIN(INDEX(GOOGLEFINANCE(A195, ""low"", TODAY()-30, TODAY()), 0, 2))"),789.1)</f>
        <v>789.1</v>
      </c>
      <c r="J195" s="9">
        <f>IFERROR(__xludf.DUMMYFUNCTION("GOOGLEFINANCE(A195, ""high52"")"),1058.6)</f>
        <v>1058.6</v>
      </c>
      <c r="K195" s="9">
        <f>IFERROR(__xludf.DUMMYFUNCTION("GOOGLEFINANCE(A195, ""low52"")"),652.1)</f>
        <v>652.1</v>
      </c>
      <c r="L195" s="9">
        <f t="shared" si="1"/>
        <v>0.2291706027</v>
      </c>
      <c r="M195" s="9">
        <f t="shared" si="2"/>
        <v>0.2513418187</v>
      </c>
      <c r="N195" s="9">
        <f t="shared" si="3"/>
        <v>0.02193627451</v>
      </c>
      <c r="O195" s="9">
        <f t="shared" si="4"/>
        <v>0.3532501641</v>
      </c>
      <c r="P195" s="9" t="str">
        <f>IFERROR(__xludf.DUMMYFUNCTION("GOOGLEFINANCE(A195, ""pe"")"),"#N/A")</f>
        <v>#N/A</v>
      </c>
      <c r="Q195" s="9">
        <f>IFERROR(__xludf.DUMMYFUNCTION("IFERROR(GOOGLEFINANCE(A195, ""volume"") / GOOGLEFINANCE(A195, ""volumeavg""), 0)"),0.0)</f>
        <v>0</v>
      </c>
      <c r="R195" s="9">
        <f>IFERROR(__xludf.DUMMYFUNCTION("AVERAGE(INDEX(GOOGLEFINANCE(A195, ""price"", TODAY()-30, TODAY()), 0, 2))"),831.2282608695652)</f>
        <v>831.2282609</v>
      </c>
      <c r="S195" s="9">
        <f>IFERROR(__xludf.DUMMYFUNCTION("AVERAGE(INDEX(GOOGLEFINANCE(A195, ""price"", TODAY()-75, TODAY()), 0, 2))"),863.1547169811322)</f>
        <v>863.154717</v>
      </c>
      <c r="T195" s="9">
        <f>IFERROR(__xludf.DUMMYFUNCTION("AVERAGE(INDEX(GOOGLEFINANCE(A195, ""price"", TODAY()-300, TODAY()), 0, 2))"),851.4497524752472)</f>
        <v>851.4497525</v>
      </c>
      <c r="U195" s="9">
        <f t="shared" si="5"/>
        <v>-0.01832019144</v>
      </c>
      <c r="V195" s="15">
        <f>IFERROR(__xludf.DUMMYFUNCTION("LET(hist, GOOGLEFINANCE(A195,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rs))))))"),57.38758029978585)</f>
        <v>57.3875803</v>
      </c>
      <c r="W195" s="16" t="str">
        <f>IFERROR(__xludf.DUMMYFUNCTION("IFERROR(GOOGLEFINANCE(A195, ""volume"") / GOOGLEFINANCE(A195, ""volumeavg""), )"),"")</f>
        <v/>
      </c>
      <c r="X195" s="9">
        <f>IFERROR(__xludf.DUMMYFUNCTION("B195 * GOOGLEFINANCE(A195, ""volume"")"),4.2679248E7)</f>
        <v>42679248</v>
      </c>
      <c r="Y195" s="9">
        <f>IFERROR(__xludf.DUMMYFUNCTION("IFERROR(((B195 - GOOGLEFINANCE(A195, ""priceopen"")) / GOOGLEFINANCE(A195, ""priceopen"")) * GOOGLEFINANCE(A195, ""volume""), 0)"),-583.1163354338371)</f>
        <v>-583.1163354</v>
      </c>
    </row>
    <row r="196">
      <c r="A196" s="4" t="s">
        <v>1331</v>
      </c>
      <c r="B196" s="7">
        <f>IFERROR(__xludf.DUMMYFUNCTION("GOOGLEFINANCE(A196, ""price"")"),2820.0)</f>
        <v>2820</v>
      </c>
      <c r="C196" s="7">
        <f>IFERROR(__xludf.DUMMYFUNCTION("GOOGLEFINANCE(A196, ""changepct"")"),1.44)</f>
        <v>1.44</v>
      </c>
      <c r="D196" s="9">
        <f>IFERROR(__xludf.DUMMYFUNCTION("GOOGLEFINANCE(A196, ""priceopen"")"),2780.0)</f>
        <v>2780</v>
      </c>
      <c r="E196" s="9">
        <f>IFERROR(__xludf.DUMMYFUNCTION("GOOGLEFINANCE(A196, ""high"")"),2839.0)</f>
        <v>2839</v>
      </c>
      <c r="F196" s="9">
        <f>IFERROR(__xludf.DUMMYFUNCTION("GOOGLEFINANCE(A196, ""low"")"),2746.2)</f>
        <v>2746.2</v>
      </c>
      <c r="G196" s="9">
        <f>IFERROR(__xludf.DUMMYFUNCTION("GOOGLEFINANCE(A196, ""price"")"),2820.0)</f>
        <v>2820</v>
      </c>
      <c r="H196" s="9">
        <f>IFERROR(__xludf.DUMMYFUNCTION("MAX(INDEX(GOOGLEFINANCE(A196, ""high"", TODAY()-30, TODAY()), 0, 2))"),3015.5)</f>
        <v>3015.5</v>
      </c>
      <c r="I196" s="9">
        <f>IFERROR(__xludf.DUMMYFUNCTION("MIN(INDEX(GOOGLEFINANCE(A196, ""low"", TODAY()-30, TODAY()), 0, 2))"),2665.6)</f>
        <v>2665.6</v>
      </c>
      <c r="J196" s="9">
        <f>IFERROR(__xludf.DUMMYFUNCTION("GOOGLEFINANCE(A196, ""high52"")"),3419.9)</f>
        <v>3419.9</v>
      </c>
      <c r="K196" s="9">
        <f>IFERROR(__xludf.DUMMYFUNCTION("GOOGLEFINANCE(A196, ""low52"")"),2164.9)</f>
        <v>2164.9</v>
      </c>
      <c r="L196" s="9">
        <f t="shared" si="1"/>
        <v>0.1754144858</v>
      </c>
      <c r="M196" s="9">
        <f t="shared" si="2"/>
        <v>0.302600582</v>
      </c>
      <c r="N196" s="9">
        <f t="shared" si="3"/>
        <v>0.03379214915</v>
      </c>
      <c r="O196" s="9">
        <f t="shared" si="4"/>
        <v>0.441268934</v>
      </c>
      <c r="P196" s="9">
        <f>IFERROR(__xludf.DUMMYFUNCTION("GOOGLEFINANCE(A196, ""pe"")"),85.98)</f>
        <v>85.98</v>
      </c>
      <c r="Q196" s="9">
        <f>IFERROR(__xludf.DUMMYFUNCTION("IFERROR(GOOGLEFINANCE(A196, ""volume"") / GOOGLEFINANCE(A196, ""volumeavg""), 0)"),0.0)</f>
        <v>0</v>
      </c>
      <c r="R196" s="9">
        <f>IFERROR(__xludf.DUMMYFUNCTION("AVERAGE(INDEX(GOOGLEFINANCE(A196, ""price"", TODAY()-30, TODAY()), 0, 2))"),2828.291304347826)</f>
        <v>2828.291304</v>
      </c>
      <c r="S196" s="9">
        <f>IFERROR(__xludf.DUMMYFUNCTION("AVERAGE(INDEX(GOOGLEFINANCE(A196, ""price"", TODAY()-75, TODAY()), 0, 2))"),2982.2981132075465)</f>
        <v>2982.298113</v>
      </c>
      <c r="T196" s="9">
        <f>IFERROR(__xludf.DUMMYFUNCTION("AVERAGE(INDEX(GOOGLEFINANCE(A196, ""price"", TODAY()-300, TODAY()), 0, 2))"),2792.128712871288)</f>
        <v>2792.128713</v>
      </c>
      <c r="U196" s="9">
        <f t="shared" si="5"/>
        <v>-0.002931559537</v>
      </c>
      <c r="V196" s="15">
        <f>IFERROR(__xludf.DUMMYFUNCTION("LET(hist, GOOGLEFINANCE(A196,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rs))))))"),51.14697041607341)</f>
        <v>51.14697042</v>
      </c>
      <c r="W196" s="16" t="str">
        <f>IFERROR(__xludf.DUMMYFUNCTION("IFERROR(GOOGLEFINANCE(A196, ""volume"") / GOOGLEFINANCE(A196, ""volumeavg""), )"),"")</f>
        <v/>
      </c>
      <c r="X196" s="9">
        <f>IFERROR(__xludf.DUMMYFUNCTION("B196 * GOOGLEFINANCE(A196, ""volume"")"),1.37216124E9)</f>
        <v>1372161240</v>
      </c>
      <c r="Y196" s="9">
        <f>IFERROR(__xludf.DUMMYFUNCTION("IFERROR(((B196 - GOOGLEFINANCE(A196, ""priceopen"")) / GOOGLEFINANCE(A196, ""priceopen"")) * GOOGLEFINANCE(A196, ""volume""), 0)"),7001.179856115108)</f>
        <v>7001.179856</v>
      </c>
    </row>
    <row r="197">
      <c r="A197" s="4" t="s">
        <v>1335</v>
      </c>
      <c r="B197" s="7">
        <f>IFERROR(__xludf.DUMMYFUNCTION("GOOGLEFINANCE(A197, ""price"")"),4514.4)</f>
        <v>4514.4</v>
      </c>
      <c r="C197" s="7">
        <f>IFERROR(__xludf.DUMMYFUNCTION("GOOGLEFINANCE(A197, ""changepct"")"),1.51)</f>
        <v>1.51</v>
      </c>
      <c r="D197" s="9">
        <f>IFERROR(__xludf.DUMMYFUNCTION("GOOGLEFINANCE(A197, ""priceopen"")"),4477.9)</f>
        <v>4477.9</v>
      </c>
      <c r="E197" s="9">
        <f>IFERROR(__xludf.DUMMYFUNCTION("GOOGLEFINANCE(A197, ""high"")"),4528.0)</f>
        <v>4528</v>
      </c>
      <c r="F197" s="9">
        <f>IFERROR(__xludf.DUMMYFUNCTION("GOOGLEFINANCE(A197, ""low"")"),4401.5)</f>
        <v>4401.5</v>
      </c>
      <c r="G197" s="9">
        <f>IFERROR(__xludf.DUMMYFUNCTION("GOOGLEFINANCE(A197, ""price"")"),4514.4)</f>
        <v>4514.4</v>
      </c>
      <c r="H197" s="9">
        <f>IFERROR(__xludf.DUMMYFUNCTION("MAX(INDEX(GOOGLEFINANCE(A197, ""high"", TODAY()-30, TODAY()), 0, 2))"),4965.3)</f>
        <v>4965.3</v>
      </c>
      <c r="I197" s="9">
        <f>IFERROR(__xludf.DUMMYFUNCTION("MIN(INDEX(GOOGLEFINANCE(A197, ""low"", TODAY()-30, TODAY()), 0, 2))"),4343.0)</f>
        <v>4343</v>
      </c>
      <c r="J197" s="9">
        <f>IFERROR(__xludf.DUMMYFUNCTION("GOOGLEFINANCE(A197, ""high52"")"),5642.0)</f>
        <v>5642</v>
      </c>
      <c r="K197" s="9">
        <f>IFERROR(__xludf.DUMMYFUNCTION("GOOGLEFINANCE(A197, ""low52"")"),4000.0)</f>
        <v>4000</v>
      </c>
      <c r="L197" s="9">
        <f t="shared" si="1"/>
        <v>0.1998582063</v>
      </c>
      <c r="M197" s="9">
        <f t="shared" si="2"/>
        <v>0.1286</v>
      </c>
      <c r="N197" s="9">
        <f t="shared" si="3"/>
        <v>0.0287402022</v>
      </c>
      <c r="O197" s="9">
        <f t="shared" si="4"/>
        <v>0.275429857</v>
      </c>
      <c r="P197" s="9">
        <f>IFERROR(__xludf.DUMMYFUNCTION("GOOGLEFINANCE(A197, ""pe"")"),22.42)</f>
        <v>22.42</v>
      </c>
      <c r="Q197" s="9">
        <f>IFERROR(__xludf.DUMMYFUNCTION("IFERROR(GOOGLEFINANCE(A197, ""volume"") / GOOGLEFINANCE(A197, ""volumeavg""), 0)"),0.0)</f>
        <v>0</v>
      </c>
      <c r="R197" s="9">
        <f>IFERROR(__xludf.DUMMYFUNCTION("AVERAGE(INDEX(GOOGLEFINANCE(A197, ""price"", TODAY()-30, TODAY()), 0, 2))"),4526.6652173913035)</f>
        <v>4526.665217</v>
      </c>
      <c r="S197" s="9">
        <f>IFERROR(__xludf.DUMMYFUNCTION("AVERAGE(INDEX(GOOGLEFINANCE(A197, ""price"", TODAY()-75, TODAY()), 0, 2))"),4461.196226415093)</f>
        <v>4461.196226</v>
      </c>
      <c r="T197" s="9">
        <f>IFERROR(__xludf.DUMMYFUNCTION("AVERAGE(INDEX(GOOGLEFINANCE(A197, ""price"", TODAY()-300, TODAY()), 0, 2))"),4798.281683168317)</f>
        <v>4798.281683</v>
      </c>
      <c r="U197" s="9">
        <f t="shared" si="5"/>
        <v>-0.002709548156</v>
      </c>
      <c r="V197" s="15">
        <f>IFERROR(__xludf.DUMMYFUNCTION("LET(hist, GOOGLEFINANCE(A197,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rs))))))"),53.280453257790356)</f>
        <v>53.28045326</v>
      </c>
      <c r="W197" s="16" t="str">
        <f>IFERROR(__xludf.DUMMYFUNCTION("IFERROR(GOOGLEFINANCE(A197, ""volume"") / GOOGLEFINANCE(A197, ""volumeavg""), )"),"")</f>
        <v/>
      </c>
      <c r="X197" s="9">
        <f>IFERROR(__xludf.DUMMYFUNCTION("B197 * GOOGLEFINANCE(A197, ""volume"")"),1.742964696E8)</f>
        <v>174296469.6</v>
      </c>
      <c r="Y197" s="9">
        <f>IFERROR(__xludf.DUMMYFUNCTION("IFERROR(((B197 - GOOGLEFINANCE(A197, ""priceopen"")) / GOOGLEFINANCE(A197, ""priceopen"")) * GOOGLEFINANCE(A197, ""volume""), 0)"),314.70745215391145)</f>
        <v>314.7074522</v>
      </c>
    </row>
    <row r="198">
      <c r="A198" s="4" t="s">
        <v>1342</v>
      </c>
      <c r="B198" s="7">
        <f>IFERROR(__xludf.DUMMYFUNCTION("GOOGLEFINANCE(A198, ""price"")"),1514.2)</f>
        <v>1514.2</v>
      </c>
      <c r="C198" s="7">
        <f>IFERROR(__xludf.DUMMYFUNCTION("GOOGLEFINANCE(A198, ""changepct"")"),1.01)</f>
        <v>1.01</v>
      </c>
      <c r="D198" s="9">
        <f>IFERROR(__xludf.DUMMYFUNCTION("GOOGLEFINANCE(A198, ""priceopen"")"),1500.4)</f>
        <v>1500.4</v>
      </c>
      <c r="E198" s="9">
        <f>IFERROR(__xludf.DUMMYFUNCTION("GOOGLEFINANCE(A198, ""high"")"),1531.6)</f>
        <v>1531.6</v>
      </c>
      <c r="F198" s="9">
        <f>IFERROR(__xludf.DUMMYFUNCTION("GOOGLEFINANCE(A198, ""low"")"),1495.0)</f>
        <v>1495</v>
      </c>
      <c r="G198" s="9">
        <f>IFERROR(__xludf.DUMMYFUNCTION("GOOGLEFINANCE(A198, ""price"")"),1514.2)</f>
        <v>1514.2</v>
      </c>
      <c r="H198" s="9">
        <f>IFERROR(__xludf.DUMMYFUNCTION("MAX(INDEX(GOOGLEFINANCE(A198, ""high"", TODAY()-30, TODAY()), 0, 2))"),1662.0)</f>
        <v>1662</v>
      </c>
      <c r="I198" s="9">
        <f>IFERROR(__xludf.DUMMYFUNCTION("MIN(INDEX(GOOGLEFINANCE(A198, ""low"", TODAY()-30, TODAY()), 0, 2))"),1467.5)</f>
        <v>1467.5</v>
      </c>
      <c r="J198" s="9">
        <f>IFERROR(__xludf.DUMMYFUNCTION("GOOGLEFINANCE(A198, ""high52"")"),1892.5)</f>
        <v>1892.5</v>
      </c>
      <c r="K198" s="9">
        <f>IFERROR(__xludf.DUMMYFUNCTION("GOOGLEFINANCE(A198, ""low52"")"),1433.6)</f>
        <v>1433.6</v>
      </c>
      <c r="L198" s="9">
        <f t="shared" si="1"/>
        <v>0.1998943197</v>
      </c>
      <c r="M198" s="9">
        <f t="shared" si="2"/>
        <v>0.05622209821</v>
      </c>
      <c r="N198" s="9">
        <f t="shared" si="3"/>
        <v>0.02448160535</v>
      </c>
      <c r="O198" s="9">
        <f t="shared" si="4"/>
        <v>0.2401028278</v>
      </c>
      <c r="P198" s="9">
        <f>IFERROR(__xludf.DUMMYFUNCTION("GOOGLEFINANCE(A198, ""pe"")"),627.05)</f>
        <v>627.05</v>
      </c>
      <c r="Q198" s="9">
        <f>IFERROR(__xludf.DUMMYFUNCTION("IFERROR(GOOGLEFINANCE(A198, ""volume"") / GOOGLEFINANCE(A198, ""volumeavg""), 0)"),0.0)</f>
        <v>0</v>
      </c>
      <c r="R198" s="9">
        <f>IFERROR(__xludf.DUMMYFUNCTION("AVERAGE(INDEX(GOOGLEFINANCE(A198, ""price"", TODAY()-30, TODAY()), 0, 2))"),1533.4478260869564)</f>
        <v>1533.447826</v>
      </c>
      <c r="S198" s="9">
        <f>IFERROR(__xludf.DUMMYFUNCTION("AVERAGE(INDEX(GOOGLEFINANCE(A198, ""price"", TODAY()-75, TODAY()), 0, 2))"),1578.7075471698115)</f>
        <v>1578.707547</v>
      </c>
      <c r="T198" s="9">
        <f>IFERROR(__xludf.DUMMYFUNCTION("AVERAGE(INDEX(GOOGLEFINANCE(A198, ""price"", TODAY()-300, TODAY()), 0, 2))"),1640.3841584158404)</f>
        <v>1640.384158</v>
      </c>
      <c r="U198" s="9">
        <f t="shared" si="5"/>
        <v>-0.01255199281</v>
      </c>
      <c r="V198" s="15">
        <f>IFERROR(__xludf.DUMMYFUNCTION("LET(hist, GOOGLEFINANCE(A198,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rs))))))"),53.17585301837269)</f>
        <v>53.17585302</v>
      </c>
      <c r="W198" s="16" t="str">
        <f>IFERROR(__xludf.DUMMYFUNCTION("IFERROR(GOOGLEFINANCE(A198, ""volume"") / GOOGLEFINANCE(A198, ""volumeavg""), )"),"")</f>
        <v/>
      </c>
      <c r="X198" s="9">
        <f>IFERROR(__xludf.DUMMYFUNCTION("B198 * GOOGLEFINANCE(A198, ""volume"")"),7.413462632E8)</f>
        <v>741346263.2</v>
      </c>
      <c r="Y198" s="9">
        <f>IFERROR(__xludf.DUMMYFUNCTION("IFERROR(((B198 - GOOGLEFINANCE(A198, ""priceopen"")) / GOOGLEFINANCE(A198, ""priceopen"")) * GOOGLEFINANCE(A198, ""volume""), 0)"),4503.082378032509)</f>
        <v>4503.082378</v>
      </c>
    </row>
    <row r="199">
      <c r="A199" s="4" t="s">
        <v>1349</v>
      </c>
      <c r="B199" s="7">
        <f>IFERROR(__xludf.DUMMYFUNCTION("GOOGLEFINANCE(A199, ""price"")"),4084.0)</f>
        <v>4084</v>
      </c>
      <c r="C199" s="7">
        <f>IFERROR(__xludf.DUMMYFUNCTION("GOOGLEFINANCE(A199, ""changepct"")"),1.45)</f>
        <v>1.45</v>
      </c>
      <c r="D199" s="9">
        <f>IFERROR(__xludf.DUMMYFUNCTION("GOOGLEFINANCE(A199, ""priceopen"")"),4030.9)</f>
        <v>4030.9</v>
      </c>
      <c r="E199" s="9">
        <f>IFERROR(__xludf.DUMMYFUNCTION("GOOGLEFINANCE(A199, ""high"")"),4099.6)</f>
        <v>4099.6</v>
      </c>
      <c r="F199" s="9">
        <f>IFERROR(__xludf.DUMMYFUNCTION("GOOGLEFINANCE(A199, ""low"")"),3992.0)</f>
        <v>3992</v>
      </c>
      <c r="G199" s="9">
        <f>IFERROR(__xludf.DUMMYFUNCTION("GOOGLEFINANCE(A199, ""price"")"),4084.0)</f>
        <v>4084</v>
      </c>
      <c r="H199" s="9">
        <f>IFERROR(__xludf.DUMMYFUNCTION("MAX(INDEX(GOOGLEFINANCE(A199, ""high"", TODAY()-30, TODAY()), 0, 2))"),4880.0)</f>
        <v>4880</v>
      </c>
      <c r="I199" s="9">
        <f>IFERROR(__xludf.DUMMYFUNCTION("MIN(INDEX(GOOGLEFINANCE(A199, ""low"", TODAY()-30, TODAY()), 0, 2))"),3566.5)</f>
        <v>3566.5</v>
      </c>
      <c r="J199" s="9">
        <f>IFERROR(__xludf.DUMMYFUNCTION("GOOGLEFINANCE(A199, ""high52"")"),5277.8)</f>
        <v>5277.8</v>
      </c>
      <c r="K199" s="9">
        <f>IFERROR(__xludf.DUMMYFUNCTION("GOOGLEFINANCE(A199, ""low52"")"),2742.7)</f>
        <v>2742.7</v>
      </c>
      <c r="L199" s="9">
        <f t="shared" si="1"/>
        <v>0.2261927318</v>
      </c>
      <c r="M199" s="9">
        <f t="shared" si="2"/>
        <v>0.4890436431</v>
      </c>
      <c r="N199" s="9">
        <f t="shared" si="3"/>
        <v>0.02695390782</v>
      </c>
      <c r="O199" s="9">
        <f t="shared" si="4"/>
        <v>0.3939855348</v>
      </c>
      <c r="P199" s="9">
        <f>IFERROR(__xludf.DUMMYFUNCTION("GOOGLEFINANCE(A199, ""pe"")"),77.57)</f>
        <v>77.57</v>
      </c>
      <c r="Q199" s="9">
        <f>IFERROR(__xludf.DUMMYFUNCTION("IFERROR(GOOGLEFINANCE(A199, ""volume"") / GOOGLEFINANCE(A199, ""volumeavg""), 0)"),0.0)</f>
        <v>0</v>
      </c>
      <c r="R199" s="9">
        <f>IFERROR(__xludf.DUMMYFUNCTION("AVERAGE(INDEX(GOOGLEFINANCE(A199, ""price"", TODAY()-30, TODAY()), 0, 2))"),4365.943478260869)</f>
        <v>4365.943478</v>
      </c>
      <c r="S199" s="9">
        <f>IFERROR(__xludf.DUMMYFUNCTION("AVERAGE(INDEX(GOOGLEFINANCE(A199, ""price"", TODAY()-75, TODAY()), 0, 2))"),4617.686792452831)</f>
        <v>4617.686792</v>
      </c>
      <c r="T199" s="9">
        <f>IFERROR(__xludf.DUMMYFUNCTION("AVERAGE(INDEX(GOOGLEFINANCE(A199, ""price"", TODAY()-300, TODAY()), 0, 2))"),3650.4242574257437)</f>
        <v>3650.424257</v>
      </c>
      <c r="U199" s="9">
        <f t="shared" si="5"/>
        <v>-0.06457790387</v>
      </c>
      <c r="V199" s="15">
        <f>IFERROR(__xludf.DUMMYFUNCTION("LET(hist, GOOGLEFINANCE(A199,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rs))))))"),24.140094093047594)</f>
        <v>24.14009409</v>
      </c>
      <c r="W199" s="16" t="str">
        <f>IFERROR(__xludf.DUMMYFUNCTION("IFERROR(GOOGLEFINANCE(A199, ""volume"") / GOOGLEFINANCE(A199, ""volumeavg""), )"),"")</f>
        <v/>
      </c>
      <c r="X199" s="9">
        <f>IFERROR(__xludf.DUMMYFUNCTION("B199 * GOOGLEFINANCE(A199, ""volume"")"),9.84268504E8)</f>
        <v>984268504</v>
      </c>
      <c r="Y199" s="9">
        <f>IFERROR(__xludf.DUMMYFUNCTION("IFERROR(((B199 - GOOGLEFINANCE(A199, ""priceopen"")) / GOOGLEFINANCE(A199, ""priceopen"")) * GOOGLEFINANCE(A199, ""volume""), 0)"),3174.8290952392713)</f>
        <v>3174.829095</v>
      </c>
    </row>
    <row r="200">
      <c r="A200" s="4" t="s">
        <v>1356</v>
      </c>
      <c r="B200" s="7">
        <f>IFERROR(__xludf.DUMMYFUNCTION("GOOGLEFINANCE(A200, ""price"")"),895.7)</f>
        <v>895.7</v>
      </c>
      <c r="C200" s="7">
        <f>IFERROR(__xludf.DUMMYFUNCTION("GOOGLEFINANCE(A200, ""changepct"")"),0.87)</f>
        <v>0.87</v>
      </c>
      <c r="D200" s="9">
        <f>IFERROR(__xludf.DUMMYFUNCTION("GOOGLEFINANCE(A200, ""priceopen"")"),890.15)</f>
        <v>890.15</v>
      </c>
      <c r="E200" s="9">
        <f>IFERROR(__xludf.DUMMYFUNCTION("GOOGLEFINANCE(A200, ""high"")"),901.0)</f>
        <v>901</v>
      </c>
      <c r="F200" s="9">
        <f>IFERROR(__xludf.DUMMYFUNCTION("GOOGLEFINANCE(A200, ""low"")"),873.3)</f>
        <v>873.3</v>
      </c>
      <c r="G200" s="9">
        <f>IFERROR(__xludf.DUMMYFUNCTION("GOOGLEFINANCE(A200, ""price"")"),895.7)</f>
        <v>895.7</v>
      </c>
      <c r="H200" s="9">
        <f>IFERROR(__xludf.DUMMYFUNCTION("MAX(INDEX(GOOGLEFINANCE(A200, ""high"", TODAY()-30, TODAY()), 0, 2))"),989.75)</f>
        <v>989.75</v>
      </c>
      <c r="I200" s="9">
        <f>IFERROR(__xludf.DUMMYFUNCTION("MIN(INDEX(GOOGLEFINANCE(A200, ""low"", TODAY()-30, TODAY()), 0, 2))"),835.1)</f>
        <v>835.1</v>
      </c>
      <c r="J200" s="9">
        <f>IFERROR(__xludf.DUMMYFUNCTION("GOOGLEFINANCE(A200, ""high52"")"),1097.1)</f>
        <v>1097.1</v>
      </c>
      <c r="K200" s="9">
        <f>IFERROR(__xludf.DUMMYFUNCTION("GOOGLEFINANCE(A200, ""low52"")"),614.9)</f>
        <v>614.9</v>
      </c>
      <c r="L200" s="9">
        <f t="shared" si="1"/>
        <v>0.1835748792</v>
      </c>
      <c r="M200" s="9">
        <f t="shared" si="2"/>
        <v>0.4566596195</v>
      </c>
      <c r="N200" s="9">
        <f t="shared" si="3"/>
        <v>0.03171876789</v>
      </c>
      <c r="O200" s="9">
        <f t="shared" si="4"/>
        <v>0.3918525703</v>
      </c>
      <c r="P200" s="9">
        <f>IFERROR(__xludf.DUMMYFUNCTION("GOOGLEFINANCE(A200, ""pe"")"),27.75)</f>
        <v>27.75</v>
      </c>
      <c r="Q200" s="9">
        <f>IFERROR(__xludf.DUMMYFUNCTION("IFERROR(GOOGLEFINANCE(A200, ""volume"") / GOOGLEFINANCE(A200, ""volumeavg""), 0)"),0.0)</f>
        <v>0</v>
      </c>
      <c r="R200" s="9">
        <f>IFERROR(__xludf.DUMMYFUNCTION("AVERAGE(INDEX(GOOGLEFINANCE(A200, ""price"", TODAY()-30, TODAY()), 0, 2))"),905.4782608695652)</f>
        <v>905.4782609</v>
      </c>
      <c r="S200" s="9">
        <f>IFERROR(__xludf.DUMMYFUNCTION("AVERAGE(INDEX(GOOGLEFINANCE(A200, ""price"", TODAY()-75, TODAY()), 0, 2))"),910.4094339622641)</f>
        <v>910.409434</v>
      </c>
      <c r="T200" s="9">
        <f>IFERROR(__xludf.DUMMYFUNCTION("AVERAGE(INDEX(GOOGLEFINANCE(A200, ""price"", TODAY()-300, TODAY()), 0, 2))"),854.963861386139)</f>
        <v>854.9638614</v>
      </c>
      <c r="U200" s="9">
        <f t="shared" si="5"/>
        <v>-0.01079900125</v>
      </c>
      <c r="V200" s="15">
        <f>IFERROR(__xludf.DUMMYFUNCTION("LET(hist, GOOGLEFINANCE(A200,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rs))))))"),40.24844720496895)</f>
        <v>40.2484472</v>
      </c>
      <c r="W200" s="16" t="str">
        <f>IFERROR(__xludf.DUMMYFUNCTION("IFERROR(GOOGLEFINANCE(A200, ""volume"") / GOOGLEFINANCE(A200, ""volumeavg""), )"),"")</f>
        <v/>
      </c>
      <c r="X200" s="9">
        <f>IFERROR(__xludf.DUMMYFUNCTION("B200 * GOOGLEFINANCE(A200, ""volume"")"),6.394885978000001E8)</f>
        <v>639488597.8</v>
      </c>
      <c r="Y200" s="9">
        <f>IFERROR(__xludf.DUMMYFUNCTION("IFERROR(((B200 - GOOGLEFINANCE(A200, ""priceopen"")) / GOOGLEFINANCE(A200, ""priceopen"")) * GOOGLEFINANCE(A200, ""volume""), 0)"),4451.434814357185)</f>
        <v>4451.434814</v>
      </c>
    </row>
    <row r="201">
      <c r="A201" s="4" t="s">
        <v>1364</v>
      </c>
      <c r="B201" s="7">
        <f>IFERROR(__xludf.DUMMYFUNCTION("GOOGLEFINANCE(A201, ""price"")"),568.25)</f>
        <v>568.25</v>
      </c>
      <c r="C201" s="7">
        <f>IFERROR(__xludf.DUMMYFUNCTION("GOOGLEFINANCE(A201, ""changepct"")"),0.04)</f>
        <v>0.04</v>
      </c>
      <c r="D201" s="9">
        <f>IFERROR(__xludf.DUMMYFUNCTION("GOOGLEFINANCE(A201, ""priceopen"")"),570.75)</f>
        <v>570.75</v>
      </c>
      <c r="E201" s="9">
        <f>IFERROR(__xludf.DUMMYFUNCTION("GOOGLEFINANCE(A201, ""high"")"),574.75)</f>
        <v>574.75</v>
      </c>
      <c r="F201" s="9">
        <f>IFERROR(__xludf.DUMMYFUNCTION("GOOGLEFINANCE(A201, ""low"")"),564.25)</f>
        <v>564.25</v>
      </c>
      <c r="G201" s="9">
        <f>IFERROR(__xludf.DUMMYFUNCTION("GOOGLEFINANCE(A201, ""price"")"),568.25)</f>
        <v>568.25</v>
      </c>
      <c r="H201" s="9">
        <f>IFERROR(__xludf.DUMMYFUNCTION("MAX(INDEX(GOOGLEFINANCE(A201, ""high"", TODAY()-30, TODAY()), 0, 2))"),629.0)</f>
        <v>629</v>
      </c>
      <c r="I201" s="9">
        <f>IFERROR(__xludf.DUMMYFUNCTION("MIN(INDEX(GOOGLEFINANCE(A201, ""low"", TODAY()-30, TODAY()), 0, 2))"),564.0)</f>
        <v>564</v>
      </c>
      <c r="J201" s="9">
        <f>IFERROR(__xludf.DUMMYFUNCTION("GOOGLEFINANCE(A201, ""high52"")"),812.2)</f>
        <v>812.2</v>
      </c>
      <c r="K201" s="9">
        <f>IFERROR(__xludf.DUMMYFUNCTION("GOOGLEFINANCE(A201, ""low52"")"),563.15)</f>
        <v>563.15</v>
      </c>
      <c r="L201" s="9">
        <f t="shared" si="1"/>
        <v>0.3003570549</v>
      </c>
      <c r="M201" s="9">
        <f t="shared" si="2"/>
        <v>0.009056201722</v>
      </c>
      <c r="N201" s="9">
        <f t="shared" si="3"/>
        <v>0.01860877271</v>
      </c>
      <c r="O201" s="9">
        <f t="shared" si="4"/>
        <v>0.06538461538</v>
      </c>
      <c r="P201" s="9">
        <f>IFERROR(__xludf.DUMMYFUNCTION("GOOGLEFINANCE(A201, ""pe"")"),22.91)</f>
        <v>22.91</v>
      </c>
      <c r="Q201" s="9">
        <f>IFERROR(__xludf.DUMMYFUNCTION("IFERROR(GOOGLEFINANCE(A201, ""volume"") / GOOGLEFINANCE(A201, ""volumeavg""), 0)"),0.0)</f>
        <v>0</v>
      </c>
      <c r="R201" s="9">
        <f>IFERROR(__xludf.DUMMYFUNCTION("AVERAGE(INDEX(GOOGLEFINANCE(A201, ""price"", TODAY()-30, TODAY()), 0, 2))"),596.5956521739129)</f>
        <v>596.5956522</v>
      </c>
      <c r="S201" s="9">
        <f>IFERROR(__xludf.DUMMYFUNCTION("AVERAGE(INDEX(GOOGLEFINANCE(A201, ""price"", TODAY()-75, TODAY()), 0, 2))"),603.2207547169811)</f>
        <v>603.2207547</v>
      </c>
      <c r="T201" s="9">
        <f>IFERROR(__xludf.DUMMYFUNCTION("AVERAGE(INDEX(GOOGLEFINANCE(A201, ""price"", TODAY()-300, TODAY()), 0, 2))"),673.621782178218)</f>
        <v>673.6217822</v>
      </c>
      <c r="U201" s="9">
        <f t="shared" si="5"/>
        <v>-0.04751233448</v>
      </c>
      <c r="V201" s="15">
        <f>IFERROR(__xludf.DUMMYFUNCTION("LET(hist, GOOGLEFINANCE(A201,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rs))))))"),33.40909090909092)</f>
        <v>33.40909091</v>
      </c>
      <c r="W201" s="16" t="str">
        <f>IFERROR(__xludf.DUMMYFUNCTION("IFERROR(GOOGLEFINANCE(A201, ""volume"") / GOOGLEFINANCE(A201, ""volumeavg""), )"),"")</f>
        <v/>
      </c>
      <c r="X201" s="9">
        <f>IFERROR(__xludf.DUMMYFUNCTION("B201 * GOOGLEFINANCE(A201, ""volume"")"),8.2563826925E8)</f>
        <v>825638269.3</v>
      </c>
      <c r="Y201" s="9">
        <f>IFERROR(__xludf.DUMMYFUNCTION("IFERROR(((B201 - GOOGLEFINANCE(A201, ""priceopen"")) / GOOGLEFINANCE(A201, ""priceopen"")) * GOOGLEFINANCE(A201, ""volume""), 0)"),-6364.209373631187)</f>
        <v>-6364.209374</v>
      </c>
    </row>
    <row r="202">
      <c r="A202" s="4" t="s">
        <v>1367</v>
      </c>
      <c r="B202" s="7">
        <f>IFERROR(__xludf.DUMMYFUNCTION("GOOGLEFINANCE(A202, ""price"")"),1995.0)</f>
        <v>1995</v>
      </c>
      <c r="C202" s="7">
        <f>IFERROR(__xludf.DUMMYFUNCTION("GOOGLEFINANCE(A202, ""changepct"")"),-0.88)</f>
        <v>-0.88</v>
      </c>
      <c r="D202" s="9">
        <f>IFERROR(__xludf.DUMMYFUNCTION("GOOGLEFINANCE(A202, ""priceopen"")"),2016.9)</f>
        <v>2016.9</v>
      </c>
      <c r="E202" s="9">
        <f>IFERROR(__xludf.DUMMYFUNCTION("GOOGLEFINANCE(A202, ""high"")"),2018.8)</f>
        <v>2018.8</v>
      </c>
      <c r="F202" s="9">
        <f>IFERROR(__xludf.DUMMYFUNCTION("GOOGLEFINANCE(A202, ""low"")"),1991.3)</f>
        <v>1991.3</v>
      </c>
      <c r="G202" s="9">
        <f>IFERROR(__xludf.DUMMYFUNCTION("GOOGLEFINANCE(A202, ""price"")"),1995.0)</f>
        <v>1995</v>
      </c>
      <c r="H202" s="9">
        <f>IFERROR(__xludf.DUMMYFUNCTION("MAX(INDEX(GOOGLEFINANCE(A202, ""high"", TODAY()-30, TODAY()), 0, 2))"),2027.0)</f>
        <v>2027</v>
      </c>
      <c r="I202" s="9">
        <f>IFERROR(__xludf.DUMMYFUNCTION("MIN(INDEX(GOOGLEFINANCE(A202, ""low"", TODAY()-30, TODAY()), 0, 2))"),1789.2)</f>
        <v>1789.2</v>
      </c>
      <c r="J202" s="9">
        <f>IFERROR(__xludf.DUMMYFUNCTION("GOOGLEFINANCE(A202, ""high52"")"),2301.4)</f>
        <v>2301.4</v>
      </c>
      <c r="K202" s="9">
        <f>IFERROR(__xludf.DUMMYFUNCTION("GOOGLEFINANCE(A202, ""low52"")"),1565.5)</f>
        <v>1565.5</v>
      </c>
      <c r="L202" s="9">
        <f t="shared" si="1"/>
        <v>0.1331363518</v>
      </c>
      <c r="M202" s="9">
        <f t="shared" si="2"/>
        <v>0.2743532418</v>
      </c>
      <c r="N202" s="9">
        <f t="shared" si="3"/>
        <v>0.01381007382</v>
      </c>
      <c r="O202" s="9">
        <f t="shared" si="4"/>
        <v>0.8654331371</v>
      </c>
      <c r="P202" s="9">
        <f>IFERROR(__xludf.DUMMYFUNCTION("GOOGLEFINANCE(A202, ""pe"")"),45.06)</f>
        <v>45.06</v>
      </c>
      <c r="Q202" s="9">
        <f>IFERROR(__xludf.DUMMYFUNCTION("IFERROR(GOOGLEFINANCE(A202, ""volume"") / GOOGLEFINANCE(A202, ""volumeavg""), 0)"),0.0)</f>
        <v>0</v>
      </c>
      <c r="R202" s="9">
        <f>IFERROR(__xludf.DUMMYFUNCTION("AVERAGE(INDEX(GOOGLEFINANCE(A202, ""price"", TODAY()-30, TODAY()), 0, 2))"),1877.2652173913043)</f>
        <v>1877.265217</v>
      </c>
      <c r="S202" s="9">
        <f>IFERROR(__xludf.DUMMYFUNCTION("AVERAGE(INDEX(GOOGLEFINANCE(A202, ""price"", TODAY()-75, TODAY()), 0, 2))"),1840.2962264150942)</f>
        <v>1840.296226</v>
      </c>
      <c r="T202" s="9">
        <f>IFERROR(__xludf.DUMMYFUNCTION("AVERAGE(INDEX(GOOGLEFINANCE(A202, ""price"", TODAY()-300, TODAY()), 0, 2))"),1909.9999999999998)</f>
        <v>1910</v>
      </c>
      <c r="U202" s="9">
        <f t="shared" si="5"/>
        <v>0.06271611572</v>
      </c>
      <c r="V202" s="15">
        <f>IFERROR(__xludf.DUMMYFUNCTION("LET(hist, GOOGLEFINANCE(A202,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rs))))))"),69.24502084298284)</f>
        <v>69.24502084</v>
      </c>
      <c r="W202" s="16" t="str">
        <f>IFERROR(__xludf.DUMMYFUNCTION("IFERROR(GOOGLEFINANCE(A202, ""volume"") / GOOGLEFINANCE(A202, ""volumeavg""), )"),"")</f>
        <v/>
      </c>
      <c r="X202" s="9">
        <f>IFERROR(__xludf.DUMMYFUNCTION("B202 * GOOGLEFINANCE(A202, ""volume"")"),1.42596615E9)</f>
        <v>1425966150</v>
      </c>
      <c r="Y202" s="9">
        <f>IFERROR(__xludf.DUMMYFUNCTION("IFERROR(((B202 - GOOGLEFINANCE(A202, ""priceopen"")) / GOOGLEFINANCE(A202, ""priceopen"")) * GOOGLEFINANCE(A202, ""volume""), 0)"),-7761.149784322507)</f>
        <v>-7761.149784</v>
      </c>
    </row>
    <row r="203">
      <c r="A203" s="4" t="s">
        <v>1373</v>
      </c>
      <c r="B203" s="7">
        <f>IFERROR(__xludf.DUMMYFUNCTION("GOOGLEFINANCE(A203, ""price"")"),107.66)</f>
        <v>107.66</v>
      </c>
      <c r="C203" s="7">
        <f>IFERROR(__xludf.DUMMYFUNCTION("GOOGLEFINANCE(A203, ""changepct"")"),-2.35)</f>
        <v>-2.35</v>
      </c>
      <c r="D203" s="9">
        <f>IFERROR(__xludf.DUMMYFUNCTION("GOOGLEFINANCE(A203, ""priceopen"")"),111.0)</f>
        <v>111</v>
      </c>
      <c r="E203" s="9">
        <f>IFERROR(__xludf.DUMMYFUNCTION("GOOGLEFINANCE(A203, ""high"")"),111.0)</f>
        <v>111</v>
      </c>
      <c r="F203" s="9">
        <f>IFERROR(__xludf.DUMMYFUNCTION("GOOGLEFINANCE(A203, ""low"")"),105.45)</f>
        <v>105.45</v>
      </c>
      <c r="G203" s="9">
        <f>IFERROR(__xludf.DUMMYFUNCTION("GOOGLEFINANCE(A203, ""price"")"),107.66)</f>
        <v>107.66</v>
      </c>
      <c r="H203" s="9">
        <f>IFERROR(__xludf.DUMMYFUNCTION("MAX(INDEX(GOOGLEFINANCE(A203, ""high"", TODAY()-30, TODAY()), 0, 2))"),118.51)</f>
        <v>118.51</v>
      </c>
      <c r="I203" s="9">
        <f>IFERROR(__xludf.DUMMYFUNCTION("MIN(INDEX(GOOGLEFINANCE(A203, ""low"", TODAY()-30, TODAY()), 0, 2))"),105.45)</f>
        <v>105.45</v>
      </c>
      <c r="J203" s="9">
        <f>IFERROR(__xludf.DUMMYFUNCTION("GOOGLEFINANCE(A203, ""high52"")"),157.6)</f>
        <v>157.6</v>
      </c>
      <c r="K203" s="9">
        <f>IFERROR(__xludf.DUMMYFUNCTION("GOOGLEFINANCE(A203, ""low52"")"),98.77)</f>
        <v>98.77</v>
      </c>
      <c r="L203" s="9">
        <f t="shared" si="1"/>
        <v>0.3168781726</v>
      </c>
      <c r="M203" s="9">
        <f t="shared" si="2"/>
        <v>0.09000708717</v>
      </c>
      <c r="N203" s="9">
        <f t="shared" si="3"/>
        <v>0.05263157895</v>
      </c>
      <c r="O203" s="9">
        <f t="shared" si="4"/>
        <v>0.1692189893</v>
      </c>
      <c r="P203" s="9">
        <f>IFERROR(__xludf.DUMMYFUNCTION("GOOGLEFINANCE(A203, ""pe"")"),56.96)</f>
        <v>56.96</v>
      </c>
      <c r="Q203" s="9">
        <f>IFERROR(__xludf.DUMMYFUNCTION("IFERROR(GOOGLEFINANCE(A203, ""volume"") / GOOGLEFINANCE(A203, ""volumeavg""), 0)"),0.0)</f>
        <v>0</v>
      </c>
      <c r="R203" s="9">
        <f>IFERROR(__xludf.DUMMYFUNCTION("AVERAGE(INDEX(GOOGLEFINANCE(A203, ""price"", TODAY()-30, TODAY()), 0, 2))"),110.59173913043477)</f>
        <v>110.5917391</v>
      </c>
      <c r="S203" s="9">
        <f>IFERROR(__xludf.DUMMYFUNCTION("AVERAGE(INDEX(GOOGLEFINANCE(A203, ""price"", TODAY()-75, TODAY()), 0, 2))"),115.05471698113212)</f>
        <v>115.054717</v>
      </c>
      <c r="T203" s="9">
        <f>IFERROR(__xludf.DUMMYFUNCTION("AVERAGE(INDEX(GOOGLEFINANCE(A203, ""price"", TODAY()-300, TODAY()), 0, 2))"),123.16910891089118)</f>
        <v>123.1691089</v>
      </c>
      <c r="U203" s="9">
        <f t="shared" si="5"/>
        <v>-0.02650956711</v>
      </c>
      <c r="V203" s="15">
        <f>IFERROR(__xludf.DUMMYFUNCTION("LET(hist, GOOGLEFINANCE(A203,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rs))))))"),44.837106570955264)</f>
        <v>44.83710657</v>
      </c>
      <c r="W203" s="16" t="str">
        <f>IFERROR(__xludf.DUMMYFUNCTION("IFERROR(GOOGLEFINANCE(A203, ""volume"") / GOOGLEFINANCE(A203, ""volumeavg""), )"),"")</f>
        <v/>
      </c>
      <c r="X203" s="9">
        <f>IFERROR(__xludf.DUMMYFUNCTION("B203 * GOOGLEFINANCE(A203, ""volume"")"),1.2301436153999999E9)</f>
        <v>1230143615</v>
      </c>
      <c r="Y203" s="9">
        <f>IFERROR(__xludf.DUMMYFUNCTION("IFERROR(((B203 - GOOGLEFINANCE(A203, ""priceopen"")) / GOOGLEFINANCE(A203, ""priceopen"")) * GOOGLEFINANCE(A203, ""volume""), 0)"),-343815.08648648683)</f>
        <v>-343815.0865</v>
      </c>
    </row>
    <row r="204">
      <c r="A204" s="4" t="s">
        <v>1379</v>
      </c>
      <c r="B204" s="7">
        <f>IFERROR(__xludf.DUMMYFUNCTION("GOOGLEFINANCE(A204, ""price"")"),1739.0)</f>
        <v>1739</v>
      </c>
      <c r="C204" s="7">
        <f>IFERROR(__xludf.DUMMYFUNCTION("GOOGLEFINANCE(A204, ""changepct"")"),-0.41)</f>
        <v>-0.41</v>
      </c>
      <c r="D204" s="9">
        <f>IFERROR(__xludf.DUMMYFUNCTION("GOOGLEFINANCE(A204, ""priceopen"")"),1754.0)</f>
        <v>1754</v>
      </c>
      <c r="E204" s="9">
        <f>IFERROR(__xludf.DUMMYFUNCTION("GOOGLEFINANCE(A204, ""high"")"),1754.0)</f>
        <v>1754</v>
      </c>
      <c r="F204" s="9">
        <f>IFERROR(__xludf.DUMMYFUNCTION("GOOGLEFINANCE(A204, ""low"")"),1709.4)</f>
        <v>1709.4</v>
      </c>
      <c r="G204" s="9">
        <f>IFERROR(__xludf.DUMMYFUNCTION("GOOGLEFINANCE(A204, ""price"")"),1739.0)</f>
        <v>1739</v>
      </c>
      <c r="H204" s="9">
        <f>IFERROR(__xludf.DUMMYFUNCTION("MAX(INDEX(GOOGLEFINANCE(A204, ""high"", TODAY()-30, TODAY()), 0, 2))"),1895.9)</f>
        <v>1895.9</v>
      </c>
      <c r="I204" s="9">
        <f>IFERROR(__xludf.DUMMYFUNCTION("MIN(INDEX(GOOGLEFINANCE(A204, ""low"", TODAY()-30, TODAY()), 0, 2))"),1680.0)</f>
        <v>1680</v>
      </c>
      <c r="J204" s="9">
        <f>IFERROR(__xludf.DUMMYFUNCTION("GOOGLEFINANCE(A204, ""high52"")"),2110.0)</f>
        <v>2110</v>
      </c>
      <c r="K204" s="9">
        <f>IFERROR(__xludf.DUMMYFUNCTION("GOOGLEFINANCE(A204, ""low52"")"),1322.5)</f>
        <v>1322.5</v>
      </c>
      <c r="L204" s="9">
        <f t="shared" si="1"/>
        <v>0.1758293839</v>
      </c>
      <c r="M204" s="9">
        <f t="shared" si="2"/>
        <v>0.3149338374</v>
      </c>
      <c r="N204" s="9">
        <f t="shared" si="3"/>
        <v>0.02609102609</v>
      </c>
      <c r="O204" s="9">
        <f t="shared" si="4"/>
        <v>0.2732746642</v>
      </c>
      <c r="P204" s="9">
        <f>IFERROR(__xludf.DUMMYFUNCTION("GOOGLEFINANCE(A204, ""pe"")"),52.47)</f>
        <v>52.47</v>
      </c>
      <c r="Q204" s="9">
        <f>IFERROR(__xludf.DUMMYFUNCTION("IFERROR(GOOGLEFINANCE(A204, ""volume"") / GOOGLEFINANCE(A204, ""volumeavg""), 0)"),0.0)</f>
        <v>0</v>
      </c>
      <c r="R204" s="9">
        <f>IFERROR(__xludf.DUMMYFUNCTION("AVERAGE(INDEX(GOOGLEFINANCE(A204, ""price"", TODAY()-30, TODAY()), 0, 2))"),1782.8173913043477)</f>
        <v>1782.817391</v>
      </c>
      <c r="S204" s="9">
        <f>IFERROR(__xludf.DUMMYFUNCTION("AVERAGE(INDEX(GOOGLEFINANCE(A204, ""price"", TODAY()-75, TODAY()), 0, 2))"),1875.8339622641506)</f>
        <v>1875.833962</v>
      </c>
      <c r="T204" s="9">
        <f>IFERROR(__xludf.DUMMYFUNCTION("AVERAGE(INDEX(GOOGLEFINANCE(A204, ""price"", TODAY()-300, TODAY()), 0, 2))"),1736.064356435644)</f>
        <v>1736.064356</v>
      </c>
      <c r="U204" s="9">
        <f t="shared" si="5"/>
        <v>-0.02457761043</v>
      </c>
      <c r="V204" s="15">
        <f>IFERROR(__xludf.DUMMYFUNCTION("LET(hist, GOOGLEFINANCE(A204,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rs))))))"),37.387563551036344)</f>
        <v>37.38756355</v>
      </c>
      <c r="W204" s="16" t="str">
        <f>IFERROR(__xludf.DUMMYFUNCTION("IFERROR(GOOGLEFINANCE(A204, ""volume"") / GOOGLEFINANCE(A204, ""volumeavg""), )"),"")</f>
        <v/>
      </c>
      <c r="X204" s="9">
        <f>IFERROR(__xludf.DUMMYFUNCTION("B204 * GOOGLEFINANCE(A204, ""volume"")"),3.4072227E8)</f>
        <v>340722270</v>
      </c>
      <c r="Y204" s="9">
        <f>IFERROR(__xludf.DUMMYFUNCTION("IFERROR(((B204 - GOOGLEFINANCE(A204, ""priceopen"")) / GOOGLEFINANCE(A204, ""priceopen"")) * GOOGLEFINANCE(A204, ""volume""), 0)"),-1675.5701254275941)</f>
        <v>-1675.570125</v>
      </c>
    </row>
    <row r="205">
      <c r="A205" s="4" t="s">
        <v>1384</v>
      </c>
      <c r="B205" s="7">
        <f>IFERROR(__xludf.DUMMYFUNCTION("GOOGLEFINANCE(A205, ""price"")"),1572.6)</f>
        <v>1572.6</v>
      </c>
      <c r="C205" s="7">
        <f>IFERROR(__xludf.DUMMYFUNCTION("GOOGLEFINANCE(A205, ""changepct"")"),3.09)</f>
        <v>3.09</v>
      </c>
      <c r="D205" s="9">
        <f>IFERROR(__xludf.DUMMYFUNCTION("GOOGLEFINANCE(A205, ""priceopen"")"),1531.7)</f>
        <v>1531.7</v>
      </c>
      <c r="E205" s="9">
        <f>IFERROR(__xludf.DUMMYFUNCTION("GOOGLEFINANCE(A205, ""high"")"),1580.0)</f>
        <v>1580</v>
      </c>
      <c r="F205" s="9">
        <f>IFERROR(__xludf.DUMMYFUNCTION("GOOGLEFINANCE(A205, ""low"")"),1511.1)</f>
        <v>1511.1</v>
      </c>
      <c r="G205" s="9">
        <f>IFERROR(__xludf.DUMMYFUNCTION("GOOGLEFINANCE(A205, ""price"")"),1572.6)</f>
        <v>1572.6</v>
      </c>
      <c r="H205" s="9">
        <f>IFERROR(__xludf.DUMMYFUNCTION("MAX(INDEX(GOOGLEFINANCE(A205, ""high"", TODAY()-30, TODAY()), 0, 2))"),1580.0)</f>
        <v>1580</v>
      </c>
      <c r="I205" s="9">
        <f>IFERROR(__xludf.DUMMYFUNCTION("MIN(INDEX(GOOGLEFINANCE(A205, ""low"", TODAY()-30, TODAY()), 0, 2))"),1158.0)</f>
        <v>1158</v>
      </c>
      <c r="J205" s="9">
        <f>IFERROR(__xludf.DUMMYFUNCTION("GOOGLEFINANCE(A205, ""high52"")"),1580.0)</f>
        <v>1580</v>
      </c>
      <c r="K205" s="9">
        <f>IFERROR(__xludf.DUMMYFUNCTION("GOOGLEFINANCE(A205, ""low52"")"),398.2)</f>
        <v>398.2</v>
      </c>
      <c r="L205" s="9">
        <f t="shared" si="1"/>
        <v>0.004683544304</v>
      </c>
      <c r="M205" s="9">
        <f t="shared" si="2"/>
        <v>2.949271723</v>
      </c>
      <c r="N205" s="9">
        <f t="shared" si="3"/>
        <v>0.0455959235</v>
      </c>
      <c r="O205" s="9">
        <f t="shared" si="4"/>
        <v>0.982464455</v>
      </c>
      <c r="P205" s="9" t="str">
        <f>IFERROR(__xludf.DUMMYFUNCTION("GOOGLEFINANCE(A205, ""pe"")"),"#N/A")</f>
        <v>#N/A</v>
      </c>
      <c r="Q205" s="9">
        <f>IFERROR(__xludf.DUMMYFUNCTION("IFERROR(GOOGLEFINANCE(A205, ""volume"") / GOOGLEFINANCE(A205, ""volumeavg""), 0)"),0.0)</f>
        <v>0</v>
      </c>
      <c r="R205" s="9">
        <f>IFERROR(__xludf.DUMMYFUNCTION("AVERAGE(INDEX(GOOGLEFINANCE(A205, ""price"", TODAY()-30, TODAY()), 0, 2))"),1320.917391304348)</f>
        <v>1320.917391</v>
      </c>
      <c r="S205" s="9">
        <f>IFERROR(__xludf.DUMMYFUNCTION("AVERAGE(INDEX(GOOGLEFINANCE(A205, ""price"", TODAY()-75, TODAY()), 0, 2))"),1167.3707547169809)</f>
        <v>1167.370755</v>
      </c>
      <c r="T205" s="9">
        <f>IFERROR(__xludf.DUMMYFUNCTION("AVERAGE(INDEX(GOOGLEFINANCE(A205, ""price"", TODAY()-300, TODAY()), 0, 2))"),853.4970297029704)</f>
        <v>853.4970297</v>
      </c>
      <c r="U205" s="9">
        <f t="shared" si="5"/>
        <v>0.1905362215</v>
      </c>
      <c r="V205" s="15">
        <f>IFERROR(__xludf.DUMMYFUNCTION("LET(hist, GOOGLEFINANCE(A205,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rs))))))"),84.50328407224963)</f>
        <v>84.50328407</v>
      </c>
      <c r="W205" s="16" t="str">
        <f>IFERROR(__xludf.DUMMYFUNCTION("IFERROR(GOOGLEFINANCE(A205, ""volume"") / GOOGLEFINANCE(A205, ""volumeavg""), )"),"")</f>
        <v/>
      </c>
      <c r="X205" s="9">
        <f>IFERROR(__xludf.DUMMYFUNCTION("B205 * GOOGLEFINANCE(A205, ""volume"")"),7.109999805E9)</f>
        <v>7109999805</v>
      </c>
      <c r="Y205" s="9">
        <f>IFERROR(__xludf.DUMMYFUNCTION("IFERROR(((B205 - GOOGLEFINANCE(A205, ""priceopen"")) / GOOGLEFINANCE(A205, ""priceopen"")) * GOOGLEFINANCE(A205, ""volume""), 0)"),120726.02826924292)</f>
        <v>120726.0283</v>
      </c>
    </row>
    <row r="206">
      <c r="A206" s="4" t="s">
        <v>1388</v>
      </c>
      <c r="B206" s="7">
        <f>IFERROR(__xludf.DUMMYFUNCTION("GOOGLEFINANCE(A206, ""price"")"),4534.0)</f>
        <v>4534</v>
      </c>
      <c r="C206" s="7">
        <f>IFERROR(__xludf.DUMMYFUNCTION("GOOGLEFINANCE(A206, ""changepct"")"),2.67)</f>
        <v>2.67</v>
      </c>
      <c r="D206" s="9">
        <f>IFERROR(__xludf.DUMMYFUNCTION("GOOGLEFINANCE(A206, ""priceopen"")"),4440.0)</f>
        <v>4440</v>
      </c>
      <c r="E206" s="9">
        <f>IFERROR(__xludf.DUMMYFUNCTION("GOOGLEFINANCE(A206, ""high"")"),4695.0)</f>
        <v>4695</v>
      </c>
      <c r="F206" s="9">
        <f>IFERROR(__xludf.DUMMYFUNCTION("GOOGLEFINANCE(A206, ""low"")"),4410.0)</f>
        <v>4410</v>
      </c>
      <c r="G206" s="9">
        <f>IFERROR(__xludf.DUMMYFUNCTION("GOOGLEFINANCE(A206, ""price"")"),4534.0)</f>
        <v>4534</v>
      </c>
      <c r="H206" s="9">
        <f>IFERROR(__xludf.DUMMYFUNCTION("MAX(INDEX(GOOGLEFINANCE(A206, ""high"", TODAY()-30, TODAY()), 0, 2))"),4695.0)</f>
        <v>4695</v>
      </c>
      <c r="I206" s="9">
        <f>IFERROR(__xludf.DUMMYFUNCTION("MIN(INDEX(GOOGLEFINANCE(A206, ""low"", TODAY()-30, TODAY()), 0, 2))"),3839.0)</f>
        <v>3839</v>
      </c>
      <c r="J206" s="9">
        <f>IFERROR(__xludf.DUMMYFUNCTION("GOOGLEFINANCE(A206, ""high52"")"),4695.0)</f>
        <v>4695</v>
      </c>
      <c r="K206" s="9">
        <f>IFERROR(__xludf.DUMMYFUNCTION("GOOGLEFINANCE(A206, ""low52"")"),2916.6)</f>
        <v>2916.6</v>
      </c>
      <c r="L206" s="9">
        <f t="shared" si="1"/>
        <v>0.03429179979</v>
      </c>
      <c r="M206" s="9">
        <f t="shared" si="2"/>
        <v>0.5545498183</v>
      </c>
      <c r="N206" s="9">
        <f t="shared" si="3"/>
        <v>0.06462585034</v>
      </c>
      <c r="O206" s="9">
        <f t="shared" si="4"/>
        <v>0.8119158879</v>
      </c>
      <c r="P206" s="9">
        <f>IFERROR(__xludf.DUMMYFUNCTION("GOOGLEFINANCE(A206, ""pe"")"),86.76)</f>
        <v>86.76</v>
      </c>
      <c r="Q206" s="9">
        <f>IFERROR(__xludf.DUMMYFUNCTION("IFERROR(GOOGLEFINANCE(A206, ""volume"") / GOOGLEFINANCE(A206, ""volumeavg""), 0)"),0.0)</f>
        <v>0</v>
      </c>
      <c r="R206" s="9">
        <f>IFERROR(__xludf.DUMMYFUNCTION("AVERAGE(INDEX(GOOGLEFINANCE(A206, ""price"", TODAY()-30, TODAY()), 0, 2))"),4409.121739130435)</f>
        <v>4409.121739</v>
      </c>
      <c r="S206" s="9">
        <f>IFERROR(__xludf.DUMMYFUNCTION("AVERAGE(INDEX(GOOGLEFINANCE(A206, ""price"", TODAY()-75, TODAY()), 0, 2))"),4050.4830188679252)</f>
        <v>4050.483019</v>
      </c>
      <c r="T206" s="9">
        <f>IFERROR(__xludf.DUMMYFUNCTION("AVERAGE(INDEX(GOOGLEFINANCE(A206, ""price"", TODAY()-300, TODAY()), 0, 2))"),3612.7415841584157)</f>
        <v>3612.741584</v>
      </c>
      <c r="U206" s="9">
        <f t="shared" si="5"/>
        <v>0.02832270648</v>
      </c>
      <c r="V206" s="15">
        <f>IFERROR(__xludf.DUMMYFUNCTION("LET(hist, GOOGLEFINANCE(A206,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rs))))))"),49.47783070721878)</f>
        <v>49.47783071</v>
      </c>
      <c r="W206" s="16" t="str">
        <f>IFERROR(__xludf.DUMMYFUNCTION("IFERROR(GOOGLEFINANCE(A206, ""volume"") / GOOGLEFINANCE(A206, ""volumeavg""), )"),"")</f>
        <v/>
      </c>
      <c r="X206" s="9">
        <f>IFERROR(__xludf.DUMMYFUNCTION("B206 * GOOGLEFINANCE(A206, ""volume"")"),4.43894469E9)</f>
        <v>4438944690</v>
      </c>
      <c r="Y206" s="9">
        <f>IFERROR(__xludf.DUMMYFUNCTION("IFERROR(((B206 - GOOGLEFINANCE(A206, ""priceopen"")) / GOOGLEFINANCE(A206, ""priceopen"")) * GOOGLEFINANCE(A206, ""volume""), 0)"),20727.317567567567)</f>
        <v>20727.31757</v>
      </c>
    </row>
    <row r="207">
      <c r="A207" s="4" t="s">
        <v>1392</v>
      </c>
      <c r="B207" s="7">
        <f>IFERROR(__xludf.DUMMYFUNCTION("GOOGLEFINANCE(A207, ""price"")"),799.0)</f>
        <v>799</v>
      </c>
      <c r="C207" s="7">
        <f>IFERROR(__xludf.DUMMYFUNCTION("GOOGLEFINANCE(A207, ""changepct"")"),-0.12)</f>
        <v>-0.12</v>
      </c>
      <c r="D207" s="9">
        <f>IFERROR(__xludf.DUMMYFUNCTION("GOOGLEFINANCE(A207, ""priceopen"")"),801.05)</f>
        <v>801.05</v>
      </c>
      <c r="E207" s="9">
        <f>IFERROR(__xludf.DUMMYFUNCTION("GOOGLEFINANCE(A207, ""high"")"),807.7)</f>
        <v>807.7</v>
      </c>
      <c r="F207" s="9">
        <f>IFERROR(__xludf.DUMMYFUNCTION("GOOGLEFINANCE(A207, ""low"")"),797.4)</f>
        <v>797.4</v>
      </c>
      <c r="G207" s="9">
        <f>IFERROR(__xludf.DUMMYFUNCTION("GOOGLEFINANCE(A207, ""price"")"),799.0)</f>
        <v>799</v>
      </c>
      <c r="H207" s="9">
        <f>IFERROR(__xludf.DUMMYFUNCTION("MAX(INDEX(GOOGLEFINANCE(A207, ""high"", TODAY()-30, TODAY()), 0, 2))"),836.9)</f>
        <v>836.9</v>
      </c>
      <c r="I207" s="9">
        <f>IFERROR(__xludf.DUMMYFUNCTION("MIN(INDEX(GOOGLEFINANCE(A207, ""low"", TODAY()-30, TODAY()), 0, 2))"),658.7)</f>
        <v>658.7</v>
      </c>
      <c r="J207" s="9">
        <f>IFERROR(__xludf.DUMMYFUNCTION("GOOGLEFINANCE(A207, ""high52"")"),836.9)</f>
        <v>836.9</v>
      </c>
      <c r="K207" s="9">
        <f>IFERROR(__xludf.DUMMYFUNCTION("GOOGLEFINANCE(A207, ""low52"")"),402.3)</f>
        <v>402.3</v>
      </c>
      <c r="L207" s="9">
        <f t="shared" si="1"/>
        <v>0.04528617517</v>
      </c>
      <c r="M207" s="9">
        <f t="shared" si="2"/>
        <v>0.9860800398</v>
      </c>
      <c r="N207" s="9">
        <f t="shared" si="3"/>
        <v>0.01291698019</v>
      </c>
      <c r="O207" s="9">
        <f t="shared" si="4"/>
        <v>0.7873176207</v>
      </c>
      <c r="P207" s="9">
        <f>IFERROR(__xludf.DUMMYFUNCTION("GOOGLEFINANCE(A207, ""pe"")"),71.36)</f>
        <v>71.36</v>
      </c>
      <c r="Q207" s="9">
        <f>IFERROR(__xludf.DUMMYFUNCTION("IFERROR(GOOGLEFINANCE(A207, ""volume"") / GOOGLEFINANCE(A207, ""volumeavg""), 0)"),0.0)</f>
        <v>0</v>
      </c>
      <c r="R207" s="9">
        <f>IFERROR(__xludf.DUMMYFUNCTION("AVERAGE(INDEX(GOOGLEFINANCE(A207, ""price"", TODAY()-30, TODAY()), 0, 2))"),743.8173913043478)</f>
        <v>743.8173913</v>
      </c>
      <c r="S207" s="9">
        <f>IFERROR(__xludf.DUMMYFUNCTION("AVERAGE(INDEX(GOOGLEFINANCE(A207, ""price"", TODAY()-75, TODAY()), 0, 2))"),673.6999999999999)</f>
        <v>673.7</v>
      </c>
      <c r="T207" s="9">
        <f>IFERROR(__xludf.DUMMYFUNCTION("AVERAGE(INDEX(GOOGLEFINANCE(A207, ""price"", TODAY()-300, TODAY()), 0, 2))"),556.4205445544557)</f>
        <v>556.4205446</v>
      </c>
      <c r="U207" s="9">
        <f t="shared" si="5"/>
        <v>0.07418838191</v>
      </c>
      <c r="V207" s="15">
        <f>IFERROR(__xludf.DUMMYFUNCTION("LET(hist, GOOGLEFINANCE(A207,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rs))))))"),72.84982475060666)</f>
        <v>72.84982475</v>
      </c>
      <c r="W207" s="16" t="str">
        <f>IFERROR(__xludf.DUMMYFUNCTION("IFERROR(GOOGLEFINANCE(A207, ""volume"") / GOOGLEFINANCE(A207, ""volumeavg""), )"),"")</f>
        <v/>
      </c>
      <c r="X207" s="9">
        <f>IFERROR(__xludf.DUMMYFUNCTION("B207 * GOOGLEFINANCE(A207, ""volume"")"),1.513744651E9)</f>
        <v>1513744651</v>
      </c>
      <c r="Y207" s="9">
        <f>IFERROR(__xludf.DUMMYFUNCTION("IFERROR(((B207 - GOOGLEFINANCE(A207, ""priceopen"")) / GOOGLEFINANCE(A207, ""priceopen"")) * GOOGLEFINANCE(A207, ""volume""), 0)"),-4848.418263529011)</f>
        <v>-4848.418264</v>
      </c>
    </row>
    <row r="208">
      <c r="A208" s="4" t="s">
        <v>1398</v>
      </c>
      <c r="B208" s="7">
        <f>IFERROR(__xludf.DUMMYFUNCTION("GOOGLEFINANCE(A208, ""price"")"),2500.0)</f>
        <v>2500</v>
      </c>
      <c r="C208" s="7">
        <f>IFERROR(__xludf.DUMMYFUNCTION("GOOGLEFINANCE(A208, ""changepct"")"),0.04)</f>
        <v>0.04</v>
      </c>
      <c r="D208" s="9">
        <f>IFERROR(__xludf.DUMMYFUNCTION("GOOGLEFINANCE(A208, ""priceopen"")"),2498.0)</f>
        <v>2498</v>
      </c>
      <c r="E208" s="9">
        <f>IFERROR(__xludf.DUMMYFUNCTION("GOOGLEFINANCE(A208, ""high"")"),2525.0)</f>
        <v>2525</v>
      </c>
      <c r="F208" s="9">
        <f>IFERROR(__xludf.DUMMYFUNCTION("GOOGLEFINANCE(A208, ""low"")"),2475.0)</f>
        <v>2475</v>
      </c>
      <c r="G208" s="9">
        <f>IFERROR(__xludf.DUMMYFUNCTION("GOOGLEFINANCE(A208, ""price"")"),2500.0)</f>
        <v>2500</v>
      </c>
      <c r="H208" s="9">
        <f>IFERROR(__xludf.DUMMYFUNCTION("MAX(INDEX(GOOGLEFINANCE(A208, ""high"", TODAY()-30, TODAY()), 0, 2))"),2558.0)</f>
        <v>2558</v>
      </c>
      <c r="I208" s="9">
        <f>IFERROR(__xludf.DUMMYFUNCTION("MIN(INDEX(GOOGLEFINANCE(A208, ""low"", TODAY()-30, TODAY()), 0, 2))"),1982.1)</f>
        <v>1982.1</v>
      </c>
      <c r="J208" s="9">
        <f>IFERROR(__xludf.DUMMYFUNCTION("GOOGLEFINANCE(A208, ""high52"")"),2775.0)</f>
        <v>2775</v>
      </c>
      <c r="K208" s="9">
        <f>IFERROR(__xludf.DUMMYFUNCTION("GOOGLEFINANCE(A208, ""low52"")"),1970.0)</f>
        <v>1970</v>
      </c>
      <c r="L208" s="9">
        <f t="shared" si="1"/>
        <v>0.0990990991</v>
      </c>
      <c r="M208" s="9">
        <f t="shared" si="2"/>
        <v>0.269035533</v>
      </c>
      <c r="N208" s="9">
        <f t="shared" si="3"/>
        <v>0.0202020202</v>
      </c>
      <c r="O208" s="9">
        <f t="shared" si="4"/>
        <v>0.8992880708</v>
      </c>
      <c r="P208" s="9">
        <f>IFERROR(__xludf.DUMMYFUNCTION("GOOGLEFINANCE(A208, ""pe"")"),34.38)</f>
        <v>34.38</v>
      </c>
      <c r="Q208" s="9">
        <f>IFERROR(__xludf.DUMMYFUNCTION("IFERROR(GOOGLEFINANCE(A208, ""volume"") / GOOGLEFINANCE(A208, ""volumeavg""), 0)"),0.0)</f>
        <v>0</v>
      </c>
      <c r="R208" s="9">
        <f>IFERROR(__xludf.DUMMYFUNCTION("AVERAGE(INDEX(GOOGLEFINANCE(A208, ""price"", TODAY()-30, TODAY()), 0, 2))"),2247.534782608696)</f>
        <v>2247.534783</v>
      </c>
      <c r="S208" s="9">
        <f>IFERROR(__xludf.DUMMYFUNCTION("AVERAGE(INDEX(GOOGLEFINANCE(A208, ""price"", TODAY()-75, TODAY()), 0, 2))"),2211.075471698113)</f>
        <v>2211.075472</v>
      </c>
      <c r="T208" s="9">
        <f>IFERROR(__xludf.DUMMYFUNCTION("AVERAGE(INDEX(GOOGLEFINANCE(A208, ""price"", TODAY()-300, TODAY()), 0, 2))"),2292.013366336634)</f>
        <v>2292.013366</v>
      </c>
      <c r="U208" s="9">
        <f t="shared" si="5"/>
        <v>0.1123298377</v>
      </c>
      <c r="V208" s="15">
        <f>IFERROR(__xludf.DUMMYFUNCTION("LET(hist, GOOGLEFINANCE(A208,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rs))))))"),88.09038129609294)</f>
        <v>88.0903813</v>
      </c>
      <c r="W208" s="16" t="str">
        <f>IFERROR(__xludf.DUMMYFUNCTION("IFERROR(GOOGLEFINANCE(A208, ""volume"") / GOOGLEFINANCE(A208, ""volumeavg""), )"),"")</f>
        <v/>
      </c>
      <c r="X208" s="9">
        <f>IFERROR(__xludf.DUMMYFUNCTION("B208 * GOOGLEFINANCE(A208, ""volume"")"),3.924325E8)</f>
        <v>392432500</v>
      </c>
      <c r="Y208" s="9">
        <f>IFERROR(__xludf.DUMMYFUNCTION("IFERROR(((B208 - GOOGLEFINANCE(A208, ""priceopen"")) / GOOGLEFINANCE(A208, ""priceopen"")) * GOOGLEFINANCE(A208, ""volume""), 0)"),125.67894315452361)</f>
        <v>125.6789432</v>
      </c>
    </row>
    <row r="209">
      <c r="A209" s="4" t="s">
        <v>1405</v>
      </c>
      <c r="B209" s="7">
        <f>IFERROR(__xludf.DUMMYFUNCTION("GOOGLEFINANCE(A209, ""price"")"),5720.0)</f>
        <v>5720</v>
      </c>
      <c r="C209" s="7">
        <f>IFERROR(__xludf.DUMMYFUNCTION("GOOGLEFINANCE(A209, ""changepct"")"),1.33)</f>
        <v>1.33</v>
      </c>
      <c r="D209" s="9">
        <f>IFERROR(__xludf.DUMMYFUNCTION("GOOGLEFINANCE(A209, ""priceopen"")"),5645.0)</f>
        <v>5645</v>
      </c>
      <c r="E209" s="9">
        <f>IFERROR(__xludf.DUMMYFUNCTION("GOOGLEFINANCE(A209, ""high"")"),5754.0)</f>
        <v>5754</v>
      </c>
      <c r="F209" s="9">
        <f>IFERROR(__xludf.DUMMYFUNCTION("GOOGLEFINANCE(A209, ""low"")"),5593.8)</f>
        <v>5593.8</v>
      </c>
      <c r="G209" s="9">
        <f>IFERROR(__xludf.DUMMYFUNCTION("GOOGLEFINANCE(A209, ""price"")"),5720.0)</f>
        <v>5720</v>
      </c>
      <c r="H209" s="9">
        <f>IFERROR(__xludf.DUMMYFUNCTION("MAX(INDEX(GOOGLEFINANCE(A209, ""high"", TODAY()-30, TODAY()), 0, 2))"),5754.0)</f>
        <v>5754</v>
      </c>
      <c r="I209" s="9">
        <f>IFERROR(__xludf.DUMMYFUNCTION("MIN(INDEX(GOOGLEFINANCE(A209, ""low"", TODAY()-30, TODAY()), 0, 2))"),4745.5)</f>
        <v>4745.5</v>
      </c>
      <c r="J209" s="9">
        <f>IFERROR(__xludf.DUMMYFUNCTION("GOOGLEFINANCE(A209, ""high52"")"),5754.0)</f>
        <v>5754</v>
      </c>
      <c r="K209" s="9">
        <f>IFERROR(__xludf.DUMMYFUNCTION("GOOGLEFINANCE(A209, ""low52"")"),3712.2)</f>
        <v>3712.2</v>
      </c>
      <c r="L209" s="9">
        <f t="shared" si="1"/>
        <v>0.005908932916</v>
      </c>
      <c r="M209" s="9">
        <f t="shared" si="2"/>
        <v>0.5408652551</v>
      </c>
      <c r="N209" s="9">
        <f t="shared" si="3"/>
        <v>0.02863885016</v>
      </c>
      <c r="O209" s="9">
        <f t="shared" si="4"/>
        <v>0.9662865642</v>
      </c>
      <c r="P209" s="9">
        <f>IFERROR(__xludf.DUMMYFUNCTION("GOOGLEFINANCE(A209, ""pe"")"),54.89)</f>
        <v>54.89</v>
      </c>
      <c r="Q209" s="9">
        <f>IFERROR(__xludf.DUMMYFUNCTION("IFERROR(GOOGLEFINANCE(A209, ""volume"") / GOOGLEFINANCE(A209, ""volumeavg""), 0)"),0.0)</f>
        <v>0</v>
      </c>
      <c r="R209" s="9">
        <f>IFERROR(__xludf.DUMMYFUNCTION("AVERAGE(INDEX(GOOGLEFINANCE(A209, ""price"", TODAY()-30, TODAY()), 0, 2))"),5159.504347826087)</f>
        <v>5159.504348</v>
      </c>
      <c r="S209" s="9">
        <f>IFERROR(__xludf.DUMMYFUNCTION("AVERAGE(INDEX(GOOGLEFINANCE(A209, ""price"", TODAY()-75, TODAY()), 0, 2))"),5250.294339622641)</f>
        <v>5250.29434</v>
      </c>
      <c r="T209" s="9">
        <f>IFERROR(__xludf.DUMMYFUNCTION("AVERAGE(INDEX(GOOGLEFINANCE(A209, ""price"", TODAY()-300, TODAY()), 0, 2))"),4649.27227722772)</f>
        <v>4649.272277</v>
      </c>
      <c r="U209" s="9">
        <f t="shared" si="5"/>
        <v>0.1086336234</v>
      </c>
      <c r="V209" s="15">
        <f>IFERROR(__xludf.DUMMYFUNCTION("LET(hist, GOOGLEFINANCE(A209,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rs))))))"),88.47363219836491)</f>
        <v>88.4736322</v>
      </c>
      <c r="W209" s="16" t="str">
        <f>IFERROR(__xludf.DUMMYFUNCTION("IFERROR(GOOGLEFINANCE(A209, ""volume"") / GOOGLEFINANCE(A209, ""volumeavg""), )"),"")</f>
        <v/>
      </c>
      <c r="X209" s="9">
        <f>IFERROR(__xludf.DUMMYFUNCTION("B209 * GOOGLEFINANCE(A209, ""volume"")"),2.59789816E9)</f>
        <v>2597898160</v>
      </c>
      <c r="Y209" s="9">
        <f>IFERROR(__xludf.DUMMYFUNCTION("IFERROR(((B209 - GOOGLEFINANCE(A209, ""priceopen"")) / GOOGLEFINANCE(A209, ""priceopen"")) * GOOGLEFINANCE(A209, ""volume""), 0)"),6034.251550044287)</f>
        <v>6034.25155</v>
      </c>
    </row>
    <row r="210">
      <c r="A210" s="4" t="s">
        <v>1409</v>
      </c>
      <c r="B210" s="7">
        <f>IFERROR(__xludf.DUMMYFUNCTION("GOOGLEFINANCE(A210, ""price"")"),548.5)</f>
        <v>548.5</v>
      </c>
      <c r="C210" s="7">
        <f>IFERROR(__xludf.DUMMYFUNCTION("GOOGLEFINANCE(A210, ""changepct"")"),2.85)</f>
        <v>2.85</v>
      </c>
      <c r="D210" s="9">
        <f>IFERROR(__xludf.DUMMYFUNCTION("GOOGLEFINANCE(A210, ""priceopen"")"),530.85)</f>
        <v>530.85</v>
      </c>
      <c r="E210" s="9">
        <f>IFERROR(__xludf.DUMMYFUNCTION("GOOGLEFINANCE(A210, ""high"")"),569.9)</f>
        <v>569.9</v>
      </c>
      <c r="F210" s="9">
        <f>IFERROR(__xludf.DUMMYFUNCTION("GOOGLEFINANCE(A210, ""low"")"),529.6)</f>
        <v>529.6</v>
      </c>
      <c r="G210" s="9">
        <f>IFERROR(__xludf.DUMMYFUNCTION("GOOGLEFINANCE(A210, ""price"")"),548.5)</f>
        <v>548.5</v>
      </c>
      <c r="H210" s="9">
        <f>IFERROR(__xludf.DUMMYFUNCTION("MAX(INDEX(GOOGLEFINANCE(A210, ""high"", TODAY()-30, TODAY()), 0, 2))"),569.9)</f>
        <v>569.9</v>
      </c>
      <c r="I210" s="9">
        <f>IFERROR(__xludf.DUMMYFUNCTION("MIN(INDEX(GOOGLEFINANCE(A210, ""low"", TODAY()-30, TODAY()), 0, 2))"),469.0)</f>
        <v>469</v>
      </c>
      <c r="J210" s="9">
        <f>IFERROR(__xludf.DUMMYFUNCTION("GOOGLEFINANCE(A210, ""high52"")"),760.05)</f>
        <v>760.05</v>
      </c>
      <c r="K210" s="9">
        <f>IFERROR(__xludf.DUMMYFUNCTION("GOOGLEFINANCE(A210, ""low52"")"),226.7)</f>
        <v>226.7</v>
      </c>
      <c r="L210" s="9">
        <f t="shared" si="1"/>
        <v>0.2783369515</v>
      </c>
      <c r="M210" s="9">
        <f t="shared" si="2"/>
        <v>1.419497133</v>
      </c>
      <c r="N210" s="9">
        <f t="shared" si="3"/>
        <v>0.07609516616</v>
      </c>
      <c r="O210" s="9">
        <f t="shared" si="4"/>
        <v>0.7879088206</v>
      </c>
      <c r="P210" s="9">
        <f>IFERROR(__xludf.DUMMYFUNCTION("GOOGLEFINANCE(A210, ""pe"")"),57.74)</f>
        <v>57.74</v>
      </c>
      <c r="Q210" s="9">
        <f>IFERROR(__xludf.DUMMYFUNCTION("IFERROR(GOOGLEFINANCE(A210, ""volume"") / GOOGLEFINANCE(A210, ""volumeavg""), 0)"),0.0)</f>
        <v>0</v>
      </c>
      <c r="R210" s="9">
        <f>IFERROR(__xludf.DUMMYFUNCTION("AVERAGE(INDEX(GOOGLEFINANCE(A210, ""price"", TODAY()-30, TODAY()), 0, 2))"),500.49130434782603)</f>
        <v>500.4913043</v>
      </c>
      <c r="S210" s="9">
        <f>IFERROR(__xludf.DUMMYFUNCTION("AVERAGE(INDEX(GOOGLEFINANCE(A210, ""price"", TODAY()-75, TODAY()), 0, 2))"),505.81132075471703)</f>
        <v>505.8113208</v>
      </c>
      <c r="T210" s="9">
        <f>IFERROR(__xludf.DUMMYFUNCTION("AVERAGE(INDEX(GOOGLEFINANCE(A210, ""price"", TODAY()-300, TODAY()), 0, 2))"),491.17871287128696)</f>
        <v>491.1787129</v>
      </c>
      <c r="U210" s="9">
        <f t="shared" si="5"/>
        <v>0.0959231364</v>
      </c>
      <c r="V210" s="15">
        <f>IFERROR(__xludf.DUMMYFUNCTION("LET(hist, GOOGLEFINANCE(A210,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rs))))))"),69.35595567867036)</f>
        <v>69.35595568</v>
      </c>
      <c r="W210" s="16" t="str">
        <f>IFERROR(__xludf.DUMMYFUNCTION("IFERROR(GOOGLEFINANCE(A210, ""volume"") / GOOGLEFINANCE(A210, ""volumeavg""), )"),"")</f>
        <v/>
      </c>
      <c r="X210" s="9">
        <f>IFERROR(__xludf.DUMMYFUNCTION("B210 * GOOGLEFINANCE(A210, ""volume"")"),2.0241500639E10)</f>
        <v>20241500639</v>
      </c>
      <c r="Y210" s="9">
        <f>IFERROR(__xludf.DUMMYFUNCTION("IFERROR(((B210 - GOOGLEFINANCE(A210, ""priceopen"")) / GOOGLEFINANCE(A210, ""priceopen"")) * GOOGLEFINANCE(A210, ""volume""), 0)"),1226984.1783931414)</f>
        <v>1226984.178</v>
      </c>
    </row>
    <row r="211">
      <c r="A211" s="4" t="s">
        <v>1413</v>
      </c>
      <c r="B211" s="7">
        <f>IFERROR(__xludf.DUMMYFUNCTION("GOOGLEFINANCE(A211, ""price"")"),229.8)</f>
        <v>229.8</v>
      </c>
      <c r="C211" s="7">
        <f>IFERROR(__xludf.DUMMYFUNCTION("GOOGLEFINANCE(A211, ""changepct"")"),-0.09)</f>
        <v>-0.09</v>
      </c>
      <c r="D211" s="9">
        <f>IFERROR(__xludf.DUMMYFUNCTION("GOOGLEFINANCE(A211, ""priceopen"")"),231.16)</f>
        <v>231.16</v>
      </c>
      <c r="E211" s="9">
        <f>IFERROR(__xludf.DUMMYFUNCTION("GOOGLEFINANCE(A211, ""high"")"),233.67)</f>
        <v>233.67</v>
      </c>
      <c r="F211" s="9">
        <f>IFERROR(__xludf.DUMMYFUNCTION("GOOGLEFINANCE(A211, ""low"")"),227.65)</f>
        <v>227.65</v>
      </c>
      <c r="G211" s="9">
        <f>IFERROR(__xludf.DUMMYFUNCTION("GOOGLEFINANCE(A211, ""price"")"),229.8)</f>
        <v>229.8</v>
      </c>
      <c r="H211" s="9">
        <f>IFERROR(__xludf.DUMMYFUNCTION("MAX(INDEX(GOOGLEFINANCE(A211, ""high"", TODAY()-30, TODAY()), 0, 2))"),236.76)</f>
        <v>236.76</v>
      </c>
      <c r="I211" s="9">
        <f>IFERROR(__xludf.DUMMYFUNCTION("MIN(INDEX(GOOGLEFINANCE(A211, ""low"", TODAY()-30, TODAY()), 0, 2))"),220.16)</f>
        <v>220.16</v>
      </c>
      <c r="J211" s="9">
        <f>IFERROR(__xludf.DUMMYFUNCTION("GOOGLEFINANCE(A211, ""high52"")"),400.7)</f>
        <v>400.7</v>
      </c>
      <c r="K211" s="9">
        <f>IFERROR(__xludf.DUMMYFUNCTION("GOOGLEFINANCE(A211, ""low52"")"),220.16)</f>
        <v>220.16</v>
      </c>
      <c r="L211" s="9">
        <f t="shared" si="1"/>
        <v>0.4265036187</v>
      </c>
      <c r="M211" s="9">
        <f t="shared" si="2"/>
        <v>0.04378633721</v>
      </c>
      <c r="N211" s="9">
        <f t="shared" si="3"/>
        <v>0.02644410279</v>
      </c>
      <c r="O211" s="9">
        <f t="shared" si="4"/>
        <v>0.5807228916</v>
      </c>
      <c r="P211" s="9">
        <f>IFERROR(__xludf.DUMMYFUNCTION("GOOGLEFINANCE(A211, ""pe"")"),54.79)</f>
        <v>54.79</v>
      </c>
      <c r="Q211" s="9">
        <f>IFERROR(__xludf.DUMMYFUNCTION("IFERROR(GOOGLEFINANCE(A211, ""volume"") / GOOGLEFINANCE(A211, ""volumeavg""), 0)"),0.0)</f>
        <v>0</v>
      </c>
      <c r="R211" s="9">
        <f>IFERROR(__xludf.DUMMYFUNCTION("AVERAGE(INDEX(GOOGLEFINANCE(A211, ""price"", TODAY()-30, TODAY()), 0, 2))"),227.49565217391307)</f>
        <v>227.4956522</v>
      </c>
      <c r="S211" s="9">
        <f>IFERROR(__xludf.DUMMYFUNCTION("AVERAGE(INDEX(GOOGLEFINANCE(A211, ""price"", TODAY()-75, TODAY()), 0, 2))"),232.74245283018865)</f>
        <v>232.7424528</v>
      </c>
      <c r="T211" s="9">
        <f>IFERROR(__xludf.DUMMYFUNCTION("AVERAGE(INDEX(GOOGLEFINANCE(A211, ""price"", TODAY()-300, TODAY()), 0, 2))"),288.9199504950496)</f>
        <v>288.9199505</v>
      </c>
      <c r="U211" s="9">
        <f t="shared" si="5"/>
        <v>0.01012919502</v>
      </c>
      <c r="V211" s="15">
        <f>IFERROR(__xludf.DUMMYFUNCTION("LET(hist, GOOGLEFINANCE(A211,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rs))))))"),58.64506627393225)</f>
        <v>58.64506627</v>
      </c>
      <c r="W211" s="16" t="str">
        <f>IFERROR(__xludf.DUMMYFUNCTION("IFERROR(GOOGLEFINANCE(A211, ""volume"") / GOOGLEFINANCE(A211, ""volumeavg""), )"),"")</f>
        <v/>
      </c>
      <c r="X211" s="9">
        <f>IFERROR(__xludf.DUMMYFUNCTION("B211 * GOOGLEFINANCE(A211, ""volume"")"),1.2897079188E9)</f>
        <v>1289707919</v>
      </c>
      <c r="Y211" s="9">
        <f>IFERROR(__xludf.DUMMYFUNCTION("IFERROR(((B211 - GOOGLEFINANCE(A211, ""priceopen"")) / GOOGLEFINANCE(A211, ""priceopen"")) * GOOGLEFINANCE(A211, ""volume""), 0)"),-33019.277383630026)</f>
        <v>-33019.27738</v>
      </c>
    </row>
    <row r="212">
      <c r="A212" s="4" t="s">
        <v>1415</v>
      </c>
      <c r="B212" s="7">
        <f>IFERROR(__xludf.DUMMYFUNCTION("GOOGLEFINANCE(A212, ""price"")"),2065.5)</f>
        <v>2065.5</v>
      </c>
      <c r="C212" s="7">
        <f>IFERROR(__xludf.DUMMYFUNCTION("GOOGLEFINANCE(A212, ""changepct"")"),-2.33)</f>
        <v>-2.33</v>
      </c>
      <c r="D212" s="9">
        <f>IFERROR(__xludf.DUMMYFUNCTION("GOOGLEFINANCE(A212, ""priceopen"")"),2114.7)</f>
        <v>2114.7</v>
      </c>
      <c r="E212" s="9">
        <f>IFERROR(__xludf.DUMMYFUNCTION("GOOGLEFINANCE(A212, ""high"")"),2119.8)</f>
        <v>2119.8</v>
      </c>
      <c r="F212" s="9">
        <f>IFERROR(__xludf.DUMMYFUNCTION("GOOGLEFINANCE(A212, ""low"")"),2060.0)</f>
        <v>2060</v>
      </c>
      <c r="G212" s="9">
        <f>IFERROR(__xludf.DUMMYFUNCTION("GOOGLEFINANCE(A212, ""price"")"),2065.5)</f>
        <v>2065.5</v>
      </c>
      <c r="H212" s="9">
        <f>IFERROR(__xludf.DUMMYFUNCTION("MAX(INDEX(GOOGLEFINANCE(A212, ""high"", TODAY()-30, TODAY()), 0, 2))"),2218.9)</f>
        <v>2218.9</v>
      </c>
      <c r="I212" s="9">
        <f>IFERROR(__xludf.DUMMYFUNCTION("MIN(INDEX(GOOGLEFINANCE(A212, ""low"", TODAY()-30, TODAY()), 0, 2))"),1970.5)</f>
        <v>1970.5</v>
      </c>
      <c r="J212" s="9">
        <f>IFERROR(__xludf.DUMMYFUNCTION("GOOGLEFINANCE(A212, ""high52"")"),2220.0)</f>
        <v>2220</v>
      </c>
      <c r="K212" s="9">
        <f>IFERROR(__xludf.DUMMYFUNCTION("GOOGLEFINANCE(A212, ""low52"")"),1260.0)</f>
        <v>1260</v>
      </c>
      <c r="L212" s="9">
        <f t="shared" si="1"/>
        <v>0.06959459459</v>
      </c>
      <c r="M212" s="9">
        <f t="shared" si="2"/>
        <v>0.6392857143</v>
      </c>
      <c r="N212" s="9">
        <f t="shared" si="3"/>
        <v>0.02902912621</v>
      </c>
      <c r="O212" s="9">
        <f t="shared" si="4"/>
        <v>0.3824476651</v>
      </c>
      <c r="P212" s="9">
        <f>IFERROR(__xludf.DUMMYFUNCTION("GOOGLEFINANCE(A212, ""pe"")"),27.89)</f>
        <v>27.89</v>
      </c>
      <c r="Q212" s="9">
        <f>IFERROR(__xludf.DUMMYFUNCTION("IFERROR(GOOGLEFINANCE(A212, ""volume"") / GOOGLEFINANCE(A212, ""volumeavg""), 0)"),0.0)</f>
        <v>0</v>
      </c>
      <c r="R212" s="9">
        <f>IFERROR(__xludf.DUMMYFUNCTION("AVERAGE(INDEX(GOOGLEFINANCE(A212, ""price"", TODAY()-30, TODAY()), 0, 2))"),2105.5565217391304)</f>
        <v>2105.556522</v>
      </c>
      <c r="S212" s="9">
        <f>IFERROR(__xludf.DUMMYFUNCTION("AVERAGE(INDEX(GOOGLEFINANCE(A212, ""price"", TODAY()-75, TODAY()), 0, 2))"),2078.981132075472)</f>
        <v>2078.981132</v>
      </c>
      <c r="T212" s="9">
        <f>IFERROR(__xludf.DUMMYFUNCTION("AVERAGE(INDEX(GOOGLEFINANCE(A212, ""price"", TODAY()-300, TODAY()), 0, 2))"),1834.4877659574463)</f>
        <v>1834.487766</v>
      </c>
      <c r="U212" s="9">
        <f t="shared" si="5"/>
        <v>-0.01902419685</v>
      </c>
      <c r="V212" s="15">
        <f>IFERROR(__xludf.DUMMYFUNCTION("LET(hist, GOOGLEFINANCE(A212,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rs))))))"),45.53133514986379)</f>
        <v>45.53133515</v>
      </c>
      <c r="W212" s="16" t="str">
        <f>IFERROR(__xludf.DUMMYFUNCTION("IFERROR(GOOGLEFINANCE(A212, ""volume"") / GOOGLEFINANCE(A212, ""volumeavg""), )"),"")</f>
        <v/>
      </c>
      <c r="X212" s="9">
        <f>IFERROR(__xludf.DUMMYFUNCTION("B212 * GOOGLEFINANCE(A212, ""volume"")"),2.250217665E8)</f>
        <v>225021766.5</v>
      </c>
      <c r="Y212" s="9">
        <f>IFERROR(__xludf.DUMMYFUNCTION("IFERROR(((B212 - GOOGLEFINANCE(A212, ""priceopen"")) / GOOGLEFINANCE(A212, ""priceopen"")) * GOOGLEFINANCE(A212, ""volume""), 0)"),-2534.636402326562)</f>
        <v>-2534.636402</v>
      </c>
    </row>
    <row r="213">
      <c r="A213" s="4" t="s">
        <v>1416</v>
      </c>
      <c r="B213" s="7">
        <f>IFERROR(__xludf.DUMMYFUNCTION("GOOGLEFINANCE(A213, ""price"")"),1025.3)</f>
        <v>1025.3</v>
      </c>
      <c r="C213" s="7">
        <f>IFERROR(__xludf.DUMMYFUNCTION("GOOGLEFINANCE(A213, ""changepct"")"),-2.35)</f>
        <v>-2.35</v>
      </c>
      <c r="D213" s="9">
        <f>IFERROR(__xludf.DUMMYFUNCTION("GOOGLEFINANCE(A213, ""priceopen"")"),1049.0)</f>
        <v>1049</v>
      </c>
      <c r="E213" s="9">
        <f>IFERROR(__xludf.DUMMYFUNCTION("GOOGLEFINANCE(A213, ""high"")"),1056.0)</f>
        <v>1056</v>
      </c>
      <c r="F213" s="9">
        <f>IFERROR(__xludf.DUMMYFUNCTION("GOOGLEFINANCE(A213, ""low"")"),1021.4)</f>
        <v>1021.4</v>
      </c>
      <c r="G213" s="9">
        <f>IFERROR(__xludf.DUMMYFUNCTION("GOOGLEFINANCE(A213, ""price"")"),1025.3)</f>
        <v>1025.3</v>
      </c>
      <c r="H213" s="9">
        <f>IFERROR(__xludf.DUMMYFUNCTION("MAX(INDEX(GOOGLEFINANCE(A213, ""high"", TODAY()-30, TODAY()), 0, 2))"),1119.8)</f>
        <v>1119.8</v>
      </c>
      <c r="I213" s="9">
        <f>IFERROR(__xludf.DUMMYFUNCTION("MIN(INDEX(GOOGLEFINANCE(A213, ""low"", TODAY()-30, TODAY()), 0, 2))"),977.4)</f>
        <v>977.4</v>
      </c>
      <c r="J213" s="9">
        <f>IFERROR(__xludf.DUMMYFUNCTION("GOOGLEFINANCE(A213, ""high52"")"),1134.0)</f>
        <v>1134</v>
      </c>
      <c r="K213" s="9">
        <f>IFERROR(__xludf.DUMMYFUNCTION("GOOGLEFINANCE(A213, ""low52"")"),660.0)</f>
        <v>660</v>
      </c>
      <c r="L213" s="9">
        <f t="shared" si="1"/>
        <v>0.09585537919</v>
      </c>
      <c r="M213" s="9">
        <f t="shared" si="2"/>
        <v>0.5534848485</v>
      </c>
      <c r="N213" s="9">
        <f t="shared" si="3"/>
        <v>0.03387507343</v>
      </c>
      <c r="O213" s="9">
        <f t="shared" si="4"/>
        <v>0.3363764045</v>
      </c>
      <c r="P213" s="9">
        <f>IFERROR(__xludf.DUMMYFUNCTION("GOOGLEFINANCE(A213, ""pe"")"),27.56)</f>
        <v>27.56</v>
      </c>
      <c r="Q213" s="9">
        <f>IFERROR(__xludf.DUMMYFUNCTION("IFERROR(GOOGLEFINANCE(A213, ""volume"") / GOOGLEFINANCE(A213, ""volumeavg""), 0)"),0.0)</f>
        <v>0</v>
      </c>
      <c r="R213" s="9">
        <f>IFERROR(__xludf.DUMMYFUNCTION("AVERAGE(INDEX(GOOGLEFINANCE(A213, ""price"", TODAY()-30, TODAY()), 0, 2))"),1047.678260869565)</f>
        <v>1047.678261</v>
      </c>
      <c r="S213" s="9">
        <f>IFERROR(__xludf.DUMMYFUNCTION("AVERAGE(INDEX(GOOGLEFINANCE(A213, ""price"", TODAY()-75, TODAY()), 0, 2))"),1054.7245283018865)</f>
        <v>1054.724528</v>
      </c>
      <c r="T213" s="9">
        <f>IFERROR(__xludf.DUMMYFUNCTION("AVERAGE(INDEX(GOOGLEFINANCE(A213, ""price"", TODAY()-300, TODAY()), 0, 2))"),941.3643564356439)</f>
        <v>941.3643564</v>
      </c>
      <c r="U213" s="9">
        <f t="shared" si="5"/>
        <v>-0.0213598599</v>
      </c>
      <c r="V213" s="15">
        <f>IFERROR(__xludf.DUMMYFUNCTION("LET(hist, GOOGLEFINANCE(A213,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rs))))))"),50.30864197530862)</f>
        <v>50.30864198</v>
      </c>
      <c r="W213" s="16" t="str">
        <f>IFERROR(__xludf.DUMMYFUNCTION("IFERROR(GOOGLEFINANCE(A213, ""volume"") / GOOGLEFINANCE(A213, ""volumeavg""), )"),"")</f>
        <v/>
      </c>
      <c r="X213" s="9">
        <f>IFERROR(__xludf.DUMMYFUNCTION("B213 * GOOGLEFINANCE(A213, ""volume"")"),6.101816625E8)</f>
        <v>610181662.5</v>
      </c>
      <c r="Y213" s="9">
        <f>IFERROR(__xludf.DUMMYFUNCTION("IFERROR(((B213 - GOOGLEFINANCE(A213, ""priceopen"")) / GOOGLEFINANCE(A213, ""priceopen"")) * GOOGLEFINANCE(A213, ""volume""), 0)"),-13445.626787416613)</f>
        <v>-13445.62679</v>
      </c>
    </row>
    <row r="214">
      <c r="A214" s="4" t="s">
        <v>1423</v>
      </c>
      <c r="B214" s="7">
        <f>IFERROR(__xludf.DUMMYFUNCTION("GOOGLEFINANCE(A214, ""price"")"),1155.0)</f>
        <v>1155</v>
      </c>
      <c r="C214" s="7">
        <f>IFERROR(__xludf.DUMMYFUNCTION("GOOGLEFINANCE(A214, ""changepct"")"),-1.11)</f>
        <v>-1.11</v>
      </c>
      <c r="D214" s="9">
        <f>IFERROR(__xludf.DUMMYFUNCTION("GOOGLEFINANCE(A214, ""priceopen"")"),1160.0)</f>
        <v>1160</v>
      </c>
      <c r="E214" s="9">
        <f>IFERROR(__xludf.DUMMYFUNCTION("GOOGLEFINANCE(A214, ""high"")"),1167.5)</f>
        <v>1167.5</v>
      </c>
      <c r="F214" s="9">
        <f>IFERROR(__xludf.DUMMYFUNCTION("GOOGLEFINANCE(A214, ""low"")"),1140.0)</f>
        <v>1140</v>
      </c>
      <c r="G214" s="9">
        <f>IFERROR(__xludf.DUMMYFUNCTION("GOOGLEFINANCE(A214, ""price"")"),1155.0)</f>
        <v>1155</v>
      </c>
      <c r="H214" s="9">
        <f>IFERROR(__xludf.DUMMYFUNCTION("MAX(INDEX(GOOGLEFINANCE(A214, ""high"", TODAY()-30, TODAY()), 0, 2))"),1197.0)</f>
        <v>1197</v>
      </c>
      <c r="I214" s="9">
        <f>IFERROR(__xludf.DUMMYFUNCTION("MIN(INDEX(GOOGLEFINANCE(A214, ""low"", TODAY()-30, TODAY()), 0, 2))"),1065.0)</f>
        <v>1065</v>
      </c>
      <c r="J214" s="9">
        <f>IFERROR(__xludf.DUMMYFUNCTION("GOOGLEFINANCE(A214, ""high52"")"),1236.2)</f>
        <v>1236.2</v>
      </c>
      <c r="K214" s="9">
        <f>IFERROR(__xludf.DUMMYFUNCTION("GOOGLEFINANCE(A214, ""low52"")"),906.05)</f>
        <v>906.05</v>
      </c>
      <c r="L214" s="9">
        <f t="shared" si="1"/>
        <v>0.06568516421</v>
      </c>
      <c r="M214" s="9">
        <f t="shared" si="2"/>
        <v>0.2747640859</v>
      </c>
      <c r="N214" s="9">
        <f t="shared" si="3"/>
        <v>0.02412280702</v>
      </c>
      <c r="O214" s="9">
        <f t="shared" si="4"/>
        <v>0.6818181818</v>
      </c>
      <c r="P214" s="9">
        <f>IFERROR(__xludf.DUMMYFUNCTION("GOOGLEFINANCE(A214, ""pe"")"),38.41)</f>
        <v>38.41</v>
      </c>
      <c r="Q214" s="9">
        <f>IFERROR(__xludf.DUMMYFUNCTION("IFERROR(GOOGLEFINANCE(A214, ""volume"") / GOOGLEFINANCE(A214, ""volumeavg""), 0)"),0.0)</f>
        <v>0</v>
      </c>
      <c r="R214" s="9">
        <f>IFERROR(__xludf.DUMMYFUNCTION("AVERAGE(INDEX(GOOGLEFINANCE(A214, ""price"", TODAY()-30, TODAY()), 0, 2))"),1134.3347826086954)</f>
        <v>1134.334783</v>
      </c>
      <c r="S214" s="9">
        <f>IFERROR(__xludf.DUMMYFUNCTION("AVERAGE(INDEX(GOOGLEFINANCE(A214, ""price"", TODAY()-75, TODAY()), 0, 2))"),1114.4603773584906)</f>
        <v>1114.460377</v>
      </c>
      <c r="T214" s="9">
        <f>IFERROR(__xludf.DUMMYFUNCTION("AVERAGE(INDEX(GOOGLEFINANCE(A214, ""price"", TODAY()-300, TODAY()), 0, 2))"),1107.6029702970293)</f>
        <v>1107.60297</v>
      </c>
      <c r="U214" s="9">
        <f t="shared" si="5"/>
        <v>0.01821791742</v>
      </c>
      <c r="V214" s="15">
        <f>IFERROR(__xludf.DUMMYFUNCTION("LET(hist, GOOGLEFINANCE(A214,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rs))))))"),68.04267161410016)</f>
        <v>68.04267161</v>
      </c>
      <c r="W214" s="16" t="str">
        <f>IFERROR(__xludf.DUMMYFUNCTION("IFERROR(GOOGLEFINANCE(A214, ""volume"") / GOOGLEFINANCE(A214, ""volumeavg""), )"),"")</f>
        <v/>
      </c>
      <c r="X214" s="9">
        <f>IFERROR(__xludf.DUMMYFUNCTION("B214 * GOOGLEFINANCE(A214, ""volume"")"),1.152145995E9)</f>
        <v>1152145995</v>
      </c>
      <c r="Y214" s="9">
        <f>IFERROR(__xludf.DUMMYFUNCTION("IFERROR(((B214 - GOOGLEFINANCE(A214, ""priceopen"")) / GOOGLEFINANCE(A214, ""priceopen"")) * GOOGLEFINANCE(A214, ""volume""), 0)"),-4299.693965517241)</f>
        <v>-4299.693966</v>
      </c>
    </row>
    <row r="215">
      <c r="A215" s="4" t="s">
        <v>1430</v>
      </c>
      <c r="B215" s="7">
        <f>IFERROR(__xludf.DUMMYFUNCTION("GOOGLEFINANCE(A215, ""price"")"),1325.0)</f>
        <v>1325</v>
      </c>
      <c r="C215" s="7">
        <f>IFERROR(__xludf.DUMMYFUNCTION("GOOGLEFINANCE(A215, ""changepct"")"),1.33)</f>
        <v>1.33</v>
      </c>
      <c r="D215" s="9">
        <f>IFERROR(__xludf.DUMMYFUNCTION("GOOGLEFINANCE(A215, ""priceopen"")"),1309.0)</f>
        <v>1309</v>
      </c>
      <c r="E215" s="9">
        <f>IFERROR(__xludf.DUMMYFUNCTION("GOOGLEFINANCE(A215, ""high"")"),1340.0)</f>
        <v>1340</v>
      </c>
      <c r="F215" s="9">
        <f>IFERROR(__xludf.DUMMYFUNCTION("GOOGLEFINANCE(A215, ""low"")"),1308.0)</f>
        <v>1308</v>
      </c>
      <c r="G215" s="9">
        <f>IFERROR(__xludf.DUMMYFUNCTION("GOOGLEFINANCE(A215, ""price"")"),1325.0)</f>
        <v>1325</v>
      </c>
      <c r="H215" s="9">
        <f>IFERROR(__xludf.DUMMYFUNCTION("MAX(INDEX(GOOGLEFINANCE(A215, ""high"", TODAY()-30, TODAY()), 0, 2))"),1340.0)</f>
        <v>1340</v>
      </c>
      <c r="I215" s="9">
        <f>IFERROR(__xludf.DUMMYFUNCTION("MIN(INDEX(GOOGLEFINANCE(A215, ""low"", TODAY()-30, TODAY()), 0, 2))"),1221.0)</f>
        <v>1221</v>
      </c>
      <c r="J215" s="9">
        <f>IFERROR(__xludf.DUMMYFUNCTION("GOOGLEFINANCE(A215, ""high52"")"),1654.0)</f>
        <v>1654</v>
      </c>
      <c r="K215" s="9">
        <f>IFERROR(__xludf.DUMMYFUNCTION("GOOGLEFINANCE(A215, ""low52"")"),1086.0)</f>
        <v>1086</v>
      </c>
      <c r="L215" s="9">
        <f t="shared" si="1"/>
        <v>0.1989117291</v>
      </c>
      <c r="M215" s="9">
        <f t="shared" si="2"/>
        <v>0.2200736648</v>
      </c>
      <c r="N215" s="9">
        <f t="shared" si="3"/>
        <v>0.0244648318</v>
      </c>
      <c r="O215" s="9">
        <f t="shared" si="4"/>
        <v>0.8739495798</v>
      </c>
      <c r="P215" s="9">
        <f>IFERROR(__xludf.DUMMYFUNCTION("GOOGLEFINANCE(A215, ""pe"")"),115.52)</f>
        <v>115.52</v>
      </c>
      <c r="Q215" s="9">
        <f>IFERROR(__xludf.DUMMYFUNCTION("IFERROR(GOOGLEFINANCE(A215, ""volume"") / GOOGLEFINANCE(A215, ""volumeavg""), 0)"),0.0)</f>
        <v>0</v>
      </c>
      <c r="R215" s="9">
        <f>IFERROR(__xludf.DUMMYFUNCTION("AVERAGE(INDEX(GOOGLEFINANCE(A215, ""price"", TODAY()-30, TODAY()), 0, 2))"),1271.3608695652174)</f>
        <v>1271.36087</v>
      </c>
      <c r="S215" s="9">
        <f>IFERROR(__xludf.DUMMYFUNCTION("AVERAGE(INDEX(GOOGLEFINANCE(A215, ""price"", TODAY()-75, TODAY()), 0, 2))"),1284.8490566037738)</f>
        <v>1284.849057</v>
      </c>
      <c r="T215" s="9">
        <f>IFERROR(__xludf.DUMMYFUNCTION("AVERAGE(INDEX(GOOGLEFINANCE(A215, ""price"", TODAY()-300, TODAY()), 0, 2))"),1367.3376237623756)</f>
        <v>1367.337624</v>
      </c>
      <c r="U215" s="9">
        <f t="shared" si="5"/>
        <v>0.0421903267</v>
      </c>
      <c r="V215" s="15">
        <f>IFERROR(__xludf.DUMMYFUNCTION("LET(hist, GOOGLEFINANCE(A215,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rs))))))"),73.28066914498142)</f>
        <v>73.28066914</v>
      </c>
      <c r="W215" s="16" t="str">
        <f>IFERROR(__xludf.DUMMYFUNCTION("IFERROR(GOOGLEFINANCE(A215, ""volume"") / GOOGLEFINANCE(A215, ""volumeavg""), )"),"")</f>
        <v/>
      </c>
      <c r="X215" s="9">
        <f>IFERROR(__xludf.DUMMYFUNCTION("B215 * GOOGLEFINANCE(A215, ""volume"")"),1.6959046E9)</f>
        <v>1695904600</v>
      </c>
      <c r="Y215" s="9">
        <f>IFERROR(__xludf.DUMMYFUNCTION("IFERROR(((B215 - GOOGLEFINANCE(A215, ""priceopen"")) / GOOGLEFINANCE(A215, ""priceopen"")) * GOOGLEFINANCE(A215, ""volume""), 0)"),15644.650878533232)</f>
        <v>15644.65088</v>
      </c>
    </row>
    <row r="216">
      <c r="A216" s="4" t="s">
        <v>1436</v>
      </c>
      <c r="B216" s="7">
        <f>IFERROR(__xludf.DUMMYFUNCTION("GOOGLEFINANCE(A216, ""price"")"),557.0)</f>
        <v>557</v>
      </c>
      <c r="C216" s="7">
        <f>IFERROR(__xludf.DUMMYFUNCTION("GOOGLEFINANCE(A216, ""changepct"")"),-2.87)</f>
        <v>-2.87</v>
      </c>
      <c r="D216" s="9">
        <f>IFERROR(__xludf.DUMMYFUNCTION("GOOGLEFINANCE(A216, ""priceopen"")"),560.05)</f>
        <v>560.05</v>
      </c>
      <c r="E216" s="9">
        <f>IFERROR(__xludf.DUMMYFUNCTION("GOOGLEFINANCE(A216, ""high"")"),567.8)</f>
        <v>567.8</v>
      </c>
      <c r="F216" s="9">
        <f>IFERROR(__xludf.DUMMYFUNCTION("GOOGLEFINANCE(A216, ""low"")"),547.15)</f>
        <v>547.15</v>
      </c>
      <c r="G216" s="9">
        <f>IFERROR(__xludf.DUMMYFUNCTION("GOOGLEFINANCE(A216, ""price"")"),557.0)</f>
        <v>557</v>
      </c>
      <c r="H216" s="9">
        <f>IFERROR(__xludf.DUMMYFUNCTION("MAX(INDEX(GOOGLEFINANCE(A216, ""high"", TODAY()-30, TODAY()), 0, 2))"),607.7)</f>
        <v>607.7</v>
      </c>
      <c r="I216" s="9">
        <f>IFERROR(__xludf.DUMMYFUNCTION("MIN(INDEX(GOOGLEFINANCE(A216, ""low"", TODAY()-30, TODAY()), 0, 2))"),498.55)</f>
        <v>498.55</v>
      </c>
      <c r="J216" s="9">
        <f>IFERROR(__xludf.DUMMYFUNCTION("GOOGLEFINANCE(A216, ""high52"")"),829.68)</f>
        <v>829.68</v>
      </c>
      <c r="K216" s="9">
        <f>IFERROR(__xludf.DUMMYFUNCTION("GOOGLEFINANCE(A216, ""low52"")"),400.0)</f>
        <v>400</v>
      </c>
      <c r="L216" s="9">
        <f t="shared" si="1"/>
        <v>0.3286568315</v>
      </c>
      <c r="M216" s="9">
        <f t="shared" si="2"/>
        <v>0.3925</v>
      </c>
      <c r="N216" s="9">
        <f t="shared" si="3"/>
        <v>0.03774102166</v>
      </c>
      <c r="O216" s="9">
        <f t="shared" si="4"/>
        <v>0.5355016033</v>
      </c>
      <c r="P216" s="9">
        <f>IFERROR(__xludf.DUMMYFUNCTION("GOOGLEFINANCE(A216, ""pe"")"),22.5)</f>
        <v>22.5</v>
      </c>
      <c r="Q216" s="9">
        <f>IFERROR(__xludf.DUMMYFUNCTION("IFERROR(GOOGLEFINANCE(A216, ""volume"") / GOOGLEFINANCE(A216, ""volumeavg""), 0)"),0.0)</f>
        <v>0</v>
      </c>
      <c r="R216" s="9">
        <f>IFERROR(__xludf.DUMMYFUNCTION("AVERAGE(INDEX(GOOGLEFINANCE(A216, ""price"", TODAY()-30, TODAY()), 0, 2))"),551.2543478260869)</f>
        <v>551.2543478</v>
      </c>
      <c r="S216" s="9">
        <f>IFERROR(__xludf.DUMMYFUNCTION("AVERAGE(INDEX(GOOGLEFINANCE(A216, ""price"", TODAY()-75, TODAY()), 0, 2))"),526.0886792452831)</f>
        <v>526.0886792</v>
      </c>
      <c r="T216" s="9">
        <f>IFERROR(__xludf.DUMMYFUNCTION("AVERAGE(INDEX(GOOGLEFINANCE(A216, ""price"", TODAY()-300, TODAY()), 0, 2))"),524.2616336633663)</f>
        <v>524.2616337</v>
      </c>
      <c r="U216" s="9">
        <f t="shared" si="5"/>
        <v>0.01042286958</v>
      </c>
      <c r="V216" s="15">
        <f>IFERROR(__xludf.DUMMYFUNCTION("LET(hist, GOOGLEFINANCE(A216,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rs))))))"),54.60462089163682)</f>
        <v>54.60462089</v>
      </c>
      <c r="W216" s="16" t="str">
        <f>IFERROR(__xludf.DUMMYFUNCTION("IFERROR(GOOGLEFINANCE(A216, ""volume"") / GOOGLEFINANCE(A216, ""volumeavg""), )"),"")</f>
        <v/>
      </c>
      <c r="X216" s="9">
        <f>IFERROR(__xludf.DUMMYFUNCTION("B216 * GOOGLEFINANCE(A216, ""volume"")"),1.61209725E8)</f>
        <v>161209725</v>
      </c>
      <c r="Y216" s="9">
        <f>IFERROR(__xludf.DUMMYFUNCTION("IFERROR(((B216 - GOOGLEFINANCE(A216, ""priceopen"")) / GOOGLEFINANCE(A216, ""priceopen"")) * GOOGLEFINANCE(A216, ""volume""), 0)"),-1576.1918578698096)</f>
        <v>-1576.191858</v>
      </c>
    </row>
    <row r="217">
      <c r="A217" s="4" t="s">
        <v>1442</v>
      </c>
      <c r="B217" s="7">
        <f>IFERROR(__xludf.DUMMYFUNCTION("GOOGLEFINANCE(A217, ""price"")"),880.0)</f>
        <v>880</v>
      </c>
      <c r="C217" s="7">
        <f>IFERROR(__xludf.DUMMYFUNCTION("GOOGLEFINANCE(A217, ""changepct"")"),-1.31)</f>
        <v>-1.31</v>
      </c>
      <c r="D217" s="9">
        <f>IFERROR(__xludf.DUMMYFUNCTION("GOOGLEFINANCE(A217, ""priceopen"")"),898.0)</f>
        <v>898</v>
      </c>
      <c r="E217" s="9">
        <f>IFERROR(__xludf.DUMMYFUNCTION("GOOGLEFINANCE(A217, ""high"")"),898.0)</f>
        <v>898</v>
      </c>
      <c r="F217" s="9">
        <f>IFERROR(__xludf.DUMMYFUNCTION("GOOGLEFINANCE(A217, ""low"")"),875.65)</f>
        <v>875.65</v>
      </c>
      <c r="G217" s="9">
        <f>IFERROR(__xludf.DUMMYFUNCTION("GOOGLEFINANCE(A217, ""price"")"),880.0)</f>
        <v>880</v>
      </c>
      <c r="H217" s="9">
        <f>IFERROR(__xludf.DUMMYFUNCTION("MAX(INDEX(GOOGLEFINANCE(A217, ""high"", TODAY()-30, TODAY()), 0, 2))"),899.9)</f>
        <v>899.9</v>
      </c>
      <c r="I217" s="9">
        <f>IFERROR(__xludf.DUMMYFUNCTION("MIN(INDEX(GOOGLEFINANCE(A217, ""low"", TODAY()-30, TODAY()), 0, 2))"),732.0)</f>
        <v>732</v>
      </c>
      <c r="J217" s="9">
        <f>IFERROR(__xludf.DUMMYFUNCTION("GOOGLEFINANCE(A217, ""high52"")"),899.9)</f>
        <v>899.9</v>
      </c>
      <c r="K217" s="9">
        <f>IFERROR(__xludf.DUMMYFUNCTION("GOOGLEFINANCE(A217, ""low52"")"),579.15)</f>
        <v>579.15</v>
      </c>
      <c r="L217" s="9">
        <f t="shared" si="1"/>
        <v>0.02211356817</v>
      </c>
      <c r="M217" s="9">
        <f t="shared" si="2"/>
        <v>0.5194681861</v>
      </c>
      <c r="N217" s="9">
        <f t="shared" si="3"/>
        <v>0.02552389653</v>
      </c>
      <c r="O217" s="9">
        <f t="shared" si="4"/>
        <v>0.8814770697</v>
      </c>
      <c r="P217" s="9">
        <f>IFERROR(__xludf.DUMMYFUNCTION("GOOGLEFINANCE(A217, ""pe"")"),86.49)</f>
        <v>86.49</v>
      </c>
      <c r="Q217" s="9">
        <f>IFERROR(__xludf.DUMMYFUNCTION("IFERROR(GOOGLEFINANCE(A217, ""volume"") / GOOGLEFINANCE(A217, ""volumeavg""), 0)"),0.0)</f>
        <v>0</v>
      </c>
      <c r="R217" s="9">
        <f>IFERROR(__xludf.DUMMYFUNCTION("AVERAGE(INDEX(GOOGLEFINANCE(A217, ""price"", TODAY()-30, TODAY()), 0, 2))"),800.7217391304349)</f>
        <v>800.7217391</v>
      </c>
      <c r="S217" s="9">
        <f>IFERROR(__xludf.DUMMYFUNCTION("AVERAGE(INDEX(GOOGLEFINANCE(A217, ""price"", TODAY()-75, TODAY()), 0, 2))"),782.0764150943398)</f>
        <v>782.0764151</v>
      </c>
      <c r="T217" s="9">
        <f>IFERROR(__xludf.DUMMYFUNCTION("AVERAGE(INDEX(GOOGLEFINANCE(A217, ""price"", TODAY()-300, TODAY()), 0, 2))"),710.9853960396041)</f>
        <v>710.985396</v>
      </c>
      <c r="U217" s="9">
        <f t="shared" si="5"/>
        <v>0.0990085032</v>
      </c>
      <c r="V217" s="15">
        <f>IFERROR(__xludf.DUMMYFUNCTION("LET(hist, GOOGLEFINANCE(A217,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rs))))))"),76.64988073151336)</f>
        <v>76.64988073</v>
      </c>
      <c r="W217" s="16" t="str">
        <f>IFERROR(__xludf.DUMMYFUNCTION("IFERROR(GOOGLEFINANCE(A217, ""volume"") / GOOGLEFINANCE(A217, ""volumeavg""), )"),"")</f>
        <v/>
      </c>
      <c r="X217" s="9">
        <f>IFERROR(__xludf.DUMMYFUNCTION("B217 * GOOGLEFINANCE(A217, ""volume"")"),3.7472952E8)</f>
        <v>374729520</v>
      </c>
      <c r="Y217" s="9">
        <f>IFERROR(__xludf.DUMMYFUNCTION("IFERROR(((B217 - GOOGLEFINANCE(A217, ""priceopen"")) / GOOGLEFINANCE(A217, ""priceopen"")) * GOOGLEFINANCE(A217, ""volume""), 0)"),-8535.547884187083)</f>
        <v>-8535.547884</v>
      </c>
    </row>
    <row r="218">
      <c r="A218" s="4" t="s">
        <v>1449</v>
      </c>
      <c r="B218" s="7">
        <f>IFERROR(__xludf.DUMMYFUNCTION("GOOGLEFINANCE(A218, ""price"")"),38015.0)</f>
        <v>38015</v>
      </c>
      <c r="C218" s="7">
        <f>IFERROR(__xludf.DUMMYFUNCTION("GOOGLEFINANCE(A218, ""changepct"")"),-1.11)</f>
        <v>-1.11</v>
      </c>
      <c r="D218" s="9">
        <f>IFERROR(__xludf.DUMMYFUNCTION("GOOGLEFINANCE(A218, ""priceopen"")"),38440.0)</f>
        <v>38440</v>
      </c>
      <c r="E218" s="9">
        <f>IFERROR(__xludf.DUMMYFUNCTION("GOOGLEFINANCE(A218, ""high"")"),38610.0)</f>
        <v>38610</v>
      </c>
      <c r="F218" s="9">
        <f>IFERROR(__xludf.DUMMYFUNCTION("GOOGLEFINANCE(A218, ""low"")"),37695.0)</f>
        <v>37695</v>
      </c>
      <c r="G218" s="9">
        <f>IFERROR(__xludf.DUMMYFUNCTION("GOOGLEFINANCE(A218, ""price"")"),38015.0)</f>
        <v>38015</v>
      </c>
      <c r="H218" s="9">
        <f>IFERROR(__xludf.DUMMYFUNCTION("MAX(INDEX(GOOGLEFINANCE(A218, ""high"", TODAY()-30, TODAY()), 0, 2))"),41590.0)</f>
        <v>41590</v>
      </c>
      <c r="I218" s="9">
        <f>IFERROR(__xludf.DUMMYFUNCTION("MIN(INDEX(GOOGLEFINANCE(A218, ""low"", TODAY()-30, TODAY()), 0, 2))"),37695.0)</f>
        <v>37695</v>
      </c>
      <c r="J218" s="9">
        <f>IFERROR(__xludf.DUMMYFUNCTION("GOOGLEFINANCE(A218, ""high52"")"),47310.0)</f>
        <v>47310</v>
      </c>
      <c r="K218" s="9">
        <f>IFERROR(__xludf.DUMMYFUNCTION("GOOGLEFINANCE(A218, ""low52"")"),29805.0)</f>
        <v>29805</v>
      </c>
      <c r="L218" s="9">
        <f t="shared" si="1"/>
        <v>0.1964700909</v>
      </c>
      <c r="M218" s="9">
        <f t="shared" si="2"/>
        <v>0.2754571381</v>
      </c>
      <c r="N218" s="9">
        <f t="shared" si="3"/>
        <v>0.02427377636</v>
      </c>
      <c r="O218" s="9">
        <f t="shared" si="4"/>
        <v>0.08215661104</v>
      </c>
      <c r="P218" s="9">
        <f>IFERROR(__xludf.DUMMYFUNCTION("GOOGLEFINANCE(A218, ""pe"")"),55.51)</f>
        <v>55.51</v>
      </c>
      <c r="Q218" s="9">
        <f>IFERROR(__xludf.DUMMYFUNCTION("IFERROR(GOOGLEFINANCE(A218, ""volume"") / GOOGLEFINANCE(A218, ""volumeavg""), 0)"),0.0)</f>
        <v>0</v>
      </c>
      <c r="R218" s="9">
        <f>IFERROR(__xludf.DUMMYFUNCTION("AVERAGE(INDEX(GOOGLEFINANCE(A218, ""price"", TODAY()-30, TODAY()), 0, 2))"),39988.913043478264)</f>
        <v>39988.91304</v>
      </c>
      <c r="S218" s="9">
        <f>IFERROR(__xludf.DUMMYFUNCTION("AVERAGE(INDEX(GOOGLEFINANCE(A218, ""price"", TODAY()-75, TODAY()), 0, 2))"),39899.622641509435)</f>
        <v>39899.62264</v>
      </c>
      <c r="T218" s="9">
        <f>IFERROR(__xludf.DUMMYFUNCTION("AVERAGE(INDEX(GOOGLEFINANCE(A218, ""price"", TODAY()-300, TODAY()), 0, 2))"),37021.63366336634)</f>
        <v>37021.63366</v>
      </c>
      <c r="U218" s="9">
        <f t="shared" si="5"/>
        <v>-0.04936150781</v>
      </c>
      <c r="V218" s="15">
        <f>IFERROR(__xludf.DUMMYFUNCTION("LET(hist, GOOGLEFINANCE(A218,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rs))))))"),32.44444444444444)</f>
        <v>32.44444444</v>
      </c>
      <c r="W218" s="16" t="str">
        <f>IFERROR(__xludf.DUMMYFUNCTION("IFERROR(GOOGLEFINANCE(A218, ""volume"") / GOOGLEFINANCE(A218, ""volumeavg""), )"),"")</f>
        <v/>
      </c>
      <c r="X218" s="9">
        <f>IFERROR(__xludf.DUMMYFUNCTION("B218 * GOOGLEFINANCE(A218, ""volume"")"),6.5682317E8)</f>
        <v>656823170</v>
      </c>
      <c r="Y218" s="9">
        <f>IFERROR(__xludf.DUMMYFUNCTION("IFERROR(((B218 - GOOGLEFINANCE(A218, ""priceopen"")) / GOOGLEFINANCE(A218, ""priceopen"")) * GOOGLEFINANCE(A218, ""volume""), 0)"),-191.02887617065556)</f>
        <v>-191.0288762</v>
      </c>
    </row>
    <row r="219">
      <c r="A219" s="4" t="s">
        <v>1456</v>
      </c>
      <c r="B219" s="7">
        <f>IFERROR(__xludf.DUMMYFUNCTION("GOOGLEFINANCE(A219, ""price"")"),2615.0)</f>
        <v>2615</v>
      </c>
      <c r="C219" s="7">
        <f>IFERROR(__xludf.DUMMYFUNCTION("GOOGLEFINANCE(A219, ""changepct"")"),0.5)</f>
        <v>0.5</v>
      </c>
      <c r="D219" s="9">
        <f>IFERROR(__xludf.DUMMYFUNCTION("GOOGLEFINANCE(A219, ""priceopen"")"),2601.0)</f>
        <v>2601</v>
      </c>
      <c r="E219" s="9">
        <f>IFERROR(__xludf.DUMMYFUNCTION("GOOGLEFINANCE(A219, ""high"")"),2624.9)</f>
        <v>2624.9</v>
      </c>
      <c r="F219" s="9">
        <f>IFERROR(__xludf.DUMMYFUNCTION("GOOGLEFINANCE(A219, ""low"")"),2579.5)</f>
        <v>2579.5</v>
      </c>
      <c r="G219" s="9">
        <f>IFERROR(__xludf.DUMMYFUNCTION("GOOGLEFINANCE(A219, ""price"")"),2615.0)</f>
        <v>2615</v>
      </c>
      <c r="H219" s="9">
        <f>IFERROR(__xludf.DUMMYFUNCTION("MAX(INDEX(GOOGLEFINANCE(A219, ""high"", TODAY()-30, TODAY()), 0, 2))"),2684.0)</f>
        <v>2684</v>
      </c>
      <c r="I219" s="9">
        <f>IFERROR(__xludf.DUMMYFUNCTION("MIN(INDEX(GOOGLEFINANCE(A219, ""low"", TODAY()-30, TODAY()), 0, 2))"),2406.3)</f>
        <v>2406.3</v>
      </c>
      <c r="J219" s="9">
        <f>IFERROR(__xludf.DUMMYFUNCTION("GOOGLEFINANCE(A219, ""high52"")"),2883.4)</f>
        <v>2883.4</v>
      </c>
      <c r="K219" s="9">
        <f>IFERROR(__xludf.DUMMYFUNCTION("GOOGLEFINANCE(A219, ""low52"")"),2088.1)</f>
        <v>2088.1</v>
      </c>
      <c r="L219" s="9">
        <f t="shared" si="1"/>
        <v>0.09308455296</v>
      </c>
      <c r="M219" s="9">
        <f t="shared" si="2"/>
        <v>0.2523346583</v>
      </c>
      <c r="N219" s="9">
        <f t="shared" si="3"/>
        <v>0.01760031014</v>
      </c>
      <c r="O219" s="9">
        <f t="shared" si="4"/>
        <v>0.7515304285</v>
      </c>
      <c r="P219" s="9">
        <f>IFERROR(__xludf.DUMMYFUNCTION("GOOGLEFINANCE(A219, ""pe"")"),41.47)</f>
        <v>41.47</v>
      </c>
      <c r="Q219" s="9">
        <f>IFERROR(__xludf.DUMMYFUNCTION("IFERROR(GOOGLEFINANCE(A219, ""volume"") / GOOGLEFINANCE(A219, ""volumeavg""), 0)"),0.0)</f>
        <v>0</v>
      </c>
      <c r="R219" s="9">
        <f>IFERROR(__xludf.DUMMYFUNCTION("AVERAGE(INDEX(GOOGLEFINANCE(A219, ""price"", TODAY()-30, TODAY()), 0, 2))"),2558.1782608695653)</f>
        <v>2558.178261</v>
      </c>
      <c r="S219" s="9">
        <f>IFERROR(__xludf.DUMMYFUNCTION("AVERAGE(INDEX(GOOGLEFINANCE(A219, ""price"", TODAY()-75, TODAY()), 0, 2))"),2405.9358490566037)</f>
        <v>2405.935849</v>
      </c>
      <c r="T219" s="9">
        <f>IFERROR(__xludf.DUMMYFUNCTION("AVERAGE(INDEX(GOOGLEFINANCE(A219, ""price"", TODAY()-300, TODAY()), 0, 2))"),2459.425247524753)</f>
        <v>2459.425248</v>
      </c>
      <c r="U219" s="9">
        <f t="shared" si="5"/>
        <v>0.02221179814</v>
      </c>
      <c r="V219" s="15">
        <f>IFERROR(__xludf.DUMMYFUNCTION("LET(hist, GOOGLEFINANCE(A219,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rs))))))"),67.67363071710892)</f>
        <v>67.67363072</v>
      </c>
      <c r="W219" s="16" t="str">
        <f>IFERROR(__xludf.DUMMYFUNCTION("IFERROR(GOOGLEFINANCE(A219, ""volume"") / GOOGLEFINANCE(A219, ""volumeavg""), )"),"")</f>
        <v/>
      </c>
      <c r="X219" s="9">
        <f>IFERROR(__xludf.DUMMYFUNCTION("B219 * GOOGLEFINANCE(A219, ""volume"")"),1.6923757E8)</f>
        <v>169237570</v>
      </c>
      <c r="Y219" s="9">
        <f>IFERROR(__xludf.DUMMYFUNCTION("IFERROR(((B219 - GOOGLEFINANCE(A219, ""priceopen"")) / GOOGLEFINANCE(A219, ""priceopen"")) * GOOGLEFINANCE(A219, ""volume""), 0)"),348.34755863129567)</f>
        <v>348.3475586</v>
      </c>
    </row>
    <row r="220">
      <c r="A220" s="4" t="s">
        <v>1463</v>
      </c>
      <c r="B220" s="7">
        <f>IFERROR(__xludf.DUMMYFUNCTION("GOOGLEFINANCE(A220, ""price"")"),1263.0)</f>
        <v>1263</v>
      </c>
      <c r="C220" s="7">
        <f>IFERROR(__xludf.DUMMYFUNCTION("GOOGLEFINANCE(A220, ""changepct"")"),-2.67)</f>
        <v>-2.67</v>
      </c>
      <c r="D220" s="9">
        <f>IFERROR(__xludf.DUMMYFUNCTION("GOOGLEFINANCE(A220, ""priceopen"")"),1297.1)</f>
        <v>1297.1</v>
      </c>
      <c r="E220" s="9">
        <f>IFERROR(__xludf.DUMMYFUNCTION("GOOGLEFINANCE(A220, ""high"")"),1322.9)</f>
        <v>1322.9</v>
      </c>
      <c r="F220" s="9">
        <f>IFERROR(__xludf.DUMMYFUNCTION("GOOGLEFINANCE(A220, ""low"")"),1257.6)</f>
        <v>1257.6</v>
      </c>
      <c r="G220" s="9">
        <f>IFERROR(__xludf.DUMMYFUNCTION("GOOGLEFINANCE(A220, ""price"")"),1263.0)</f>
        <v>1263</v>
      </c>
      <c r="H220" s="9">
        <f>IFERROR(__xludf.DUMMYFUNCTION("MAX(INDEX(GOOGLEFINANCE(A220, ""high"", TODAY()-30, TODAY()), 0, 2))"),1497.8)</f>
        <v>1497.8</v>
      </c>
      <c r="I220" s="9">
        <f>IFERROR(__xludf.DUMMYFUNCTION("MIN(INDEX(GOOGLEFINANCE(A220, ""low"", TODAY()-30, TODAY()), 0, 2))"),1164.4)</f>
        <v>1164.4</v>
      </c>
      <c r="J220" s="9">
        <f>IFERROR(__xludf.DUMMYFUNCTION("GOOGLEFINANCE(A220, ""high52"")"),1497.8)</f>
        <v>1497.8</v>
      </c>
      <c r="K220" s="9">
        <f>IFERROR(__xludf.DUMMYFUNCTION("GOOGLEFINANCE(A220, ""low52"")"),576.1)</f>
        <v>576.1</v>
      </c>
      <c r="L220" s="9">
        <f t="shared" si="1"/>
        <v>0.1567632528</v>
      </c>
      <c r="M220" s="9">
        <f t="shared" si="2"/>
        <v>1.192327721</v>
      </c>
      <c r="N220" s="9">
        <f t="shared" si="3"/>
        <v>0.05192430025</v>
      </c>
      <c r="O220" s="9">
        <f t="shared" si="4"/>
        <v>0.2957408518</v>
      </c>
      <c r="P220" s="9" t="str">
        <f>IFERROR(__xludf.DUMMYFUNCTION("GOOGLEFINANCE(A220, ""pe"")"),"#N/A")</f>
        <v>#N/A</v>
      </c>
      <c r="Q220" s="9">
        <f>IFERROR(__xludf.DUMMYFUNCTION("IFERROR(GOOGLEFINANCE(A220, ""volume"") / GOOGLEFINANCE(A220, ""volumeavg""), 0)"),0.0)</f>
        <v>0</v>
      </c>
      <c r="R220" s="9">
        <f>IFERROR(__xludf.DUMMYFUNCTION("AVERAGE(INDEX(GOOGLEFINANCE(A220, ""price"", TODAY()-30, TODAY()), 0, 2))"),1323.2260869565214)</f>
        <v>1323.226087</v>
      </c>
      <c r="S220" s="9">
        <f>IFERROR(__xludf.DUMMYFUNCTION("AVERAGE(INDEX(GOOGLEFINANCE(A220, ""price"", TODAY()-75, TODAY()), 0, 2))"),1157.347169811321)</f>
        <v>1157.34717</v>
      </c>
      <c r="T220" s="9">
        <f>IFERROR(__xludf.DUMMYFUNCTION("AVERAGE(INDEX(GOOGLEFINANCE(A220, ""price"", TODAY()-300, TODAY()), 0, 2))"),827.2653465346531)</f>
        <v>827.2653465</v>
      </c>
      <c r="U220" s="9">
        <f t="shared" si="5"/>
        <v>-0.04551458556</v>
      </c>
      <c r="V220" s="15">
        <f>IFERROR(__xludf.DUMMYFUNCTION("LET(hist, GOOGLEFINANCE(A220,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rs))))))"),39.36863543788185)</f>
        <v>39.36863544</v>
      </c>
      <c r="W220" s="16" t="str">
        <f>IFERROR(__xludf.DUMMYFUNCTION("IFERROR(GOOGLEFINANCE(A220, ""volume"") / GOOGLEFINANCE(A220, ""volumeavg""), )"),"")</f>
        <v/>
      </c>
      <c r="X220" s="9">
        <f>IFERROR(__xludf.DUMMYFUNCTION("B220 * GOOGLEFINANCE(A220, ""volume"")"),1.056123126E9)</f>
        <v>1056123126</v>
      </c>
      <c r="Y220" s="9">
        <f>IFERROR(__xludf.DUMMYFUNCTION("IFERROR(((B220 - GOOGLEFINANCE(A220, ""priceopen"")) / GOOGLEFINANCE(A220, ""priceopen"")) * GOOGLEFINANCE(A220, ""volume""), 0)"),-21983.261275152207)</f>
        <v>-21983.26128</v>
      </c>
    </row>
    <row r="221">
      <c r="A221" s="4" t="s">
        <v>1469</v>
      </c>
      <c r="B221" s="7">
        <f>IFERROR(__xludf.DUMMYFUNCTION("GOOGLEFINANCE(A221, ""price"")"),2502.0)</f>
        <v>2502</v>
      </c>
      <c r="C221" s="7">
        <f>IFERROR(__xludf.DUMMYFUNCTION("GOOGLEFINANCE(A221, ""changepct"")"),-1.11)</f>
        <v>-1.11</v>
      </c>
      <c r="D221" s="9">
        <f>IFERROR(__xludf.DUMMYFUNCTION("GOOGLEFINANCE(A221, ""priceopen"")"),2536.0)</f>
        <v>2536</v>
      </c>
      <c r="E221" s="9">
        <f>IFERROR(__xludf.DUMMYFUNCTION("GOOGLEFINANCE(A221, ""high"")"),2540.1)</f>
        <v>2540.1</v>
      </c>
      <c r="F221" s="9">
        <f>IFERROR(__xludf.DUMMYFUNCTION("GOOGLEFINANCE(A221, ""low"")"),2472.0)</f>
        <v>2472</v>
      </c>
      <c r="G221" s="9">
        <f>IFERROR(__xludf.DUMMYFUNCTION("GOOGLEFINANCE(A221, ""price"")"),2502.0)</f>
        <v>2502</v>
      </c>
      <c r="H221" s="9">
        <f>IFERROR(__xludf.DUMMYFUNCTION("MAX(INDEX(GOOGLEFINANCE(A221, ""high"", TODAY()-30, TODAY()), 0, 2))"),2540.8)</f>
        <v>2540.8</v>
      </c>
      <c r="I221" s="9">
        <f>IFERROR(__xludf.DUMMYFUNCTION("MIN(INDEX(GOOGLEFINANCE(A221, ""low"", TODAY()-30, TODAY()), 0, 2))"),2192.1)</f>
        <v>2192.1</v>
      </c>
      <c r="J221" s="9">
        <f>IFERROR(__xludf.DUMMYFUNCTION("GOOGLEFINANCE(A221, ""high52"")"),3037.2)</f>
        <v>3037.2</v>
      </c>
      <c r="K221" s="9">
        <f>IFERROR(__xludf.DUMMYFUNCTION("GOOGLEFINANCE(A221, ""low52"")"),2013.0)</f>
        <v>2013</v>
      </c>
      <c r="L221" s="9">
        <f t="shared" si="1"/>
        <v>0.1762149348</v>
      </c>
      <c r="M221" s="9">
        <f t="shared" si="2"/>
        <v>0.2429210134</v>
      </c>
      <c r="N221" s="9">
        <f t="shared" si="3"/>
        <v>0.02754854369</v>
      </c>
      <c r="O221" s="9">
        <f t="shared" si="4"/>
        <v>0.888729567</v>
      </c>
      <c r="P221" s="9">
        <f>IFERROR(__xludf.DUMMYFUNCTION("GOOGLEFINANCE(A221, ""pe"")"),25.02)</f>
        <v>25.02</v>
      </c>
      <c r="Q221" s="9">
        <f>IFERROR(__xludf.DUMMYFUNCTION("IFERROR(GOOGLEFINANCE(A221, ""volume"") / GOOGLEFINANCE(A221, ""volumeavg""), 0)"),0.0)</f>
        <v>0</v>
      </c>
      <c r="R221" s="9">
        <f>IFERROR(__xludf.DUMMYFUNCTION("AVERAGE(INDEX(GOOGLEFINANCE(A221, ""price"", TODAY()-30, TODAY()), 0, 2))"),2390.169565217391)</f>
        <v>2390.169565</v>
      </c>
      <c r="S221" s="9">
        <f>IFERROR(__xludf.DUMMYFUNCTION("AVERAGE(INDEX(GOOGLEFINANCE(A221, ""price"", TODAY()-75, TODAY()), 0, 2))"),2331.584905660377)</f>
        <v>2331.584906</v>
      </c>
      <c r="T221" s="9">
        <f>IFERROR(__xludf.DUMMYFUNCTION("AVERAGE(INDEX(GOOGLEFINANCE(A221, ""price"", TODAY()-300, TODAY()), 0, 2))"),2489.6925742574253)</f>
        <v>2489.692574</v>
      </c>
      <c r="U221" s="9">
        <f t="shared" si="5"/>
        <v>0.04678765742</v>
      </c>
      <c r="V221" s="15">
        <f>IFERROR(__xludf.DUMMYFUNCTION("LET(hist, GOOGLEFINANCE(A221,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rs))))))"),74.54165326471536)</f>
        <v>74.54165326</v>
      </c>
      <c r="W221" s="16" t="str">
        <f>IFERROR(__xludf.DUMMYFUNCTION("IFERROR(GOOGLEFINANCE(A221, ""volume"") / GOOGLEFINANCE(A221, ""volumeavg""), )"),"")</f>
        <v/>
      </c>
      <c r="X221" s="9">
        <f>IFERROR(__xludf.DUMMYFUNCTION("B221 * GOOGLEFINANCE(A221, ""volume"")"),9.17743608E8)</f>
        <v>917743608</v>
      </c>
      <c r="Y221" s="9">
        <f>IFERROR(__xludf.DUMMYFUNCTION("IFERROR(((B221 - GOOGLEFINANCE(A221, ""priceopen"")) / GOOGLEFINANCE(A221, ""priceopen"")) * GOOGLEFINANCE(A221, ""volume""), 0)"),-4917.719242902208)</f>
        <v>-4917.719243</v>
      </c>
    </row>
    <row r="222">
      <c r="A222" s="4" t="s">
        <v>1474</v>
      </c>
      <c r="B222" s="7">
        <f>IFERROR(__xludf.DUMMYFUNCTION("GOOGLEFINANCE(A222, ""price"")"),1231.8)</f>
        <v>1231.8</v>
      </c>
      <c r="C222" s="7">
        <f>IFERROR(__xludf.DUMMYFUNCTION("GOOGLEFINANCE(A222, ""changepct"")"),-4.5)</f>
        <v>-4.5</v>
      </c>
      <c r="D222" s="9">
        <f>IFERROR(__xludf.DUMMYFUNCTION("GOOGLEFINANCE(A222, ""priceopen"")"),1304.8)</f>
        <v>1304.8</v>
      </c>
      <c r="E222" s="9">
        <f>IFERROR(__xludf.DUMMYFUNCTION("GOOGLEFINANCE(A222, ""high"")"),1305.0)</f>
        <v>1305</v>
      </c>
      <c r="F222" s="9">
        <f>IFERROR(__xludf.DUMMYFUNCTION("GOOGLEFINANCE(A222, ""low"")"),1219.1)</f>
        <v>1219.1</v>
      </c>
      <c r="G222" s="9">
        <f>IFERROR(__xludf.DUMMYFUNCTION("GOOGLEFINANCE(A222, ""price"")"),1231.8)</f>
        <v>1231.8</v>
      </c>
      <c r="H222" s="9">
        <f>IFERROR(__xludf.DUMMYFUNCTION("MAX(INDEX(GOOGLEFINANCE(A222, ""high"", TODAY()-30, TODAY()), 0, 2))"),1404.4)</f>
        <v>1404.4</v>
      </c>
      <c r="I222" s="9">
        <f>IFERROR(__xludf.DUMMYFUNCTION("MIN(INDEX(GOOGLEFINANCE(A222, ""low"", TODAY()-30, TODAY()), 0, 2))"),1219.1)</f>
        <v>1219.1</v>
      </c>
      <c r="J222" s="9">
        <f>IFERROR(__xludf.DUMMYFUNCTION("GOOGLEFINANCE(A222, ""high52"")"),1443.0)</f>
        <v>1443</v>
      </c>
      <c r="K222" s="9">
        <f>IFERROR(__xludf.DUMMYFUNCTION("GOOGLEFINANCE(A222, ""low52"")"),744.2)</f>
        <v>744.2</v>
      </c>
      <c r="L222" s="9">
        <f t="shared" si="1"/>
        <v>0.1463617464</v>
      </c>
      <c r="M222" s="9">
        <f t="shared" si="2"/>
        <v>0.655200215</v>
      </c>
      <c r="N222" s="9">
        <f t="shared" si="3"/>
        <v>0.07046181609</v>
      </c>
      <c r="O222" s="9">
        <f t="shared" si="4"/>
        <v>0.06853750675</v>
      </c>
      <c r="P222" s="9">
        <f>IFERROR(__xludf.DUMMYFUNCTION("GOOGLEFINANCE(A222, ""pe"")"),33.45)</f>
        <v>33.45</v>
      </c>
      <c r="Q222" s="9">
        <f>IFERROR(__xludf.DUMMYFUNCTION("IFERROR(GOOGLEFINANCE(A222, ""volume"") / GOOGLEFINANCE(A222, ""volumeavg""), 0)"),0.0)</f>
        <v>0</v>
      </c>
      <c r="R222" s="9">
        <f>IFERROR(__xludf.DUMMYFUNCTION("AVERAGE(INDEX(GOOGLEFINANCE(A222, ""price"", TODAY()-30, TODAY()), 0, 2))"),1326.6391304347826)</f>
        <v>1326.63913</v>
      </c>
      <c r="S222" s="9">
        <f>IFERROR(__xludf.DUMMYFUNCTION("AVERAGE(INDEX(GOOGLEFINANCE(A222, ""price"", TODAY()-75, TODAY()), 0, 2))"),1212.5886792452832)</f>
        <v>1212.588679</v>
      </c>
      <c r="T222" s="9">
        <f>IFERROR(__xludf.DUMMYFUNCTION("AVERAGE(INDEX(GOOGLEFINANCE(A222, ""price"", TODAY()-300, TODAY()), 0, 2))"),1058.8051980198022)</f>
        <v>1058.805198</v>
      </c>
      <c r="U222" s="9">
        <f t="shared" si="5"/>
        <v>-0.07148826554</v>
      </c>
      <c r="V222" s="15">
        <f>IFERROR(__xludf.DUMMYFUNCTION("LET(hist, GOOGLEFINANCE(A222,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rs))))))"),26.610169491525482)</f>
        <v>26.61016949</v>
      </c>
      <c r="W222" s="16" t="str">
        <f>IFERROR(__xludf.DUMMYFUNCTION("IFERROR(GOOGLEFINANCE(A222, ""volume"") / GOOGLEFINANCE(A222, ""volumeavg""), )"),"")</f>
        <v/>
      </c>
      <c r="X222" s="9">
        <f>IFERROR(__xludf.DUMMYFUNCTION("B222 * GOOGLEFINANCE(A222, ""volume"")"),1.430415432E8)</f>
        <v>143041543.2</v>
      </c>
      <c r="Y222" s="9">
        <f>IFERROR(__xludf.DUMMYFUNCTION("IFERROR(((B222 - GOOGLEFINANCE(A222, ""priceopen"")) / GOOGLEFINANCE(A222, ""priceopen"")) * GOOGLEFINANCE(A222, ""volume""), 0)"),-6496.820968730841)</f>
        <v>-6496.820969</v>
      </c>
    </row>
    <row r="223">
      <c r="A223" s="4" t="s">
        <v>1478</v>
      </c>
      <c r="B223" s="7">
        <f>IFERROR(__xludf.DUMMYFUNCTION("GOOGLEFINANCE(A223, ""price"")"),1769.0)</f>
        <v>1769</v>
      </c>
      <c r="C223" s="7">
        <f>IFERROR(__xludf.DUMMYFUNCTION("GOOGLEFINANCE(A223, ""changepct"")"),1.18)</f>
        <v>1.18</v>
      </c>
      <c r="D223" s="9">
        <f>IFERROR(__xludf.DUMMYFUNCTION("GOOGLEFINANCE(A223, ""priceopen"")"),1758.5)</f>
        <v>1758.5</v>
      </c>
      <c r="E223" s="9">
        <f>IFERROR(__xludf.DUMMYFUNCTION("GOOGLEFINANCE(A223, ""high"")"),1784.4)</f>
        <v>1784.4</v>
      </c>
      <c r="F223" s="9">
        <f>IFERROR(__xludf.DUMMYFUNCTION("GOOGLEFINANCE(A223, ""low"")"),1744.0)</f>
        <v>1744</v>
      </c>
      <c r="G223" s="9">
        <f>IFERROR(__xludf.DUMMYFUNCTION("GOOGLEFINANCE(A223, ""price"")"),1769.0)</f>
        <v>1769</v>
      </c>
      <c r="H223" s="9">
        <f>IFERROR(__xludf.DUMMYFUNCTION("MAX(INDEX(GOOGLEFINANCE(A223, ""high"", TODAY()-30, TODAY()), 0, 2))"),1944.9)</f>
        <v>1944.9</v>
      </c>
      <c r="I223" s="9">
        <f>IFERROR(__xludf.DUMMYFUNCTION("MIN(INDEX(GOOGLEFINANCE(A223, ""low"", TODAY()-30, TODAY()), 0, 2))"),1674.4)</f>
        <v>1674.4</v>
      </c>
      <c r="J223" s="9">
        <f>IFERROR(__xludf.DUMMYFUNCTION("GOOGLEFINANCE(A223, ""high52"")"),1944.9)</f>
        <v>1944.9</v>
      </c>
      <c r="K223" s="9">
        <f>IFERROR(__xludf.DUMMYFUNCTION("GOOGLEFINANCE(A223, ""low52"")"),1251.6)</f>
        <v>1251.6</v>
      </c>
      <c r="L223" s="9">
        <f t="shared" si="1"/>
        <v>0.09044166795</v>
      </c>
      <c r="M223" s="9">
        <f t="shared" si="2"/>
        <v>0.4133908597</v>
      </c>
      <c r="N223" s="9">
        <f t="shared" si="3"/>
        <v>0.02316513761</v>
      </c>
      <c r="O223" s="9">
        <f t="shared" si="4"/>
        <v>0.3497227357</v>
      </c>
      <c r="P223" s="9">
        <f>IFERROR(__xludf.DUMMYFUNCTION("GOOGLEFINANCE(A223, ""pe"")"),39.33)</f>
        <v>39.33</v>
      </c>
      <c r="Q223" s="9">
        <f>IFERROR(__xludf.DUMMYFUNCTION("IFERROR(GOOGLEFINANCE(A223, ""volume"") / GOOGLEFINANCE(A223, ""volumeavg""), 0)"),0.0)</f>
        <v>0</v>
      </c>
      <c r="R223" s="9">
        <f>IFERROR(__xludf.DUMMYFUNCTION("AVERAGE(INDEX(GOOGLEFINANCE(A223, ""price"", TODAY()-30, TODAY()), 0, 2))"),1782.4478260869566)</f>
        <v>1782.447826</v>
      </c>
      <c r="S223" s="9">
        <f>IFERROR(__xludf.DUMMYFUNCTION("AVERAGE(INDEX(GOOGLEFINANCE(A223, ""price"", TODAY()-75, TODAY()), 0, 2))"),1700.650943396227)</f>
        <v>1700.650943</v>
      </c>
      <c r="T223" s="9">
        <f>IFERROR(__xludf.DUMMYFUNCTION("AVERAGE(INDEX(GOOGLEFINANCE(A223, ""price"", TODAY()-300, TODAY()), 0, 2))"),1527.1846534653462)</f>
        <v>1527.184653</v>
      </c>
      <c r="U223" s="9">
        <f t="shared" si="5"/>
        <v>-0.007544583292</v>
      </c>
      <c r="V223" s="15">
        <f>IFERROR(__xludf.DUMMYFUNCTION("LET(hist, GOOGLEFINANCE(A223,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rs))))))"),49.36569222283506)</f>
        <v>49.36569222</v>
      </c>
      <c r="W223" s="16" t="str">
        <f>IFERROR(__xludf.DUMMYFUNCTION("IFERROR(GOOGLEFINANCE(A223, ""volume"") / GOOGLEFINANCE(A223, ""volumeavg""), )"),"")</f>
        <v/>
      </c>
      <c r="X223" s="9">
        <f>IFERROR(__xludf.DUMMYFUNCTION("B223 * GOOGLEFINANCE(A223, ""volume"")"),2.63848119E8)</f>
        <v>263848119</v>
      </c>
      <c r="Y223" s="9">
        <f>IFERROR(__xludf.DUMMYFUNCTION("IFERROR(((B223 - GOOGLEFINANCE(A223, ""priceopen"")) / GOOGLEFINANCE(A223, ""priceopen"")) * GOOGLEFINANCE(A223, ""volume""), 0)"),890.580324139892)</f>
        <v>890.5803241</v>
      </c>
    </row>
    <row r="224">
      <c r="A224" s="4" t="s">
        <v>1484</v>
      </c>
      <c r="B224" s="7">
        <f>IFERROR(__xludf.DUMMYFUNCTION("GOOGLEFINANCE(A224, ""price"")"),3440.0)</f>
        <v>3440</v>
      </c>
      <c r="C224" s="7">
        <f>IFERROR(__xludf.DUMMYFUNCTION("GOOGLEFINANCE(A224, ""changepct"")"),0.15)</f>
        <v>0.15</v>
      </c>
      <c r="D224" s="9">
        <f>IFERROR(__xludf.DUMMYFUNCTION("GOOGLEFINANCE(A224, ""priceopen"")"),3419.1)</f>
        <v>3419.1</v>
      </c>
      <c r="E224" s="9">
        <f>IFERROR(__xludf.DUMMYFUNCTION("GOOGLEFINANCE(A224, ""high"")"),3459.9)</f>
        <v>3459.9</v>
      </c>
      <c r="F224" s="9">
        <f>IFERROR(__xludf.DUMMYFUNCTION("GOOGLEFINANCE(A224, ""low"")"),3383.0)</f>
        <v>3383</v>
      </c>
      <c r="G224" s="9">
        <f>IFERROR(__xludf.DUMMYFUNCTION("GOOGLEFINANCE(A224, ""price"")"),3440.0)</f>
        <v>3440</v>
      </c>
      <c r="H224" s="9">
        <f>IFERROR(__xludf.DUMMYFUNCTION("MAX(INDEX(GOOGLEFINANCE(A224, ""high"", TODAY()-30, TODAY()), 0, 2))"),3568.0)</f>
        <v>3568</v>
      </c>
      <c r="I224" s="9">
        <f>IFERROR(__xludf.DUMMYFUNCTION("MIN(INDEX(GOOGLEFINANCE(A224, ""low"", TODAY()-30, TODAY()), 0, 2))"),3275.1)</f>
        <v>3275.1</v>
      </c>
      <c r="J224" s="9">
        <f>IFERROR(__xludf.DUMMYFUNCTION("GOOGLEFINANCE(A224, ""high52"")"),4664.9)</f>
        <v>4664.9</v>
      </c>
      <c r="K224" s="9">
        <f>IFERROR(__xludf.DUMMYFUNCTION("GOOGLEFINANCE(A224, ""low52"")"),3140.0)</f>
        <v>3140</v>
      </c>
      <c r="L224" s="9">
        <f t="shared" si="1"/>
        <v>0.2625779759</v>
      </c>
      <c r="M224" s="9">
        <f t="shared" si="2"/>
        <v>0.09554140127</v>
      </c>
      <c r="N224" s="9">
        <f t="shared" si="3"/>
        <v>0.02273130358</v>
      </c>
      <c r="O224" s="9">
        <f t="shared" si="4"/>
        <v>0.5629907818</v>
      </c>
      <c r="P224" s="9">
        <f>IFERROR(__xludf.DUMMYFUNCTION("GOOGLEFINANCE(A224, ""pe"")"),42.33)</f>
        <v>42.33</v>
      </c>
      <c r="Q224" s="9">
        <f>IFERROR(__xludf.DUMMYFUNCTION("IFERROR(GOOGLEFINANCE(A224, ""volume"") / GOOGLEFINANCE(A224, ""volumeavg""), 0)"),0.0)</f>
        <v>0</v>
      </c>
      <c r="R224" s="9">
        <f>IFERROR(__xludf.DUMMYFUNCTION("AVERAGE(INDEX(GOOGLEFINANCE(A224, ""price"", TODAY()-30, TODAY()), 0, 2))"),3446.9347826086955)</f>
        <v>3446.934783</v>
      </c>
      <c r="S224" s="9">
        <f>IFERROR(__xludf.DUMMYFUNCTION("AVERAGE(INDEX(GOOGLEFINANCE(A224, ""price"", TODAY()-75, TODAY()), 0, 2))"),3436.6566037735843)</f>
        <v>3436.656604</v>
      </c>
      <c r="T224" s="9">
        <f>IFERROR(__xludf.DUMMYFUNCTION("AVERAGE(INDEX(GOOGLEFINANCE(A224, ""price"", TODAY()-300, TODAY()), 0, 2))"),3604.401980198021)</f>
        <v>3604.40198</v>
      </c>
      <c r="U224" s="9">
        <f t="shared" si="5"/>
        <v>-0.002011869399</v>
      </c>
      <c r="V224" s="15">
        <f>IFERROR(__xludf.DUMMYFUNCTION("LET(hist, GOOGLEFINANCE(A224,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rs))))))"),53.290381960423375)</f>
        <v>53.29038196</v>
      </c>
      <c r="W224" s="16" t="str">
        <f>IFERROR(__xludf.DUMMYFUNCTION("IFERROR(GOOGLEFINANCE(A224, ""volume"") / GOOGLEFINANCE(A224, ""volumeavg""), )"),"")</f>
        <v/>
      </c>
      <c r="X224" s="9">
        <f>IFERROR(__xludf.DUMMYFUNCTION("B224 * GOOGLEFINANCE(A224, ""volume"")"),3.5241768E8)</f>
        <v>352417680</v>
      </c>
      <c r="Y224" s="9">
        <f>IFERROR(__xludf.DUMMYFUNCTION("IFERROR(((B224 - GOOGLEFINANCE(A224, ""priceopen"")) / GOOGLEFINANCE(A224, ""priceopen"")) * GOOGLEFINANCE(A224, ""volume""), 0)"),626.2297973150856)</f>
        <v>626.2297973</v>
      </c>
    </row>
    <row r="225">
      <c r="A225" s="4" t="s">
        <v>1490</v>
      </c>
      <c r="B225" s="7">
        <f>IFERROR(__xludf.DUMMYFUNCTION("GOOGLEFINANCE(A225, ""price"")"),1285.9)</f>
        <v>1285.9</v>
      </c>
      <c r="C225" s="7">
        <f>IFERROR(__xludf.DUMMYFUNCTION("GOOGLEFINANCE(A225, ""changepct"")"),0.46)</f>
        <v>0.46</v>
      </c>
      <c r="D225" s="9">
        <f>IFERROR(__xludf.DUMMYFUNCTION("GOOGLEFINANCE(A225, ""priceopen"")"),1280.0)</f>
        <v>1280</v>
      </c>
      <c r="E225" s="9">
        <f>IFERROR(__xludf.DUMMYFUNCTION("GOOGLEFINANCE(A225, ""high"")"),1290.0)</f>
        <v>1290</v>
      </c>
      <c r="F225" s="9">
        <f>IFERROR(__xludf.DUMMYFUNCTION("GOOGLEFINANCE(A225, ""low"")"),1266.1)</f>
        <v>1266.1</v>
      </c>
      <c r="G225" s="9">
        <f>IFERROR(__xludf.DUMMYFUNCTION("GOOGLEFINANCE(A225, ""price"")"),1285.9)</f>
        <v>1285.9</v>
      </c>
      <c r="H225" s="9">
        <f>IFERROR(__xludf.DUMMYFUNCTION("MAX(INDEX(GOOGLEFINANCE(A225, ""high"", TODAY()-30, TODAY()), 0, 2))"),1403.0)</f>
        <v>1403</v>
      </c>
      <c r="I225" s="9">
        <f>IFERROR(__xludf.DUMMYFUNCTION("MIN(INDEX(GOOGLEFINANCE(A225, ""low"", TODAY()-30, TODAY()), 0, 2))"),1265.8)</f>
        <v>1265.8</v>
      </c>
      <c r="J225" s="9">
        <f>IFERROR(__xludf.DUMMYFUNCTION("GOOGLEFINANCE(A225, ""high52"")"),1582.5)</f>
        <v>1582.5</v>
      </c>
      <c r="K225" s="9">
        <f>IFERROR(__xludf.DUMMYFUNCTION("GOOGLEFINANCE(A225, ""low52"")"),1186.8)</f>
        <v>1186.8</v>
      </c>
      <c r="L225" s="9">
        <f t="shared" si="1"/>
        <v>0.1874249605</v>
      </c>
      <c r="M225" s="9">
        <f t="shared" si="2"/>
        <v>0.08350185372</v>
      </c>
      <c r="N225" s="9">
        <f t="shared" si="3"/>
        <v>0.01887686597</v>
      </c>
      <c r="O225" s="9">
        <f t="shared" si="4"/>
        <v>0.1465014577</v>
      </c>
      <c r="P225" s="9">
        <f>IFERROR(__xludf.DUMMYFUNCTION("GOOGLEFINANCE(A225, ""pe"")"),113.2)</f>
        <v>113.2</v>
      </c>
      <c r="Q225" s="9">
        <f>IFERROR(__xludf.DUMMYFUNCTION("IFERROR(GOOGLEFINANCE(A225, ""volume"") / GOOGLEFINANCE(A225, ""volumeavg""), 0)"),0.0)</f>
        <v>0</v>
      </c>
      <c r="R225" s="9">
        <f>IFERROR(__xludf.DUMMYFUNCTION("AVERAGE(INDEX(GOOGLEFINANCE(A225, ""price"", TODAY()-30, TODAY()), 0, 2))"),1322.6478260869567)</f>
        <v>1322.647826</v>
      </c>
      <c r="S225" s="9">
        <f>IFERROR(__xludf.DUMMYFUNCTION("AVERAGE(INDEX(GOOGLEFINANCE(A225, ""price"", TODAY()-75, TODAY()), 0, 2))"),1305.6188679245283)</f>
        <v>1305.618868</v>
      </c>
      <c r="T225" s="9">
        <f>IFERROR(__xludf.DUMMYFUNCTION("AVERAGE(INDEX(GOOGLEFINANCE(A225, ""price"", TODAY()-300, TODAY()), 0, 2))"),1368.0188118811884)</f>
        <v>1368.018812</v>
      </c>
      <c r="U225" s="9">
        <f t="shared" si="5"/>
        <v>-0.0277835304</v>
      </c>
      <c r="V225" s="15">
        <f>IFERROR(__xludf.DUMMYFUNCTION("LET(hist, GOOGLEFINANCE(A225,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rs))))))"),44.00948991696322)</f>
        <v>44.00948992</v>
      </c>
      <c r="W225" s="16" t="str">
        <f>IFERROR(__xludf.DUMMYFUNCTION("IFERROR(GOOGLEFINANCE(A225, ""volume"") / GOOGLEFINANCE(A225, ""volumeavg""), )"),"")</f>
        <v/>
      </c>
      <c r="X225" s="9">
        <f>IFERROR(__xludf.DUMMYFUNCTION("B225 * GOOGLEFINANCE(A225, ""volume"")"),1.275034145E9)</f>
        <v>1275034145</v>
      </c>
      <c r="Y225" s="9">
        <f>IFERROR(__xludf.DUMMYFUNCTION("IFERROR(((B225 - GOOGLEFINANCE(A225, ""priceopen"")) / GOOGLEFINANCE(A225, ""priceopen"")) * GOOGLEFINANCE(A225, ""volume""), 0)"),4570.42578125007)</f>
        <v>4570.425781</v>
      </c>
    </row>
    <row r="226">
      <c r="A226" s="4" t="s">
        <v>1497</v>
      </c>
      <c r="B226" s="7">
        <f>IFERROR(__xludf.DUMMYFUNCTION("GOOGLEFINANCE(A226, ""price"")"),1863.0)</f>
        <v>1863</v>
      </c>
      <c r="C226" s="7">
        <f>IFERROR(__xludf.DUMMYFUNCTION("GOOGLEFINANCE(A226, ""changepct"")"),1.42)</f>
        <v>1.42</v>
      </c>
      <c r="D226" s="9">
        <f>IFERROR(__xludf.DUMMYFUNCTION("GOOGLEFINANCE(A226, ""priceopen"")"),1844.4)</f>
        <v>1844.4</v>
      </c>
      <c r="E226" s="9">
        <f>IFERROR(__xludf.DUMMYFUNCTION("GOOGLEFINANCE(A226, ""high"")"),1873.0)</f>
        <v>1873</v>
      </c>
      <c r="F226" s="9">
        <f>IFERROR(__xludf.DUMMYFUNCTION("GOOGLEFINANCE(A226, ""low"")"),1840.0)</f>
        <v>1840</v>
      </c>
      <c r="G226" s="9">
        <f>IFERROR(__xludf.DUMMYFUNCTION("GOOGLEFINANCE(A226, ""price"")"),1863.0)</f>
        <v>1863</v>
      </c>
      <c r="H226" s="9">
        <f>IFERROR(__xludf.DUMMYFUNCTION("MAX(INDEX(GOOGLEFINANCE(A226, ""high"", TODAY()-30, TODAY()), 0, 2))"),1873.0)</f>
        <v>1873</v>
      </c>
      <c r="I226" s="9">
        <f>IFERROR(__xludf.DUMMYFUNCTION("MIN(INDEX(GOOGLEFINANCE(A226, ""low"", TODAY()-30, TODAY()), 0, 2))"),1566.2)</f>
        <v>1566.2</v>
      </c>
      <c r="J226" s="9">
        <f>IFERROR(__xludf.DUMMYFUNCTION("GOOGLEFINANCE(A226, ""high52"")"),1873.0)</f>
        <v>1873</v>
      </c>
      <c r="K226" s="9">
        <f>IFERROR(__xludf.DUMMYFUNCTION("GOOGLEFINANCE(A226, ""low52"")"),710.0)</f>
        <v>710</v>
      </c>
      <c r="L226" s="9">
        <f t="shared" si="1"/>
        <v>0.005339028297</v>
      </c>
      <c r="M226" s="9">
        <f t="shared" si="2"/>
        <v>1.623943662</v>
      </c>
      <c r="N226" s="9">
        <f t="shared" si="3"/>
        <v>0.01793478261</v>
      </c>
      <c r="O226" s="9">
        <f t="shared" si="4"/>
        <v>0.9674054759</v>
      </c>
      <c r="P226" s="9">
        <f>IFERROR(__xludf.DUMMYFUNCTION("GOOGLEFINANCE(A226, ""pe"")"),21.29)</f>
        <v>21.29</v>
      </c>
      <c r="Q226" s="9">
        <f>IFERROR(__xludf.DUMMYFUNCTION("IFERROR(GOOGLEFINANCE(A226, ""volume"") / GOOGLEFINANCE(A226, ""volumeavg""), 0)"),0.0)</f>
        <v>0</v>
      </c>
      <c r="R226" s="9">
        <f>IFERROR(__xludf.DUMMYFUNCTION("AVERAGE(INDEX(GOOGLEFINANCE(A226, ""price"", TODAY()-30, TODAY()), 0, 2))"),1696.2173913043475)</f>
        <v>1696.217391</v>
      </c>
      <c r="S226" s="9">
        <f>IFERROR(__xludf.DUMMYFUNCTION("AVERAGE(INDEX(GOOGLEFINANCE(A226, ""price"", TODAY()-75, TODAY()), 0, 2))"),1551.0735849056614)</f>
        <v>1551.073585</v>
      </c>
      <c r="T226" s="9">
        <f>IFERROR(__xludf.DUMMYFUNCTION("AVERAGE(INDEX(GOOGLEFINANCE(A226, ""price"", TODAY()-300, TODAY()), 0, 2))"),1079.7584158415832)</f>
        <v>1079.758416</v>
      </c>
      <c r="U226" s="9">
        <f t="shared" si="5"/>
        <v>0.09832619896</v>
      </c>
      <c r="V226" s="15">
        <f>IFERROR(__xludf.DUMMYFUNCTION("LET(hist, GOOGLEFINANCE(A226,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rs))))))"),81.64431197218084)</f>
        <v>81.64431197</v>
      </c>
      <c r="W226" s="16" t="str">
        <f>IFERROR(__xludf.DUMMYFUNCTION("IFERROR(GOOGLEFINANCE(A226, ""volume"") / GOOGLEFINANCE(A226, ""volumeavg""), )"),"")</f>
        <v/>
      </c>
      <c r="X226" s="9">
        <f>IFERROR(__xludf.DUMMYFUNCTION("B226 * GOOGLEFINANCE(A226, ""volume"")"),1.087632441E9)</f>
        <v>1087632441</v>
      </c>
      <c r="Y226" s="9">
        <f>IFERROR(__xludf.DUMMYFUNCTION("IFERROR(((B226 - GOOGLEFINANCE(A226, ""priceopen"")) / GOOGLEFINANCE(A226, ""priceopen"")) * GOOGLEFINANCE(A226, ""volume""), 0)"),5887.448601171083)</f>
        <v>5887.448601</v>
      </c>
    </row>
    <row r="227">
      <c r="A227" s="4" t="s">
        <v>1504</v>
      </c>
      <c r="B227" s="7">
        <f>IFERROR(__xludf.DUMMYFUNCTION("GOOGLEFINANCE(A227, ""price"")"),3545.6)</f>
        <v>3545.6</v>
      </c>
      <c r="C227" s="7">
        <f>IFERROR(__xludf.DUMMYFUNCTION("GOOGLEFINANCE(A227, ""changepct"")"),1.1)</f>
        <v>1.1</v>
      </c>
      <c r="D227" s="9">
        <f>IFERROR(__xludf.DUMMYFUNCTION("GOOGLEFINANCE(A227, ""priceopen"")"),3500.0)</f>
        <v>3500</v>
      </c>
      <c r="E227" s="9">
        <f>IFERROR(__xludf.DUMMYFUNCTION("GOOGLEFINANCE(A227, ""high"")"),3555.0)</f>
        <v>3555</v>
      </c>
      <c r="F227" s="9">
        <f>IFERROR(__xludf.DUMMYFUNCTION("GOOGLEFINANCE(A227, ""low"")"),3485.0)</f>
        <v>3485</v>
      </c>
      <c r="G227" s="9">
        <f>IFERROR(__xludf.DUMMYFUNCTION("GOOGLEFINANCE(A227, ""price"")"),3545.6)</f>
        <v>3545.6</v>
      </c>
      <c r="H227" s="9">
        <f>IFERROR(__xludf.DUMMYFUNCTION("MAX(INDEX(GOOGLEFINANCE(A227, ""high"", TODAY()-30, TODAY()), 0, 2))"),3598.8)</f>
        <v>3598.8</v>
      </c>
      <c r="I227" s="9">
        <f>IFERROR(__xludf.DUMMYFUNCTION("MIN(INDEX(GOOGLEFINANCE(A227, ""low"", TODAY()-30, TODAY()), 0, 2))"),3301.0)</f>
        <v>3301</v>
      </c>
      <c r="J227" s="9">
        <f>IFERROR(__xludf.DUMMYFUNCTION("GOOGLEFINANCE(A227, ""high52"")"),3598.8)</f>
        <v>3598.8</v>
      </c>
      <c r="K227" s="9">
        <f>IFERROR(__xludf.DUMMYFUNCTION("GOOGLEFINANCE(A227, ""low52"")"),2329.9)</f>
        <v>2329.9</v>
      </c>
      <c r="L227" s="9">
        <f t="shared" si="1"/>
        <v>0.01478270535</v>
      </c>
      <c r="M227" s="9">
        <f t="shared" si="2"/>
        <v>0.5217820507</v>
      </c>
      <c r="N227" s="9">
        <f t="shared" si="3"/>
        <v>0.02008608321</v>
      </c>
      <c r="O227" s="9">
        <f t="shared" si="4"/>
        <v>0.8213566152</v>
      </c>
      <c r="P227" s="9">
        <f>IFERROR(__xludf.DUMMYFUNCTION("GOOGLEFINANCE(A227, ""pe"")"),39.03)</f>
        <v>39.03</v>
      </c>
      <c r="Q227" s="9">
        <f>IFERROR(__xludf.DUMMYFUNCTION("IFERROR(GOOGLEFINANCE(A227, ""volume"") / GOOGLEFINANCE(A227, ""volumeavg""), 0)"),0.0)</f>
        <v>0</v>
      </c>
      <c r="R227" s="9">
        <f>IFERROR(__xludf.DUMMYFUNCTION("AVERAGE(INDEX(GOOGLEFINANCE(A227, ""price"", TODAY()-30, TODAY()), 0, 2))"),3455.9173913043483)</f>
        <v>3455.917391</v>
      </c>
      <c r="S227" s="9">
        <f>IFERROR(__xludf.DUMMYFUNCTION("AVERAGE(INDEX(GOOGLEFINANCE(A227, ""price"", TODAY()-75, TODAY()), 0, 2))"),3284.1773584905663)</f>
        <v>3284.177358</v>
      </c>
      <c r="T227" s="9">
        <f>IFERROR(__xludf.DUMMYFUNCTION("AVERAGE(INDEX(GOOGLEFINANCE(A227, ""price"", TODAY()-300, TODAY()), 0, 2))"),2913.831683168317)</f>
        <v>2913.831683</v>
      </c>
      <c r="U227" s="9">
        <f t="shared" si="5"/>
        <v>0.0259504492</v>
      </c>
      <c r="V227" s="15">
        <f>IFERROR(__xludf.DUMMYFUNCTION("LET(hist, GOOGLEFINANCE(A227,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rs))))))"),60.01982160555005)</f>
        <v>60.01982161</v>
      </c>
      <c r="W227" s="16" t="str">
        <f>IFERROR(__xludf.DUMMYFUNCTION("IFERROR(GOOGLEFINANCE(A227, ""volume"") / GOOGLEFINANCE(A227, ""volumeavg""), )"),"")</f>
        <v/>
      </c>
      <c r="X227" s="9">
        <f>IFERROR(__xludf.DUMMYFUNCTION("B227 * GOOGLEFINANCE(A227, ""volume"")"),2.9409333759999996E8)</f>
        <v>294093337.6</v>
      </c>
      <c r="Y227" s="9">
        <f>IFERROR(__xludf.DUMMYFUNCTION("IFERROR(((B227 - GOOGLEFINANCE(A227, ""priceopen"")) / GOOGLEFINANCE(A227, ""priceopen"")) * GOOGLEFINANCE(A227, ""volume""), 0)"),1080.6678857142836)</f>
        <v>1080.667886</v>
      </c>
    </row>
    <row r="228">
      <c r="A228" s="4" t="s">
        <v>1510</v>
      </c>
      <c r="B228" s="7">
        <f>IFERROR(__xludf.DUMMYFUNCTION("GOOGLEFINANCE(A228, ""price"")"),4565.0)</f>
        <v>4565</v>
      </c>
      <c r="C228" s="7">
        <f>IFERROR(__xludf.DUMMYFUNCTION("GOOGLEFINANCE(A228, ""changepct"")"),-4.53)</f>
        <v>-4.53</v>
      </c>
      <c r="D228" s="9">
        <f>IFERROR(__xludf.DUMMYFUNCTION("GOOGLEFINANCE(A228, ""priceopen"")"),4786.0)</f>
        <v>4786</v>
      </c>
      <c r="E228" s="9">
        <f>IFERROR(__xludf.DUMMYFUNCTION("GOOGLEFINANCE(A228, ""high"")"),4824.4)</f>
        <v>4824.4</v>
      </c>
      <c r="F228" s="9">
        <f>IFERROR(__xludf.DUMMYFUNCTION("GOOGLEFINANCE(A228, ""low"")"),4490.2)</f>
        <v>4490.2</v>
      </c>
      <c r="G228" s="9">
        <f>IFERROR(__xludf.DUMMYFUNCTION("GOOGLEFINANCE(A228, ""price"")"),4565.0)</f>
        <v>4565</v>
      </c>
      <c r="H228" s="9">
        <f>IFERROR(__xludf.DUMMYFUNCTION("MAX(INDEX(GOOGLEFINANCE(A228, ""high"", TODAY()-30, TODAY()), 0, 2))"),4912.5)</f>
        <v>4912.5</v>
      </c>
      <c r="I228" s="9">
        <f>IFERROR(__xludf.DUMMYFUNCTION("MIN(INDEX(GOOGLEFINANCE(A228, ""low"", TODAY()-30, TODAY()), 0, 2))"),4460.0)</f>
        <v>4460</v>
      </c>
      <c r="J228" s="9">
        <f>IFERROR(__xludf.DUMMYFUNCTION("GOOGLEFINANCE(A228, ""high52"")"),5180.0)</f>
        <v>5180</v>
      </c>
      <c r="K228" s="9">
        <f>IFERROR(__xludf.DUMMYFUNCTION("GOOGLEFINANCE(A228, ""low52"")"),3001.1)</f>
        <v>3001.1</v>
      </c>
      <c r="L228" s="9">
        <f t="shared" si="1"/>
        <v>0.1187258687</v>
      </c>
      <c r="M228" s="9">
        <f t="shared" si="2"/>
        <v>0.5211089267</v>
      </c>
      <c r="N228" s="9">
        <f t="shared" si="3"/>
        <v>0.07442875596</v>
      </c>
      <c r="O228" s="9">
        <f t="shared" si="4"/>
        <v>0.2320441989</v>
      </c>
      <c r="P228" s="9">
        <f>IFERROR(__xludf.DUMMYFUNCTION("GOOGLEFINANCE(A228, ""pe"")"),33.54)</f>
        <v>33.54</v>
      </c>
      <c r="Q228" s="9">
        <f>IFERROR(__xludf.DUMMYFUNCTION("IFERROR(GOOGLEFINANCE(A228, ""volume"") / GOOGLEFINANCE(A228, ""volumeavg""), 0)"),0.0)</f>
        <v>0</v>
      </c>
      <c r="R228" s="9">
        <f>IFERROR(__xludf.DUMMYFUNCTION("AVERAGE(INDEX(GOOGLEFINANCE(A228, ""price"", TODAY()-30, TODAY()), 0, 2))"),4675.565217391305)</f>
        <v>4675.565217</v>
      </c>
      <c r="S228" s="9">
        <f>IFERROR(__xludf.DUMMYFUNCTION("AVERAGE(INDEX(GOOGLEFINANCE(A228, ""price"", TODAY()-75, TODAY()), 0, 2))"),4665.760377358491)</f>
        <v>4665.760377</v>
      </c>
      <c r="T228" s="9">
        <f>IFERROR(__xludf.DUMMYFUNCTION("AVERAGE(INDEX(GOOGLEFINANCE(A228, ""price"", TODAY()-300, TODAY()), 0, 2))"),4020.6628712871284)</f>
        <v>4020.662871</v>
      </c>
      <c r="U228" s="9">
        <f t="shared" si="5"/>
        <v>-0.02364745485</v>
      </c>
      <c r="V228" s="15">
        <f>IFERROR(__xludf.DUMMYFUNCTION("LET(hist, GOOGLEFINANCE(A228,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rs))))))"),46.539995308468214)</f>
        <v>46.53999531</v>
      </c>
      <c r="W228" s="16" t="str">
        <f>IFERROR(__xludf.DUMMYFUNCTION("IFERROR(GOOGLEFINANCE(A228, ""volume"") / GOOGLEFINANCE(A228, ""volumeavg""), )"),"")</f>
        <v/>
      </c>
      <c r="X228" s="9">
        <f>IFERROR(__xludf.DUMMYFUNCTION("B228 * GOOGLEFINANCE(A228, ""volume"")"),6.85713215E8)</f>
        <v>685713215</v>
      </c>
      <c r="Y228" s="9">
        <f>IFERROR(__xludf.DUMMYFUNCTION("IFERROR(((B228 - GOOGLEFINANCE(A228, ""priceopen"")) / GOOGLEFINANCE(A228, ""priceopen"")) * GOOGLEFINANCE(A228, ""volume""), 0)"),-6936.195361470957)</f>
        <v>-6936.195361</v>
      </c>
    </row>
    <row r="229">
      <c r="A229" s="4" t="s">
        <v>1516</v>
      </c>
      <c r="B229" s="7">
        <f>IFERROR(__xludf.DUMMYFUNCTION("GOOGLEFINANCE(A229, ""price"")"),832.0)</f>
        <v>832</v>
      </c>
      <c r="C229" s="7">
        <f>IFERROR(__xludf.DUMMYFUNCTION("GOOGLEFINANCE(A229, ""changepct"")"),-2.68)</f>
        <v>-2.68</v>
      </c>
      <c r="D229" s="9">
        <f>IFERROR(__xludf.DUMMYFUNCTION("GOOGLEFINANCE(A229, ""priceopen"")"),854.95)</f>
        <v>854.95</v>
      </c>
      <c r="E229" s="9">
        <f>IFERROR(__xludf.DUMMYFUNCTION("GOOGLEFINANCE(A229, ""high"")"),861.15)</f>
        <v>861.15</v>
      </c>
      <c r="F229" s="9">
        <f>IFERROR(__xludf.DUMMYFUNCTION("GOOGLEFINANCE(A229, ""low"")"),822.5)</f>
        <v>822.5</v>
      </c>
      <c r="G229" s="9">
        <f>IFERROR(__xludf.DUMMYFUNCTION("GOOGLEFINANCE(A229, ""price"")"),832.0)</f>
        <v>832</v>
      </c>
      <c r="H229" s="9">
        <f>IFERROR(__xludf.DUMMYFUNCTION("MAX(INDEX(GOOGLEFINANCE(A229, ""high"", TODAY()-30, TODAY()), 0, 2))"),891.3)</f>
        <v>891.3</v>
      </c>
      <c r="I229" s="9">
        <f>IFERROR(__xludf.DUMMYFUNCTION("MIN(INDEX(GOOGLEFINANCE(A229, ""low"", TODAY()-30, TODAY()), 0, 2))"),770.0)</f>
        <v>770</v>
      </c>
      <c r="J229" s="9">
        <f>IFERROR(__xludf.DUMMYFUNCTION("GOOGLEFINANCE(A229, ""high52"")"),891.3)</f>
        <v>891.3</v>
      </c>
      <c r="K229" s="9">
        <f>IFERROR(__xludf.DUMMYFUNCTION("GOOGLEFINANCE(A229, ""low52"")"),519.1)</f>
        <v>519.1</v>
      </c>
      <c r="L229" s="9">
        <f t="shared" si="1"/>
        <v>0.06653203186</v>
      </c>
      <c r="M229" s="9">
        <f t="shared" si="2"/>
        <v>0.602774032</v>
      </c>
      <c r="N229" s="9">
        <f t="shared" si="3"/>
        <v>0.04699088146</v>
      </c>
      <c r="O229" s="9">
        <f t="shared" si="4"/>
        <v>0.5111294312</v>
      </c>
      <c r="P229" s="9">
        <f>IFERROR(__xludf.DUMMYFUNCTION("GOOGLEFINANCE(A229, ""pe"")"),134.85)</f>
        <v>134.85</v>
      </c>
      <c r="Q229" s="9">
        <f>IFERROR(__xludf.DUMMYFUNCTION("IFERROR(GOOGLEFINANCE(A229, ""volume"") / GOOGLEFINANCE(A229, ""volumeavg""), 0)"),0.0)</f>
        <v>0</v>
      </c>
      <c r="R229" s="9">
        <f>IFERROR(__xludf.DUMMYFUNCTION("AVERAGE(INDEX(GOOGLEFINANCE(A229, ""price"", TODAY()-30, TODAY()), 0, 2))"),822.1021739130438)</f>
        <v>822.1021739</v>
      </c>
      <c r="S229" s="9">
        <f>IFERROR(__xludf.DUMMYFUNCTION("AVERAGE(INDEX(GOOGLEFINANCE(A229, ""price"", TODAY()-75, TODAY()), 0, 2))"),796.5462264150943)</f>
        <v>796.5462264</v>
      </c>
      <c r="T229" s="9">
        <f>IFERROR(__xludf.DUMMYFUNCTION("AVERAGE(INDEX(GOOGLEFINANCE(A229, ""price"", TODAY()-300, TODAY()), 0, 2))"),692.1210396039608)</f>
        <v>692.1210396</v>
      </c>
      <c r="U229" s="9">
        <f t="shared" si="5"/>
        <v>0.01203965444</v>
      </c>
      <c r="V229" s="15">
        <f>IFERROR(__xludf.DUMMYFUNCTION("LET(hist, GOOGLEFINANCE(A229,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rs))))))"),64.56456456456459)</f>
        <v>64.56456456</v>
      </c>
      <c r="W229" s="16" t="str">
        <f>IFERROR(__xludf.DUMMYFUNCTION("IFERROR(GOOGLEFINANCE(A229, ""volume"") / GOOGLEFINANCE(A229, ""volumeavg""), )"),"")</f>
        <v/>
      </c>
      <c r="X229" s="9">
        <f>IFERROR(__xludf.DUMMYFUNCTION("B229 * GOOGLEFINANCE(A229, ""volume"")"),6.55515328E8)</f>
        <v>655515328</v>
      </c>
      <c r="Y229" s="9">
        <f>IFERROR(__xludf.DUMMYFUNCTION("IFERROR(((B229 - GOOGLEFINANCE(A229, ""priceopen"")) / GOOGLEFINANCE(A229, ""priceopen"")) * GOOGLEFINANCE(A229, ""volume""), 0)"),-21149.567869466093)</f>
        <v>-21149.56787</v>
      </c>
    </row>
    <row r="230">
      <c r="A230" s="4" t="s">
        <v>1522</v>
      </c>
      <c r="B230" s="7">
        <f>IFERROR(__xludf.DUMMYFUNCTION("GOOGLEFINANCE(A230, ""price"")"),279.4)</f>
        <v>279.4</v>
      </c>
      <c r="C230" s="7">
        <f>IFERROR(__xludf.DUMMYFUNCTION("GOOGLEFINANCE(A230, ""changepct"")"),0.87)</f>
        <v>0.87</v>
      </c>
      <c r="D230" s="9">
        <f>IFERROR(__xludf.DUMMYFUNCTION("GOOGLEFINANCE(A230, ""priceopen"")"),277.0)</f>
        <v>277</v>
      </c>
      <c r="E230" s="9">
        <f>IFERROR(__xludf.DUMMYFUNCTION("GOOGLEFINANCE(A230, ""high"")"),281.9)</f>
        <v>281.9</v>
      </c>
      <c r="F230" s="9">
        <f>IFERROR(__xludf.DUMMYFUNCTION("GOOGLEFINANCE(A230, ""low"")"),277.0)</f>
        <v>277</v>
      </c>
      <c r="G230" s="9">
        <f>IFERROR(__xludf.DUMMYFUNCTION("GOOGLEFINANCE(A230, ""price"")"),279.4)</f>
        <v>279.4</v>
      </c>
      <c r="H230" s="9">
        <f>IFERROR(__xludf.DUMMYFUNCTION("MAX(INDEX(GOOGLEFINANCE(A230, ""high"", TODAY()-30, TODAY()), 0, 2))"),285.0)</f>
        <v>285</v>
      </c>
      <c r="I230" s="9">
        <f>IFERROR(__xludf.DUMMYFUNCTION("MIN(INDEX(GOOGLEFINANCE(A230, ""low"", TODAY()-30, TODAY()), 0, 2))"),267.35)</f>
        <v>267.35</v>
      </c>
      <c r="J230" s="9">
        <f>IFERROR(__xludf.DUMMYFUNCTION("GOOGLEFINANCE(A230, ""high52"")"),326.4)</f>
        <v>326.4</v>
      </c>
      <c r="K230" s="9">
        <f>IFERROR(__xludf.DUMMYFUNCTION("GOOGLEFINANCE(A230, ""low52"")"),235.35)</f>
        <v>235.35</v>
      </c>
      <c r="L230" s="9">
        <f t="shared" si="1"/>
        <v>0.143995098</v>
      </c>
      <c r="M230" s="9">
        <f t="shared" si="2"/>
        <v>0.1871680476</v>
      </c>
      <c r="N230" s="9">
        <f t="shared" si="3"/>
        <v>0.01768953069</v>
      </c>
      <c r="O230" s="9">
        <f t="shared" si="4"/>
        <v>0.6827195467</v>
      </c>
      <c r="P230" s="9">
        <f>IFERROR(__xludf.DUMMYFUNCTION("GOOGLEFINANCE(A230, ""pe"")"),10.71)</f>
        <v>10.71</v>
      </c>
      <c r="Q230" s="9">
        <f>IFERROR(__xludf.DUMMYFUNCTION("IFERROR(GOOGLEFINANCE(A230, ""volume"") / GOOGLEFINANCE(A230, ""volumeavg""), 0)"),0.0)</f>
        <v>0</v>
      </c>
      <c r="R230" s="9">
        <f>IFERROR(__xludf.DUMMYFUNCTION("AVERAGE(INDEX(GOOGLEFINANCE(A230, ""price"", TODAY()-30, TODAY()), 0, 2))"),277.8739130434783)</f>
        <v>277.873913</v>
      </c>
      <c r="S230" s="9">
        <f>IFERROR(__xludf.DUMMYFUNCTION("AVERAGE(INDEX(GOOGLEFINANCE(A230, ""price"", TODAY()-75, TODAY()), 0, 2))"),277.62924528301886)</f>
        <v>277.6292453</v>
      </c>
      <c r="T230" s="9">
        <f>IFERROR(__xludf.DUMMYFUNCTION("AVERAGE(INDEX(GOOGLEFINANCE(A230, ""price"", TODAY()-300, TODAY()), 0, 2))"),279.18841584158423)</f>
        <v>279.1884158</v>
      </c>
      <c r="U230" s="9">
        <f t="shared" si="5"/>
        <v>0.00549201233</v>
      </c>
      <c r="V230" s="15">
        <f>IFERROR(__xludf.DUMMYFUNCTION("LET(hist, GOOGLEFINANCE(A230,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rs))))))"),63.436692506459956)</f>
        <v>63.43669251</v>
      </c>
      <c r="W230" s="16" t="str">
        <f>IFERROR(__xludf.DUMMYFUNCTION("IFERROR(GOOGLEFINANCE(A230, ""volume"") / GOOGLEFINANCE(A230, ""volumeavg""), )"),"")</f>
        <v/>
      </c>
      <c r="X230" s="9">
        <f>IFERROR(__xludf.DUMMYFUNCTION("B230 * GOOGLEFINANCE(A230, ""volume"")"),3.934401834E8)</f>
        <v>393440183.4</v>
      </c>
      <c r="Y230" s="9">
        <f>IFERROR(__xludf.DUMMYFUNCTION("IFERROR(((B230 - GOOGLEFINANCE(A230, ""priceopen"")) / GOOGLEFINANCE(A230, ""priceopen"")) * GOOGLEFINANCE(A230, ""volume""), 0)"),12200.672924187611)</f>
        <v>12200.67292</v>
      </c>
    </row>
    <row r="231">
      <c r="A231" s="4" t="s">
        <v>1533</v>
      </c>
      <c r="B231" s="7">
        <f>IFERROR(__xludf.DUMMYFUNCTION("GOOGLEFINANCE(A231, ""price"")"),5371.0)</f>
        <v>5371</v>
      </c>
      <c r="C231" s="7">
        <f>IFERROR(__xludf.DUMMYFUNCTION("GOOGLEFINANCE(A231, ""changepct"")"),0.19)</f>
        <v>0.19</v>
      </c>
      <c r="D231" s="9">
        <f>IFERROR(__xludf.DUMMYFUNCTION("GOOGLEFINANCE(A231, ""priceopen"")"),5359.5)</f>
        <v>5359.5</v>
      </c>
      <c r="E231" s="9">
        <f>IFERROR(__xludf.DUMMYFUNCTION("GOOGLEFINANCE(A231, ""high"")"),5438.5)</f>
        <v>5438.5</v>
      </c>
      <c r="F231" s="9">
        <f>IFERROR(__xludf.DUMMYFUNCTION("GOOGLEFINANCE(A231, ""low"")"),5290.0)</f>
        <v>5290</v>
      </c>
      <c r="G231" s="9">
        <f>IFERROR(__xludf.DUMMYFUNCTION("GOOGLEFINANCE(A231, ""price"")"),5371.0)</f>
        <v>5371</v>
      </c>
      <c r="H231" s="9">
        <f>IFERROR(__xludf.DUMMYFUNCTION("MAX(INDEX(GOOGLEFINANCE(A231, ""high"", TODAY()-30, TODAY()), 0, 2))"),5790.0)</f>
        <v>5790</v>
      </c>
      <c r="I231" s="9">
        <f>IFERROR(__xludf.DUMMYFUNCTION("MIN(INDEX(GOOGLEFINANCE(A231, ""low"", TODAY()-30, TODAY()), 0, 2))"),5249.0)</f>
        <v>5249</v>
      </c>
      <c r="J231" s="9">
        <f>IFERROR(__xludf.DUMMYFUNCTION("GOOGLEFINANCE(A231, ""high52"")"),7565.5)</f>
        <v>7565.5</v>
      </c>
      <c r="K231" s="9">
        <f>IFERROR(__xludf.DUMMYFUNCTION("GOOGLEFINANCE(A231, ""low52"")"),4671.5)</f>
        <v>4671.5</v>
      </c>
      <c r="L231" s="9">
        <f t="shared" si="1"/>
        <v>0.2900667504</v>
      </c>
      <c r="M231" s="9">
        <f t="shared" si="2"/>
        <v>0.1497377716</v>
      </c>
      <c r="N231" s="9">
        <f t="shared" si="3"/>
        <v>0.02807183365</v>
      </c>
      <c r="O231" s="9">
        <f t="shared" si="4"/>
        <v>0.2255083179</v>
      </c>
      <c r="P231" s="9">
        <f>IFERROR(__xludf.DUMMYFUNCTION("GOOGLEFINANCE(A231, ""pe"")"),43.91)</f>
        <v>43.91</v>
      </c>
      <c r="Q231" s="9">
        <f>IFERROR(__xludf.DUMMYFUNCTION("IFERROR(GOOGLEFINANCE(A231, ""volume"") / GOOGLEFINANCE(A231, ""volumeavg""), 0)"),0.0)</f>
        <v>0</v>
      </c>
      <c r="R231" s="9">
        <f>IFERROR(__xludf.DUMMYFUNCTION("AVERAGE(INDEX(GOOGLEFINANCE(A231, ""price"", TODAY()-30, TODAY()), 0, 2))"),5506.826086956522)</f>
        <v>5506.826087</v>
      </c>
      <c r="S231" s="9">
        <f>IFERROR(__xludf.DUMMYFUNCTION("AVERAGE(INDEX(GOOGLEFINANCE(A231, ""price"", TODAY()-75, TODAY()), 0, 2))"),5359.33962264151)</f>
        <v>5359.339623</v>
      </c>
      <c r="T231" s="9">
        <f>IFERROR(__xludf.DUMMYFUNCTION("AVERAGE(INDEX(GOOGLEFINANCE(A231, ""price"", TODAY()-300, TODAY()), 0, 2))"),5546.631188118812)</f>
        <v>5546.631188</v>
      </c>
      <c r="U231" s="9">
        <f t="shared" si="5"/>
        <v>-0.02466504023</v>
      </c>
      <c r="V231" s="15">
        <f>IFERROR(__xludf.DUMMYFUNCTION("LET(hist, GOOGLEFINANCE(A231,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rs))))))"),31.857237276933247)</f>
        <v>31.85723728</v>
      </c>
      <c r="W231" s="16" t="str">
        <f>IFERROR(__xludf.DUMMYFUNCTION("IFERROR(GOOGLEFINANCE(A231, ""volume"") / GOOGLEFINANCE(A231, ""volumeavg""), )"),"")</f>
        <v/>
      </c>
      <c r="X231" s="9">
        <f>IFERROR(__xludf.DUMMYFUNCTION("B231 * GOOGLEFINANCE(A231, ""volume"")"),2.67986045E8)</f>
        <v>267986045</v>
      </c>
      <c r="Y231" s="9">
        <f>IFERROR(__xludf.DUMMYFUNCTION("IFERROR(((B231 - GOOGLEFINANCE(A231, ""priceopen"")) / GOOGLEFINANCE(A231, ""priceopen"")) * GOOGLEFINANCE(A231, ""volume""), 0)"),107.06082656964269)</f>
        <v>107.0608266</v>
      </c>
    </row>
    <row r="232">
      <c r="A232" s="4" t="s">
        <v>1537</v>
      </c>
      <c r="B232" s="7">
        <f>IFERROR(__xludf.DUMMYFUNCTION("GOOGLEFINANCE(A232, ""price"")"),2480.0)</f>
        <v>2480</v>
      </c>
      <c r="C232" s="7">
        <f>IFERROR(__xludf.DUMMYFUNCTION("GOOGLEFINANCE(A232, ""changepct"")"),-9.16)</f>
        <v>-9.16</v>
      </c>
      <c r="D232" s="9">
        <f>IFERROR(__xludf.DUMMYFUNCTION("GOOGLEFINANCE(A232, ""priceopen"")"),2700.5)</f>
        <v>2700.5</v>
      </c>
      <c r="E232" s="9">
        <f>IFERROR(__xludf.DUMMYFUNCTION("GOOGLEFINANCE(A232, ""high"")"),2700.6)</f>
        <v>2700.6</v>
      </c>
      <c r="F232" s="9">
        <f>IFERROR(__xludf.DUMMYFUNCTION("GOOGLEFINANCE(A232, ""low"")"),2457.0)</f>
        <v>2457</v>
      </c>
      <c r="G232" s="9">
        <f>IFERROR(__xludf.DUMMYFUNCTION("GOOGLEFINANCE(A232, ""price"")"),2480.0)</f>
        <v>2480</v>
      </c>
      <c r="H232" s="9">
        <f>IFERROR(__xludf.DUMMYFUNCTION("MAX(INDEX(GOOGLEFINANCE(A232, ""high"", TODAY()-30, TODAY()), 0, 2))"),2845.0)</f>
        <v>2845</v>
      </c>
      <c r="I232" s="9">
        <f>IFERROR(__xludf.DUMMYFUNCTION("MIN(INDEX(GOOGLEFINANCE(A232, ""low"", TODAY()-30, TODAY()), 0, 2))"),2457.0)</f>
        <v>2457</v>
      </c>
      <c r="J232" s="9">
        <f>IFERROR(__xludf.DUMMYFUNCTION("GOOGLEFINANCE(A232, ""high52"")"),3917.8)</f>
        <v>3917.8</v>
      </c>
      <c r="K232" s="9">
        <f>IFERROR(__xludf.DUMMYFUNCTION("GOOGLEFINANCE(A232, ""low52"")"),2457.0)</f>
        <v>2457</v>
      </c>
      <c r="L232" s="9">
        <f t="shared" si="1"/>
        <v>0.366991679</v>
      </c>
      <c r="M232" s="9">
        <f t="shared" si="2"/>
        <v>0.009361009361</v>
      </c>
      <c r="N232" s="9">
        <f t="shared" si="3"/>
        <v>0.09914529915</v>
      </c>
      <c r="O232" s="9">
        <f t="shared" si="4"/>
        <v>0.05927835052</v>
      </c>
      <c r="P232" s="9">
        <f>IFERROR(__xludf.DUMMYFUNCTION("GOOGLEFINANCE(A232, ""pe"")"),28.49)</f>
        <v>28.49</v>
      </c>
      <c r="Q232" s="9">
        <f>IFERROR(__xludf.DUMMYFUNCTION("IFERROR(GOOGLEFINANCE(A232, ""volume"") / GOOGLEFINANCE(A232, ""volumeavg""), 0)"),0.0)</f>
        <v>0</v>
      </c>
      <c r="R232" s="9">
        <f>IFERROR(__xludf.DUMMYFUNCTION("AVERAGE(INDEX(GOOGLEFINANCE(A232, ""price"", TODAY()-30, TODAY()), 0, 2))"),2702.043478260869)</f>
        <v>2702.043478</v>
      </c>
      <c r="S232" s="9">
        <f>IFERROR(__xludf.DUMMYFUNCTION("AVERAGE(INDEX(GOOGLEFINANCE(A232, ""price"", TODAY()-75, TODAY()), 0, 2))"),2712.7924528301896)</f>
        <v>2712.792453</v>
      </c>
      <c r="T232" s="9">
        <f>IFERROR(__xludf.DUMMYFUNCTION("AVERAGE(INDEX(GOOGLEFINANCE(A232, ""price"", TODAY()-300, TODAY()), 0, 2))"),3067.0940594059407)</f>
        <v>3067.094059</v>
      </c>
      <c r="U232" s="9">
        <f t="shared" si="5"/>
        <v>-0.08217613079</v>
      </c>
      <c r="V232" s="15">
        <f>IFERROR(__xludf.DUMMYFUNCTION("LET(hist, GOOGLEFINANCE(A232,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rs))))))"),26.67145938173981)</f>
        <v>26.67145938</v>
      </c>
      <c r="W232" s="16" t="str">
        <f>IFERROR(__xludf.DUMMYFUNCTION("IFERROR(GOOGLEFINANCE(A232, ""volume"") / GOOGLEFINANCE(A232, ""volumeavg""), )"),"")</f>
        <v/>
      </c>
      <c r="X232" s="9">
        <f>IFERROR(__xludf.DUMMYFUNCTION("B232 * GOOGLEFINANCE(A232, ""volume"")"),5.30236648E9)</f>
        <v>5302366480</v>
      </c>
      <c r="Y232" s="9">
        <f>IFERROR(__xludf.DUMMYFUNCTION("IFERROR(((B232 - GOOGLEFINANCE(A232, ""priceopen"")) / GOOGLEFINANCE(A232, ""priceopen"")) * GOOGLEFINANCE(A232, ""volume""), 0)"),-174575.16959822254)</f>
        <v>-174575.1696</v>
      </c>
    </row>
    <row r="233">
      <c r="A233" s="4" t="s">
        <v>1544</v>
      </c>
      <c r="B233" s="7">
        <f>IFERROR(__xludf.DUMMYFUNCTION("GOOGLEFINANCE(A233, ""price"")"),1836.0)</f>
        <v>1836</v>
      </c>
      <c r="C233" s="7">
        <f>IFERROR(__xludf.DUMMYFUNCTION("GOOGLEFINANCE(A233, ""changepct"")"),-0.69)</f>
        <v>-0.69</v>
      </c>
      <c r="D233" s="9">
        <f>IFERROR(__xludf.DUMMYFUNCTION("GOOGLEFINANCE(A233, ""priceopen"")"),1848.8)</f>
        <v>1848.8</v>
      </c>
      <c r="E233" s="9">
        <f>IFERROR(__xludf.DUMMYFUNCTION("GOOGLEFINANCE(A233, ""high"")"),1858.8)</f>
        <v>1858.8</v>
      </c>
      <c r="F233" s="9">
        <f>IFERROR(__xludf.DUMMYFUNCTION("GOOGLEFINANCE(A233, ""low"")"),1819.4)</f>
        <v>1819.4</v>
      </c>
      <c r="G233" s="9">
        <f>IFERROR(__xludf.DUMMYFUNCTION("GOOGLEFINANCE(A233, ""price"")"),1836.0)</f>
        <v>1836</v>
      </c>
      <c r="H233" s="9">
        <f>IFERROR(__xludf.DUMMYFUNCTION("MAX(INDEX(GOOGLEFINANCE(A233, ""high"", TODAY()-30, TODAY()), 0, 2))"),2092.9)</f>
        <v>2092.9</v>
      </c>
      <c r="I233" s="9">
        <f>IFERROR(__xludf.DUMMYFUNCTION("MIN(INDEX(GOOGLEFINANCE(A233, ""low"", TODAY()-30, TODAY()), 0, 2))"),1819.4)</f>
        <v>1819.4</v>
      </c>
      <c r="J233" s="9">
        <f>IFERROR(__xludf.DUMMYFUNCTION("GOOGLEFINANCE(A233, ""high52"")"),2093.3)</f>
        <v>2093.3</v>
      </c>
      <c r="K233" s="9">
        <f>IFERROR(__xludf.DUMMYFUNCTION("GOOGLEFINANCE(A233, ""low52"")"),1589.0)</f>
        <v>1589</v>
      </c>
      <c r="L233" s="9">
        <f t="shared" si="1"/>
        <v>0.12291597</v>
      </c>
      <c r="M233" s="9">
        <f t="shared" si="2"/>
        <v>0.1554436753</v>
      </c>
      <c r="N233" s="9">
        <f t="shared" si="3"/>
        <v>0.02165549082</v>
      </c>
      <c r="O233" s="9">
        <f t="shared" si="4"/>
        <v>0.06069469835</v>
      </c>
      <c r="P233" s="9">
        <f>IFERROR(__xludf.DUMMYFUNCTION("GOOGLEFINANCE(A233, ""pe"")"),45.65)</f>
        <v>45.65</v>
      </c>
      <c r="Q233" s="9">
        <f>IFERROR(__xludf.DUMMYFUNCTION("IFERROR(GOOGLEFINANCE(A233, ""volume"") / GOOGLEFINANCE(A233, ""volumeavg""), 0)"),0.0)</f>
        <v>0</v>
      </c>
      <c r="R233" s="9">
        <f>IFERROR(__xludf.DUMMYFUNCTION("AVERAGE(INDEX(GOOGLEFINANCE(A233, ""price"", TODAY()-30, TODAY()), 0, 2))"),1974.617391304348)</f>
        <v>1974.617391</v>
      </c>
      <c r="S233" s="9">
        <f>IFERROR(__xludf.DUMMYFUNCTION("AVERAGE(INDEX(GOOGLEFINANCE(A233, ""price"", TODAY()-75, TODAY()), 0, 2))"),1952.0754716981135)</f>
        <v>1952.075472</v>
      </c>
      <c r="T233" s="9">
        <f>IFERROR(__xludf.DUMMYFUNCTION("AVERAGE(INDEX(GOOGLEFINANCE(A233, ""price"", TODAY()-300, TODAY()), 0, 2))"),1853.470297029703)</f>
        <v>1853.470297</v>
      </c>
      <c r="U233" s="9">
        <f t="shared" si="5"/>
        <v>-0.0701996204</v>
      </c>
      <c r="V233" s="15">
        <f>IFERROR(__xludf.DUMMYFUNCTION("LET(hist, GOOGLEFINANCE(A233,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rs))))))"),32.07681365576106)</f>
        <v>32.07681366</v>
      </c>
      <c r="W233" s="16" t="str">
        <f>IFERROR(__xludf.DUMMYFUNCTION("IFERROR(GOOGLEFINANCE(A233, ""volume"") / GOOGLEFINANCE(A233, ""volumeavg""), )"),"")</f>
        <v/>
      </c>
      <c r="X233" s="9">
        <f>IFERROR(__xludf.DUMMYFUNCTION("B233 * GOOGLEFINANCE(A233, ""volume"")"),6.7632732E8)</f>
        <v>676327320</v>
      </c>
      <c r="Y233" s="9">
        <f>IFERROR(__xludf.DUMMYFUNCTION("IFERROR(((B233 - GOOGLEFINANCE(A233, ""priceopen"")) / GOOGLEFINANCE(A233, ""priceopen"")) * GOOGLEFINANCE(A233, ""volume""), 0)"),-2550.3764604067414)</f>
        <v>-2550.37646</v>
      </c>
    </row>
    <row r="234">
      <c r="A234" s="4" t="s">
        <v>1558</v>
      </c>
      <c r="B234" s="7">
        <f>IFERROR(__xludf.DUMMYFUNCTION("GOOGLEFINANCE(A234, ""price"")"),275.0)</f>
        <v>275</v>
      </c>
      <c r="C234" s="7">
        <f>IFERROR(__xludf.DUMMYFUNCTION("GOOGLEFINANCE(A234, ""changepct"")"),-3.86)</f>
        <v>-3.86</v>
      </c>
      <c r="D234" s="9">
        <f>IFERROR(__xludf.DUMMYFUNCTION("GOOGLEFINANCE(A234, ""priceopen"")"),286.95)</f>
        <v>286.95</v>
      </c>
      <c r="E234" s="9">
        <f>IFERROR(__xludf.DUMMYFUNCTION("GOOGLEFINANCE(A234, ""high"")"),286.95)</f>
        <v>286.95</v>
      </c>
      <c r="F234" s="9">
        <f>IFERROR(__xludf.DUMMYFUNCTION("GOOGLEFINANCE(A234, ""low"")"),274.5)</f>
        <v>274.5</v>
      </c>
      <c r="G234" s="9">
        <f>IFERROR(__xludf.DUMMYFUNCTION("GOOGLEFINANCE(A234, ""price"")"),275.0)</f>
        <v>275</v>
      </c>
      <c r="H234" s="9">
        <f>IFERROR(__xludf.DUMMYFUNCTION("MAX(INDEX(GOOGLEFINANCE(A234, ""high"", TODAY()-30, TODAY()), 0, 2))"),311.7)</f>
        <v>311.7</v>
      </c>
      <c r="I234" s="9">
        <f>IFERROR(__xludf.DUMMYFUNCTION("MIN(INDEX(GOOGLEFINANCE(A234, ""low"", TODAY()-30, TODAY()), 0, 2))"),274.5)</f>
        <v>274.5</v>
      </c>
      <c r="J234" s="9">
        <f>IFERROR(__xludf.DUMMYFUNCTION("GOOGLEFINANCE(A234, ""high52"")"),387.8)</f>
        <v>387.8</v>
      </c>
      <c r="K234" s="9">
        <f>IFERROR(__xludf.DUMMYFUNCTION("GOOGLEFINANCE(A234, ""low52"")"),222.0)</f>
        <v>222</v>
      </c>
      <c r="L234" s="9">
        <f t="shared" si="1"/>
        <v>0.2908715833</v>
      </c>
      <c r="M234" s="9">
        <f t="shared" si="2"/>
        <v>0.2387387387</v>
      </c>
      <c r="N234" s="9">
        <f t="shared" si="3"/>
        <v>0.04535519126</v>
      </c>
      <c r="O234" s="9">
        <f t="shared" si="4"/>
        <v>0.01344086022</v>
      </c>
      <c r="P234" s="9">
        <f>IFERROR(__xludf.DUMMYFUNCTION("GOOGLEFINANCE(A234, ""pe"")"),11.46)</f>
        <v>11.46</v>
      </c>
      <c r="Q234" s="9">
        <f>IFERROR(__xludf.DUMMYFUNCTION("IFERROR(GOOGLEFINANCE(A234, ""volume"") / GOOGLEFINANCE(A234, ""volumeavg""), 0)"),0.0)</f>
        <v>0</v>
      </c>
      <c r="R234" s="9">
        <f>IFERROR(__xludf.DUMMYFUNCTION("AVERAGE(INDEX(GOOGLEFINANCE(A234, ""price"", TODAY()-30, TODAY()), 0, 2))"),296.18695652173915)</f>
        <v>296.1869565</v>
      </c>
      <c r="S234" s="9">
        <f>IFERROR(__xludf.DUMMYFUNCTION("AVERAGE(INDEX(GOOGLEFINANCE(A234, ""price"", TODAY()-75, TODAY()), 0, 2))"),310.7943396226415)</f>
        <v>310.7943396</v>
      </c>
      <c r="T234" s="9">
        <f>IFERROR(__xludf.DUMMYFUNCTION("AVERAGE(INDEX(GOOGLEFINANCE(A234, ""price"", TODAY()-300, TODAY()), 0, 2))"),280.6721287128712)</f>
        <v>280.6721287</v>
      </c>
      <c r="U234" s="9">
        <f t="shared" si="5"/>
        <v>-0.07153237526</v>
      </c>
      <c r="V234" s="15">
        <f>IFERROR(__xludf.DUMMYFUNCTION("LET(hist, GOOGLEFINANCE(A234,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rs))))))"),37.77388255915864)</f>
        <v>37.77388256</v>
      </c>
      <c r="W234" s="16" t="str">
        <f>IFERROR(__xludf.DUMMYFUNCTION("IFERROR(GOOGLEFINANCE(A234, ""volume"") / GOOGLEFINANCE(A234, ""volumeavg""), )"),"")</f>
        <v/>
      </c>
      <c r="X234" s="9">
        <f>IFERROR(__xludf.DUMMYFUNCTION("B234 * GOOGLEFINANCE(A234, ""volume"")"),8.195462E8)</f>
        <v>819546200</v>
      </c>
      <c r="Y234" s="9">
        <f>IFERROR(__xludf.DUMMYFUNCTION("IFERROR(((B234 - GOOGLEFINANCE(A234, ""priceopen"")) / GOOGLEFINANCE(A234, ""priceopen"")) * GOOGLEFINANCE(A234, ""volume""), 0)"),-124108.75622930814)</f>
        <v>-124108.7562</v>
      </c>
    </row>
    <row r="235">
      <c r="A235" s="4" t="s">
        <v>1569</v>
      </c>
      <c r="B235" s="7">
        <f>IFERROR(__xludf.DUMMYFUNCTION("GOOGLEFINANCE(A235, ""price"")"),2875.0)</f>
        <v>2875</v>
      </c>
      <c r="C235" s="7">
        <f>IFERROR(__xludf.DUMMYFUNCTION("GOOGLEFINANCE(A235, ""changepct"")"),-1.69)</f>
        <v>-1.69</v>
      </c>
      <c r="D235" s="9">
        <f>IFERROR(__xludf.DUMMYFUNCTION("GOOGLEFINANCE(A235, ""priceopen"")"),2924.0)</f>
        <v>2924</v>
      </c>
      <c r="E235" s="9">
        <f>IFERROR(__xludf.DUMMYFUNCTION("GOOGLEFINANCE(A235, ""high"")"),2949.9)</f>
        <v>2949.9</v>
      </c>
      <c r="F235" s="9">
        <f>IFERROR(__xludf.DUMMYFUNCTION("GOOGLEFINANCE(A235, ""low"")"),2860.0)</f>
        <v>2860</v>
      </c>
      <c r="G235" s="9">
        <f>IFERROR(__xludf.DUMMYFUNCTION("GOOGLEFINANCE(A235, ""price"")"),2875.0)</f>
        <v>2875</v>
      </c>
      <c r="H235" s="9">
        <f>IFERROR(__xludf.DUMMYFUNCTION("MAX(INDEX(GOOGLEFINANCE(A235, ""high"", TODAY()-30, TODAY()), 0, 2))"),2988.4)</f>
        <v>2988.4</v>
      </c>
      <c r="I235" s="9">
        <f>IFERROR(__xludf.DUMMYFUNCTION("MIN(INDEX(GOOGLEFINANCE(A235, ""low"", TODAY()-30, TODAY()), 0, 2))"),2351.1)</f>
        <v>2351.1</v>
      </c>
      <c r="J235" s="9">
        <f>IFERROR(__xludf.DUMMYFUNCTION("GOOGLEFINANCE(A235, ""high52"")"),2988.4)</f>
        <v>2988.4</v>
      </c>
      <c r="K235" s="9">
        <f>IFERROR(__xludf.DUMMYFUNCTION("GOOGLEFINANCE(A235, ""low52"")"),1573.6)</f>
        <v>1573.6</v>
      </c>
      <c r="L235" s="9">
        <f t="shared" si="1"/>
        <v>0.03794672735</v>
      </c>
      <c r="M235" s="9">
        <f t="shared" si="2"/>
        <v>0.8270208439</v>
      </c>
      <c r="N235" s="9">
        <f t="shared" si="3"/>
        <v>0.03143356643</v>
      </c>
      <c r="O235" s="9">
        <f t="shared" si="4"/>
        <v>0.8220618233</v>
      </c>
      <c r="P235" s="9">
        <f>IFERROR(__xludf.DUMMYFUNCTION("GOOGLEFINANCE(A235, ""pe"")"),46.16)</f>
        <v>46.16</v>
      </c>
      <c r="Q235" s="9">
        <f>IFERROR(__xludf.DUMMYFUNCTION("IFERROR(GOOGLEFINANCE(A235, ""volume"") / GOOGLEFINANCE(A235, ""volumeavg""), 0)"),0.0)</f>
        <v>0</v>
      </c>
      <c r="R235" s="9">
        <f>IFERROR(__xludf.DUMMYFUNCTION("AVERAGE(INDEX(GOOGLEFINANCE(A235, ""price"", TODAY()-30, TODAY()), 0, 2))"),2536.9434782608696)</f>
        <v>2536.943478</v>
      </c>
      <c r="S235" s="9">
        <f>IFERROR(__xludf.DUMMYFUNCTION("AVERAGE(INDEX(GOOGLEFINANCE(A235, ""price"", TODAY()-75, TODAY()), 0, 2))"),2416.6566037735847)</f>
        <v>2416.656604</v>
      </c>
      <c r="T235" s="9">
        <f>IFERROR(__xludf.DUMMYFUNCTION("AVERAGE(INDEX(GOOGLEFINANCE(A235, ""price"", TODAY()-300, TODAY()), 0, 2))"),1960.2084158415844)</f>
        <v>1960.208416</v>
      </c>
      <c r="U235" s="9">
        <f t="shared" si="5"/>
        <v>0.13325347</v>
      </c>
      <c r="V235" s="15">
        <f>IFERROR(__xludf.DUMMYFUNCTION("LET(hist, GOOGLEFINANCE(A235,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rs))))))"),84.13774763994148)</f>
        <v>84.13774764</v>
      </c>
      <c r="W235" s="16" t="str">
        <f>IFERROR(__xludf.DUMMYFUNCTION("IFERROR(GOOGLEFINANCE(A235, ""volume"") / GOOGLEFINANCE(A235, ""volumeavg""), )"),"")</f>
        <v/>
      </c>
      <c r="X235" s="9">
        <f>IFERROR(__xludf.DUMMYFUNCTION("B235 * GOOGLEFINANCE(A235, ""volume"")"),2.105854125E9)</f>
        <v>2105854125</v>
      </c>
      <c r="Y235" s="9">
        <f>IFERROR(__xludf.DUMMYFUNCTION("IFERROR(((B235 - GOOGLEFINANCE(A235, ""priceopen"")) / GOOGLEFINANCE(A235, ""priceopen"")) * GOOGLEFINANCE(A235, ""volume""), 0)"),-12274.650820793433)</f>
        <v>-12274.65082</v>
      </c>
    </row>
    <row r="236">
      <c r="A236" s="4" t="s">
        <v>1574</v>
      </c>
      <c r="B236" s="7">
        <f>IFERROR(__xludf.DUMMYFUNCTION("GOOGLEFINANCE(A236, ""price"")"),483.1)</f>
        <v>483.1</v>
      </c>
      <c r="C236" s="7">
        <f>IFERROR(__xludf.DUMMYFUNCTION("GOOGLEFINANCE(A236, ""changepct"")"),-0.84)</f>
        <v>-0.84</v>
      </c>
      <c r="D236" s="9">
        <f>IFERROR(__xludf.DUMMYFUNCTION("GOOGLEFINANCE(A236, ""priceopen"")"),489.95)</f>
        <v>489.95</v>
      </c>
      <c r="E236" s="9">
        <f>IFERROR(__xludf.DUMMYFUNCTION("GOOGLEFINANCE(A236, ""high"")"),492.25)</f>
        <v>492.25</v>
      </c>
      <c r="F236" s="9">
        <f>IFERROR(__xludf.DUMMYFUNCTION("GOOGLEFINANCE(A236, ""low"")"),482.1)</f>
        <v>482.1</v>
      </c>
      <c r="G236" s="9">
        <f>IFERROR(__xludf.DUMMYFUNCTION("GOOGLEFINANCE(A236, ""price"")"),483.1)</f>
        <v>483.1</v>
      </c>
      <c r="H236" s="9">
        <f>IFERROR(__xludf.DUMMYFUNCTION("MAX(INDEX(GOOGLEFINANCE(A236, ""high"", TODAY()-30, TODAY()), 0, 2))"),494.0)</f>
        <v>494</v>
      </c>
      <c r="I236" s="9">
        <f>IFERROR(__xludf.DUMMYFUNCTION("MIN(INDEX(GOOGLEFINANCE(A236, ""low"", TODAY()-30, TODAY()), 0, 2))"),451.0)</f>
        <v>451</v>
      </c>
      <c r="J236" s="9">
        <f>IFERROR(__xludf.DUMMYFUNCTION("GOOGLEFINANCE(A236, ""high52"")"),570.4)</f>
        <v>570.4</v>
      </c>
      <c r="K236" s="9">
        <f>IFERROR(__xludf.DUMMYFUNCTION("GOOGLEFINANCE(A236, ""low52"")"),361.2)</f>
        <v>361.2</v>
      </c>
      <c r="L236" s="9">
        <f t="shared" si="1"/>
        <v>0.1530504909</v>
      </c>
      <c r="M236" s="9">
        <f t="shared" si="2"/>
        <v>0.3374861573</v>
      </c>
      <c r="N236" s="9">
        <f t="shared" si="3"/>
        <v>0.02105372329</v>
      </c>
      <c r="O236" s="9">
        <f t="shared" si="4"/>
        <v>0.7465116279</v>
      </c>
      <c r="P236" s="9">
        <f>IFERROR(__xludf.DUMMYFUNCTION("GOOGLEFINANCE(A236, ""pe"")"),50.99)</f>
        <v>50.99</v>
      </c>
      <c r="Q236" s="9">
        <f>IFERROR(__xludf.DUMMYFUNCTION("IFERROR(GOOGLEFINANCE(A236, ""volume"") / GOOGLEFINANCE(A236, ""volumeavg""), 0)"),0.0)</f>
        <v>0</v>
      </c>
      <c r="R236" s="9">
        <f>IFERROR(__xludf.DUMMYFUNCTION("AVERAGE(INDEX(GOOGLEFINANCE(A236, ""price"", TODAY()-30, TODAY()), 0, 2))"),473.9847826086957)</f>
        <v>473.9847826</v>
      </c>
      <c r="S236" s="9">
        <f>IFERROR(__xludf.DUMMYFUNCTION("AVERAGE(INDEX(GOOGLEFINANCE(A236, ""price"", TODAY()-75, TODAY()), 0, 2))"),443.41981132075466)</f>
        <v>443.4198113</v>
      </c>
      <c r="T236" s="9">
        <f>IFERROR(__xludf.DUMMYFUNCTION("AVERAGE(INDEX(GOOGLEFINANCE(A236, ""price"", TODAY()-300, TODAY()), 0, 2))"),444.1767326732674)</f>
        <v>444.1767327</v>
      </c>
      <c r="U236" s="9">
        <f t="shared" si="5"/>
        <v>0.01923103383</v>
      </c>
      <c r="V236" s="15">
        <f>IFERROR(__xludf.DUMMYFUNCTION("LET(hist, GOOGLEFINANCE(A236,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rs))))))"),59.14081145584727)</f>
        <v>59.14081146</v>
      </c>
      <c r="W236" s="16" t="str">
        <f>IFERROR(__xludf.DUMMYFUNCTION("IFERROR(GOOGLEFINANCE(A236, ""volume"") / GOOGLEFINANCE(A236, ""volumeavg""), )"),"")</f>
        <v/>
      </c>
      <c r="X236" s="9">
        <f>IFERROR(__xludf.DUMMYFUNCTION("B236 * GOOGLEFINANCE(A236, ""volume"")"),3.509508936E8)</f>
        <v>350950893.6</v>
      </c>
      <c r="Y236" s="9">
        <f>IFERROR(__xludf.DUMMYFUNCTION("IFERROR(((B236 - GOOGLEFINANCE(A236, ""priceopen"")) / GOOGLEFINANCE(A236, ""priceopen"")) * GOOGLEFINANCE(A236, ""volume""), 0)"),-10156.594754566742)</f>
        <v>-10156.59475</v>
      </c>
    </row>
    <row r="237">
      <c r="A237" s="4" t="s">
        <v>1578</v>
      </c>
      <c r="B237" s="7">
        <f>IFERROR(__xludf.DUMMYFUNCTION("GOOGLEFINANCE(A237, ""price"")"),513.0)</f>
        <v>513</v>
      </c>
      <c r="C237" s="7">
        <f>IFERROR(__xludf.DUMMYFUNCTION("GOOGLEFINANCE(A237, ""changepct"")"),0.2)</f>
        <v>0.2</v>
      </c>
      <c r="D237" s="9">
        <f>IFERROR(__xludf.DUMMYFUNCTION("GOOGLEFINANCE(A237, ""priceopen"")"),515.0)</f>
        <v>515</v>
      </c>
      <c r="E237" s="9">
        <f>IFERROR(__xludf.DUMMYFUNCTION("GOOGLEFINANCE(A237, ""high"")"),523.8)</f>
        <v>523.8</v>
      </c>
      <c r="F237" s="9">
        <f>IFERROR(__xludf.DUMMYFUNCTION("GOOGLEFINANCE(A237, ""low"")"),510.4)</f>
        <v>510.4</v>
      </c>
      <c r="G237" s="9">
        <f>IFERROR(__xludf.DUMMYFUNCTION("GOOGLEFINANCE(A237, ""price"")"),513.0)</f>
        <v>513</v>
      </c>
      <c r="H237" s="9">
        <f>IFERROR(__xludf.DUMMYFUNCTION("MAX(INDEX(GOOGLEFINANCE(A237, ""high"", TODAY()-30, TODAY()), 0, 2))"),531.7)</f>
        <v>531.7</v>
      </c>
      <c r="I237" s="9">
        <f>IFERROR(__xludf.DUMMYFUNCTION("MIN(INDEX(GOOGLEFINANCE(A237, ""low"", TODAY()-30, TODAY()), 0, 2))"),456.2)</f>
        <v>456.2</v>
      </c>
      <c r="J237" s="9">
        <f>IFERROR(__xludf.DUMMYFUNCTION("GOOGLEFINANCE(A237, ""high52"")"),569.8)</f>
        <v>569.8</v>
      </c>
      <c r="K237" s="9">
        <f>IFERROR(__xludf.DUMMYFUNCTION("GOOGLEFINANCE(A237, ""low52"")"),421.45)</f>
        <v>421.45</v>
      </c>
      <c r="L237" s="9">
        <f t="shared" si="1"/>
        <v>0.09968409968</v>
      </c>
      <c r="M237" s="9">
        <f t="shared" si="2"/>
        <v>0.2172262427</v>
      </c>
      <c r="N237" s="9">
        <f t="shared" si="3"/>
        <v>0.0262539185</v>
      </c>
      <c r="O237" s="9">
        <f t="shared" si="4"/>
        <v>0.7523178808</v>
      </c>
      <c r="P237" s="9">
        <f>IFERROR(__xludf.DUMMYFUNCTION("GOOGLEFINANCE(A237, ""pe"")"),31.32)</f>
        <v>31.32</v>
      </c>
      <c r="Q237" s="9">
        <f>IFERROR(__xludf.DUMMYFUNCTION("IFERROR(GOOGLEFINANCE(A237, ""volume"") / GOOGLEFINANCE(A237, ""volumeavg""), 0)"),0.0)</f>
        <v>0</v>
      </c>
      <c r="R237" s="9">
        <f>IFERROR(__xludf.DUMMYFUNCTION("AVERAGE(INDEX(GOOGLEFINANCE(A237, ""price"", TODAY()-30, TODAY()), 0, 2))"),502.8782608695652)</f>
        <v>502.8782609</v>
      </c>
      <c r="S237" s="9">
        <f>IFERROR(__xludf.DUMMYFUNCTION("AVERAGE(INDEX(GOOGLEFINANCE(A237, ""price"", TODAY()-75, TODAY()), 0, 2))"),480.91603773584905)</f>
        <v>480.9160377</v>
      </c>
      <c r="T237" s="9">
        <f>IFERROR(__xludf.DUMMYFUNCTION("AVERAGE(INDEX(GOOGLEFINANCE(A237, ""price"", TODAY()-300, TODAY()), 0, 2))"),497.73242574257404)</f>
        <v>497.7324257</v>
      </c>
      <c r="U237" s="9">
        <f t="shared" si="5"/>
        <v>0.02012761322</v>
      </c>
      <c r="V237" s="15">
        <f>IFERROR(__xludf.DUMMYFUNCTION("LET(hist, GOOGLEFINANCE(A237,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rs))))))"),67.7746478873239)</f>
        <v>67.77464789</v>
      </c>
      <c r="W237" s="16" t="str">
        <f>IFERROR(__xludf.DUMMYFUNCTION("IFERROR(GOOGLEFINANCE(A237, ""volume"") / GOOGLEFINANCE(A237, ""volumeavg""), )"),"")</f>
        <v/>
      </c>
      <c r="X237" s="9">
        <f>IFERROR(__xludf.DUMMYFUNCTION("B237 * GOOGLEFINANCE(A237, ""volume"")"),1.207753848E9)</f>
        <v>1207753848</v>
      </c>
      <c r="Y237" s="9">
        <f>IFERROR(__xludf.DUMMYFUNCTION("IFERROR(((B237 - GOOGLEFINANCE(A237, ""priceopen"")) / GOOGLEFINANCE(A237, ""priceopen"")) * GOOGLEFINANCE(A237, ""volume""), 0)"),-9142.89708737864)</f>
        <v>-9142.897087</v>
      </c>
    </row>
    <row r="238">
      <c r="A238" s="4" t="s">
        <v>1584</v>
      </c>
      <c r="B238" s="7">
        <f>IFERROR(__xludf.DUMMYFUNCTION("GOOGLEFINANCE(A238, ""price"")"),3900.0)</f>
        <v>3900</v>
      </c>
      <c r="C238" s="7">
        <f>IFERROR(__xludf.DUMMYFUNCTION("GOOGLEFINANCE(A238, ""changepct"")"),2.48)</f>
        <v>2.48</v>
      </c>
      <c r="D238" s="9">
        <f>IFERROR(__xludf.DUMMYFUNCTION("GOOGLEFINANCE(A238, ""priceopen"")"),3817.0)</f>
        <v>3817</v>
      </c>
      <c r="E238" s="9">
        <f>IFERROR(__xludf.DUMMYFUNCTION("GOOGLEFINANCE(A238, ""high"")"),3965.0)</f>
        <v>3965</v>
      </c>
      <c r="F238" s="9">
        <f>IFERROR(__xludf.DUMMYFUNCTION("GOOGLEFINANCE(A238, ""low"")"),3770.1)</f>
        <v>3770.1</v>
      </c>
      <c r="G238" s="9">
        <f>IFERROR(__xludf.DUMMYFUNCTION("GOOGLEFINANCE(A238, ""price"")"),3900.0)</f>
        <v>3900</v>
      </c>
      <c r="H238" s="9">
        <f>IFERROR(__xludf.DUMMYFUNCTION("MAX(INDEX(GOOGLEFINANCE(A238, ""high"", TODAY()-30, TODAY()), 0, 2))"),3965.0)</f>
        <v>3965</v>
      </c>
      <c r="I238" s="9">
        <f>IFERROR(__xludf.DUMMYFUNCTION("MIN(INDEX(GOOGLEFINANCE(A238, ""low"", TODAY()-30, TODAY()), 0, 2))"),3253.8)</f>
        <v>3253.8</v>
      </c>
      <c r="J238" s="9">
        <f>IFERROR(__xludf.DUMMYFUNCTION("GOOGLEFINANCE(A238, ""high52"")"),3965.0)</f>
        <v>3965</v>
      </c>
      <c r="K238" s="9">
        <f>IFERROR(__xludf.DUMMYFUNCTION("GOOGLEFINANCE(A238, ""low52"")"),1045.55)</f>
        <v>1045.55</v>
      </c>
      <c r="L238" s="9">
        <f t="shared" si="1"/>
        <v>0.01639344262</v>
      </c>
      <c r="M238" s="9">
        <f t="shared" si="2"/>
        <v>2.730094209</v>
      </c>
      <c r="N238" s="9">
        <f t="shared" si="3"/>
        <v>0.05169624148</v>
      </c>
      <c r="O238" s="9">
        <f t="shared" si="4"/>
        <v>0.9086051744</v>
      </c>
      <c r="P238" s="9">
        <f>IFERROR(__xludf.DUMMYFUNCTION("GOOGLEFINANCE(A238, ""pe"")"),121.68)</f>
        <v>121.68</v>
      </c>
      <c r="Q238" s="9">
        <f>IFERROR(__xludf.DUMMYFUNCTION("IFERROR(GOOGLEFINANCE(A238, ""volume"") / GOOGLEFINANCE(A238, ""volumeavg""), 0)"),0.0)</f>
        <v>0</v>
      </c>
      <c r="R238" s="9">
        <f>IFERROR(__xludf.DUMMYFUNCTION("AVERAGE(INDEX(GOOGLEFINANCE(A238, ""price"", TODAY()-30, TODAY()), 0, 2))"),3584.217391304348)</f>
        <v>3584.217391</v>
      </c>
      <c r="S238" s="9">
        <f>IFERROR(__xludf.DUMMYFUNCTION("AVERAGE(INDEX(GOOGLEFINANCE(A238, ""price"", TODAY()-75, TODAY()), 0, 2))"),3524.3433962264153)</f>
        <v>3524.343396</v>
      </c>
      <c r="T238" s="9">
        <f>IFERROR(__xludf.DUMMYFUNCTION("AVERAGE(INDEX(GOOGLEFINANCE(A238, ""price"", TODAY()-300, TODAY()), 0, 2))"),2192.947524752475)</f>
        <v>2192.947525</v>
      </c>
      <c r="U238" s="9">
        <f t="shared" si="5"/>
        <v>0.08810364278</v>
      </c>
      <c r="V238" s="15">
        <f>IFERROR(__xludf.DUMMYFUNCTION("LET(hist, GOOGLEFINANCE(A238,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rs))))))"),64.0317367029092)</f>
        <v>64.0317367</v>
      </c>
      <c r="W238" s="16" t="str">
        <f>IFERROR(__xludf.DUMMYFUNCTION("IFERROR(GOOGLEFINANCE(A238, ""volume"") / GOOGLEFINANCE(A238, ""volumeavg""), )"),"")</f>
        <v/>
      </c>
      <c r="X238" s="9">
        <f>IFERROR(__xludf.DUMMYFUNCTION("B238 * GOOGLEFINANCE(A238, ""volume"")"),1.1207274E9)</f>
        <v>1120727400</v>
      </c>
      <c r="Y238" s="9">
        <f>IFERROR(__xludf.DUMMYFUNCTION("IFERROR(((B238 - GOOGLEFINANCE(A238, ""priceopen"")) / GOOGLEFINANCE(A238, ""priceopen"")) * GOOGLEFINANCE(A238, ""volume""), 0)"),6248.723604925334)</f>
        <v>6248.723605</v>
      </c>
    </row>
    <row r="239">
      <c r="A239" s="4" t="s">
        <v>1591</v>
      </c>
      <c r="B239" s="7">
        <f>IFERROR(__xludf.DUMMYFUNCTION("GOOGLEFINANCE(A239, ""price"")"),510.75)</f>
        <v>510.75</v>
      </c>
      <c r="C239" s="7">
        <f>IFERROR(__xludf.DUMMYFUNCTION("GOOGLEFINANCE(A239, ""changepct"")"),-0.83)</f>
        <v>-0.83</v>
      </c>
      <c r="D239" s="9">
        <f>IFERROR(__xludf.DUMMYFUNCTION("GOOGLEFINANCE(A239, ""priceopen"")"),517.3)</f>
        <v>517.3</v>
      </c>
      <c r="E239" s="9">
        <f>IFERROR(__xludf.DUMMYFUNCTION("GOOGLEFINANCE(A239, ""high"")"),519.1)</f>
        <v>519.1</v>
      </c>
      <c r="F239" s="9">
        <f>IFERROR(__xludf.DUMMYFUNCTION("GOOGLEFINANCE(A239, ""low"")"),510.0)</f>
        <v>510</v>
      </c>
      <c r="G239" s="9">
        <f>IFERROR(__xludf.DUMMYFUNCTION("GOOGLEFINANCE(A239, ""price"")"),510.75)</f>
        <v>510.75</v>
      </c>
      <c r="H239" s="9">
        <f>IFERROR(__xludf.DUMMYFUNCTION("MAX(INDEX(GOOGLEFINANCE(A239, ""high"", TODAY()-30, TODAY()), 0, 2))"),527.0)</f>
        <v>527</v>
      </c>
      <c r="I239" s="9">
        <f>IFERROR(__xludf.DUMMYFUNCTION("MIN(INDEX(GOOGLEFINANCE(A239, ""low"", TODAY()-30, TODAY()), 0, 2))"),485.3)</f>
        <v>485.3</v>
      </c>
      <c r="J239" s="9">
        <f>IFERROR(__xludf.DUMMYFUNCTION("GOOGLEFINANCE(A239, ""high52"")"),739.0)</f>
        <v>739</v>
      </c>
      <c r="K239" s="9">
        <f>IFERROR(__xludf.DUMMYFUNCTION("GOOGLEFINANCE(A239, ""low52"")"),485.3)</f>
        <v>485.3</v>
      </c>
      <c r="L239" s="9">
        <f t="shared" si="1"/>
        <v>0.3088633288</v>
      </c>
      <c r="M239" s="9">
        <f t="shared" si="2"/>
        <v>0.05244178858</v>
      </c>
      <c r="N239" s="9">
        <f t="shared" si="3"/>
        <v>0.01784313725</v>
      </c>
      <c r="O239" s="9">
        <f t="shared" si="4"/>
        <v>0.6103117506</v>
      </c>
      <c r="P239" s="9">
        <f>IFERROR(__xludf.DUMMYFUNCTION("GOOGLEFINANCE(A239, ""pe"")"),29.32)</f>
        <v>29.32</v>
      </c>
      <c r="Q239" s="9">
        <f>IFERROR(__xludf.DUMMYFUNCTION("IFERROR(GOOGLEFINANCE(A239, ""volume"") / GOOGLEFINANCE(A239, ""volumeavg""), 0)"),0.0)</f>
        <v>0</v>
      </c>
      <c r="R239" s="9">
        <f>IFERROR(__xludf.DUMMYFUNCTION("AVERAGE(INDEX(GOOGLEFINANCE(A239, ""price"", TODAY()-30, TODAY()), 0, 2))"),503.5239130434782)</f>
        <v>503.523913</v>
      </c>
      <c r="S239" s="9">
        <f>IFERROR(__xludf.DUMMYFUNCTION("AVERAGE(INDEX(GOOGLEFINANCE(A239, ""price"", TODAY()-75, TODAY()), 0, 2))"),509.12358490566044)</f>
        <v>509.1235849</v>
      </c>
      <c r="T239" s="9">
        <f>IFERROR(__xludf.DUMMYFUNCTION("AVERAGE(INDEX(GOOGLEFINANCE(A239, ""price"", TODAY()-300, TODAY()), 0, 2))"),589.2888613861388)</f>
        <v>589.2888614</v>
      </c>
      <c r="U239" s="9">
        <f t="shared" si="5"/>
        <v>0.01435103035</v>
      </c>
      <c r="V239" s="15">
        <f>IFERROR(__xludf.DUMMYFUNCTION("LET(hist, GOOGLEFINANCE(A239,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rs))))))"),62.99999999999995)</f>
        <v>63</v>
      </c>
      <c r="W239" s="16" t="str">
        <f>IFERROR(__xludf.DUMMYFUNCTION("IFERROR(GOOGLEFINANCE(A239, ""volume"") / GOOGLEFINANCE(A239, ""volumeavg""), )"),"")</f>
        <v/>
      </c>
      <c r="X239" s="9">
        <f>IFERROR(__xludf.DUMMYFUNCTION("B239 * GOOGLEFINANCE(A239, ""volume"")"),3.3061102875E8)</f>
        <v>330611028.8</v>
      </c>
      <c r="Y239" s="9">
        <f>IFERROR(__xludf.DUMMYFUNCTION("IFERROR(((B239 - GOOGLEFINANCE(A239, ""priceopen"")) / GOOGLEFINANCE(A239, ""priceopen"")) * GOOGLEFINANCE(A239, ""volume""), 0)"),-8196.110090856313)</f>
        <v>-8196.110091</v>
      </c>
    </row>
    <row r="240">
      <c r="A240" s="4" t="s">
        <v>1597</v>
      </c>
      <c r="B240" s="7">
        <f>IFERROR(__xludf.DUMMYFUNCTION("GOOGLEFINANCE(A240, ""price"")"),191.95)</f>
        <v>191.95</v>
      </c>
      <c r="C240" s="7">
        <f>IFERROR(__xludf.DUMMYFUNCTION("GOOGLEFINANCE(A240, ""changepct"")"),-1.95)</f>
        <v>-1.95</v>
      </c>
      <c r="D240" s="9">
        <f>IFERROR(__xludf.DUMMYFUNCTION("GOOGLEFINANCE(A240, ""priceopen"")"),195.8)</f>
        <v>195.8</v>
      </c>
      <c r="E240" s="9">
        <f>IFERROR(__xludf.DUMMYFUNCTION("GOOGLEFINANCE(A240, ""high"")"),196.8)</f>
        <v>196.8</v>
      </c>
      <c r="F240" s="9">
        <f>IFERROR(__xludf.DUMMYFUNCTION("GOOGLEFINANCE(A240, ""low"")"),191.25)</f>
        <v>191.25</v>
      </c>
      <c r="G240" s="9">
        <f>IFERROR(__xludf.DUMMYFUNCTION("GOOGLEFINANCE(A240, ""price"")"),191.95)</f>
        <v>191.95</v>
      </c>
      <c r="H240" s="9">
        <f>IFERROR(__xludf.DUMMYFUNCTION("MAX(INDEX(GOOGLEFINANCE(A240, ""high"", TODAY()-30, TODAY()), 0, 2))"),212.41)</f>
        <v>212.41</v>
      </c>
      <c r="I240" s="9">
        <f>IFERROR(__xludf.DUMMYFUNCTION("MIN(INDEX(GOOGLEFINANCE(A240, ""low"", TODAY()-30, TODAY()), 0, 2))"),191.25)</f>
        <v>191.25</v>
      </c>
      <c r="J240" s="9">
        <f>IFERROR(__xludf.DUMMYFUNCTION("GOOGLEFINANCE(A240, ""high52"")"),246.85)</f>
        <v>246.85</v>
      </c>
      <c r="K240" s="9">
        <f>IFERROR(__xludf.DUMMYFUNCTION("GOOGLEFINANCE(A240, ""low52"")"),159.0)</f>
        <v>159</v>
      </c>
      <c r="L240" s="9">
        <f t="shared" si="1"/>
        <v>0.2224022686</v>
      </c>
      <c r="M240" s="9">
        <f t="shared" si="2"/>
        <v>0.2072327044</v>
      </c>
      <c r="N240" s="9">
        <f t="shared" si="3"/>
        <v>0.02901960784</v>
      </c>
      <c r="O240" s="9">
        <f t="shared" si="4"/>
        <v>0.03308128544</v>
      </c>
      <c r="P240" s="9">
        <f>IFERROR(__xludf.DUMMYFUNCTION("GOOGLEFINANCE(A240, ""pe"")"),9.04)</f>
        <v>9.04</v>
      </c>
      <c r="Q240" s="9">
        <f>IFERROR(__xludf.DUMMYFUNCTION("IFERROR(GOOGLEFINANCE(A240, ""volume"") / GOOGLEFINANCE(A240, ""volumeavg""), 0)"),0.0)</f>
        <v>0</v>
      </c>
      <c r="R240" s="9">
        <f>IFERROR(__xludf.DUMMYFUNCTION("AVERAGE(INDEX(GOOGLEFINANCE(A240, ""price"", TODAY()-30, TODAY()), 0, 2))"),200.10565217391303)</f>
        <v>200.1056522</v>
      </c>
      <c r="S240" s="9">
        <f>IFERROR(__xludf.DUMMYFUNCTION("AVERAGE(INDEX(GOOGLEFINANCE(A240, ""price"", TODAY()-75, TODAY()), 0, 2))"),204.34094339622652)</f>
        <v>204.3409434</v>
      </c>
      <c r="T240" s="9">
        <f>IFERROR(__xludf.DUMMYFUNCTION("AVERAGE(INDEX(GOOGLEFINANCE(A240, ""price"", TODAY()-300, TODAY()), 0, 2))"),206.79722772277222)</f>
        <v>206.7972277</v>
      </c>
      <c r="U240" s="9">
        <f t="shared" si="5"/>
        <v>-0.04075673068</v>
      </c>
      <c r="V240" s="15">
        <f>IFERROR(__xludf.DUMMYFUNCTION("LET(hist, GOOGLEFINANCE(A240,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rs))))))"),44.78105906313644)</f>
        <v>44.78105906</v>
      </c>
      <c r="W240" s="16" t="str">
        <f>IFERROR(__xludf.DUMMYFUNCTION("IFERROR(GOOGLEFINANCE(A240, ""volume"") / GOOGLEFINANCE(A240, ""volumeavg""), )"),"")</f>
        <v/>
      </c>
      <c r="X240" s="9">
        <f>IFERROR(__xludf.DUMMYFUNCTION("B240 * GOOGLEFINANCE(A240, ""volume"")"),4.533064327E8)</f>
        <v>453306432.7</v>
      </c>
      <c r="Y240" s="9">
        <f>IFERROR(__xludf.DUMMYFUNCTION("IFERROR(((B240 - GOOGLEFINANCE(A240, ""priceopen"")) / GOOGLEFINANCE(A240, ""priceopen"")) * GOOGLEFINANCE(A240, ""volume""), 0)"),-46435.67977528117)</f>
        <v>-46435.67978</v>
      </c>
    </row>
    <row r="241">
      <c r="A241" s="4" t="s">
        <v>1603</v>
      </c>
      <c r="B241" s="7">
        <f>IFERROR(__xludf.DUMMYFUNCTION("GOOGLEFINANCE(A241, ""price"")"),35865.0)</f>
        <v>35865</v>
      </c>
      <c r="C241" s="7">
        <f>IFERROR(__xludf.DUMMYFUNCTION("GOOGLEFINANCE(A241, ""changepct"")"),-0.69)</f>
        <v>-0.69</v>
      </c>
      <c r="D241" s="9">
        <f>IFERROR(__xludf.DUMMYFUNCTION("GOOGLEFINANCE(A241, ""priceopen"")"),36300.0)</f>
        <v>36300</v>
      </c>
      <c r="E241" s="9">
        <f>IFERROR(__xludf.DUMMYFUNCTION("GOOGLEFINANCE(A241, ""high"")"),36390.0)</f>
        <v>36390</v>
      </c>
      <c r="F241" s="9">
        <f>IFERROR(__xludf.DUMMYFUNCTION("GOOGLEFINANCE(A241, ""low"")"),35760.0)</f>
        <v>35760</v>
      </c>
      <c r="G241" s="9">
        <f>IFERROR(__xludf.DUMMYFUNCTION("GOOGLEFINANCE(A241, ""price"")"),35865.0)</f>
        <v>35865</v>
      </c>
      <c r="H241" s="9">
        <f>IFERROR(__xludf.DUMMYFUNCTION("MAX(INDEX(GOOGLEFINANCE(A241, ""high"", TODAY()-30, TODAY()), 0, 2))"),36880.0)</f>
        <v>36880</v>
      </c>
      <c r="I241" s="9">
        <f>IFERROR(__xludf.DUMMYFUNCTION("MIN(INDEX(GOOGLEFINANCE(A241, ""low"", TODAY()-30, TODAY()), 0, 2))"),34485.0)</f>
        <v>34485</v>
      </c>
      <c r="J241" s="9">
        <f>IFERROR(__xludf.DUMMYFUNCTION("GOOGLEFINANCE(A241, ""high52"")"),38030.0)</f>
        <v>38030</v>
      </c>
      <c r="K241" s="9">
        <f>IFERROR(__xludf.DUMMYFUNCTION("GOOGLEFINANCE(A241, ""low52"")"),28730.0)</f>
        <v>28730</v>
      </c>
      <c r="L241" s="9">
        <f t="shared" si="1"/>
        <v>0.05692874047</v>
      </c>
      <c r="M241" s="9">
        <f t="shared" si="2"/>
        <v>0.2483466759</v>
      </c>
      <c r="N241" s="9">
        <f t="shared" si="3"/>
        <v>0.01761744966</v>
      </c>
      <c r="O241" s="9">
        <f t="shared" si="4"/>
        <v>0.5762004175</v>
      </c>
      <c r="P241" s="9">
        <f>IFERROR(__xludf.DUMMYFUNCTION("GOOGLEFINANCE(A241, ""pe"")"),77.35)</f>
        <v>77.35</v>
      </c>
      <c r="Q241" s="9">
        <f>IFERROR(__xludf.DUMMYFUNCTION("IFERROR(GOOGLEFINANCE(A241, ""volume"") / GOOGLEFINANCE(A241, ""volumeavg""), 0)"),0.0)</f>
        <v>0</v>
      </c>
      <c r="R241" s="9">
        <f>IFERROR(__xludf.DUMMYFUNCTION("AVERAGE(INDEX(GOOGLEFINANCE(A241, ""price"", TODAY()-30, TODAY()), 0, 2))"),35601.30434782609)</f>
        <v>35601.30435</v>
      </c>
      <c r="S241" s="9">
        <f>IFERROR(__xludf.DUMMYFUNCTION("AVERAGE(INDEX(GOOGLEFINANCE(A241, ""price"", TODAY()-75, TODAY()), 0, 2))"),34179.15094339623)</f>
        <v>34179.15094</v>
      </c>
      <c r="T241" s="9">
        <f>IFERROR(__xludf.DUMMYFUNCTION("AVERAGE(INDEX(GOOGLEFINANCE(A241, ""price"", TODAY()-300, TODAY()), 0, 2))"),33833.86138613861)</f>
        <v>33833.86139</v>
      </c>
      <c r="U241" s="9">
        <f t="shared" si="5"/>
        <v>0.007406909859</v>
      </c>
      <c r="V241" s="15">
        <f>IFERROR(__xludf.DUMMYFUNCTION("LET(hist, GOOGLEFINANCE(A241,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rs))))))"),58.175355450236964)</f>
        <v>58.17535545</v>
      </c>
      <c r="W241" s="16" t="str">
        <f>IFERROR(__xludf.DUMMYFUNCTION("IFERROR(GOOGLEFINANCE(A241, ""volume"") / GOOGLEFINANCE(A241, ""volumeavg""), )"),"")</f>
        <v/>
      </c>
      <c r="X241" s="9">
        <f>IFERROR(__xludf.DUMMYFUNCTION("B241 * GOOGLEFINANCE(A241, ""volume"")"),9.4576005E7)</f>
        <v>94576005</v>
      </c>
      <c r="Y241" s="9">
        <f>IFERROR(__xludf.DUMMYFUNCTION("IFERROR(((B241 - GOOGLEFINANCE(A241, ""priceopen"")) / GOOGLEFINANCE(A241, ""priceopen"")) * GOOGLEFINANCE(A241, ""volume""), 0)"),-31.600413223140496)</f>
        <v>-31.60041322</v>
      </c>
    </row>
    <row r="242">
      <c r="A242" s="4" t="s">
        <v>1610</v>
      </c>
      <c r="B242" s="7">
        <f>IFERROR(__xludf.DUMMYFUNCTION("GOOGLEFINANCE(A242, ""price"")"),1453.1)</f>
        <v>1453.1</v>
      </c>
      <c r="C242" s="7">
        <f>IFERROR(__xludf.DUMMYFUNCTION("GOOGLEFINANCE(A242, ""changepct"")"),1.98)</f>
        <v>1.98</v>
      </c>
      <c r="D242" s="9">
        <f>IFERROR(__xludf.DUMMYFUNCTION("GOOGLEFINANCE(A242, ""priceopen"")"),1431.9)</f>
        <v>1431.9</v>
      </c>
      <c r="E242" s="9">
        <f>IFERROR(__xludf.DUMMYFUNCTION("GOOGLEFINANCE(A242, ""high"")"),1464.0)</f>
        <v>1464</v>
      </c>
      <c r="F242" s="9">
        <f>IFERROR(__xludf.DUMMYFUNCTION("GOOGLEFINANCE(A242, ""low"")"),1425.7)</f>
        <v>1425.7</v>
      </c>
      <c r="G242" s="9">
        <f>IFERROR(__xludf.DUMMYFUNCTION("GOOGLEFINANCE(A242, ""price"")"),1453.1)</f>
        <v>1453.1</v>
      </c>
      <c r="H242" s="9">
        <f>IFERROR(__xludf.DUMMYFUNCTION("MAX(INDEX(GOOGLEFINANCE(A242, ""high"", TODAY()-30, TODAY()), 0, 2))"),1504.4)</f>
        <v>1504.4</v>
      </c>
      <c r="I242" s="9">
        <f>IFERROR(__xludf.DUMMYFUNCTION("MIN(INDEX(GOOGLEFINANCE(A242, ""low"", TODAY()-30, TODAY()), 0, 2))"),1315.1)</f>
        <v>1315.1</v>
      </c>
      <c r="J242" s="9">
        <f>IFERROR(__xludf.DUMMYFUNCTION("GOOGLEFINANCE(A242, ""high52"")"),1768.7)</f>
        <v>1768.7</v>
      </c>
      <c r="K242" s="9">
        <f>IFERROR(__xludf.DUMMYFUNCTION("GOOGLEFINANCE(A242, ""low52"")"),1263.7)</f>
        <v>1263.7</v>
      </c>
      <c r="L242" s="9">
        <f t="shared" si="1"/>
        <v>0.1784361395</v>
      </c>
      <c r="M242" s="9">
        <f t="shared" si="2"/>
        <v>0.1498773443</v>
      </c>
      <c r="N242" s="9">
        <f t="shared" si="3"/>
        <v>0.02686399663</v>
      </c>
      <c r="O242" s="9">
        <f t="shared" si="4"/>
        <v>0.7290015848</v>
      </c>
      <c r="P242" s="9">
        <f>IFERROR(__xludf.DUMMYFUNCTION("GOOGLEFINANCE(A242, ""pe"")"),72.75)</f>
        <v>72.75</v>
      </c>
      <c r="Q242" s="9">
        <f>IFERROR(__xludf.DUMMYFUNCTION("IFERROR(GOOGLEFINANCE(A242, ""volume"") / GOOGLEFINANCE(A242, ""volumeavg""), 0)"),0.0)</f>
        <v>0</v>
      </c>
      <c r="R242" s="9">
        <f>IFERROR(__xludf.DUMMYFUNCTION("AVERAGE(INDEX(GOOGLEFINANCE(A242, ""price"", TODAY()-30, TODAY()), 0, 2))"),1425.7260869565216)</f>
        <v>1425.726087</v>
      </c>
      <c r="S242" s="9">
        <f>IFERROR(__xludf.DUMMYFUNCTION("AVERAGE(INDEX(GOOGLEFINANCE(A242, ""price"", TODAY()-75, TODAY()), 0, 2))"),1452.9830188679246)</f>
        <v>1452.983019</v>
      </c>
      <c r="T242" s="9">
        <f>IFERROR(__xludf.DUMMYFUNCTION("AVERAGE(INDEX(GOOGLEFINANCE(A242, ""price"", TODAY()-300, TODAY()), 0, 2))"),1502.65297029703)</f>
        <v>1502.65297</v>
      </c>
      <c r="U242" s="9">
        <f t="shared" si="5"/>
        <v>0.01919998048</v>
      </c>
      <c r="V242" s="15">
        <f>IFERROR(__xludf.DUMMYFUNCTION("LET(hist, GOOGLEFINANCE(A242,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rs))))))"),62.56206554121152)</f>
        <v>62.56206554</v>
      </c>
      <c r="W242" s="16" t="str">
        <f>IFERROR(__xludf.DUMMYFUNCTION("IFERROR(GOOGLEFINANCE(A242, ""volume"") / GOOGLEFINANCE(A242, ""volumeavg""), )"),"")</f>
        <v/>
      </c>
      <c r="X242" s="9">
        <f>IFERROR(__xludf.DUMMYFUNCTION("B242 * GOOGLEFINANCE(A242, ""volume"")"),5.796357775999999E8)</f>
        <v>579635777.6</v>
      </c>
      <c r="Y242" s="9">
        <f>IFERROR(__xludf.DUMMYFUNCTION("IFERROR(((B242 - GOOGLEFINANCE(A242, ""priceopen"")) / GOOGLEFINANCE(A242, ""priceopen"")) * GOOGLEFINANCE(A242, ""volume""), 0)"),5905.855995530363)</f>
        <v>5905.855996</v>
      </c>
    </row>
    <row r="243">
      <c r="A243" s="4" t="s">
        <v>1617</v>
      </c>
      <c r="B243" s="7">
        <f>IFERROR(__xludf.DUMMYFUNCTION("GOOGLEFINANCE(A243, ""price"")"),8352.5)</f>
        <v>8352.5</v>
      </c>
      <c r="C243" s="7">
        <f>IFERROR(__xludf.DUMMYFUNCTION("GOOGLEFINANCE(A243, ""changepct"")"),2.41)</f>
        <v>2.41</v>
      </c>
      <c r="D243" s="9">
        <f>IFERROR(__xludf.DUMMYFUNCTION("GOOGLEFINANCE(A243, ""priceopen"")"),8200.0)</f>
        <v>8200</v>
      </c>
      <c r="E243" s="9">
        <f>IFERROR(__xludf.DUMMYFUNCTION("GOOGLEFINANCE(A243, ""high"")"),8444.0)</f>
        <v>8444</v>
      </c>
      <c r="F243" s="9">
        <f>IFERROR(__xludf.DUMMYFUNCTION("GOOGLEFINANCE(A243, ""low"")"),8125.5)</f>
        <v>8125.5</v>
      </c>
      <c r="G243" s="9">
        <f>IFERROR(__xludf.DUMMYFUNCTION("GOOGLEFINANCE(A243, ""price"")"),8352.5)</f>
        <v>8352.5</v>
      </c>
      <c r="H243" s="9">
        <f>IFERROR(__xludf.DUMMYFUNCTION("MAX(INDEX(GOOGLEFINANCE(A243, ""high"", TODAY()-30, TODAY()), 0, 2))"),8775.5)</f>
        <v>8775.5</v>
      </c>
      <c r="I243" s="9">
        <f>IFERROR(__xludf.DUMMYFUNCTION("MIN(INDEX(GOOGLEFINANCE(A243, ""low"", TODAY()-30, TODAY()), 0, 2))"),7368.0)</f>
        <v>7368</v>
      </c>
      <c r="J243" s="9">
        <f>IFERROR(__xludf.DUMMYFUNCTION("GOOGLEFINANCE(A243, ""high52"")"),8775.5)</f>
        <v>8775.5</v>
      </c>
      <c r="K243" s="9">
        <f>IFERROR(__xludf.DUMMYFUNCTION("GOOGLEFINANCE(A243, ""low52"")"),4498.5)</f>
        <v>4498.5</v>
      </c>
      <c r="L243" s="9">
        <f t="shared" si="1"/>
        <v>0.04820238163</v>
      </c>
      <c r="M243" s="9">
        <f t="shared" si="2"/>
        <v>0.8567300211</v>
      </c>
      <c r="N243" s="9">
        <f t="shared" si="3"/>
        <v>0.03919758784</v>
      </c>
      <c r="O243" s="9">
        <f t="shared" si="4"/>
        <v>0.6994671403</v>
      </c>
      <c r="P243" s="9">
        <f>IFERROR(__xludf.DUMMYFUNCTION("GOOGLEFINANCE(A243, ""pe"")"),54.25)</f>
        <v>54.25</v>
      </c>
      <c r="Q243" s="9">
        <f>IFERROR(__xludf.DUMMYFUNCTION("IFERROR(GOOGLEFINANCE(A243, ""volume"") / GOOGLEFINANCE(A243, ""volumeavg""), 0)"),0.0)</f>
        <v>0</v>
      </c>
      <c r="R243" s="9">
        <f>IFERROR(__xludf.DUMMYFUNCTION("AVERAGE(INDEX(GOOGLEFINANCE(A243, ""price"", TODAY()-30, TODAY()), 0, 2))"),7782.239130434783)</f>
        <v>7782.23913</v>
      </c>
      <c r="S243" s="9">
        <f>IFERROR(__xludf.DUMMYFUNCTION("AVERAGE(INDEX(GOOGLEFINANCE(A243, ""price"", TODAY()-75, TODAY()), 0, 2))"),7540.547169811321)</f>
        <v>7540.54717</v>
      </c>
      <c r="T243" s="9">
        <f>IFERROR(__xludf.DUMMYFUNCTION("AVERAGE(INDEX(GOOGLEFINANCE(A243, ""price"", TODAY()-300, TODAY()), 0, 2))"),6514.5405940594055)</f>
        <v>6514.540594</v>
      </c>
      <c r="U243" s="9">
        <f t="shared" si="5"/>
        <v>0.07327722266</v>
      </c>
      <c r="V243" s="15">
        <f>IFERROR(__xludf.DUMMYFUNCTION("LET(hist, GOOGLEFINANCE(A243,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rs))))))"),61.9614711033275)</f>
        <v>61.9614711</v>
      </c>
      <c r="W243" s="16" t="str">
        <f>IFERROR(__xludf.DUMMYFUNCTION("IFERROR(GOOGLEFINANCE(A243, ""volume"") / GOOGLEFINANCE(A243, ""volumeavg""), )"),"")</f>
        <v/>
      </c>
      <c r="X243" s="9">
        <f>IFERROR(__xludf.DUMMYFUNCTION("B243 * GOOGLEFINANCE(A243, ""volume"")"),2.43007635E9)</f>
        <v>2430076350</v>
      </c>
      <c r="Y243" s="9">
        <f>IFERROR(__xludf.DUMMYFUNCTION("IFERROR(((B243 - GOOGLEFINANCE(A243, ""priceopen"")) / GOOGLEFINANCE(A243, ""priceopen"")) * GOOGLEFINANCE(A243, ""volume""), 0)"),5410.774390243902)</f>
        <v>5410.77439</v>
      </c>
    </row>
    <row r="244">
      <c r="A244" s="4" t="s">
        <v>1625</v>
      </c>
      <c r="B244" s="7">
        <f>IFERROR(__xludf.DUMMYFUNCTION("GOOGLEFINANCE(A244, ""price"")"),3028.0)</f>
        <v>3028</v>
      </c>
      <c r="C244" s="7">
        <f>IFERROR(__xludf.DUMMYFUNCTION("GOOGLEFINANCE(A244, ""changepct"")"),1.35)</f>
        <v>1.35</v>
      </c>
      <c r="D244" s="9">
        <f>IFERROR(__xludf.DUMMYFUNCTION("GOOGLEFINANCE(A244, ""priceopen"")"),3006.0)</f>
        <v>3006</v>
      </c>
      <c r="E244" s="9">
        <f>IFERROR(__xludf.DUMMYFUNCTION("GOOGLEFINANCE(A244, ""high"")"),3029.0)</f>
        <v>3029</v>
      </c>
      <c r="F244" s="9">
        <f>IFERROR(__xludf.DUMMYFUNCTION("GOOGLEFINANCE(A244, ""low"")"),2984.2)</f>
        <v>2984.2</v>
      </c>
      <c r="G244" s="9">
        <f>IFERROR(__xludf.DUMMYFUNCTION("GOOGLEFINANCE(A244, ""price"")"),3028.0)</f>
        <v>3028</v>
      </c>
      <c r="H244" s="9">
        <f>IFERROR(__xludf.DUMMYFUNCTION("MAX(INDEX(GOOGLEFINANCE(A244, ""high"", TODAY()-30, TODAY()), 0, 2))"),3029.0)</f>
        <v>3029</v>
      </c>
      <c r="I244" s="9">
        <f>IFERROR(__xludf.DUMMYFUNCTION("MIN(INDEX(GOOGLEFINANCE(A244, ""low"", TODAY()-30, TODAY()), 0, 2))"),2548.6)</f>
        <v>2548.6</v>
      </c>
      <c r="J244" s="9">
        <f>IFERROR(__xludf.DUMMYFUNCTION("GOOGLEFINANCE(A244, ""high52"")"),3079.9)</f>
        <v>3079.9</v>
      </c>
      <c r="K244" s="9">
        <f>IFERROR(__xludf.DUMMYFUNCTION("GOOGLEFINANCE(A244, ""low52"")"),2142.8)</f>
        <v>2142.8</v>
      </c>
      <c r="L244" s="9">
        <f t="shared" si="1"/>
        <v>0.01685119647</v>
      </c>
      <c r="M244" s="9">
        <f t="shared" si="2"/>
        <v>0.4131043494</v>
      </c>
      <c r="N244" s="9">
        <f t="shared" si="3"/>
        <v>0.01501239863</v>
      </c>
      <c r="O244" s="9">
        <f t="shared" si="4"/>
        <v>0.9979184013</v>
      </c>
      <c r="P244" s="9">
        <f>IFERROR(__xludf.DUMMYFUNCTION("GOOGLEFINANCE(A244, ""pe"")"),44.75)</f>
        <v>44.75</v>
      </c>
      <c r="Q244" s="9">
        <f>IFERROR(__xludf.DUMMYFUNCTION("IFERROR(GOOGLEFINANCE(A244, ""volume"") / GOOGLEFINANCE(A244, ""volumeavg""), 0)"),0.0)</f>
        <v>0</v>
      </c>
      <c r="R244" s="9">
        <f>IFERROR(__xludf.DUMMYFUNCTION("AVERAGE(INDEX(GOOGLEFINANCE(A244, ""price"", TODAY()-30, TODAY()), 0, 2))"),2794.4434782608696)</f>
        <v>2794.443478</v>
      </c>
      <c r="S244" s="9">
        <f>IFERROR(__xludf.DUMMYFUNCTION("AVERAGE(INDEX(GOOGLEFINANCE(A244, ""price"", TODAY()-75, TODAY()), 0, 2))"),2700.875471698114)</f>
        <v>2700.875472</v>
      </c>
      <c r="T244" s="9">
        <f>IFERROR(__xludf.DUMMYFUNCTION("AVERAGE(INDEX(GOOGLEFINANCE(A244, ""price"", TODAY()-300, TODAY()), 0, 2))"),2594.8651741293525)</f>
        <v>2594.865174</v>
      </c>
      <c r="U244" s="9">
        <f t="shared" si="5"/>
        <v>0.08357890348</v>
      </c>
      <c r="V244" s="15">
        <f>IFERROR(__xludf.DUMMYFUNCTION("LET(hist, GOOGLEFINANCE(A244,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rs))))))"),73.14471243042665)</f>
        <v>73.14471243</v>
      </c>
      <c r="W244" s="16" t="str">
        <f>IFERROR(__xludf.DUMMYFUNCTION("IFERROR(GOOGLEFINANCE(A244, ""volume"") / GOOGLEFINANCE(A244, ""volumeavg""), )"),"")</f>
        <v/>
      </c>
      <c r="X244" s="9">
        <f>IFERROR(__xludf.DUMMYFUNCTION("B244 * GOOGLEFINANCE(A244, ""volume"")"),4.22030528E8)</f>
        <v>422030528</v>
      </c>
      <c r="Y244" s="9">
        <f>IFERROR(__xludf.DUMMYFUNCTION("IFERROR(((B244 - GOOGLEFINANCE(A244, ""priceopen"")) / GOOGLEFINANCE(A244, ""priceopen"")) * GOOGLEFINANCE(A244, ""volume""), 0)"),1020.0505655355955)</f>
        <v>1020.050566</v>
      </c>
    </row>
    <row r="245">
      <c r="A245" s="4" t="s">
        <v>1629</v>
      </c>
      <c r="B245" s="7">
        <f>IFERROR(__xludf.DUMMYFUNCTION("GOOGLEFINANCE(A245, ""price"")"),350.8)</f>
        <v>350.8</v>
      </c>
      <c r="C245" s="7">
        <f>IFERROR(__xludf.DUMMYFUNCTION("GOOGLEFINANCE(A245, ""changepct"")"),-0.62)</f>
        <v>-0.62</v>
      </c>
      <c r="D245" s="9">
        <f>IFERROR(__xludf.DUMMYFUNCTION("GOOGLEFINANCE(A245, ""priceopen"")"),352.95)</f>
        <v>352.95</v>
      </c>
      <c r="E245" s="9">
        <f>IFERROR(__xludf.DUMMYFUNCTION("GOOGLEFINANCE(A245, ""high"")"),353.6)</f>
        <v>353.6</v>
      </c>
      <c r="F245" s="9">
        <f>IFERROR(__xludf.DUMMYFUNCTION("GOOGLEFINANCE(A245, ""low"")"),342.15)</f>
        <v>342.15</v>
      </c>
      <c r="G245" s="9">
        <f>IFERROR(__xludf.DUMMYFUNCTION("GOOGLEFINANCE(A245, ""price"")"),350.8)</f>
        <v>350.8</v>
      </c>
      <c r="H245" s="9">
        <f>IFERROR(__xludf.DUMMYFUNCTION("MAX(INDEX(GOOGLEFINANCE(A245, ""high"", TODAY()-30, TODAY()), 0, 2))"),412.15)</f>
        <v>412.15</v>
      </c>
      <c r="I245" s="9">
        <f>IFERROR(__xludf.DUMMYFUNCTION("MIN(INDEX(GOOGLEFINANCE(A245, ""low"", TODAY()-30, TODAY()), 0, 2))"),328.2)</f>
        <v>328.2</v>
      </c>
      <c r="J245" s="9">
        <f>IFERROR(__xludf.DUMMYFUNCTION("GOOGLEFINANCE(A245, ""high52"")"),615.0)</f>
        <v>615</v>
      </c>
      <c r="K245" s="9">
        <f>IFERROR(__xludf.DUMMYFUNCTION("GOOGLEFINANCE(A245, ""low52"")"),328.2)</f>
        <v>328.2</v>
      </c>
      <c r="L245" s="9">
        <f t="shared" si="1"/>
        <v>0.4295934959</v>
      </c>
      <c r="M245" s="9">
        <f t="shared" si="2"/>
        <v>0.06886045094</v>
      </c>
      <c r="N245" s="9">
        <f t="shared" si="3"/>
        <v>0.0334648546</v>
      </c>
      <c r="O245" s="9">
        <f t="shared" si="4"/>
        <v>0.2692078618</v>
      </c>
      <c r="P245" s="9">
        <f>IFERROR(__xludf.DUMMYFUNCTION("GOOGLEFINANCE(A245, ""pe"")"),21.04)</f>
        <v>21.04</v>
      </c>
      <c r="Q245" s="9">
        <f>IFERROR(__xludf.DUMMYFUNCTION("IFERROR(GOOGLEFINANCE(A245, ""volume"") / GOOGLEFINANCE(A245, ""volumeavg""), 0)"),0.0)</f>
        <v>0</v>
      </c>
      <c r="R245" s="9">
        <f>IFERROR(__xludf.DUMMYFUNCTION("AVERAGE(INDEX(GOOGLEFINANCE(A245, ""price"", TODAY()-30, TODAY()), 0, 2))"),354.58043478260873)</f>
        <v>354.5804348</v>
      </c>
      <c r="S245" s="9">
        <f>IFERROR(__xludf.DUMMYFUNCTION("AVERAGE(INDEX(GOOGLEFINANCE(A245, ""price"", TODAY()-75, TODAY()), 0, 2))"),392.70377358490566)</f>
        <v>392.7037736</v>
      </c>
      <c r="T245" s="9">
        <f>IFERROR(__xludf.DUMMYFUNCTION("AVERAGE(INDEX(GOOGLEFINANCE(A245, ""price"", TODAY()-300, TODAY()), 0, 2))"),486.4574257425743)</f>
        <v>486.4574257</v>
      </c>
      <c r="U245" s="9">
        <f t="shared" si="5"/>
        <v>-0.01066171286</v>
      </c>
      <c r="V245" s="15">
        <f>IFERROR(__xludf.DUMMYFUNCTION("LET(hist, GOOGLEFINANCE(A245,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rs))))))"),63.432165318957814)</f>
        <v>63.43216532</v>
      </c>
      <c r="W245" s="16" t="str">
        <f>IFERROR(__xludf.DUMMYFUNCTION("IFERROR(GOOGLEFINANCE(A245, ""volume"") / GOOGLEFINANCE(A245, ""volumeavg""), )"),"")</f>
        <v/>
      </c>
      <c r="X245" s="9">
        <f>IFERROR(__xludf.DUMMYFUNCTION("B245 * GOOGLEFINANCE(A245, ""volume"")"),1.4544673152E9)</f>
        <v>1454467315</v>
      </c>
      <c r="Y245" s="9">
        <f>IFERROR(__xludf.DUMMYFUNCTION("IFERROR(((B245 - GOOGLEFINANCE(A245, ""priceopen"")) / GOOGLEFINANCE(A245, ""priceopen"")) * GOOGLEFINANCE(A245, ""volume""), 0)"),-25256.29579260492)</f>
        <v>-25256.29579</v>
      </c>
    </row>
    <row r="246">
      <c r="A246" s="4" t="s">
        <v>1633</v>
      </c>
      <c r="B246" s="7">
        <f>IFERROR(__xludf.DUMMYFUNCTION("GOOGLEFINANCE(A246, ""price"")"),827.9)</f>
        <v>827.9</v>
      </c>
      <c r="C246" s="7">
        <f>IFERROR(__xludf.DUMMYFUNCTION("GOOGLEFINANCE(A246, ""changepct"")"),0.74)</f>
        <v>0.74</v>
      </c>
      <c r="D246" s="9">
        <f>IFERROR(__xludf.DUMMYFUNCTION("GOOGLEFINANCE(A246, ""priceopen"")"),821.8)</f>
        <v>821.8</v>
      </c>
      <c r="E246" s="9">
        <f>IFERROR(__xludf.DUMMYFUNCTION("GOOGLEFINANCE(A246, ""high"")"),837.9)</f>
        <v>837.9</v>
      </c>
      <c r="F246" s="9">
        <f>IFERROR(__xludf.DUMMYFUNCTION("GOOGLEFINANCE(A246, ""low"")"),808.5)</f>
        <v>808.5</v>
      </c>
      <c r="G246" s="9">
        <f>IFERROR(__xludf.DUMMYFUNCTION("GOOGLEFINANCE(A246, ""price"")"),827.9)</f>
        <v>827.9</v>
      </c>
      <c r="H246" s="9">
        <f>IFERROR(__xludf.DUMMYFUNCTION("MAX(INDEX(GOOGLEFINANCE(A246, ""high"", TODAY()-30, TODAY()), 0, 2))"),908.0)</f>
        <v>908</v>
      </c>
      <c r="I246" s="9">
        <f>IFERROR(__xludf.DUMMYFUNCTION("MIN(INDEX(GOOGLEFINANCE(A246, ""low"", TODAY()-30, TODAY()), 0, 2))"),700.0)</f>
        <v>700</v>
      </c>
      <c r="J246" s="9">
        <f>IFERROR(__xludf.DUMMYFUNCTION("GOOGLEFINANCE(A246, ""high52"")"),908.0)</f>
        <v>908</v>
      </c>
      <c r="K246" s="9">
        <f>IFERROR(__xludf.DUMMYFUNCTION("GOOGLEFINANCE(A246, ""low52"")"),700.0)</f>
        <v>700</v>
      </c>
      <c r="L246" s="9">
        <f t="shared" si="1"/>
        <v>0.08821585903</v>
      </c>
      <c r="M246" s="9">
        <f t="shared" si="2"/>
        <v>0.1827142857</v>
      </c>
      <c r="N246" s="9">
        <f t="shared" si="3"/>
        <v>0.03636363636</v>
      </c>
      <c r="O246" s="9">
        <f t="shared" si="4"/>
        <v>0.6149038462</v>
      </c>
      <c r="P246" s="9">
        <f>IFERROR(__xludf.DUMMYFUNCTION("GOOGLEFINANCE(A246, ""pe"")"),37.56)</f>
        <v>37.56</v>
      </c>
      <c r="Q246" s="9">
        <f>IFERROR(__xludf.DUMMYFUNCTION("IFERROR(GOOGLEFINANCE(A246, ""volume"") / GOOGLEFINANCE(A246, ""volumeavg""), 0)"),0.0)</f>
        <v>0</v>
      </c>
      <c r="R246" s="9">
        <f>IFERROR(__xludf.DUMMYFUNCTION("AVERAGE(INDEX(GOOGLEFINANCE(A246, ""price"", TODAY()-30, TODAY()), 0, 2))"),808.1050000000001)</f>
        <v>808.105</v>
      </c>
      <c r="S246" s="9">
        <f>IFERROR(__xludf.DUMMYFUNCTION("AVERAGE(INDEX(GOOGLEFINANCE(A246, ""price"", TODAY()-75, TODAY()), 0, 2))"),808.1050000000001)</f>
        <v>808.105</v>
      </c>
      <c r="T246" s="9">
        <f>IFERROR(__xludf.DUMMYFUNCTION("AVERAGE(INDEX(GOOGLEFINANCE(A246, ""price"", TODAY()-300, TODAY()), 0, 2))"),808.1050000000001)</f>
        <v>808.105</v>
      </c>
      <c r="U246" s="9">
        <f t="shared" si="5"/>
        <v>0.02449557916</v>
      </c>
      <c r="V246" s="15" t="str">
        <f>IFERROR(__xludf.DUMMYFUNCTION("LET(hist, GOOGLEFINANCE(A246,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rs))))))"),"#N/A")</f>
        <v>#N/A</v>
      </c>
      <c r="W246" s="16" t="str">
        <f>IFERROR(__xludf.DUMMYFUNCTION("IFERROR(GOOGLEFINANCE(A246, ""volume"") / GOOGLEFINANCE(A246, ""volumeavg""), )"),"")</f>
        <v/>
      </c>
      <c r="X246" s="9">
        <f>IFERROR(__xludf.DUMMYFUNCTION("B246 * GOOGLEFINANCE(A246, ""volume"")"),1.0889517722E9)</f>
        <v>1088951772</v>
      </c>
      <c r="Y246" s="9">
        <f>IFERROR(__xludf.DUMMYFUNCTION("IFERROR(((B246 - GOOGLEFINANCE(A246, ""priceopen"")) / GOOGLEFINANCE(A246, ""priceopen"")) * GOOGLEFINANCE(A246, ""volume""), 0)"),9763.251155999063)</f>
        <v>9763.251156</v>
      </c>
    </row>
    <row r="247">
      <c r="A247" s="4" t="s">
        <v>1640</v>
      </c>
      <c r="B247" s="7">
        <f>IFERROR(__xludf.DUMMYFUNCTION("GOOGLEFINANCE(A247, ""price"")"),491.8)</f>
        <v>491.8</v>
      </c>
      <c r="C247" s="7">
        <f>IFERROR(__xludf.DUMMYFUNCTION("GOOGLEFINANCE(A247, ""changepct"")"),1.75)</f>
        <v>1.75</v>
      </c>
      <c r="D247" s="9">
        <f>IFERROR(__xludf.DUMMYFUNCTION("GOOGLEFINANCE(A247, ""priceopen"")"),485.0)</f>
        <v>485</v>
      </c>
      <c r="E247" s="9">
        <f>IFERROR(__xludf.DUMMYFUNCTION("GOOGLEFINANCE(A247, ""high"")"),495.25)</f>
        <v>495.25</v>
      </c>
      <c r="F247" s="9">
        <f>IFERROR(__xludf.DUMMYFUNCTION("GOOGLEFINANCE(A247, ""low"")"),482.35)</f>
        <v>482.35</v>
      </c>
      <c r="G247" s="9">
        <f>IFERROR(__xludf.DUMMYFUNCTION("GOOGLEFINANCE(A247, ""price"")"),491.8)</f>
        <v>491.8</v>
      </c>
      <c r="H247" s="9">
        <f>IFERROR(__xludf.DUMMYFUNCTION("MAX(INDEX(GOOGLEFINANCE(A247, ""high"", TODAY()-30, TODAY()), 0, 2))"),496.4)</f>
        <v>496.4</v>
      </c>
      <c r="I247" s="9">
        <f>IFERROR(__xludf.DUMMYFUNCTION("MIN(INDEX(GOOGLEFINANCE(A247, ""low"", TODAY()-30, TODAY()), 0, 2))"),416.0)</f>
        <v>416</v>
      </c>
      <c r="J247" s="9">
        <f>IFERROR(__xludf.DUMMYFUNCTION("GOOGLEFINANCE(A247, ""high52"")"),496.4)</f>
        <v>496.4</v>
      </c>
      <c r="K247" s="9">
        <f>IFERROR(__xludf.DUMMYFUNCTION("GOOGLEFINANCE(A247, ""low52"")"),287.0)</f>
        <v>287</v>
      </c>
      <c r="L247" s="9">
        <f t="shared" si="1"/>
        <v>0.009266720387</v>
      </c>
      <c r="M247" s="9">
        <f t="shared" si="2"/>
        <v>0.7135888502</v>
      </c>
      <c r="N247" s="9">
        <f t="shared" si="3"/>
        <v>0.02674406551</v>
      </c>
      <c r="O247" s="9">
        <f t="shared" si="4"/>
        <v>0.9427860697</v>
      </c>
      <c r="P247" s="9">
        <f>IFERROR(__xludf.DUMMYFUNCTION("GOOGLEFINANCE(A247, ""pe"")"),51.06)</f>
        <v>51.06</v>
      </c>
      <c r="Q247" s="9">
        <f>IFERROR(__xludf.DUMMYFUNCTION("IFERROR(GOOGLEFINANCE(A247, ""volume"") / GOOGLEFINANCE(A247, ""volumeavg""), 0)"),0.0)</f>
        <v>0</v>
      </c>
      <c r="R247" s="9">
        <f>IFERROR(__xludf.DUMMYFUNCTION("AVERAGE(INDEX(GOOGLEFINANCE(A247, ""price"", TODAY()-30, TODAY()), 0, 2))"),448.32608695652164)</f>
        <v>448.326087</v>
      </c>
      <c r="S247" s="9">
        <f>IFERROR(__xludf.DUMMYFUNCTION("AVERAGE(INDEX(GOOGLEFINANCE(A247, ""price"", TODAY()-75, TODAY()), 0, 2))"),419.43301886792466)</f>
        <v>419.4330189</v>
      </c>
      <c r="T247" s="9">
        <f>IFERROR(__xludf.DUMMYFUNCTION("AVERAGE(INDEX(GOOGLEFINANCE(A247, ""price"", TODAY()-300, TODAY()), 0, 2))"),367.39875621890553)</f>
        <v>367.3987562</v>
      </c>
      <c r="U247" s="9">
        <f t="shared" si="5"/>
        <v>0.09696940309</v>
      </c>
      <c r="V247" s="15">
        <f>IFERROR(__xludf.DUMMYFUNCTION("LET(hist, GOOGLEFINANCE(A247,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rs))))))"),71.3149078726968)</f>
        <v>71.31490787</v>
      </c>
      <c r="W247" s="16" t="str">
        <f>IFERROR(__xludf.DUMMYFUNCTION("IFERROR(GOOGLEFINANCE(A247, ""volume"") / GOOGLEFINANCE(A247, ""volumeavg""), )"),"")</f>
        <v/>
      </c>
      <c r="X247" s="9">
        <f>IFERROR(__xludf.DUMMYFUNCTION("B247 * GOOGLEFINANCE(A247, ""volume"")"),2.2593287082000003E9)</f>
        <v>2259328708</v>
      </c>
      <c r="Y247" s="9">
        <f>IFERROR(__xludf.DUMMYFUNCTION("IFERROR(((B247 - GOOGLEFINANCE(A247, ""priceopen"")) / GOOGLEFINANCE(A247, ""priceopen"")) * GOOGLEFINANCE(A247, ""volume""), 0)"),64410.70762886608)</f>
        <v>64410.70763</v>
      </c>
    </row>
    <row r="248">
      <c r="A248" s="4" t="s">
        <v>1646</v>
      </c>
      <c r="B248" s="7">
        <f>IFERROR(__xludf.DUMMYFUNCTION("GOOGLEFINANCE(A248, ""price"")"),762.3)</f>
        <v>762.3</v>
      </c>
      <c r="C248" s="7">
        <f>IFERROR(__xludf.DUMMYFUNCTION("GOOGLEFINANCE(A248, ""changepct"")"),0.9)</f>
        <v>0.9</v>
      </c>
      <c r="D248" s="9">
        <f>IFERROR(__xludf.DUMMYFUNCTION("GOOGLEFINANCE(A248, ""priceopen"")"),760.0)</f>
        <v>760</v>
      </c>
      <c r="E248" s="9">
        <f>IFERROR(__xludf.DUMMYFUNCTION("GOOGLEFINANCE(A248, ""high"")"),764.95)</f>
        <v>764.95</v>
      </c>
      <c r="F248" s="9">
        <f>IFERROR(__xludf.DUMMYFUNCTION("GOOGLEFINANCE(A248, ""low"")"),756.1)</f>
        <v>756.1</v>
      </c>
      <c r="G248" s="9">
        <f>IFERROR(__xludf.DUMMYFUNCTION("GOOGLEFINANCE(A248, ""price"")"),762.3)</f>
        <v>762.3</v>
      </c>
      <c r="H248" s="9">
        <f>IFERROR(__xludf.DUMMYFUNCTION("MAX(INDEX(GOOGLEFINANCE(A248, ""high"", TODAY()-30, TODAY()), 0, 2))"),819.5)</f>
        <v>819.5</v>
      </c>
      <c r="I248" s="9">
        <f>IFERROR(__xludf.DUMMYFUNCTION("MIN(INDEX(GOOGLEFINANCE(A248, ""low"", TODAY()-30, TODAY()), 0, 2))"),653.0)</f>
        <v>653</v>
      </c>
      <c r="J248" s="9">
        <f>IFERROR(__xludf.DUMMYFUNCTION("GOOGLEFINANCE(A248, ""high52"")"),819.5)</f>
        <v>819.5</v>
      </c>
      <c r="K248" s="9">
        <f>IFERROR(__xludf.DUMMYFUNCTION("GOOGLEFINANCE(A248, ""low52"")"),418.5)</f>
        <v>418.5</v>
      </c>
      <c r="L248" s="9">
        <f t="shared" si="1"/>
        <v>0.06979865772</v>
      </c>
      <c r="M248" s="9">
        <f t="shared" si="2"/>
        <v>0.8215053763</v>
      </c>
      <c r="N248" s="9">
        <f t="shared" si="3"/>
        <v>0.01170480095</v>
      </c>
      <c r="O248" s="9">
        <f t="shared" si="4"/>
        <v>0.6564564565</v>
      </c>
      <c r="P248" s="9">
        <f>IFERROR(__xludf.DUMMYFUNCTION("GOOGLEFINANCE(A248, ""pe"")"),48.09)</f>
        <v>48.09</v>
      </c>
      <c r="Q248" s="9">
        <f>IFERROR(__xludf.DUMMYFUNCTION("IFERROR(GOOGLEFINANCE(A248, ""volume"") / GOOGLEFINANCE(A248, ""volumeavg""), 0)"),0.0)</f>
        <v>0</v>
      </c>
      <c r="R248" s="9">
        <f>IFERROR(__xludf.DUMMYFUNCTION("AVERAGE(INDEX(GOOGLEFINANCE(A248, ""price"", TODAY()-30, TODAY()), 0, 2))"),750.5304347826086)</f>
        <v>750.5304348</v>
      </c>
      <c r="S248" s="9">
        <f>IFERROR(__xludf.DUMMYFUNCTION("AVERAGE(INDEX(GOOGLEFINANCE(A248, ""price"", TODAY()-75, TODAY()), 0, 2))"),699.7556603773587)</f>
        <v>699.7556604</v>
      </c>
      <c r="T248" s="9">
        <f>IFERROR(__xludf.DUMMYFUNCTION("AVERAGE(INDEX(GOOGLEFINANCE(A248, ""price"", TODAY()-300, TODAY()), 0, 2))"),541.4034653465344)</f>
        <v>541.4034653</v>
      </c>
      <c r="U248" s="9">
        <f t="shared" si="5"/>
        <v>0.01568166282</v>
      </c>
      <c r="V248" s="15">
        <f>IFERROR(__xludf.DUMMYFUNCTION("LET(hist, GOOGLEFINANCE(A248,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rs))))))"),45.235863792564814)</f>
        <v>45.23586379</v>
      </c>
      <c r="W248" s="16" t="str">
        <f>IFERROR(__xludf.DUMMYFUNCTION("IFERROR(GOOGLEFINANCE(A248, ""volume"") / GOOGLEFINANCE(A248, ""volumeavg""), )"),"")</f>
        <v/>
      </c>
      <c r="X248" s="9">
        <f>IFERROR(__xludf.DUMMYFUNCTION("B248 * GOOGLEFINANCE(A248, ""volume"")"),1.7077829768999999E9)</f>
        <v>1707782977</v>
      </c>
      <c r="Y248" s="9">
        <f>IFERROR(__xludf.DUMMYFUNCTION("IFERROR(((B248 - GOOGLEFINANCE(A248, ""priceopen"")) / GOOGLEFINANCE(A248, ""priceopen"")) * GOOGLEFINANCE(A248, ""volume""), 0)"),6779.864342105129)</f>
        <v>6779.864342</v>
      </c>
    </row>
    <row r="249">
      <c r="A249" s="4" t="s">
        <v>1654</v>
      </c>
      <c r="B249" s="7">
        <f>IFERROR(__xludf.DUMMYFUNCTION("GOOGLEFINANCE(A249, ""price"")"),1391.0)</f>
        <v>1391</v>
      </c>
      <c r="C249" s="7">
        <f>IFERROR(__xludf.DUMMYFUNCTION("GOOGLEFINANCE(A249, ""changepct"")"),-3.43)</f>
        <v>-3.43</v>
      </c>
      <c r="D249" s="9">
        <f>IFERROR(__xludf.DUMMYFUNCTION("GOOGLEFINANCE(A249, ""priceopen"")"),1440.4)</f>
        <v>1440.4</v>
      </c>
      <c r="E249" s="9">
        <f>IFERROR(__xludf.DUMMYFUNCTION("GOOGLEFINANCE(A249, ""high"")"),1446.7)</f>
        <v>1446.7</v>
      </c>
      <c r="F249" s="9">
        <f>IFERROR(__xludf.DUMMYFUNCTION("GOOGLEFINANCE(A249, ""low"")"),1380.0)</f>
        <v>1380</v>
      </c>
      <c r="G249" s="9">
        <f>IFERROR(__xludf.DUMMYFUNCTION("GOOGLEFINANCE(A249, ""price"")"),1391.0)</f>
        <v>1391</v>
      </c>
      <c r="H249" s="9">
        <f>IFERROR(__xludf.DUMMYFUNCTION("MAX(INDEX(GOOGLEFINANCE(A249, ""high"", TODAY()-30, TODAY()), 0, 2))"),1491.0)</f>
        <v>1491</v>
      </c>
      <c r="I249" s="9">
        <f>IFERROR(__xludf.DUMMYFUNCTION("MIN(INDEX(GOOGLEFINANCE(A249, ""low"", TODAY()-30, TODAY()), 0, 2))"),1305.0)</f>
        <v>1305</v>
      </c>
      <c r="J249" s="9">
        <f>IFERROR(__xludf.DUMMYFUNCTION("GOOGLEFINANCE(A249, ""high52"")"),1491.0)</f>
        <v>1491</v>
      </c>
      <c r="K249" s="9">
        <f>IFERROR(__xludf.DUMMYFUNCTION("GOOGLEFINANCE(A249, ""low52"")"),956.0)</f>
        <v>956</v>
      </c>
      <c r="L249" s="9">
        <f t="shared" si="1"/>
        <v>0.06706908115</v>
      </c>
      <c r="M249" s="9">
        <f t="shared" si="2"/>
        <v>0.4550209205</v>
      </c>
      <c r="N249" s="9">
        <f t="shared" si="3"/>
        <v>0.04833333333</v>
      </c>
      <c r="O249" s="9">
        <f t="shared" si="4"/>
        <v>0.4623655914</v>
      </c>
      <c r="P249" s="9">
        <f>IFERROR(__xludf.DUMMYFUNCTION("GOOGLEFINANCE(A249, ""pe"")"),67.26)</f>
        <v>67.26</v>
      </c>
      <c r="Q249" s="9">
        <f>IFERROR(__xludf.DUMMYFUNCTION("IFERROR(GOOGLEFINANCE(A249, ""volume"") / GOOGLEFINANCE(A249, ""volumeavg""), 0)"),0.0)</f>
        <v>0</v>
      </c>
      <c r="R249" s="9">
        <f>IFERROR(__xludf.DUMMYFUNCTION("AVERAGE(INDEX(GOOGLEFINANCE(A249, ""price"", TODAY()-30, TODAY()), 0, 2))"),1390.3)</f>
        <v>1390.3</v>
      </c>
      <c r="S249" s="9">
        <f>IFERROR(__xludf.DUMMYFUNCTION("AVERAGE(INDEX(GOOGLEFINANCE(A249, ""price"", TODAY()-75, TODAY()), 0, 2))"),1322.8867924528304)</f>
        <v>1322.886792</v>
      </c>
      <c r="T249" s="9">
        <f>IFERROR(__xludf.DUMMYFUNCTION("AVERAGE(INDEX(GOOGLEFINANCE(A249, ""price"", TODAY()-300, TODAY()), 0, 2))"),1203.9952970297027)</f>
        <v>1203.995297</v>
      </c>
      <c r="U249" s="9">
        <f t="shared" si="5"/>
        <v>0.0005034884557</v>
      </c>
      <c r="V249" s="15">
        <f>IFERROR(__xludf.DUMMYFUNCTION("LET(hist, GOOGLEFINANCE(A249,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rs))))))"),52.313274871484715)</f>
        <v>52.31327487</v>
      </c>
      <c r="W249" s="16" t="str">
        <f>IFERROR(__xludf.DUMMYFUNCTION("IFERROR(GOOGLEFINANCE(A249, ""volume"") / GOOGLEFINANCE(A249, ""volumeavg""), )"),"")</f>
        <v/>
      </c>
      <c r="X249" s="9">
        <f>IFERROR(__xludf.DUMMYFUNCTION("B249 * GOOGLEFINANCE(A249, ""volume"")"),3.38387179E8)</f>
        <v>338387179</v>
      </c>
      <c r="Y249" s="9">
        <f>IFERROR(__xludf.DUMMYFUNCTION("IFERROR(((B249 - GOOGLEFINANCE(A249, ""priceopen"")) / GOOGLEFINANCE(A249, ""priceopen"")) * GOOGLEFINANCE(A249, ""volume""), 0)"),-8343.16064981951)</f>
        <v>-8343.16065</v>
      </c>
    </row>
    <row r="250">
      <c r="A250" s="4" t="s">
        <v>1661</v>
      </c>
      <c r="B250" s="7">
        <f>IFERROR(__xludf.DUMMYFUNCTION("GOOGLEFINANCE(A250, ""price"")"),3580.0)</f>
        <v>3580</v>
      </c>
      <c r="C250" s="7">
        <f>IFERROR(__xludf.DUMMYFUNCTION("GOOGLEFINANCE(A250, ""changepct"")"),-1.99)</f>
        <v>-1.99</v>
      </c>
      <c r="D250" s="9">
        <f>IFERROR(__xludf.DUMMYFUNCTION("GOOGLEFINANCE(A250, ""priceopen"")"),3652.7)</f>
        <v>3652.7</v>
      </c>
      <c r="E250" s="9">
        <f>IFERROR(__xludf.DUMMYFUNCTION("GOOGLEFINANCE(A250, ""high"")"),3656.1)</f>
        <v>3656.1</v>
      </c>
      <c r="F250" s="9">
        <f>IFERROR(__xludf.DUMMYFUNCTION("GOOGLEFINANCE(A250, ""low"")"),3557.7)</f>
        <v>3557.7</v>
      </c>
      <c r="G250" s="9">
        <f>IFERROR(__xludf.DUMMYFUNCTION("GOOGLEFINANCE(A250, ""price"")"),3580.0)</f>
        <v>3580</v>
      </c>
      <c r="H250" s="9">
        <f>IFERROR(__xludf.DUMMYFUNCTION("MAX(INDEX(GOOGLEFINANCE(A250, ""high"", TODAY()-30, TODAY()), 0, 2))"),3708.0)</f>
        <v>3708</v>
      </c>
      <c r="I250" s="9">
        <f>IFERROR(__xludf.DUMMYFUNCTION("MIN(INDEX(GOOGLEFINANCE(A250, ""low"", TODAY()-30, TODAY()), 0, 2))"),3217.6)</f>
        <v>3217.6</v>
      </c>
      <c r="J250" s="9">
        <f>IFERROR(__xludf.DUMMYFUNCTION("GOOGLEFINANCE(A250, ""high52"")"),4726.0)</f>
        <v>4726</v>
      </c>
      <c r="K250" s="9">
        <f>IFERROR(__xludf.DUMMYFUNCTION("GOOGLEFINANCE(A250, ""low52"")"),3010.0)</f>
        <v>3010</v>
      </c>
      <c r="L250" s="9">
        <f t="shared" si="1"/>
        <v>0.2424883623</v>
      </c>
      <c r="M250" s="9">
        <f t="shared" si="2"/>
        <v>0.1893687708</v>
      </c>
      <c r="N250" s="9">
        <f t="shared" si="3"/>
        <v>0.02765831858</v>
      </c>
      <c r="O250" s="9">
        <f t="shared" si="4"/>
        <v>0.7389885808</v>
      </c>
      <c r="P250" s="9">
        <f>IFERROR(__xludf.DUMMYFUNCTION("GOOGLEFINANCE(A250, ""pe"")"),28.79)</f>
        <v>28.79</v>
      </c>
      <c r="Q250" s="9">
        <f>IFERROR(__xludf.DUMMYFUNCTION("IFERROR(GOOGLEFINANCE(A250, ""volume"") / GOOGLEFINANCE(A250, ""volumeavg""), 0)"),0.0)</f>
        <v>0</v>
      </c>
      <c r="R250" s="9">
        <f>IFERROR(__xludf.DUMMYFUNCTION("AVERAGE(INDEX(GOOGLEFINANCE(A250, ""price"", TODAY()-30, TODAY()), 0, 2))"),3486.31304347826)</f>
        <v>3486.313043</v>
      </c>
      <c r="S250" s="9">
        <f>IFERROR(__xludf.DUMMYFUNCTION("AVERAGE(INDEX(GOOGLEFINANCE(A250, ""price"", TODAY()-75, TODAY()), 0, 2))"),3375.796226415094)</f>
        <v>3375.796226</v>
      </c>
      <c r="T250" s="9">
        <f>IFERROR(__xludf.DUMMYFUNCTION("AVERAGE(INDEX(GOOGLEFINANCE(A250, ""price"", TODAY()-300, TODAY()), 0, 2))"),3734.648019801979)</f>
        <v>3734.64802</v>
      </c>
      <c r="U250" s="9">
        <f t="shared" si="5"/>
        <v>0.02687278949</v>
      </c>
      <c r="V250" s="15">
        <f>IFERROR(__xludf.DUMMYFUNCTION("LET(hist, GOOGLEFINANCE(A250,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rs))))))"),66.03149606299213)</f>
        <v>66.03149606</v>
      </c>
      <c r="W250" s="16" t="str">
        <f>IFERROR(__xludf.DUMMYFUNCTION("IFERROR(GOOGLEFINANCE(A250, ""volume"") / GOOGLEFINANCE(A250, ""volumeavg""), )"),"")</f>
        <v/>
      </c>
      <c r="X250" s="9">
        <f>IFERROR(__xludf.DUMMYFUNCTION("B250 * GOOGLEFINANCE(A250, ""volume"")"),2.1356132E8)</f>
        <v>213561320</v>
      </c>
      <c r="Y250" s="9">
        <f>IFERROR(__xludf.DUMMYFUNCTION("IFERROR(((B250 - GOOGLEFINANCE(A250, ""priceopen"")) / GOOGLEFINANCE(A250, ""priceopen"")) * GOOGLEFINANCE(A250, ""volume""), 0)"),-1187.2986557888657)</f>
        <v>-1187.298656</v>
      </c>
    </row>
    <row r="251">
      <c r="A251" s="4" t="s">
        <v>1666</v>
      </c>
      <c r="B251" s="7">
        <f>IFERROR(__xludf.DUMMYFUNCTION("GOOGLEFINANCE(A251, ""price"")"),1384.9)</f>
        <v>1384.9</v>
      </c>
      <c r="C251" s="7">
        <f>IFERROR(__xludf.DUMMYFUNCTION("GOOGLEFINANCE(A251, ""changepct"")"),-1.08)</f>
        <v>-1.08</v>
      </c>
      <c r="D251" s="9">
        <f>IFERROR(__xludf.DUMMYFUNCTION("GOOGLEFINANCE(A251, ""priceopen"")"),1405.0)</f>
        <v>1405</v>
      </c>
      <c r="E251" s="9">
        <f>IFERROR(__xludf.DUMMYFUNCTION("GOOGLEFINANCE(A251, ""high"")"),1405.5)</f>
        <v>1405.5</v>
      </c>
      <c r="F251" s="9">
        <f>IFERROR(__xludf.DUMMYFUNCTION("GOOGLEFINANCE(A251, ""low"")"),1384.0)</f>
        <v>1384</v>
      </c>
      <c r="G251" s="9">
        <f>IFERROR(__xludf.DUMMYFUNCTION("GOOGLEFINANCE(A251, ""price"")"),1384.9)</f>
        <v>1384.9</v>
      </c>
      <c r="H251" s="9">
        <f>IFERROR(__xludf.DUMMYFUNCTION("MAX(INDEX(GOOGLEFINANCE(A251, ""high"", TODAY()-30, TODAY()), 0, 2))"),1464.0)</f>
        <v>1464</v>
      </c>
      <c r="I251" s="9">
        <f>IFERROR(__xludf.DUMMYFUNCTION("MIN(INDEX(GOOGLEFINANCE(A251, ""low"", TODAY()-30, TODAY()), 0, 2))"),1318.6)</f>
        <v>1318.6</v>
      </c>
      <c r="J251" s="9">
        <f>IFERROR(__xludf.DUMMYFUNCTION("GOOGLEFINANCE(A251, ""high52"")"),1939.9)</f>
        <v>1939.9</v>
      </c>
      <c r="K251" s="9">
        <f>IFERROR(__xludf.DUMMYFUNCTION("GOOGLEFINANCE(A251, ""low52"")"),1276.0)</f>
        <v>1276</v>
      </c>
      <c r="L251" s="9">
        <f t="shared" si="1"/>
        <v>0.2860972215</v>
      </c>
      <c r="M251" s="9">
        <f t="shared" si="2"/>
        <v>0.08534482759</v>
      </c>
      <c r="N251" s="9">
        <f t="shared" si="3"/>
        <v>0.01553468208</v>
      </c>
      <c r="O251" s="9">
        <f t="shared" si="4"/>
        <v>0.4559834938</v>
      </c>
      <c r="P251" s="9">
        <f>IFERROR(__xludf.DUMMYFUNCTION("GOOGLEFINANCE(A251, ""pe"")"),92.6)</f>
        <v>92.6</v>
      </c>
      <c r="Q251" s="9">
        <f>IFERROR(__xludf.DUMMYFUNCTION("IFERROR(GOOGLEFINANCE(A251, ""volume"") / GOOGLEFINANCE(A251, ""volumeavg""), 0)"),0.0)</f>
        <v>0</v>
      </c>
      <c r="R251" s="9">
        <f>IFERROR(__xludf.DUMMYFUNCTION("AVERAGE(INDEX(GOOGLEFINANCE(A251, ""price"", TODAY()-30, TODAY()), 0, 2))"),1397.4695652173912)</f>
        <v>1397.469565</v>
      </c>
      <c r="S251" s="9">
        <f>IFERROR(__xludf.DUMMYFUNCTION("AVERAGE(INDEX(GOOGLEFINANCE(A251, ""price"", TODAY()-75, TODAY()), 0, 2))"),1362.454716981132)</f>
        <v>1362.454717</v>
      </c>
      <c r="T251" s="9">
        <f>IFERROR(__xludf.DUMMYFUNCTION("AVERAGE(INDEX(GOOGLEFINANCE(A251, ""price"", TODAY()-300, TODAY()), 0, 2))"),1528.923762376238)</f>
        <v>1528.923762</v>
      </c>
      <c r="U251" s="9">
        <f t="shared" si="5"/>
        <v>-0.008994518042</v>
      </c>
      <c r="V251" s="15">
        <f>IFERROR(__xludf.DUMMYFUNCTION("LET(hist, GOOGLEFINANCE(A251,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rs))))))"),47.289504036908866)</f>
        <v>47.28950404</v>
      </c>
      <c r="W251" s="16" t="str">
        <f>IFERROR(__xludf.DUMMYFUNCTION("IFERROR(GOOGLEFINANCE(A251, ""volume"") / GOOGLEFINANCE(A251, ""volumeavg""), )"),"")</f>
        <v/>
      </c>
      <c r="X251" s="9">
        <f>IFERROR(__xludf.DUMMYFUNCTION("B251 * GOOGLEFINANCE(A251, ""volume"")"),7.61016399E7)</f>
        <v>76101639.9</v>
      </c>
      <c r="Y251" s="9">
        <f>IFERROR(__xludf.DUMMYFUNCTION("IFERROR(((B251 - GOOGLEFINANCE(A251, ""priceopen"")) / GOOGLEFINANCE(A251, ""priceopen"")) * GOOGLEFINANCE(A251, ""volume""), 0)"),-786.1317437722385)</f>
        <v>-786.1317438</v>
      </c>
    </row>
    <row r="252">
      <c r="A252" s="4" t="s">
        <v>1675</v>
      </c>
      <c r="B252" s="7">
        <f>IFERROR(__xludf.DUMMYFUNCTION("GOOGLEFINANCE(A252, ""price"")"),1508.8)</f>
        <v>1508.8</v>
      </c>
      <c r="C252" s="7">
        <f>IFERROR(__xludf.DUMMYFUNCTION("GOOGLEFINANCE(A252, ""changepct"")"),0.86)</f>
        <v>0.86</v>
      </c>
      <c r="D252" s="9">
        <f>IFERROR(__xludf.DUMMYFUNCTION("GOOGLEFINANCE(A252, ""priceopen"")"),1496.0)</f>
        <v>1496</v>
      </c>
      <c r="E252" s="9">
        <f>IFERROR(__xludf.DUMMYFUNCTION("GOOGLEFINANCE(A252, ""high"")"),1514.9)</f>
        <v>1514.9</v>
      </c>
      <c r="F252" s="9">
        <f>IFERROR(__xludf.DUMMYFUNCTION("GOOGLEFINANCE(A252, ""low"")"),1490.0)</f>
        <v>1490</v>
      </c>
      <c r="G252" s="9">
        <f>IFERROR(__xludf.DUMMYFUNCTION("GOOGLEFINANCE(A252, ""price"")"),1508.8)</f>
        <v>1508.8</v>
      </c>
      <c r="H252" s="9">
        <f>IFERROR(__xludf.DUMMYFUNCTION("MAX(INDEX(GOOGLEFINANCE(A252, ""high"", TODAY()-30, TODAY()), 0, 2))"),1524.9)</f>
        <v>1524.9</v>
      </c>
      <c r="I252" s="9">
        <f>IFERROR(__xludf.DUMMYFUNCTION("MIN(INDEX(GOOGLEFINANCE(A252, ""low"", TODAY()-30, TODAY()), 0, 2))"),1356.6)</f>
        <v>1356.6</v>
      </c>
      <c r="J252" s="9">
        <f>IFERROR(__xludf.DUMMYFUNCTION("GOOGLEFINANCE(A252, ""high52"")"),1979.9)</f>
        <v>1979.9</v>
      </c>
      <c r="K252" s="9">
        <f>IFERROR(__xludf.DUMMYFUNCTION("GOOGLEFINANCE(A252, ""low52"")"),1187.0)</f>
        <v>1187</v>
      </c>
      <c r="L252" s="9">
        <f t="shared" si="1"/>
        <v>0.2379413102</v>
      </c>
      <c r="M252" s="9">
        <f t="shared" si="2"/>
        <v>0.2711036226</v>
      </c>
      <c r="N252" s="9">
        <f t="shared" si="3"/>
        <v>0.0167114094</v>
      </c>
      <c r="O252" s="9">
        <f t="shared" si="4"/>
        <v>0.9043374926</v>
      </c>
      <c r="P252" s="9">
        <f>IFERROR(__xludf.DUMMYFUNCTION("GOOGLEFINANCE(A252, ""pe"")"),55.39)</f>
        <v>55.39</v>
      </c>
      <c r="Q252" s="9">
        <f>IFERROR(__xludf.DUMMYFUNCTION("IFERROR(GOOGLEFINANCE(A252, ""volume"") / GOOGLEFINANCE(A252, ""volumeavg""), 0)"),0.0)</f>
        <v>0</v>
      </c>
      <c r="R252" s="9">
        <f>IFERROR(__xludf.DUMMYFUNCTION("AVERAGE(INDEX(GOOGLEFINANCE(A252, ""price"", TODAY()-30, TODAY()), 0, 2))"),1426.7739130434784)</f>
        <v>1426.773913</v>
      </c>
      <c r="S252" s="9">
        <f>IFERROR(__xludf.DUMMYFUNCTION("AVERAGE(INDEX(GOOGLEFINANCE(A252, ""price"", TODAY()-75, TODAY()), 0, 2))"),1442.509433962264)</f>
        <v>1442.509434</v>
      </c>
      <c r="T252" s="9">
        <f>IFERROR(__xludf.DUMMYFUNCTION("AVERAGE(INDEX(GOOGLEFINANCE(A252, ""price"", TODAY()-300, TODAY()), 0, 2))"),1541.4252475247529)</f>
        <v>1541.425248</v>
      </c>
      <c r="U252" s="9">
        <f t="shared" si="5"/>
        <v>0.05749059904</v>
      </c>
      <c r="V252" s="15">
        <f>IFERROR(__xludf.DUMMYFUNCTION("LET(hist, GOOGLEFINANCE(A252,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rs))))))"),72.9313929313929)</f>
        <v>72.93139293</v>
      </c>
      <c r="W252" s="16" t="str">
        <f>IFERROR(__xludf.DUMMYFUNCTION("IFERROR(GOOGLEFINANCE(A252, ""volume"") / GOOGLEFINANCE(A252, ""volumeavg""), )"),"")</f>
        <v/>
      </c>
      <c r="X252" s="9">
        <f>IFERROR(__xludf.DUMMYFUNCTION("B252 * GOOGLEFINANCE(A252, ""volume"")"),9.399808911999999E8)</f>
        <v>939980891.2</v>
      </c>
      <c r="Y252" s="9">
        <f>IFERROR(__xludf.DUMMYFUNCTION("IFERROR(((B252 - GOOGLEFINANCE(A252, ""priceopen"")) / GOOGLEFINANCE(A252, ""priceopen"")) * GOOGLEFINANCE(A252, ""volume""), 0)"),5330.472727272708)</f>
        <v>5330.472727</v>
      </c>
    </row>
    <row r="253">
      <c r="A253" s="4" t="s">
        <v>1684</v>
      </c>
      <c r="B253" s="7">
        <f>IFERROR(__xludf.DUMMYFUNCTION("GOOGLEFINANCE(A253, ""price"")"),2001.0)</f>
        <v>2001</v>
      </c>
      <c r="C253" s="7">
        <f>IFERROR(__xludf.DUMMYFUNCTION("GOOGLEFINANCE(A253, ""changepct"")"),0.12)</f>
        <v>0.12</v>
      </c>
      <c r="D253" s="9">
        <f>IFERROR(__xludf.DUMMYFUNCTION("GOOGLEFINANCE(A253, ""priceopen"")"),2008.6)</f>
        <v>2008.6</v>
      </c>
      <c r="E253" s="9">
        <f>IFERROR(__xludf.DUMMYFUNCTION("GOOGLEFINANCE(A253, ""high"")"),2023.0)</f>
        <v>2023</v>
      </c>
      <c r="F253" s="9">
        <f>IFERROR(__xludf.DUMMYFUNCTION("GOOGLEFINANCE(A253, ""low"")"),1983.3)</f>
        <v>1983.3</v>
      </c>
      <c r="G253" s="9">
        <f>IFERROR(__xludf.DUMMYFUNCTION("GOOGLEFINANCE(A253, ""price"")"),2001.0)</f>
        <v>2001</v>
      </c>
      <c r="H253" s="9">
        <f>IFERROR(__xludf.DUMMYFUNCTION("MAX(INDEX(GOOGLEFINANCE(A253, ""high"", TODAY()-30, TODAY()), 0, 2))"),2048.0)</f>
        <v>2048</v>
      </c>
      <c r="I253" s="9">
        <f>IFERROR(__xludf.DUMMYFUNCTION("MIN(INDEX(GOOGLEFINANCE(A253, ""low"", TODAY()-30, TODAY()), 0, 2))"),1751.0)</f>
        <v>1751</v>
      </c>
      <c r="J253" s="9">
        <f>IFERROR(__xludf.DUMMYFUNCTION("GOOGLEFINANCE(A253, ""high52"")"),2048.0)</f>
        <v>2048</v>
      </c>
      <c r="K253" s="9">
        <f>IFERROR(__xludf.DUMMYFUNCTION("GOOGLEFINANCE(A253, ""low52"")"),1260.0)</f>
        <v>1260</v>
      </c>
      <c r="L253" s="9">
        <f t="shared" si="1"/>
        <v>0.02294921875</v>
      </c>
      <c r="M253" s="9">
        <f t="shared" si="2"/>
        <v>0.5880952381</v>
      </c>
      <c r="N253" s="9">
        <f t="shared" si="3"/>
        <v>0.02001714315</v>
      </c>
      <c r="O253" s="9">
        <f t="shared" si="4"/>
        <v>0.8417508418</v>
      </c>
      <c r="P253" s="9">
        <f>IFERROR(__xludf.DUMMYFUNCTION("GOOGLEFINANCE(A253, ""pe"")"),37.51)</f>
        <v>37.51</v>
      </c>
      <c r="Q253" s="9">
        <f>IFERROR(__xludf.DUMMYFUNCTION("IFERROR(GOOGLEFINANCE(A253, ""volume"") / GOOGLEFINANCE(A253, ""volumeavg""), 0)"),0.0)</f>
        <v>0</v>
      </c>
      <c r="R253" s="9">
        <f>IFERROR(__xludf.DUMMYFUNCTION("AVERAGE(INDEX(GOOGLEFINANCE(A253, ""price"", TODAY()-30, TODAY()), 0, 2))"),1905.3086956521736)</f>
        <v>1905.308696</v>
      </c>
      <c r="S253" s="9">
        <f>IFERROR(__xludf.DUMMYFUNCTION("AVERAGE(INDEX(GOOGLEFINANCE(A253, ""price"", TODAY()-75, TODAY()), 0, 2))"),1831.932075471698)</f>
        <v>1831.932075</v>
      </c>
      <c r="T253" s="9">
        <f>IFERROR(__xludf.DUMMYFUNCTION("AVERAGE(INDEX(GOOGLEFINANCE(A253, ""price"", TODAY()-300, TODAY()), 0, 2))"),1585.484079601991)</f>
        <v>1585.48408</v>
      </c>
      <c r="U253" s="9">
        <f t="shared" si="5"/>
        <v>0.05022351736</v>
      </c>
      <c r="V253" s="15">
        <f>IFERROR(__xludf.DUMMYFUNCTION("LET(hist, GOOGLEFINANCE(A253,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rs))))))"),74.31447414092332)</f>
        <v>74.31447414</v>
      </c>
      <c r="W253" s="16" t="str">
        <f>IFERROR(__xludf.DUMMYFUNCTION("IFERROR(GOOGLEFINANCE(A253, ""volume"") / GOOGLEFINANCE(A253, ""volumeavg""), )"),"")</f>
        <v/>
      </c>
      <c r="X253" s="9">
        <f>IFERROR(__xludf.DUMMYFUNCTION("B253 * GOOGLEFINANCE(A253, ""volume"")"),4.28426106E8)</f>
        <v>428426106</v>
      </c>
      <c r="Y253" s="9">
        <f>IFERROR(__xludf.DUMMYFUNCTION("IFERROR(((B253 - GOOGLEFINANCE(A253, ""priceopen"")) / GOOGLEFINANCE(A253, ""priceopen"")) * GOOGLEFINANCE(A253, ""volume""), 0)"),-810.1192870656082)</f>
        <v>-810.1192871</v>
      </c>
    </row>
    <row r="254">
      <c r="A254" s="4" t="s">
        <v>1691</v>
      </c>
      <c r="B254" s="7">
        <f>IFERROR(__xludf.DUMMYFUNCTION("GOOGLEFINANCE(A254, ""price"")"),123.59)</f>
        <v>123.59</v>
      </c>
      <c r="C254" s="7">
        <f>IFERROR(__xludf.DUMMYFUNCTION("GOOGLEFINANCE(A254, ""changepct"")"),-1.54)</f>
        <v>-1.54</v>
      </c>
      <c r="D254" s="9">
        <f>IFERROR(__xludf.DUMMYFUNCTION("GOOGLEFINANCE(A254, ""priceopen"")"),125.95)</f>
        <v>125.95</v>
      </c>
      <c r="E254" s="9">
        <f>IFERROR(__xludf.DUMMYFUNCTION("GOOGLEFINANCE(A254, ""high"")"),127.4)</f>
        <v>127.4</v>
      </c>
      <c r="F254" s="9">
        <f>IFERROR(__xludf.DUMMYFUNCTION("GOOGLEFINANCE(A254, ""low"")"),123.21)</f>
        <v>123.21</v>
      </c>
      <c r="G254" s="9">
        <f>IFERROR(__xludf.DUMMYFUNCTION("GOOGLEFINANCE(A254, ""price"")"),123.59)</f>
        <v>123.59</v>
      </c>
      <c r="H254" s="9">
        <f>IFERROR(__xludf.DUMMYFUNCTION("MAX(INDEX(GOOGLEFINANCE(A254, ""high"", TODAY()-30, TODAY()), 0, 2))"),147.45)</f>
        <v>147.45</v>
      </c>
      <c r="I254" s="9">
        <f>IFERROR(__xludf.DUMMYFUNCTION("MIN(INDEX(GOOGLEFINANCE(A254, ""low"", TODAY()-30, TODAY()), 0, 2))"),122.06)</f>
        <v>122.06</v>
      </c>
      <c r="J254" s="9">
        <f>IFERROR(__xludf.DUMMYFUNCTION("GOOGLEFINANCE(A254, ""high52"")"),161.99)</f>
        <v>161.99</v>
      </c>
      <c r="K254" s="9">
        <f>IFERROR(__xludf.DUMMYFUNCTION("GOOGLEFINANCE(A254, ""low52"")"),77.72)</f>
        <v>77.72</v>
      </c>
      <c r="L254" s="9">
        <f t="shared" si="1"/>
        <v>0.2370516699</v>
      </c>
      <c r="M254" s="9">
        <f t="shared" si="2"/>
        <v>0.5901955739</v>
      </c>
      <c r="N254" s="9">
        <f t="shared" si="3"/>
        <v>0.03400697995</v>
      </c>
      <c r="O254" s="9">
        <f t="shared" si="4"/>
        <v>0.06025994486</v>
      </c>
      <c r="P254" s="9" t="str">
        <f>IFERROR(__xludf.DUMMYFUNCTION("GOOGLEFINANCE(A254, ""pe"")"),"#N/A")</f>
        <v>#N/A</v>
      </c>
      <c r="Q254" s="9">
        <f>IFERROR(__xludf.DUMMYFUNCTION("IFERROR(GOOGLEFINANCE(A254, ""volume"") / GOOGLEFINANCE(A254, ""volumeavg""), 0)"),0.0)</f>
        <v>0</v>
      </c>
      <c r="R254" s="9">
        <f>IFERROR(__xludf.DUMMYFUNCTION("AVERAGE(INDEX(GOOGLEFINANCE(A254, ""price"", TODAY()-30, TODAY()), 0, 2))"),130.0613043478261)</f>
        <v>130.0613043</v>
      </c>
      <c r="S254" s="9">
        <f>IFERROR(__xludf.DUMMYFUNCTION("AVERAGE(INDEX(GOOGLEFINANCE(A254, ""price"", TODAY()-75, TODAY()), 0, 2))"),124.03962264150945)</f>
        <v>124.0396226</v>
      </c>
      <c r="T254" s="9">
        <f>IFERROR(__xludf.DUMMYFUNCTION("AVERAGE(INDEX(GOOGLEFINANCE(A254, ""price"", TODAY()-300, TODAY()), 0, 2))"),116.1940331491713)</f>
        <v>116.1940331</v>
      </c>
      <c r="U254" s="9">
        <f t="shared" si="5"/>
        <v>-0.04975580078</v>
      </c>
      <c r="V254" s="15">
        <f>IFERROR(__xludf.DUMMYFUNCTION("LET(hist, GOOGLEFINANCE(A254,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rs))))))"),36.37423491693385)</f>
        <v>36.37423492</v>
      </c>
      <c r="W254" s="16" t="str">
        <f>IFERROR(__xludf.DUMMYFUNCTION("IFERROR(GOOGLEFINANCE(A254, ""volume"") / GOOGLEFINANCE(A254, ""volumeavg""), )"),"")</f>
        <v/>
      </c>
      <c r="X254" s="9">
        <f>IFERROR(__xludf.DUMMYFUNCTION("B254 * GOOGLEFINANCE(A254, ""volume"")"),4.073007322E8)</f>
        <v>407300732.2</v>
      </c>
      <c r="Y254" s="9">
        <f>IFERROR(__xludf.DUMMYFUNCTION("IFERROR(((B254 - GOOGLEFINANCE(A254, ""priceopen"")) / GOOGLEFINANCE(A254, ""priceopen"")) * GOOGLEFINANCE(A254, ""volume""), 0)"),-61751.24096863834)</f>
        <v>-61751.24097</v>
      </c>
    </row>
    <row r="255">
      <c r="A255" s="4" t="s">
        <v>1695</v>
      </c>
      <c r="B255" s="7">
        <f>IFERROR(__xludf.DUMMYFUNCTION("GOOGLEFINANCE(A255, ""price"")"),469.4)</f>
        <v>469.4</v>
      </c>
      <c r="C255" s="7">
        <f>IFERROR(__xludf.DUMMYFUNCTION("GOOGLEFINANCE(A255, ""changepct"")"),-0.86)</f>
        <v>-0.86</v>
      </c>
      <c r="D255" s="9">
        <f>IFERROR(__xludf.DUMMYFUNCTION("GOOGLEFINANCE(A255, ""priceopen"")"),475.3)</f>
        <v>475.3</v>
      </c>
      <c r="E255" s="9">
        <f>IFERROR(__xludf.DUMMYFUNCTION("GOOGLEFINANCE(A255, ""high"")"),475.3)</f>
        <v>475.3</v>
      </c>
      <c r="F255" s="9">
        <f>IFERROR(__xludf.DUMMYFUNCTION("GOOGLEFINANCE(A255, ""low"")"),466.8)</f>
        <v>466.8</v>
      </c>
      <c r="G255" s="9">
        <f>IFERROR(__xludf.DUMMYFUNCTION("GOOGLEFINANCE(A255, ""price"")"),469.4)</f>
        <v>469.4</v>
      </c>
      <c r="H255" s="9">
        <f>IFERROR(__xludf.DUMMYFUNCTION("MAX(INDEX(GOOGLEFINANCE(A255, ""high"", TODAY()-30, TODAY()), 0, 2))"),520.0)</f>
        <v>520</v>
      </c>
      <c r="I255" s="9">
        <f>IFERROR(__xludf.DUMMYFUNCTION("MIN(INDEX(GOOGLEFINANCE(A255, ""low"", TODAY()-30, TODAY()), 0, 2))"),452.5)</f>
        <v>452.5</v>
      </c>
      <c r="J255" s="9">
        <f>IFERROR(__xludf.DUMMYFUNCTION("GOOGLEFINANCE(A255, ""high52"")"),524.0)</f>
        <v>524</v>
      </c>
      <c r="K255" s="9">
        <f>IFERROR(__xludf.DUMMYFUNCTION("GOOGLEFINANCE(A255, ""low52"")"),374.45)</f>
        <v>374.45</v>
      </c>
      <c r="L255" s="9">
        <f t="shared" si="1"/>
        <v>0.1041984733</v>
      </c>
      <c r="M255" s="9">
        <f t="shared" si="2"/>
        <v>0.2535719055</v>
      </c>
      <c r="N255" s="9">
        <f t="shared" si="3"/>
        <v>0.01820908312</v>
      </c>
      <c r="O255" s="9">
        <f t="shared" si="4"/>
        <v>0.2503703704</v>
      </c>
      <c r="P255" s="9">
        <f>IFERROR(__xludf.DUMMYFUNCTION("GOOGLEFINANCE(A255, ""pe"")"),387.93)</f>
        <v>387.93</v>
      </c>
      <c r="Q255" s="9">
        <f>IFERROR(__xludf.DUMMYFUNCTION("IFERROR(GOOGLEFINANCE(A255, ""volume"") / GOOGLEFINANCE(A255, ""volumeavg""), 0)"),0.0)</f>
        <v>0</v>
      </c>
      <c r="R255" s="9">
        <f>IFERROR(__xludf.DUMMYFUNCTION("AVERAGE(INDEX(GOOGLEFINANCE(A255, ""price"", TODAY()-30, TODAY()), 0, 2))"),479.2347826086957)</f>
        <v>479.2347826</v>
      </c>
      <c r="S255" s="9">
        <f>IFERROR(__xludf.DUMMYFUNCTION("AVERAGE(INDEX(GOOGLEFINANCE(A255, ""price"", TODAY()-75, TODAY()), 0, 2))"),473.06037735849037)</f>
        <v>473.0603774</v>
      </c>
      <c r="T255" s="9">
        <f>IFERROR(__xludf.DUMMYFUNCTION("AVERAGE(INDEX(GOOGLEFINANCE(A255, ""price"", TODAY()-300, TODAY()), 0, 2))"),443.77412935323395)</f>
        <v>443.7741294</v>
      </c>
      <c r="U255" s="9">
        <f t="shared" si="5"/>
        <v>-0.02052184642</v>
      </c>
      <c r="V255" s="15">
        <f>IFERROR(__xludf.DUMMYFUNCTION("LET(hist, GOOGLEFINANCE(A255,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rs))))))"),52.5183630640084)</f>
        <v>52.51836306</v>
      </c>
      <c r="W255" s="16" t="str">
        <f>IFERROR(__xludf.DUMMYFUNCTION("IFERROR(GOOGLEFINANCE(A255, ""volume"") / GOOGLEFINANCE(A255, ""volumeavg""), )"),"")</f>
        <v/>
      </c>
      <c r="X255" s="9">
        <f>IFERROR(__xludf.DUMMYFUNCTION("B255 * GOOGLEFINANCE(A255, ""volume"")"),2.8745755584E9)</f>
        <v>2874575558</v>
      </c>
      <c r="Y255" s="9">
        <f>IFERROR(__xludf.DUMMYFUNCTION("IFERROR(((B255 - GOOGLEFINANCE(A255, ""priceopen"")) / GOOGLEFINANCE(A255, ""priceopen"")) * GOOGLEFINANCE(A255, ""volume""), 0)"),-76017.72017673092)</f>
        <v>-76017.72018</v>
      </c>
    </row>
    <row r="256">
      <c r="A256" s="4" t="s">
        <v>1703</v>
      </c>
      <c r="B256" s="7">
        <f>IFERROR(__xludf.DUMMYFUNCTION("GOOGLEFINANCE(A256, ""price"")"),1087.5)</f>
        <v>1087.5</v>
      </c>
      <c r="C256" s="7">
        <f>IFERROR(__xludf.DUMMYFUNCTION("GOOGLEFINANCE(A256, ""changepct"")"),-0.82)</f>
        <v>-0.82</v>
      </c>
      <c r="D256" s="9">
        <f>IFERROR(__xludf.DUMMYFUNCTION("GOOGLEFINANCE(A256, ""priceopen"")"),1103.0)</f>
        <v>1103</v>
      </c>
      <c r="E256" s="9">
        <f>IFERROR(__xludf.DUMMYFUNCTION("GOOGLEFINANCE(A256, ""high"")"),1104.0)</f>
        <v>1104</v>
      </c>
      <c r="F256" s="9">
        <f>IFERROR(__xludf.DUMMYFUNCTION("GOOGLEFINANCE(A256, ""low"")"),1085.0)</f>
        <v>1085</v>
      </c>
      <c r="G256" s="9">
        <f>IFERROR(__xludf.DUMMYFUNCTION("GOOGLEFINANCE(A256, ""price"")"),1087.5)</f>
        <v>1087.5</v>
      </c>
      <c r="H256" s="9">
        <f>IFERROR(__xludf.DUMMYFUNCTION("MAX(INDEX(GOOGLEFINANCE(A256, ""high"", TODAY()-30, TODAY()), 0, 2))"),1174.0)</f>
        <v>1174</v>
      </c>
      <c r="I256" s="9">
        <f>IFERROR(__xludf.DUMMYFUNCTION("MIN(INDEX(GOOGLEFINANCE(A256, ""low"", TODAY()-30, TODAY()), 0, 2))"),1015.0)</f>
        <v>1015</v>
      </c>
      <c r="J256" s="9">
        <f>IFERROR(__xludf.DUMMYFUNCTION("GOOGLEFINANCE(A256, ""high52"")"),1334.0)</f>
        <v>1334</v>
      </c>
      <c r="K256" s="9">
        <f>IFERROR(__xludf.DUMMYFUNCTION("GOOGLEFINANCE(A256, ""low52"")"),796.1)</f>
        <v>796.1</v>
      </c>
      <c r="L256" s="9">
        <f t="shared" si="1"/>
        <v>0.1847826087</v>
      </c>
      <c r="M256" s="9">
        <f t="shared" si="2"/>
        <v>0.3660344178</v>
      </c>
      <c r="N256" s="9">
        <f t="shared" si="3"/>
        <v>0.01751152074</v>
      </c>
      <c r="O256" s="9">
        <f t="shared" si="4"/>
        <v>0.4559748428</v>
      </c>
      <c r="P256" s="9">
        <f>IFERROR(__xludf.DUMMYFUNCTION("GOOGLEFINANCE(A256, ""pe"")"),42.9)</f>
        <v>42.9</v>
      </c>
      <c r="Q256" s="9">
        <f>IFERROR(__xludf.DUMMYFUNCTION("IFERROR(GOOGLEFINANCE(A256, ""volume"") / GOOGLEFINANCE(A256, ""volumeavg""), 0)"),0.0)</f>
        <v>0</v>
      </c>
      <c r="R256" s="9">
        <f>IFERROR(__xludf.DUMMYFUNCTION("AVERAGE(INDEX(GOOGLEFINANCE(A256, ""price"", TODAY()-30, TODAY()), 0, 2))"),1081.978260869565)</f>
        <v>1081.978261</v>
      </c>
      <c r="S256" s="9">
        <f>IFERROR(__xludf.DUMMYFUNCTION("AVERAGE(INDEX(GOOGLEFINANCE(A256, ""price"", TODAY()-75, TODAY()), 0, 2))"),1095.6433962264152)</f>
        <v>1095.643396</v>
      </c>
      <c r="T256" s="9">
        <f>IFERROR(__xludf.DUMMYFUNCTION("AVERAGE(INDEX(GOOGLEFINANCE(A256, ""price"", TODAY()-300, TODAY()), 0, 2))"),982.5287128712868)</f>
        <v>982.5287129</v>
      </c>
      <c r="U256" s="9">
        <f t="shared" si="5"/>
        <v>0.00510337345</v>
      </c>
      <c r="V256" s="15">
        <f>IFERROR(__xludf.DUMMYFUNCTION("LET(hist, GOOGLEFINANCE(A256,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rs))))))"),64.31900569653027)</f>
        <v>64.3190057</v>
      </c>
      <c r="W256" s="16" t="str">
        <f>IFERROR(__xludf.DUMMYFUNCTION("IFERROR(GOOGLEFINANCE(A256, ""volume"") / GOOGLEFINANCE(A256, ""volumeavg""), )"),"")</f>
        <v/>
      </c>
      <c r="X256" s="9">
        <f>IFERROR(__xludf.DUMMYFUNCTION("B256 * GOOGLEFINANCE(A256, ""volume"")"),1.5728295E8)</f>
        <v>157282950</v>
      </c>
      <c r="Y256" s="9">
        <f>IFERROR(__xludf.DUMMYFUNCTION("IFERROR(((B256 - GOOGLEFINANCE(A256, ""priceopen"")) / GOOGLEFINANCE(A256, ""priceopen"")) * GOOGLEFINANCE(A256, ""volume""), 0)"),-2032.3970988213962)</f>
        <v>-2032.397099</v>
      </c>
    </row>
    <row r="257">
      <c r="A257" s="4" t="s">
        <v>1709</v>
      </c>
      <c r="B257" s="7">
        <f>IFERROR(__xludf.DUMMYFUNCTION("GOOGLEFINANCE(A257, ""price"")"),583.85)</f>
        <v>583.85</v>
      </c>
      <c r="C257" s="7">
        <f>IFERROR(__xludf.DUMMYFUNCTION("GOOGLEFINANCE(A257, ""changepct"")"),-0.15)</f>
        <v>-0.15</v>
      </c>
      <c r="D257" s="9">
        <f>IFERROR(__xludf.DUMMYFUNCTION("GOOGLEFINANCE(A257, ""priceopen"")"),584.7)</f>
        <v>584.7</v>
      </c>
      <c r="E257" s="9">
        <f>IFERROR(__xludf.DUMMYFUNCTION("GOOGLEFINANCE(A257, ""high"")"),587.75)</f>
        <v>587.75</v>
      </c>
      <c r="F257" s="9">
        <f>IFERROR(__xludf.DUMMYFUNCTION("GOOGLEFINANCE(A257, ""low"")"),580.7)</f>
        <v>580.7</v>
      </c>
      <c r="G257" s="9">
        <f>IFERROR(__xludf.DUMMYFUNCTION("GOOGLEFINANCE(A257, ""price"")"),583.85)</f>
        <v>583.85</v>
      </c>
      <c r="H257" s="9">
        <f>IFERROR(__xludf.DUMMYFUNCTION("MAX(INDEX(GOOGLEFINANCE(A257, ""high"", TODAY()-30, TODAY()), 0, 2))"),624.9)</f>
        <v>624.9</v>
      </c>
      <c r="I257" s="9">
        <f>IFERROR(__xludf.DUMMYFUNCTION("MIN(INDEX(GOOGLEFINANCE(A257, ""low"", TODAY()-30, TODAY()), 0, 2))"),553.35)</f>
        <v>553.35</v>
      </c>
      <c r="J257" s="9">
        <f>IFERROR(__xludf.DUMMYFUNCTION("GOOGLEFINANCE(A257, ""high52"")"),624.9)</f>
        <v>624.9</v>
      </c>
      <c r="K257" s="9">
        <f>IFERROR(__xludf.DUMMYFUNCTION("GOOGLEFINANCE(A257, ""low52"")"),416.55)</f>
        <v>416.55</v>
      </c>
      <c r="L257" s="9">
        <f t="shared" si="1"/>
        <v>0.06569051048</v>
      </c>
      <c r="M257" s="9">
        <f t="shared" si="2"/>
        <v>0.4016324571</v>
      </c>
      <c r="N257" s="9">
        <f t="shared" si="3"/>
        <v>0.01214052006</v>
      </c>
      <c r="O257" s="9">
        <f t="shared" si="4"/>
        <v>0.4262753319</v>
      </c>
      <c r="P257" s="9">
        <f>IFERROR(__xludf.DUMMYFUNCTION("GOOGLEFINANCE(A257, ""pe"")"),38.09)</f>
        <v>38.09</v>
      </c>
      <c r="Q257" s="9">
        <f>IFERROR(__xludf.DUMMYFUNCTION("IFERROR(GOOGLEFINANCE(A257, ""volume"") / GOOGLEFINANCE(A257, ""volumeavg""), 0)"),0.0)</f>
        <v>0</v>
      </c>
      <c r="R257" s="9">
        <f>IFERROR(__xludf.DUMMYFUNCTION("AVERAGE(INDEX(GOOGLEFINANCE(A257, ""price"", TODAY()-30, TODAY()), 0, 2))"),588.1391304347827)</f>
        <v>588.1391304</v>
      </c>
      <c r="S257" s="9">
        <f>IFERROR(__xludf.DUMMYFUNCTION("AVERAGE(INDEX(GOOGLEFINANCE(A257, ""price"", TODAY()-75, TODAY()), 0, 2))"),570.6830188679245)</f>
        <v>570.6830189</v>
      </c>
      <c r="T257" s="9">
        <f>IFERROR(__xludf.DUMMYFUNCTION("AVERAGE(INDEX(GOOGLEFINANCE(A257, ""price"", TODAY()-300, TODAY()), 0, 2))"),501.8371287128712)</f>
        <v>501.8371287</v>
      </c>
      <c r="U257" s="9">
        <f t="shared" si="5"/>
        <v>-0.007292713939</v>
      </c>
      <c r="V257" s="15">
        <f>IFERROR(__xludf.DUMMYFUNCTION("LET(hist, GOOGLEFINANCE(A257,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rs))))))"),52.91647223518433)</f>
        <v>52.91647224</v>
      </c>
      <c r="W257" s="16" t="str">
        <f>IFERROR(__xludf.DUMMYFUNCTION("IFERROR(GOOGLEFINANCE(A257, ""volume"") / GOOGLEFINANCE(A257, ""volumeavg""), )"),"")</f>
        <v/>
      </c>
      <c r="X257" s="9">
        <f>IFERROR(__xludf.DUMMYFUNCTION("B257 * GOOGLEFINANCE(A257, ""volume"")"),1.49010197E8)</f>
        <v>149010197</v>
      </c>
      <c r="Y257" s="9">
        <f>IFERROR(__xludf.DUMMYFUNCTION("IFERROR(((B257 - GOOGLEFINANCE(A257, ""priceopen"")) / GOOGLEFINANCE(A257, ""priceopen"")) * GOOGLEFINANCE(A257, ""volume""), 0)"),-371.02274670772323)</f>
        <v>-371.0227467</v>
      </c>
    </row>
    <row r="258">
      <c r="A258" s="4" t="s">
        <v>1718</v>
      </c>
      <c r="B258" s="7">
        <f>IFERROR(__xludf.DUMMYFUNCTION("GOOGLEFINANCE(A258, ""price"")"),1487.0)</f>
        <v>1487</v>
      </c>
      <c r="C258" s="7">
        <f>IFERROR(__xludf.DUMMYFUNCTION("GOOGLEFINANCE(A258, ""changepct"")"),-0.73)</f>
        <v>-0.73</v>
      </c>
      <c r="D258" s="9">
        <f>IFERROR(__xludf.DUMMYFUNCTION("GOOGLEFINANCE(A258, ""priceopen"")"),1497.9)</f>
        <v>1497.9</v>
      </c>
      <c r="E258" s="9">
        <f>IFERROR(__xludf.DUMMYFUNCTION("GOOGLEFINANCE(A258, ""high"")"),1507.7)</f>
        <v>1507.7</v>
      </c>
      <c r="F258" s="9">
        <f>IFERROR(__xludf.DUMMYFUNCTION("GOOGLEFINANCE(A258, ""low"")"),1471.3)</f>
        <v>1471.3</v>
      </c>
      <c r="G258" s="9">
        <f>IFERROR(__xludf.DUMMYFUNCTION("GOOGLEFINANCE(A258, ""price"")"),1487.0)</f>
        <v>1487</v>
      </c>
      <c r="H258" s="9">
        <f>IFERROR(__xludf.DUMMYFUNCTION("MAX(INDEX(GOOGLEFINANCE(A258, ""high"", TODAY()-30, TODAY()), 0, 2))"),1763.2)</f>
        <v>1763.2</v>
      </c>
      <c r="I258" s="9">
        <f>IFERROR(__xludf.DUMMYFUNCTION("MIN(INDEX(GOOGLEFINANCE(A258, ""low"", TODAY()-30, TODAY()), 0, 2))"),1471.3)</f>
        <v>1471.3</v>
      </c>
      <c r="J258" s="9">
        <f>IFERROR(__xludf.DUMMYFUNCTION("GOOGLEFINANCE(A258, ""high52"")"),2040.0)</f>
        <v>2040</v>
      </c>
      <c r="K258" s="9">
        <f>IFERROR(__xludf.DUMMYFUNCTION("GOOGLEFINANCE(A258, ""low52"")"),1450.0)</f>
        <v>1450</v>
      </c>
      <c r="L258" s="9">
        <f t="shared" si="1"/>
        <v>0.2710784314</v>
      </c>
      <c r="M258" s="9">
        <f t="shared" si="2"/>
        <v>0.02551724138</v>
      </c>
      <c r="N258" s="9">
        <f t="shared" si="3"/>
        <v>0.02474002583</v>
      </c>
      <c r="O258" s="9">
        <f t="shared" si="4"/>
        <v>0.05378554299</v>
      </c>
      <c r="P258" s="9">
        <f>IFERROR(__xludf.DUMMYFUNCTION("GOOGLEFINANCE(A258, ""pe"")"),59.95)</f>
        <v>59.95</v>
      </c>
      <c r="Q258" s="9">
        <f>IFERROR(__xludf.DUMMYFUNCTION("IFERROR(GOOGLEFINANCE(A258, ""volume"") / GOOGLEFINANCE(A258, ""volumeavg""), 0)"),0.0)</f>
        <v>0</v>
      </c>
      <c r="R258" s="9">
        <f>IFERROR(__xludf.DUMMYFUNCTION("AVERAGE(INDEX(GOOGLEFINANCE(A258, ""price"", TODAY()-30, TODAY()), 0, 2))"),1651.9826086956525)</f>
        <v>1651.982609</v>
      </c>
      <c r="S258" s="9">
        <f>IFERROR(__xludf.DUMMYFUNCTION("AVERAGE(INDEX(GOOGLEFINANCE(A258, ""price"", TODAY()-75, TODAY()), 0, 2))"),1629.2830188679243)</f>
        <v>1629.283019</v>
      </c>
      <c r="T258" s="9">
        <f>IFERROR(__xludf.DUMMYFUNCTION("AVERAGE(INDEX(GOOGLEFINANCE(A258, ""price"", TODAY()-300, TODAY()), 0, 2))"),1757.293069306931)</f>
        <v>1757.293069</v>
      </c>
      <c r="U258" s="9">
        <f t="shared" si="5"/>
        <v>-0.09986945857</v>
      </c>
      <c r="V258" s="15">
        <f>IFERROR(__xludf.DUMMYFUNCTION("LET(hist, GOOGLEFINANCE(A258,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rs))))))"),29.726683572837402)</f>
        <v>29.72668357</v>
      </c>
      <c r="W258" s="16" t="str">
        <f>IFERROR(__xludf.DUMMYFUNCTION("IFERROR(GOOGLEFINANCE(A258, ""volume"") / GOOGLEFINANCE(A258, ""volumeavg""), )"),"")</f>
        <v/>
      </c>
      <c r="X258" s="9">
        <f>IFERROR(__xludf.DUMMYFUNCTION("B258 * GOOGLEFINANCE(A258, ""volume"")"),8.97417883E8)</f>
        <v>897417883</v>
      </c>
      <c r="Y258" s="9">
        <f>IFERROR(__xludf.DUMMYFUNCTION("IFERROR(((B258 - GOOGLEFINANCE(A258, ""priceopen"")) / GOOGLEFINANCE(A258, ""priceopen"")) * GOOGLEFINANCE(A258, ""volume""), 0)"),-4391.647039188233)</f>
        <v>-4391.647039</v>
      </c>
    </row>
    <row r="259">
      <c r="A259" s="4" t="s">
        <v>1727</v>
      </c>
      <c r="B259" s="7">
        <f>IFERROR(__xludf.DUMMYFUNCTION("GOOGLEFINANCE(A259, ""price"")"),3119.0)</f>
        <v>3119</v>
      </c>
      <c r="C259" s="7">
        <f>IFERROR(__xludf.DUMMYFUNCTION("GOOGLEFINANCE(A259, ""changepct"")"),0.39)</f>
        <v>0.39</v>
      </c>
      <c r="D259" s="9">
        <f>IFERROR(__xludf.DUMMYFUNCTION("GOOGLEFINANCE(A259, ""priceopen"")"),3128.9)</f>
        <v>3128.9</v>
      </c>
      <c r="E259" s="9">
        <f>IFERROR(__xludf.DUMMYFUNCTION("GOOGLEFINANCE(A259, ""high"")"),3131.0)</f>
        <v>3131</v>
      </c>
      <c r="F259" s="9">
        <f>IFERROR(__xludf.DUMMYFUNCTION("GOOGLEFINANCE(A259, ""low"")"),3097.5)</f>
        <v>3097.5</v>
      </c>
      <c r="G259" s="9">
        <f>IFERROR(__xludf.DUMMYFUNCTION("GOOGLEFINANCE(A259, ""price"")"),3119.0)</f>
        <v>3119</v>
      </c>
      <c r="H259" s="9">
        <f>IFERROR(__xludf.DUMMYFUNCTION("MAX(INDEX(GOOGLEFINANCE(A259, ""high"", TODAY()-30, TODAY()), 0, 2))"),3173.1)</f>
        <v>3173.1</v>
      </c>
      <c r="I259" s="9">
        <f>IFERROR(__xludf.DUMMYFUNCTION("MIN(INDEX(GOOGLEFINANCE(A259, ""low"", TODAY()-30, TODAY()), 0, 2))"),2880.0)</f>
        <v>2880</v>
      </c>
      <c r="J259" s="9">
        <f>IFERROR(__xludf.DUMMYFUNCTION("GOOGLEFINANCE(A259, ""high52"")"),4180.0)</f>
        <v>4180</v>
      </c>
      <c r="K259" s="9">
        <f>IFERROR(__xludf.DUMMYFUNCTION("GOOGLEFINANCE(A259, ""low52"")"),2700.0)</f>
        <v>2700</v>
      </c>
      <c r="L259" s="9">
        <f t="shared" si="1"/>
        <v>0.2538277512</v>
      </c>
      <c r="M259" s="9">
        <f t="shared" si="2"/>
        <v>0.1551851852</v>
      </c>
      <c r="N259" s="9">
        <f t="shared" si="3"/>
        <v>0.01081517353</v>
      </c>
      <c r="O259" s="9">
        <f t="shared" si="4"/>
        <v>0.8154213579</v>
      </c>
      <c r="P259" s="9">
        <f>IFERROR(__xludf.DUMMYFUNCTION("GOOGLEFINANCE(A259, ""pe"")"),24.82)</f>
        <v>24.82</v>
      </c>
      <c r="Q259" s="9">
        <f>IFERROR(__xludf.DUMMYFUNCTION("IFERROR(GOOGLEFINANCE(A259, ""volume"") / GOOGLEFINANCE(A259, ""volumeavg""), 0)"),0.0)</f>
        <v>0</v>
      </c>
      <c r="R259" s="9">
        <f>IFERROR(__xludf.DUMMYFUNCTION("AVERAGE(INDEX(GOOGLEFINANCE(A259, ""price"", TODAY()-30, TODAY()), 0, 2))"),3012.1478260869562)</f>
        <v>3012.147826</v>
      </c>
      <c r="S259" s="9">
        <f>IFERROR(__xludf.DUMMYFUNCTION("AVERAGE(INDEX(GOOGLEFINANCE(A259, ""price"", TODAY()-75, TODAY()), 0, 2))"),2925.756603773585)</f>
        <v>2925.756604</v>
      </c>
      <c r="T259" s="9">
        <f>IFERROR(__xludf.DUMMYFUNCTION("AVERAGE(INDEX(GOOGLEFINANCE(A259, ""price"", TODAY()-300, TODAY()), 0, 2))"),3312.594554455443)</f>
        <v>3312.594554</v>
      </c>
      <c r="U259" s="9">
        <f t="shared" si="5"/>
        <v>0.03547374833</v>
      </c>
      <c r="V259" s="15">
        <f>IFERROR(__xludf.DUMMYFUNCTION("LET(hist, GOOGLEFINANCE(A259,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rs))))))"),82.16279753158973)</f>
        <v>82.16279753</v>
      </c>
      <c r="W259" s="16" t="str">
        <f>IFERROR(__xludf.DUMMYFUNCTION("IFERROR(GOOGLEFINANCE(A259, ""volume"") / GOOGLEFINANCE(A259, ""volumeavg""), )"),"")</f>
        <v/>
      </c>
      <c r="X259" s="9">
        <f>IFERROR(__xludf.DUMMYFUNCTION("B259 * GOOGLEFINANCE(A259, ""volume"")"),2.87013499E8)</f>
        <v>287013499</v>
      </c>
      <c r="Y259" s="9">
        <f>IFERROR(__xludf.DUMMYFUNCTION("IFERROR(((B259 - GOOGLEFINANCE(A259, ""priceopen"")) / GOOGLEFINANCE(A259, ""priceopen"")) * GOOGLEFINANCE(A259, ""volume""), 0)"),-291.1591613666171)</f>
        <v>-291.1591614</v>
      </c>
    </row>
    <row r="260">
      <c r="A260" s="4" t="s">
        <v>1731</v>
      </c>
      <c r="B260" s="7">
        <f>IFERROR(__xludf.DUMMYFUNCTION("GOOGLEFINANCE(A260, ""price"")"),2194.0)</f>
        <v>2194</v>
      </c>
      <c r="C260" s="7">
        <f>IFERROR(__xludf.DUMMYFUNCTION("GOOGLEFINANCE(A260, ""changepct"")"),1.67)</f>
        <v>1.67</v>
      </c>
      <c r="D260" s="9">
        <f>IFERROR(__xludf.DUMMYFUNCTION("GOOGLEFINANCE(A260, ""priceopen"")"),2170.0)</f>
        <v>2170</v>
      </c>
      <c r="E260" s="9">
        <f>IFERROR(__xludf.DUMMYFUNCTION("GOOGLEFINANCE(A260, ""high"")"),2222.0)</f>
        <v>2222</v>
      </c>
      <c r="F260" s="9">
        <f>IFERROR(__xludf.DUMMYFUNCTION("GOOGLEFINANCE(A260, ""low"")"),2160.1)</f>
        <v>2160.1</v>
      </c>
      <c r="G260" s="9">
        <f>IFERROR(__xludf.DUMMYFUNCTION("GOOGLEFINANCE(A260, ""price"")"),2194.0)</f>
        <v>2194</v>
      </c>
      <c r="H260" s="9">
        <f>IFERROR(__xludf.DUMMYFUNCTION("MAX(INDEX(GOOGLEFINANCE(A260, ""high"", TODAY()-30, TODAY()), 0, 2))"),2222.0)</f>
        <v>2222</v>
      </c>
      <c r="I260" s="9">
        <f>IFERROR(__xludf.DUMMYFUNCTION("MIN(INDEX(GOOGLEFINANCE(A260, ""low"", TODAY()-30, TODAY()), 0, 2))"),2002.1)</f>
        <v>2002.1</v>
      </c>
      <c r="J260" s="9">
        <f>IFERROR(__xludf.DUMMYFUNCTION("GOOGLEFINANCE(A260, ""high52"")"),2222.0)</f>
        <v>2222</v>
      </c>
      <c r="K260" s="9">
        <f>IFERROR(__xludf.DUMMYFUNCTION("GOOGLEFINANCE(A260, ""low52"")"),1334.05)</f>
        <v>1334.05</v>
      </c>
      <c r="L260" s="9">
        <f t="shared" si="1"/>
        <v>0.01260126013</v>
      </c>
      <c r="M260" s="9">
        <f t="shared" si="2"/>
        <v>0.6446160189</v>
      </c>
      <c r="N260" s="9">
        <f t="shared" si="3"/>
        <v>0.02865608074</v>
      </c>
      <c r="O260" s="9">
        <f t="shared" si="4"/>
        <v>0.8726693952</v>
      </c>
      <c r="P260" s="9">
        <f>IFERROR(__xludf.DUMMYFUNCTION("GOOGLEFINANCE(A260, ""pe"")"),79.74)</f>
        <v>79.74</v>
      </c>
      <c r="Q260" s="9">
        <f>IFERROR(__xludf.DUMMYFUNCTION("IFERROR(GOOGLEFINANCE(A260, ""volume"") / GOOGLEFINANCE(A260, ""volumeavg""), 0)"),0.0)</f>
        <v>0</v>
      </c>
      <c r="R260" s="9">
        <f>IFERROR(__xludf.DUMMYFUNCTION("AVERAGE(INDEX(GOOGLEFINANCE(A260, ""price"", TODAY()-30, TODAY()), 0, 2))"),2078.1391304347826)</f>
        <v>2078.13913</v>
      </c>
      <c r="S260" s="9">
        <f>IFERROR(__xludf.DUMMYFUNCTION("AVERAGE(INDEX(GOOGLEFINANCE(A260, ""price"", TODAY()-75, TODAY()), 0, 2))"),1965.6528301886794)</f>
        <v>1965.65283</v>
      </c>
      <c r="T260" s="9">
        <f>IFERROR(__xludf.DUMMYFUNCTION("AVERAGE(INDEX(GOOGLEFINANCE(A260, ""price"", TODAY()-300, TODAY()), 0, 2))"),1682.3457920792084)</f>
        <v>1682.345792</v>
      </c>
      <c r="U260" s="9">
        <f t="shared" si="5"/>
        <v>0.0557522198</v>
      </c>
      <c r="V260" s="15">
        <f>IFERROR(__xludf.DUMMYFUNCTION("LET(hist, GOOGLEFINANCE(A260,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rs))))))"),76.14953271028044)</f>
        <v>76.14953271</v>
      </c>
      <c r="W260" s="16" t="str">
        <f>IFERROR(__xludf.DUMMYFUNCTION("IFERROR(GOOGLEFINANCE(A260, ""volume"") / GOOGLEFINANCE(A260, ""volumeavg""), )"),"")</f>
        <v/>
      </c>
      <c r="X260" s="9">
        <f>IFERROR(__xludf.DUMMYFUNCTION("B260 * GOOGLEFINANCE(A260, ""volume"")"),1.266361442E9)</f>
        <v>1266361442</v>
      </c>
      <c r="Y260" s="9">
        <f>IFERROR(__xludf.DUMMYFUNCTION("IFERROR(((B260 - GOOGLEFINANCE(A260, ""priceopen"")) / GOOGLEFINANCE(A260, ""priceopen"")) * GOOGLEFINANCE(A260, ""volume""), 0)"),6383.701382488479)</f>
        <v>6383.701382</v>
      </c>
    </row>
    <row r="261">
      <c r="A261" s="4" t="s">
        <v>1735</v>
      </c>
      <c r="B261" s="7">
        <f>IFERROR(__xludf.DUMMYFUNCTION("GOOGLEFINANCE(A261, ""price"")"),679.0)</f>
        <v>679</v>
      </c>
      <c r="C261" s="7">
        <f>IFERROR(__xludf.DUMMYFUNCTION("GOOGLEFINANCE(A261, ""changepct"")"),-1.42)</f>
        <v>-1.42</v>
      </c>
      <c r="D261" s="9">
        <f>IFERROR(__xludf.DUMMYFUNCTION("GOOGLEFINANCE(A261, ""priceopen"")"),685.8)</f>
        <v>685.8</v>
      </c>
      <c r="E261" s="9">
        <f>IFERROR(__xludf.DUMMYFUNCTION("GOOGLEFINANCE(A261, ""high"")"),714.8)</f>
        <v>714.8</v>
      </c>
      <c r="F261" s="9">
        <f>IFERROR(__xludf.DUMMYFUNCTION("GOOGLEFINANCE(A261, ""low"")"),677.3)</f>
        <v>677.3</v>
      </c>
      <c r="G261" s="9">
        <f>IFERROR(__xludf.DUMMYFUNCTION("GOOGLEFINANCE(A261, ""price"")"),679.0)</f>
        <v>679</v>
      </c>
      <c r="H261" s="9">
        <f>IFERROR(__xludf.DUMMYFUNCTION("MAX(INDEX(GOOGLEFINANCE(A261, ""high"", TODAY()-30, TODAY()), 0, 2))"),714.8)</f>
        <v>714.8</v>
      </c>
      <c r="I261" s="9">
        <f>IFERROR(__xludf.DUMMYFUNCTION("MIN(INDEX(GOOGLEFINANCE(A261, ""low"", TODAY()-30, TODAY()), 0, 2))"),621.15)</f>
        <v>621.15</v>
      </c>
      <c r="J261" s="9">
        <f>IFERROR(__xludf.DUMMYFUNCTION("GOOGLEFINANCE(A261, ""high52"")"),1184.7)</f>
        <v>1184.7</v>
      </c>
      <c r="K261" s="9">
        <f>IFERROR(__xludf.DUMMYFUNCTION("GOOGLEFINANCE(A261, ""low52"")"),538.85)</f>
        <v>538.85</v>
      </c>
      <c r="L261" s="9">
        <f t="shared" si="1"/>
        <v>0.4268591205</v>
      </c>
      <c r="M261" s="9">
        <f t="shared" si="2"/>
        <v>0.2600909344</v>
      </c>
      <c r="N261" s="9">
        <f t="shared" si="3"/>
        <v>0.05536689798</v>
      </c>
      <c r="O261" s="9">
        <f t="shared" si="4"/>
        <v>0.6177255739</v>
      </c>
      <c r="P261" s="9">
        <f>IFERROR(__xludf.DUMMYFUNCTION("GOOGLEFINANCE(A261, ""pe"")"),79.7)</f>
        <v>79.7</v>
      </c>
      <c r="Q261" s="9">
        <f>IFERROR(__xludf.DUMMYFUNCTION("IFERROR(GOOGLEFINANCE(A261, ""volume"") / GOOGLEFINANCE(A261, ""volumeavg""), 0)"),0.0)</f>
        <v>0</v>
      </c>
      <c r="R261" s="9">
        <f>IFERROR(__xludf.DUMMYFUNCTION("AVERAGE(INDEX(GOOGLEFINANCE(A261, ""price"", TODAY()-30, TODAY()), 0, 2))"),667.8782608695652)</f>
        <v>667.8782609</v>
      </c>
      <c r="S261" s="9">
        <f>IFERROR(__xludf.DUMMYFUNCTION("AVERAGE(INDEX(GOOGLEFINANCE(A261, ""price"", TODAY()-75, TODAY()), 0, 2))"),669.6292452830188)</f>
        <v>669.6292453</v>
      </c>
      <c r="T261" s="9">
        <f>IFERROR(__xludf.DUMMYFUNCTION("AVERAGE(INDEX(GOOGLEFINANCE(A261, ""price"", TODAY()-300, TODAY()), 0, 2))"),686.6101485148513)</f>
        <v>686.6101485</v>
      </c>
      <c r="U261" s="9">
        <f t="shared" si="5"/>
        <v>0.01665234487</v>
      </c>
      <c r="V261" s="15">
        <f>IFERROR(__xludf.DUMMYFUNCTION("LET(hist, GOOGLEFINANCE(A261,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rs))))))"),72.92948414576423)</f>
        <v>72.92948415</v>
      </c>
      <c r="W261" s="16" t="str">
        <f>IFERROR(__xludf.DUMMYFUNCTION("IFERROR(GOOGLEFINANCE(A261, ""volume"") / GOOGLEFINANCE(A261, ""volumeavg""), )"),"")</f>
        <v/>
      </c>
      <c r="X261" s="9">
        <f>IFERROR(__xludf.DUMMYFUNCTION("B261 * GOOGLEFINANCE(A261, ""volume"")"),4.49765526E8)</f>
        <v>449765526</v>
      </c>
      <c r="Y261" s="9">
        <f>IFERROR(__xludf.DUMMYFUNCTION("IFERROR(((B261 - GOOGLEFINANCE(A261, ""priceopen"")) / GOOGLEFINANCE(A261, ""priceopen"")) * GOOGLEFINANCE(A261, ""volume""), 0)"),-6567.919510061199)</f>
        <v>-6567.91951</v>
      </c>
    </row>
    <row r="262">
      <c r="A262" s="4" t="s">
        <v>1742</v>
      </c>
      <c r="B262" s="7">
        <f>IFERROR(__xludf.DUMMYFUNCTION("GOOGLEFINANCE(A262, ""price"")"),578.9)</f>
        <v>578.9</v>
      </c>
      <c r="C262" s="7">
        <f>IFERROR(__xludf.DUMMYFUNCTION("GOOGLEFINANCE(A262, ""changepct"")"),2.43)</f>
        <v>2.43</v>
      </c>
      <c r="D262" s="9">
        <f>IFERROR(__xludf.DUMMYFUNCTION("GOOGLEFINANCE(A262, ""priceopen"")"),565.05)</f>
        <v>565.05</v>
      </c>
      <c r="E262" s="9">
        <f>IFERROR(__xludf.DUMMYFUNCTION("GOOGLEFINANCE(A262, ""high"")"),579.4)</f>
        <v>579.4</v>
      </c>
      <c r="F262" s="9">
        <f>IFERROR(__xludf.DUMMYFUNCTION("GOOGLEFINANCE(A262, ""low"")"),552.5)</f>
        <v>552.5</v>
      </c>
      <c r="G262" s="9">
        <f>IFERROR(__xludf.DUMMYFUNCTION("GOOGLEFINANCE(A262, ""price"")"),578.9)</f>
        <v>578.9</v>
      </c>
      <c r="H262" s="9">
        <f>IFERROR(__xludf.DUMMYFUNCTION("MAX(INDEX(GOOGLEFINANCE(A262, ""high"", TODAY()-30, TODAY()), 0, 2))"),622.8)</f>
        <v>622.8</v>
      </c>
      <c r="I262" s="9">
        <f>IFERROR(__xludf.DUMMYFUNCTION("MIN(INDEX(GOOGLEFINANCE(A262, ""low"", TODAY()-30, TODAY()), 0, 2))"),532.0)</f>
        <v>532</v>
      </c>
      <c r="J262" s="9">
        <f>IFERROR(__xludf.DUMMYFUNCTION("GOOGLEFINANCE(A262, ""high52"")"),829.4)</f>
        <v>829.4</v>
      </c>
      <c r="K262" s="9">
        <f>IFERROR(__xludf.DUMMYFUNCTION("GOOGLEFINANCE(A262, ""low52"")"),400.2)</f>
        <v>400.2</v>
      </c>
      <c r="L262" s="9">
        <f t="shared" si="1"/>
        <v>0.3020255606</v>
      </c>
      <c r="M262" s="9">
        <f t="shared" si="2"/>
        <v>0.4465267366</v>
      </c>
      <c r="N262" s="9">
        <f t="shared" si="3"/>
        <v>0.04868778281</v>
      </c>
      <c r="O262" s="9">
        <f t="shared" si="4"/>
        <v>0.5165198238</v>
      </c>
      <c r="P262" s="9">
        <f>IFERROR(__xludf.DUMMYFUNCTION("GOOGLEFINANCE(A262, ""pe"")"),26.58)</f>
        <v>26.58</v>
      </c>
      <c r="Q262" s="9">
        <f>IFERROR(__xludf.DUMMYFUNCTION("IFERROR(GOOGLEFINANCE(A262, ""volume"") / GOOGLEFINANCE(A262, ""volumeavg""), 0)"),0.0)</f>
        <v>0</v>
      </c>
      <c r="R262" s="9">
        <f>IFERROR(__xludf.DUMMYFUNCTION("AVERAGE(INDEX(GOOGLEFINANCE(A262, ""price"", TODAY()-30, TODAY()), 0, 2))"),565.2239130434783)</f>
        <v>565.223913</v>
      </c>
      <c r="S262" s="9">
        <f>IFERROR(__xludf.DUMMYFUNCTION("AVERAGE(INDEX(GOOGLEFINANCE(A262, ""price"", TODAY()-75, TODAY()), 0, 2))"),538.9811320754718)</f>
        <v>538.9811321</v>
      </c>
      <c r="T262" s="9">
        <f>IFERROR(__xludf.DUMMYFUNCTION("AVERAGE(INDEX(GOOGLEFINANCE(A262, ""price"", TODAY()-300, TODAY()), 0, 2))"),588.6844059405938)</f>
        <v>588.6844059</v>
      </c>
      <c r="U262" s="9">
        <f t="shared" si="5"/>
        <v>0.02419587466</v>
      </c>
      <c r="V262" s="15">
        <f>IFERROR(__xludf.DUMMYFUNCTION("LET(hist, GOOGLEFINANCE(A262,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rs))))))"),56.819953234606395)</f>
        <v>56.81995323</v>
      </c>
      <c r="W262" s="16" t="str">
        <f>IFERROR(__xludf.DUMMYFUNCTION("IFERROR(GOOGLEFINANCE(A262, ""volume"") / GOOGLEFINANCE(A262, ""volumeavg""), )"),"")</f>
        <v/>
      </c>
      <c r="X262" s="9">
        <f>IFERROR(__xludf.DUMMYFUNCTION("B262 * GOOGLEFINANCE(A262, ""volume"")"),1.211087745E8)</f>
        <v>121108774.5</v>
      </c>
      <c r="Y262" s="9">
        <f>IFERROR(__xludf.DUMMYFUNCTION("IFERROR(((B262 - GOOGLEFINANCE(A262, ""priceopen"")) / GOOGLEFINANCE(A262, ""priceopen"")) * GOOGLEFINANCE(A262, ""volume""), 0)"),5127.845765861437)</f>
        <v>5127.845766</v>
      </c>
    </row>
    <row r="263">
      <c r="A263" s="4" t="s">
        <v>1752</v>
      </c>
      <c r="B263" s="7">
        <f>IFERROR(__xludf.DUMMYFUNCTION("GOOGLEFINANCE(A263, ""price"")"),168.45)</f>
        <v>168.45</v>
      </c>
      <c r="C263" s="7">
        <f>IFERROR(__xludf.DUMMYFUNCTION("GOOGLEFINANCE(A263, ""changepct"")"),0.93)</f>
        <v>0.93</v>
      </c>
      <c r="D263" s="9">
        <f>IFERROR(__xludf.DUMMYFUNCTION("GOOGLEFINANCE(A263, ""priceopen"")"),167.0)</f>
        <v>167</v>
      </c>
      <c r="E263" s="9">
        <f>IFERROR(__xludf.DUMMYFUNCTION("GOOGLEFINANCE(A263, ""high"")"),168.96)</f>
        <v>168.96</v>
      </c>
      <c r="F263" s="9">
        <f>IFERROR(__xludf.DUMMYFUNCTION("GOOGLEFINANCE(A263, ""low"")"),166.25)</f>
        <v>166.25</v>
      </c>
      <c r="G263" s="9">
        <f>IFERROR(__xludf.DUMMYFUNCTION("GOOGLEFINANCE(A263, ""price"")"),168.45)</f>
        <v>168.45</v>
      </c>
      <c r="H263" s="9">
        <f>IFERROR(__xludf.DUMMYFUNCTION("MAX(INDEX(GOOGLEFINANCE(A263, ""high"", TODAY()-30, TODAY()), 0, 2))"),187.58)</f>
        <v>187.58</v>
      </c>
      <c r="I263" s="9">
        <f>IFERROR(__xludf.DUMMYFUNCTION("MIN(INDEX(GOOGLEFINANCE(A263, ""low"", TODAY()-30, TODAY()), 0, 2))"),158.4)</f>
        <v>158.4</v>
      </c>
      <c r="J263" s="9">
        <f>IFERROR(__xludf.DUMMYFUNCTION("GOOGLEFINANCE(A263, ""high52"")"),253.67)</f>
        <v>253.67</v>
      </c>
      <c r="K263" s="9">
        <f>IFERROR(__xludf.DUMMYFUNCTION("GOOGLEFINANCE(A263, ""low52"")"),137.3)</f>
        <v>137.3</v>
      </c>
      <c r="L263" s="9">
        <f t="shared" si="1"/>
        <v>0.3359482793</v>
      </c>
      <c r="M263" s="9">
        <f t="shared" si="2"/>
        <v>0.2268754552</v>
      </c>
      <c r="N263" s="9">
        <f t="shared" si="3"/>
        <v>0.01630075188</v>
      </c>
      <c r="O263" s="9">
        <f t="shared" si="4"/>
        <v>0.3444139822</v>
      </c>
      <c r="P263" s="9">
        <f>IFERROR(__xludf.DUMMYFUNCTION("GOOGLEFINANCE(A263, ""pe"")"),40.6)</f>
        <v>40.6</v>
      </c>
      <c r="Q263" s="9">
        <f>IFERROR(__xludf.DUMMYFUNCTION("IFERROR(GOOGLEFINANCE(A263, ""volume"") / GOOGLEFINANCE(A263, ""volumeavg""), 0)"),0.0)</f>
        <v>0</v>
      </c>
      <c r="R263" s="9">
        <f>IFERROR(__xludf.DUMMYFUNCTION("AVERAGE(INDEX(GOOGLEFINANCE(A263, ""price"", TODAY()-30, TODAY()), 0, 2))"),168.41173913043477)</f>
        <v>168.4117391</v>
      </c>
      <c r="S263" s="9">
        <f>IFERROR(__xludf.DUMMYFUNCTION("AVERAGE(INDEX(GOOGLEFINANCE(A263, ""price"", TODAY()-75, TODAY()), 0, 2))"),167.3488679245283)</f>
        <v>167.3488679</v>
      </c>
      <c r="T263" s="9">
        <f>IFERROR(__xludf.DUMMYFUNCTION("AVERAGE(INDEX(GOOGLEFINANCE(A263, ""price"", TODAY()-300, TODAY()), 0, 2))"),178.0572277227724)</f>
        <v>178.0572277</v>
      </c>
      <c r="U263" s="9">
        <f t="shared" si="5"/>
        <v>0.0002271864762</v>
      </c>
      <c r="V263" s="15">
        <f>IFERROR(__xludf.DUMMYFUNCTION("LET(hist, GOOGLEFINANCE(A263,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rs))))))"),59.803620742559)</f>
        <v>59.80362074</v>
      </c>
      <c r="W263" s="16" t="str">
        <f>IFERROR(__xludf.DUMMYFUNCTION("IFERROR(GOOGLEFINANCE(A263, ""volume"") / GOOGLEFINANCE(A263, ""volumeavg""), )"),"")</f>
        <v/>
      </c>
      <c r="X263" s="9">
        <f>IFERROR(__xludf.DUMMYFUNCTION("B263 * GOOGLEFINANCE(A263, ""volume"")"),2.6608850504999998E8)</f>
        <v>266088505.1</v>
      </c>
      <c r="Y263" s="9">
        <f>IFERROR(__xludf.DUMMYFUNCTION("IFERROR(((B263 - GOOGLEFINANCE(A263, ""priceopen"")) / GOOGLEFINANCE(A263, ""priceopen"")) * GOOGLEFINANCE(A263, ""volume""), 0)"),13715.341616766362)</f>
        <v>13715.34162</v>
      </c>
    </row>
    <row r="264">
      <c r="A264" s="4" t="s">
        <v>1760</v>
      </c>
      <c r="B264" s="7">
        <f>IFERROR(__xludf.DUMMYFUNCTION("GOOGLEFINANCE(A264, ""price"")"),804.5)</f>
        <v>804.5</v>
      </c>
      <c r="C264" s="7">
        <f>IFERROR(__xludf.DUMMYFUNCTION("GOOGLEFINANCE(A264, ""changepct"")"),-1.05)</f>
        <v>-1.05</v>
      </c>
      <c r="D264" s="9">
        <f>IFERROR(__xludf.DUMMYFUNCTION("GOOGLEFINANCE(A264, ""priceopen"")"),810.5)</f>
        <v>810.5</v>
      </c>
      <c r="E264" s="9">
        <f>IFERROR(__xludf.DUMMYFUNCTION("GOOGLEFINANCE(A264, ""high"")"),814.55)</f>
        <v>814.55</v>
      </c>
      <c r="F264" s="9">
        <f>IFERROR(__xludf.DUMMYFUNCTION("GOOGLEFINANCE(A264, ""low"")"),800.0)</f>
        <v>800</v>
      </c>
      <c r="G264" s="9">
        <f>IFERROR(__xludf.DUMMYFUNCTION("GOOGLEFINANCE(A264, ""price"")"),804.5)</f>
        <v>804.5</v>
      </c>
      <c r="H264" s="9">
        <f>IFERROR(__xludf.DUMMYFUNCTION("MAX(INDEX(GOOGLEFINANCE(A264, ""high"", TODAY()-30, TODAY()), 0, 2))"),826.8)</f>
        <v>826.8</v>
      </c>
      <c r="I264" s="9">
        <f>IFERROR(__xludf.DUMMYFUNCTION("MIN(INDEX(GOOGLEFINANCE(A264, ""low"", TODAY()-30, TODAY()), 0, 2))"),778.1)</f>
        <v>778.1</v>
      </c>
      <c r="J264" s="9">
        <f>IFERROR(__xludf.DUMMYFUNCTION("GOOGLEFINANCE(A264, ""high52"")"),858.0)</f>
        <v>858</v>
      </c>
      <c r="K264" s="9">
        <f>IFERROR(__xludf.DUMMYFUNCTION("GOOGLEFINANCE(A264, ""low52"")"),575.8)</f>
        <v>575.8</v>
      </c>
      <c r="L264" s="9">
        <f t="shared" si="1"/>
        <v>0.06235431235</v>
      </c>
      <c r="M264" s="9">
        <f t="shared" si="2"/>
        <v>0.3971865231</v>
      </c>
      <c r="N264" s="9">
        <f t="shared" si="3"/>
        <v>0.0181875</v>
      </c>
      <c r="O264" s="9">
        <f t="shared" si="4"/>
        <v>0.5420944559</v>
      </c>
      <c r="P264" s="9">
        <f>IFERROR(__xludf.DUMMYFUNCTION("GOOGLEFINANCE(A264, ""pe"")"),157.66)</f>
        <v>157.66</v>
      </c>
      <c r="Q264" s="9">
        <f>IFERROR(__xludf.DUMMYFUNCTION("IFERROR(GOOGLEFINANCE(A264, ""volume"") / GOOGLEFINANCE(A264, ""volumeavg""), 0)"),0.0)</f>
        <v>0</v>
      </c>
      <c r="R264" s="9">
        <f>IFERROR(__xludf.DUMMYFUNCTION("AVERAGE(INDEX(GOOGLEFINANCE(A264, ""price"", TODAY()-30, TODAY()), 0, 2))"),802.0760869565217)</f>
        <v>802.076087</v>
      </c>
      <c r="S264" s="9">
        <f>IFERROR(__xludf.DUMMYFUNCTION("AVERAGE(INDEX(GOOGLEFINANCE(A264, ""price"", TODAY()-75, TODAY()), 0, 2))"),797.0509433962264)</f>
        <v>797.0509434</v>
      </c>
      <c r="T264" s="9">
        <f>IFERROR(__xludf.DUMMYFUNCTION("AVERAGE(INDEX(GOOGLEFINANCE(A264, ""price"", TODAY()-300, TODAY()), 0, 2))"),706.8910891089107)</f>
        <v>706.8910891</v>
      </c>
      <c r="U264" s="9">
        <f t="shared" si="5"/>
        <v>0.003022048759</v>
      </c>
      <c r="V264" s="15">
        <f>IFERROR(__xludf.DUMMYFUNCTION("LET(hist, GOOGLEFINANCE(A264,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rs))))))"),59.96441281138794)</f>
        <v>59.96441281</v>
      </c>
      <c r="W264" s="16" t="str">
        <f>IFERROR(__xludf.DUMMYFUNCTION("IFERROR(GOOGLEFINANCE(A264, ""volume"") / GOOGLEFINANCE(A264, ""volumeavg""), )"),"")</f>
        <v/>
      </c>
      <c r="X264" s="9">
        <f>IFERROR(__xludf.DUMMYFUNCTION("B264 * GOOGLEFINANCE(A264, ""volume"")"),3.696798175E8)</f>
        <v>369679817.5</v>
      </c>
      <c r="Y264" s="9">
        <f>IFERROR(__xludf.DUMMYFUNCTION("IFERROR(((B264 - GOOGLEFINANCE(A264, ""priceopen"")) / GOOGLEFINANCE(A264, ""priceopen"")) * GOOGLEFINANCE(A264, ""volume""), 0)"),-3401.7149907464527)</f>
        <v>-3401.714991</v>
      </c>
    </row>
    <row r="265">
      <c r="A265" s="4" t="s">
        <v>1770</v>
      </c>
      <c r="B265" s="7">
        <f>IFERROR(__xludf.DUMMYFUNCTION("GOOGLEFINANCE(A265, ""price"")"),1831.0)</f>
        <v>1831</v>
      </c>
      <c r="C265" s="7">
        <f>IFERROR(__xludf.DUMMYFUNCTION("GOOGLEFINANCE(A265, ""changepct"")"),-0.25)</f>
        <v>-0.25</v>
      </c>
      <c r="D265" s="9">
        <f>IFERROR(__xludf.DUMMYFUNCTION("GOOGLEFINANCE(A265, ""priceopen"")"),1835.6)</f>
        <v>1835.6</v>
      </c>
      <c r="E265" s="9">
        <f>IFERROR(__xludf.DUMMYFUNCTION("GOOGLEFINANCE(A265, ""high"")"),1844.0)</f>
        <v>1844</v>
      </c>
      <c r="F265" s="9">
        <f>IFERROR(__xludf.DUMMYFUNCTION("GOOGLEFINANCE(A265, ""low"")"),1812.0)</f>
        <v>1812</v>
      </c>
      <c r="G265" s="9">
        <f>IFERROR(__xludf.DUMMYFUNCTION("GOOGLEFINANCE(A265, ""price"")"),1831.0)</f>
        <v>1831</v>
      </c>
      <c r="H265" s="9">
        <f>IFERROR(__xludf.DUMMYFUNCTION("MAX(INDEX(GOOGLEFINANCE(A265, ""high"", TODAY()-30, TODAY()), 0, 2))"),1887.7)</f>
        <v>1887.7</v>
      </c>
      <c r="I265" s="9">
        <f>IFERROR(__xludf.DUMMYFUNCTION("MIN(INDEX(GOOGLEFINANCE(A265, ""low"", TODAY()-30, TODAY()), 0, 2))"),1683.0)</f>
        <v>1683</v>
      </c>
      <c r="J265" s="9">
        <f>IFERROR(__xludf.DUMMYFUNCTION("GOOGLEFINANCE(A265, ""high52"")"),2496.3)</f>
        <v>2496.3</v>
      </c>
      <c r="K265" s="9">
        <f>IFERROR(__xludf.DUMMYFUNCTION("GOOGLEFINANCE(A265, ""low52"")"),1605.0)</f>
        <v>1605</v>
      </c>
      <c r="L265" s="9">
        <f t="shared" si="1"/>
        <v>0.2665144414</v>
      </c>
      <c r="M265" s="9">
        <f t="shared" si="2"/>
        <v>0.1408099688</v>
      </c>
      <c r="N265" s="9">
        <f t="shared" si="3"/>
        <v>0.01766004415</v>
      </c>
      <c r="O265" s="9">
        <f t="shared" si="4"/>
        <v>0.7230092819</v>
      </c>
      <c r="P265" s="9">
        <f>IFERROR(__xludf.DUMMYFUNCTION("GOOGLEFINANCE(A265, ""pe"")"),36.77)</f>
        <v>36.77</v>
      </c>
      <c r="Q265" s="9">
        <f>IFERROR(__xludf.DUMMYFUNCTION("IFERROR(GOOGLEFINANCE(A265, ""volume"") / GOOGLEFINANCE(A265, ""volumeavg""), 0)"),0.0)</f>
        <v>0</v>
      </c>
      <c r="R265" s="9">
        <f>IFERROR(__xludf.DUMMYFUNCTION("AVERAGE(INDEX(GOOGLEFINANCE(A265, ""price"", TODAY()-30, TODAY()), 0, 2))"),1824.9956521739132)</f>
        <v>1824.995652</v>
      </c>
      <c r="S265" s="9">
        <f>IFERROR(__xludf.DUMMYFUNCTION("AVERAGE(INDEX(GOOGLEFINANCE(A265, ""price"", TODAY()-75, TODAY()), 0, 2))"),1763.2528301886791)</f>
        <v>1763.25283</v>
      </c>
      <c r="T265" s="9">
        <f>IFERROR(__xludf.DUMMYFUNCTION("AVERAGE(INDEX(GOOGLEFINANCE(A265, ""price"", TODAY()-300, TODAY()), 0, 2))"),1939.9960396039598)</f>
        <v>1939.99604</v>
      </c>
      <c r="U265" s="9">
        <f t="shared" si="5"/>
        <v>0.003290061441</v>
      </c>
      <c r="V265" s="15">
        <f>IFERROR(__xludf.DUMMYFUNCTION("LET(hist, GOOGLEFINANCE(A265,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rs))))))"),47.317466720451804)</f>
        <v>47.31746672</v>
      </c>
      <c r="W265" s="16" t="str">
        <f>IFERROR(__xludf.DUMMYFUNCTION("IFERROR(GOOGLEFINANCE(A265, ""volume"") / GOOGLEFINANCE(A265, ""volumeavg""), )"),"")</f>
        <v/>
      </c>
      <c r="X265" s="9">
        <f>IFERROR(__xludf.DUMMYFUNCTION("B265 * GOOGLEFINANCE(A265, ""volume"")"),1.64524505E8)</f>
        <v>164524505</v>
      </c>
      <c r="Y265" s="9">
        <f>IFERROR(__xludf.DUMMYFUNCTION("IFERROR(((B265 - GOOGLEFINANCE(A265, ""priceopen"")) / GOOGLEFINANCE(A265, ""priceopen"")) * GOOGLEFINANCE(A265, ""volume""), 0)"),-225.17596426236207)</f>
        <v>-225.1759643</v>
      </c>
    </row>
    <row r="266">
      <c r="A266" s="4" t="s">
        <v>1782</v>
      </c>
      <c r="B266" s="7">
        <f>IFERROR(__xludf.DUMMYFUNCTION("GOOGLEFINANCE(A266, ""price"")"),37520.0)</f>
        <v>37520</v>
      </c>
      <c r="C266" s="7">
        <f>IFERROR(__xludf.DUMMYFUNCTION("GOOGLEFINANCE(A266, ""changepct"")"),-1.09)</f>
        <v>-1.09</v>
      </c>
      <c r="D266" s="9">
        <f>IFERROR(__xludf.DUMMYFUNCTION("GOOGLEFINANCE(A266, ""priceopen"")"),38000.0)</f>
        <v>38000</v>
      </c>
      <c r="E266" s="9">
        <f>IFERROR(__xludf.DUMMYFUNCTION("GOOGLEFINANCE(A266, ""high"")"),38195.0)</f>
        <v>38195</v>
      </c>
      <c r="F266" s="9">
        <f>IFERROR(__xludf.DUMMYFUNCTION("GOOGLEFINANCE(A266, ""low"")"),37520.0)</f>
        <v>37520</v>
      </c>
      <c r="G266" s="9">
        <f>IFERROR(__xludf.DUMMYFUNCTION("GOOGLEFINANCE(A266, ""price"")"),37520.0)</f>
        <v>37520</v>
      </c>
      <c r="H266" s="9">
        <f>IFERROR(__xludf.DUMMYFUNCTION("MAX(INDEX(GOOGLEFINANCE(A266, ""high"", TODAY()-30, TODAY()), 0, 2))"),41495.0)</f>
        <v>41495</v>
      </c>
      <c r="I266" s="9">
        <f>IFERROR(__xludf.DUMMYFUNCTION("MIN(INDEX(GOOGLEFINANCE(A266, ""low"", TODAY()-30, TODAY()), 0, 2))"),37205.0)</f>
        <v>37205</v>
      </c>
      <c r="J266" s="9">
        <f>IFERROR(__xludf.DUMMYFUNCTION("GOOGLEFINANCE(A266, ""high52"")"),41495.0)</f>
        <v>41495</v>
      </c>
      <c r="K266" s="9">
        <f>IFERROR(__xludf.DUMMYFUNCTION("GOOGLEFINANCE(A266, ""low52"")"),26220.0)</f>
        <v>26220</v>
      </c>
      <c r="L266" s="9">
        <f t="shared" si="1"/>
        <v>0.09579467406</v>
      </c>
      <c r="M266" s="9">
        <f t="shared" si="2"/>
        <v>0.4309687262</v>
      </c>
      <c r="N266" s="9">
        <f t="shared" si="3"/>
        <v>0.01799040512</v>
      </c>
      <c r="O266" s="9">
        <f t="shared" si="4"/>
        <v>0.07342657343</v>
      </c>
      <c r="P266" s="9">
        <f>IFERROR(__xludf.DUMMYFUNCTION("GOOGLEFINANCE(A266, ""pe"")"),60.2)</f>
        <v>60.2</v>
      </c>
      <c r="Q266" s="9">
        <f>IFERROR(__xludf.DUMMYFUNCTION("IFERROR(GOOGLEFINANCE(A266, ""volume"") / GOOGLEFINANCE(A266, ""volumeavg""), 0)"),0.0)</f>
        <v>0</v>
      </c>
      <c r="R266" s="9">
        <f>IFERROR(__xludf.DUMMYFUNCTION("AVERAGE(INDEX(GOOGLEFINANCE(A266, ""price"", TODAY()-30, TODAY()), 0, 2))"),38333.04347826087)</f>
        <v>38333.04348</v>
      </c>
      <c r="S266" s="9">
        <f>IFERROR(__xludf.DUMMYFUNCTION("AVERAGE(INDEX(GOOGLEFINANCE(A266, ""price"", TODAY()-75, TODAY()), 0, 2))"),37644.15094339623)</f>
        <v>37644.15094</v>
      </c>
      <c r="T266" s="9">
        <f>IFERROR(__xludf.DUMMYFUNCTION("AVERAGE(INDEX(GOOGLEFINANCE(A266, ""price"", TODAY()-300, TODAY()), 0, 2))"),33859.430693069306)</f>
        <v>33859.43069</v>
      </c>
      <c r="U266" s="9">
        <f t="shared" si="5"/>
        <v>-0.02120999025</v>
      </c>
      <c r="V266" s="15">
        <f>IFERROR(__xludf.DUMMYFUNCTION("LET(hist, GOOGLEFINANCE(A266,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rs))))))"),48.049281314168375)</f>
        <v>48.04928131</v>
      </c>
      <c r="W266" s="16" t="str">
        <f>IFERROR(__xludf.DUMMYFUNCTION("IFERROR(GOOGLEFINANCE(A266, ""volume"") / GOOGLEFINANCE(A266, ""volumeavg""), )"),"")</f>
        <v/>
      </c>
      <c r="X266" s="9">
        <f>IFERROR(__xludf.DUMMYFUNCTION("B266 * GOOGLEFINANCE(A266, ""volume"")"),5.38412E7)</f>
        <v>53841200</v>
      </c>
      <c r="Y266" s="9">
        <f>IFERROR(__xludf.DUMMYFUNCTION("IFERROR(((B266 - GOOGLEFINANCE(A266, ""priceopen"")) / GOOGLEFINANCE(A266, ""priceopen"")) * GOOGLEFINANCE(A266, ""volume""), 0)"),-18.126315789473683)</f>
        <v>-18.12631579</v>
      </c>
    </row>
    <row r="267">
      <c r="A267" s="4" t="s">
        <v>1789</v>
      </c>
      <c r="B267" s="7">
        <f>IFERROR(__xludf.DUMMYFUNCTION("GOOGLEFINANCE(A267, ""price"")"),117.8)</f>
        <v>117.8</v>
      </c>
      <c r="C267" s="7">
        <f>IFERROR(__xludf.DUMMYFUNCTION("GOOGLEFINANCE(A267, ""changepct"")"),-0.76)</f>
        <v>-0.76</v>
      </c>
      <c r="D267" s="9">
        <f>IFERROR(__xludf.DUMMYFUNCTION("GOOGLEFINANCE(A267, ""priceopen"")"),118.69)</f>
        <v>118.69</v>
      </c>
      <c r="E267" s="9">
        <f>IFERROR(__xludf.DUMMYFUNCTION("GOOGLEFINANCE(A267, ""high"")"),119.0)</f>
        <v>119</v>
      </c>
      <c r="F267" s="9">
        <f>IFERROR(__xludf.DUMMYFUNCTION("GOOGLEFINANCE(A267, ""low"")"),117.0)</f>
        <v>117</v>
      </c>
      <c r="G267" s="9">
        <f>IFERROR(__xludf.DUMMYFUNCTION("GOOGLEFINANCE(A267, ""price"")"),117.8)</f>
        <v>117.8</v>
      </c>
      <c r="H267" s="9">
        <f>IFERROR(__xludf.DUMMYFUNCTION("MAX(INDEX(GOOGLEFINANCE(A267, ""high"", TODAY()-30, TODAY()), 0, 2))"),125.4)</f>
        <v>125.4</v>
      </c>
      <c r="I267" s="9">
        <f>IFERROR(__xludf.DUMMYFUNCTION("MIN(INDEX(GOOGLEFINANCE(A267, ""low"", TODAY()-30, TODAY()), 0, 2))"),117.0)</f>
        <v>117</v>
      </c>
      <c r="J267" s="9">
        <f>IFERROR(__xludf.DUMMYFUNCTION("GOOGLEFINANCE(A267, ""high52"")"),163.35)</f>
        <v>163.35</v>
      </c>
      <c r="K267" s="9">
        <f>IFERROR(__xludf.DUMMYFUNCTION("GOOGLEFINANCE(A267, ""low52"")"),108.65)</f>
        <v>108.65</v>
      </c>
      <c r="L267" s="9">
        <f t="shared" si="1"/>
        <v>0.278849097</v>
      </c>
      <c r="M267" s="9">
        <f t="shared" si="2"/>
        <v>0.08421537046</v>
      </c>
      <c r="N267" s="9">
        <f t="shared" si="3"/>
        <v>0.01709401709</v>
      </c>
      <c r="O267" s="9">
        <f t="shared" si="4"/>
        <v>0.09523809524</v>
      </c>
      <c r="P267" s="9">
        <f>IFERROR(__xludf.DUMMYFUNCTION("GOOGLEFINANCE(A267, ""pe"")"),16.76)</f>
        <v>16.76</v>
      </c>
      <c r="Q267" s="9">
        <f>IFERROR(__xludf.DUMMYFUNCTION("IFERROR(GOOGLEFINANCE(A267, ""volume"") / GOOGLEFINANCE(A267, ""volumeavg""), 0)"),0.0)</f>
        <v>0</v>
      </c>
      <c r="R267" s="9">
        <f>IFERROR(__xludf.DUMMYFUNCTION("AVERAGE(INDEX(GOOGLEFINANCE(A267, ""price"", TODAY()-30, TODAY()), 0, 2))"),120.6904347826087)</f>
        <v>120.6904348</v>
      </c>
      <c r="S267" s="9">
        <f>IFERROR(__xludf.DUMMYFUNCTION("AVERAGE(INDEX(GOOGLEFINANCE(A267, ""price"", TODAY()-75, TODAY()), 0, 2))"),123.42679245283018)</f>
        <v>123.4267925</v>
      </c>
      <c r="T267" s="9">
        <f>IFERROR(__xludf.DUMMYFUNCTION("AVERAGE(INDEX(GOOGLEFINANCE(A267, ""price"", TODAY()-300, TODAY()), 0, 2))"),130.63876237623776)</f>
        <v>130.6387624</v>
      </c>
      <c r="U267" s="9">
        <f t="shared" si="5"/>
        <v>-0.02394916207</v>
      </c>
      <c r="V267" s="15">
        <f>IFERROR(__xludf.DUMMYFUNCTION("LET(hist, GOOGLEFINANCE(A267,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rs))))))"),43.25757575757575)</f>
        <v>43.25757576</v>
      </c>
      <c r="W267" s="16" t="str">
        <f>IFERROR(__xludf.DUMMYFUNCTION("IFERROR(GOOGLEFINANCE(A267, ""volume"") / GOOGLEFINANCE(A267, ""volumeavg""), )"),"")</f>
        <v/>
      </c>
      <c r="X267" s="9">
        <f>IFERROR(__xludf.DUMMYFUNCTION("B267 * GOOGLEFINANCE(A267, ""volume"")"),5.1173227059999996E8)</f>
        <v>511732270.6</v>
      </c>
      <c r="Y267" s="9">
        <f>IFERROR(__xludf.DUMMYFUNCTION("IFERROR(((B267 - GOOGLEFINANCE(A267, ""priceopen"")) / GOOGLEFINANCE(A267, ""priceopen"")) * GOOGLEFINANCE(A267, ""volume""), 0)"),-32574.17246608815)</f>
        <v>-32574.17247</v>
      </c>
    </row>
    <row r="268">
      <c r="A268" s="4" t="s">
        <v>1793</v>
      </c>
      <c r="B268" s="7">
        <f>IFERROR(__xludf.DUMMYFUNCTION("GOOGLEFINANCE(A268, ""price"")"),2196.5)</f>
        <v>2196.5</v>
      </c>
      <c r="C268" s="7">
        <f>IFERROR(__xludf.DUMMYFUNCTION("GOOGLEFINANCE(A268, ""changepct"")"),-1.28)</f>
        <v>-1.28</v>
      </c>
      <c r="D268" s="9">
        <f>IFERROR(__xludf.DUMMYFUNCTION("GOOGLEFINANCE(A268, ""priceopen"")"),2223.5)</f>
        <v>2223.5</v>
      </c>
      <c r="E268" s="9">
        <f>IFERROR(__xludf.DUMMYFUNCTION("GOOGLEFINANCE(A268, ""high"")"),2228.7)</f>
        <v>2228.7</v>
      </c>
      <c r="F268" s="9">
        <f>IFERROR(__xludf.DUMMYFUNCTION("GOOGLEFINANCE(A268, ""low"")"),2150.0)</f>
        <v>2150</v>
      </c>
      <c r="G268" s="9">
        <f>IFERROR(__xludf.DUMMYFUNCTION("GOOGLEFINANCE(A268, ""price"")"),2196.5)</f>
        <v>2196.5</v>
      </c>
      <c r="H268" s="9">
        <f>IFERROR(__xludf.DUMMYFUNCTION("MAX(INDEX(GOOGLEFINANCE(A268, ""high"", TODAY()-30, TODAY()), 0, 2))"),2410.0)</f>
        <v>2410</v>
      </c>
      <c r="I268" s="9">
        <f>IFERROR(__xludf.DUMMYFUNCTION("MIN(INDEX(GOOGLEFINANCE(A268, ""low"", TODAY()-30, TODAY()), 0, 2))"),2013.0)</f>
        <v>2013</v>
      </c>
      <c r="J268" s="9">
        <f>IFERROR(__xludf.DUMMYFUNCTION("GOOGLEFINANCE(A268, ""high52"")"),3947.0)</f>
        <v>3947</v>
      </c>
      <c r="K268" s="9">
        <f>IFERROR(__xludf.DUMMYFUNCTION("GOOGLEFINANCE(A268, ""low52"")"),1832.1)</f>
        <v>1832.1</v>
      </c>
      <c r="L268" s="9">
        <f t="shared" si="1"/>
        <v>0.4435013935</v>
      </c>
      <c r="M268" s="9">
        <f t="shared" si="2"/>
        <v>0.1988974401</v>
      </c>
      <c r="N268" s="9">
        <f t="shared" si="3"/>
        <v>0.03660465116</v>
      </c>
      <c r="O268" s="9">
        <f t="shared" si="4"/>
        <v>0.4622166247</v>
      </c>
      <c r="P268" s="9">
        <f>IFERROR(__xludf.DUMMYFUNCTION("GOOGLEFINANCE(A268, ""pe"")"),25.04)</f>
        <v>25.04</v>
      </c>
      <c r="Q268" s="9">
        <f>IFERROR(__xludf.DUMMYFUNCTION("IFERROR(GOOGLEFINANCE(A268, ""volume"") / GOOGLEFINANCE(A268, ""volumeavg""), 0)"),0.0)</f>
        <v>0</v>
      </c>
      <c r="R268" s="9">
        <f>IFERROR(__xludf.DUMMYFUNCTION("AVERAGE(INDEX(GOOGLEFINANCE(A268, ""price"", TODAY()-30, TODAY()), 0, 2))"),2164.0782608695654)</f>
        <v>2164.078261</v>
      </c>
      <c r="S268" s="9">
        <f>IFERROR(__xludf.DUMMYFUNCTION("AVERAGE(INDEX(GOOGLEFINANCE(A268, ""price"", TODAY()-75, TODAY()), 0, 2))"),2192.5490566037734)</f>
        <v>2192.549057</v>
      </c>
      <c r="T268" s="9">
        <f>IFERROR(__xludf.DUMMYFUNCTION("AVERAGE(INDEX(GOOGLEFINANCE(A268, ""price"", TODAY()-300, TODAY()), 0, 2))"),2363.598009950248)</f>
        <v>2363.59801</v>
      </c>
      <c r="U268" s="9">
        <f t="shared" si="5"/>
        <v>0.01498177756</v>
      </c>
      <c r="V268" s="15">
        <f>IFERROR(__xludf.DUMMYFUNCTION("LET(hist, GOOGLEFINANCE(A268,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rs))))))"),59.61902359026113)</f>
        <v>59.61902359</v>
      </c>
      <c r="W268" s="16" t="str">
        <f>IFERROR(__xludf.DUMMYFUNCTION("IFERROR(GOOGLEFINANCE(A268, ""volume"") / GOOGLEFINANCE(A268, ""volumeavg""), )"),"")</f>
        <v/>
      </c>
      <c r="X268" s="9">
        <f>IFERROR(__xludf.DUMMYFUNCTION("B268 * GOOGLEFINANCE(A268, ""volume"")"),4.518046745E8)</f>
        <v>451804674.5</v>
      </c>
      <c r="Y268" s="9">
        <f>IFERROR(__xludf.DUMMYFUNCTION("IFERROR(((B268 - GOOGLEFINANCE(A268, ""priceopen"")) / GOOGLEFINANCE(A268, ""priceopen"")) * GOOGLEFINANCE(A268, ""volume""), 0)"),-2497.733753091972)</f>
        <v>-2497.733753</v>
      </c>
    </row>
    <row r="269">
      <c r="A269" s="4" t="s">
        <v>1801</v>
      </c>
      <c r="B269" s="7">
        <f>IFERROR(__xludf.DUMMYFUNCTION("GOOGLEFINANCE(A269, ""price"")"),339.7)</f>
        <v>339.7</v>
      </c>
      <c r="C269" s="7">
        <f>IFERROR(__xludf.DUMMYFUNCTION("GOOGLEFINANCE(A269, ""changepct"")"),1.65)</f>
        <v>1.65</v>
      </c>
      <c r="D269" s="9">
        <f>IFERROR(__xludf.DUMMYFUNCTION("GOOGLEFINANCE(A269, ""priceopen"")"),332.5)</f>
        <v>332.5</v>
      </c>
      <c r="E269" s="9">
        <f>IFERROR(__xludf.DUMMYFUNCTION("GOOGLEFINANCE(A269, ""high"")"),340.0)</f>
        <v>340</v>
      </c>
      <c r="F269" s="9">
        <f>IFERROR(__xludf.DUMMYFUNCTION("GOOGLEFINANCE(A269, ""low"")"),332.4)</f>
        <v>332.4</v>
      </c>
      <c r="G269" s="9">
        <f>IFERROR(__xludf.DUMMYFUNCTION("GOOGLEFINANCE(A269, ""price"")"),339.7)</f>
        <v>339.7</v>
      </c>
      <c r="H269" s="9">
        <f>IFERROR(__xludf.DUMMYFUNCTION("MAX(INDEX(GOOGLEFINANCE(A269, ""high"", TODAY()-30, TODAY()), 0, 2))"),351.8)</f>
        <v>351.8</v>
      </c>
      <c r="I269" s="9">
        <f>IFERROR(__xludf.DUMMYFUNCTION("MIN(INDEX(GOOGLEFINANCE(A269, ""low"", TODAY()-30, TODAY()), 0, 2))"),296.15)</f>
        <v>296.15</v>
      </c>
      <c r="J269" s="9">
        <f>IFERROR(__xludf.DUMMYFUNCTION("GOOGLEFINANCE(A269, ""high52"")"),351.8)</f>
        <v>351.8</v>
      </c>
      <c r="K269" s="9">
        <f>IFERROR(__xludf.DUMMYFUNCTION("GOOGLEFINANCE(A269, ""low52"")"),201.82)</f>
        <v>201.82</v>
      </c>
      <c r="L269" s="9">
        <f t="shared" si="1"/>
        <v>0.03439454235</v>
      </c>
      <c r="M269" s="9">
        <f t="shared" si="2"/>
        <v>0.6831830344</v>
      </c>
      <c r="N269" s="9">
        <f t="shared" si="3"/>
        <v>0.02286401925</v>
      </c>
      <c r="O269" s="9">
        <f t="shared" si="4"/>
        <v>0.7825696316</v>
      </c>
      <c r="P269" s="9">
        <f>IFERROR(__xludf.DUMMYFUNCTION("GOOGLEFINANCE(A269, ""pe"")"),11.96)</f>
        <v>11.96</v>
      </c>
      <c r="Q269" s="9">
        <f>IFERROR(__xludf.DUMMYFUNCTION("IFERROR(GOOGLEFINANCE(A269, ""volume"") / GOOGLEFINANCE(A269, ""volumeavg""), 0)"),0.0)</f>
        <v>0</v>
      </c>
      <c r="R269" s="9">
        <f>IFERROR(__xludf.DUMMYFUNCTION("AVERAGE(INDEX(GOOGLEFINANCE(A269, ""price"", TODAY()-30, TODAY()), 0, 2))"),329.9521739130435)</f>
        <v>329.9521739</v>
      </c>
      <c r="S269" s="9">
        <f>IFERROR(__xludf.DUMMYFUNCTION("AVERAGE(INDEX(GOOGLEFINANCE(A269, ""price"", TODAY()-75, TODAY()), 0, 2))"),308.37547169811313)</f>
        <v>308.3754717</v>
      </c>
      <c r="T269" s="9">
        <f>IFERROR(__xludf.DUMMYFUNCTION("AVERAGE(INDEX(GOOGLEFINANCE(A269, ""price"", TODAY()-300, TODAY()), 0, 2))"),285.42673267326745)</f>
        <v>285.4267327</v>
      </c>
      <c r="U269" s="9">
        <f t="shared" si="5"/>
        <v>0.02954314855</v>
      </c>
      <c r="V269" s="15">
        <f>IFERROR(__xludf.DUMMYFUNCTION("LET(hist, GOOGLEFINANCE(A269,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rs))))))"),52.486910994764436)</f>
        <v>52.48691099</v>
      </c>
      <c r="W269" s="16" t="str">
        <f>IFERROR(__xludf.DUMMYFUNCTION("IFERROR(GOOGLEFINANCE(A269, ""volume"") / GOOGLEFINANCE(A269, ""volumeavg""), )"),"")</f>
        <v/>
      </c>
      <c r="X269" s="9">
        <f>IFERROR(__xludf.DUMMYFUNCTION("B269 * GOOGLEFINANCE(A269, ""volume"")"),5.95184973E8)</f>
        <v>595184973</v>
      </c>
      <c r="Y269" s="9">
        <f>IFERROR(__xludf.DUMMYFUNCTION("IFERROR(((B269 - GOOGLEFINANCE(A269, ""priceopen"")) / GOOGLEFINANCE(A269, ""priceopen"")) * GOOGLEFINANCE(A269, ""volume""), 0)"),37939.99398496235)</f>
        <v>37939.99398</v>
      </c>
    </row>
    <row r="270">
      <c r="A270" s="4" t="s">
        <v>1807</v>
      </c>
      <c r="B270" s="7">
        <f>IFERROR(__xludf.DUMMYFUNCTION("GOOGLEFINANCE(A270, ""price"")"),1700.0)</f>
        <v>1700</v>
      </c>
      <c r="C270" s="7">
        <f>IFERROR(__xludf.DUMMYFUNCTION("GOOGLEFINANCE(A270, ""changepct"")"),-0.39)</f>
        <v>-0.39</v>
      </c>
      <c r="D270" s="9">
        <f>IFERROR(__xludf.DUMMYFUNCTION("GOOGLEFINANCE(A270, ""priceopen"")"),1722.9)</f>
        <v>1722.9</v>
      </c>
      <c r="E270" s="9">
        <f>IFERROR(__xludf.DUMMYFUNCTION("GOOGLEFINANCE(A270, ""high"")"),1722.9)</f>
        <v>1722.9</v>
      </c>
      <c r="F270" s="9">
        <f>IFERROR(__xludf.DUMMYFUNCTION("GOOGLEFINANCE(A270, ""low"")"),1673.3)</f>
        <v>1673.3</v>
      </c>
      <c r="G270" s="9">
        <f>IFERROR(__xludf.DUMMYFUNCTION("GOOGLEFINANCE(A270, ""price"")"),1700.0)</f>
        <v>1700</v>
      </c>
      <c r="H270" s="9">
        <f>IFERROR(__xludf.DUMMYFUNCTION("MAX(INDEX(GOOGLEFINANCE(A270, ""high"", TODAY()-30, TODAY()), 0, 2))"),2066.0)</f>
        <v>2066</v>
      </c>
      <c r="I270" s="9">
        <f>IFERROR(__xludf.DUMMYFUNCTION("MIN(INDEX(GOOGLEFINANCE(A270, ""low"", TODAY()-30, TODAY()), 0, 2))"),1578.6)</f>
        <v>1578.6</v>
      </c>
      <c r="J270" s="9">
        <f>IFERROR(__xludf.DUMMYFUNCTION("GOOGLEFINANCE(A270, ""high52"")"),2066.0)</f>
        <v>2066</v>
      </c>
      <c r="K270" s="9">
        <f>IFERROR(__xludf.DUMMYFUNCTION("GOOGLEFINANCE(A270, ""low52"")"),1096.9)</f>
        <v>1096.9</v>
      </c>
      <c r="L270" s="9">
        <f t="shared" si="1"/>
        <v>0.1771539206</v>
      </c>
      <c r="M270" s="9">
        <f t="shared" si="2"/>
        <v>0.5498222263</v>
      </c>
      <c r="N270" s="9">
        <f t="shared" si="3"/>
        <v>0.02964202474</v>
      </c>
      <c r="O270" s="9">
        <f t="shared" si="4"/>
        <v>0.2490767337</v>
      </c>
      <c r="P270" s="9">
        <f>IFERROR(__xludf.DUMMYFUNCTION("GOOGLEFINANCE(A270, ""pe"")"),29.32)</f>
        <v>29.32</v>
      </c>
      <c r="Q270" s="9">
        <f>IFERROR(__xludf.DUMMYFUNCTION("IFERROR(GOOGLEFINANCE(A270, ""volume"") / GOOGLEFINANCE(A270, ""volumeavg""), 0)"),0.0)</f>
        <v>0</v>
      </c>
      <c r="R270" s="9">
        <f>IFERROR(__xludf.DUMMYFUNCTION("AVERAGE(INDEX(GOOGLEFINANCE(A270, ""price"", TODAY()-30, TODAY()), 0, 2))"),1811.45652173913)</f>
        <v>1811.456522</v>
      </c>
      <c r="S270" s="9">
        <f>IFERROR(__xludf.DUMMYFUNCTION("AVERAGE(INDEX(GOOGLEFINANCE(A270, ""price"", TODAY()-75, TODAY()), 0, 2))"),1751.5924528301887)</f>
        <v>1751.592453</v>
      </c>
      <c r="T270" s="9">
        <f>IFERROR(__xludf.DUMMYFUNCTION("AVERAGE(INDEX(GOOGLEFINANCE(A270, ""price"", TODAY()-300, TODAY()), 0, 2))"),1476.3876237623765)</f>
        <v>1476.387624</v>
      </c>
      <c r="U270" s="9">
        <f t="shared" si="5"/>
        <v>-0.06152867618</v>
      </c>
      <c r="V270" s="15">
        <f>IFERROR(__xludf.DUMMYFUNCTION("LET(hist, GOOGLEFINANCE(A270,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rs))))))"),25.7314473939159)</f>
        <v>25.73144739</v>
      </c>
      <c r="W270" s="16" t="str">
        <f>IFERROR(__xludf.DUMMYFUNCTION("IFERROR(GOOGLEFINANCE(A270, ""volume"") / GOOGLEFINANCE(A270, ""volumeavg""), )"),"")</f>
        <v/>
      </c>
      <c r="X270" s="9">
        <f>IFERROR(__xludf.DUMMYFUNCTION("B270 * GOOGLEFINANCE(A270, ""volume"")"),4.752486E8)</f>
        <v>475248600</v>
      </c>
      <c r="Y270" s="9">
        <f>IFERROR(__xludf.DUMMYFUNCTION("IFERROR(((B270 - GOOGLEFINANCE(A270, ""priceopen"")) / GOOGLEFINANCE(A270, ""priceopen"")) * GOOGLEFINANCE(A270, ""volume""), 0)"),-3715.7572697196733)</f>
        <v>-3715.75727</v>
      </c>
    </row>
    <row r="271">
      <c r="A271" s="4" t="s">
        <v>1814</v>
      </c>
      <c r="B271" s="7">
        <f>IFERROR(__xludf.DUMMYFUNCTION("GOOGLEFINANCE(A271, ""price"")"),26.15)</f>
        <v>26.15</v>
      </c>
      <c r="C271" s="7">
        <f>IFERROR(__xludf.DUMMYFUNCTION("GOOGLEFINANCE(A271, ""changepct"")"),0.11)</f>
        <v>0.11</v>
      </c>
      <c r="D271" s="9">
        <f>IFERROR(__xludf.DUMMYFUNCTION("GOOGLEFINANCE(A271, ""priceopen"")"),25.92)</f>
        <v>25.92</v>
      </c>
      <c r="E271" s="9">
        <f>IFERROR(__xludf.DUMMYFUNCTION("GOOGLEFINANCE(A271, ""high"")"),26.45)</f>
        <v>26.45</v>
      </c>
      <c r="F271" s="9">
        <f>IFERROR(__xludf.DUMMYFUNCTION("GOOGLEFINANCE(A271, ""low"")"),25.92)</f>
        <v>25.92</v>
      </c>
      <c r="G271" s="9">
        <f>IFERROR(__xludf.DUMMYFUNCTION("GOOGLEFINANCE(A271, ""price"")"),26.15)</f>
        <v>26.15</v>
      </c>
      <c r="H271" s="9">
        <f>IFERROR(__xludf.DUMMYFUNCTION("MAX(INDEX(GOOGLEFINANCE(A271, ""high"", TODAY()-30, TODAY()), 0, 2))"),27.09)</f>
        <v>27.09</v>
      </c>
      <c r="I271" s="9">
        <f>IFERROR(__xludf.DUMMYFUNCTION("MIN(INDEX(GOOGLEFINANCE(A271, ""low"", TODAY()-30, TODAY()), 0, 2))"),25.28)</f>
        <v>25.28</v>
      </c>
      <c r="J271" s="9">
        <f>IFERROR(__xludf.DUMMYFUNCTION("GOOGLEFINANCE(A271, ""high52"")"),34.2)</f>
        <v>34.2</v>
      </c>
      <c r="K271" s="9">
        <f>IFERROR(__xludf.DUMMYFUNCTION("GOOGLEFINANCE(A271, ""low52"")"),22.22)</f>
        <v>22.22</v>
      </c>
      <c r="L271" s="9">
        <f t="shared" si="1"/>
        <v>0.235380117</v>
      </c>
      <c r="M271" s="9">
        <f t="shared" si="2"/>
        <v>0.1768676868</v>
      </c>
      <c r="N271" s="9">
        <f t="shared" si="3"/>
        <v>0.02044753086</v>
      </c>
      <c r="O271" s="9">
        <f t="shared" si="4"/>
        <v>0.4806629834</v>
      </c>
      <c r="P271" s="9">
        <f>IFERROR(__xludf.DUMMYFUNCTION("GOOGLEFINANCE(A271, ""pe"")"),11.69)</f>
        <v>11.69</v>
      </c>
      <c r="Q271" s="9">
        <f>IFERROR(__xludf.DUMMYFUNCTION("IFERROR(GOOGLEFINANCE(A271, ""volume"") / GOOGLEFINANCE(A271, ""volumeavg""), 0)"),0.0)</f>
        <v>0</v>
      </c>
      <c r="R271" s="9">
        <f>IFERROR(__xludf.DUMMYFUNCTION("AVERAGE(INDEX(GOOGLEFINANCE(A271, ""price"", TODAY()-30, TODAY()), 0, 2))"),26.321739130434782)</f>
        <v>26.32173913</v>
      </c>
      <c r="S271" s="9">
        <f>IFERROR(__xludf.DUMMYFUNCTION("AVERAGE(INDEX(GOOGLEFINANCE(A271, ""price"", TODAY()-75, TODAY()), 0, 2))"),26.325660377358496)</f>
        <v>26.32566038</v>
      </c>
      <c r="T271" s="9">
        <f>IFERROR(__xludf.DUMMYFUNCTION("AVERAGE(INDEX(GOOGLEFINANCE(A271, ""price"", TODAY()-300, TODAY()), 0, 2))"),27.81143564356434)</f>
        <v>27.81143564</v>
      </c>
      <c r="U271" s="9">
        <f t="shared" si="5"/>
        <v>-0.006524611827</v>
      </c>
      <c r="V271" s="15">
        <f>IFERROR(__xludf.DUMMYFUNCTION("LET(hist, GOOGLEFINANCE(A271,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rs))))))"),52.69841269841272)</f>
        <v>52.6984127</v>
      </c>
      <c r="W271" s="16" t="str">
        <f>IFERROR(__xludf.DUMMYFUNCTION("IFERROR(GOOGLEFINANCE(A271, ""volume"") / GOOGLEFINANCE(A271, ""volumeavg""), )"),"")</f>
        <v/>
      </c>
      <c r="X271" s="9">
        <f>IFERROR(__xludf.DUMMYFUNCTION("B271 * GOOGLEFINANCE(A271, ""volume"")"),8.1716658E7)</f>
        <v>81716658</v>
      </c>
      <c r="Y271" s="9">
        <f>IFERROR(__xludf.DUMMYFUNCTION("IFERROR(((B271 - GOOGLEFINANCE(A271, ""priceopen"")) / GOOGLEFINANCE(A271, ""priceopen"")) * GOOGLEFINANCE(A271, ""volume""), 0)"),27728.842592592213)</f>
        <v>27728.84259</v>
      </c>
    </row>
    <row r="272">
      <c r="A272" s="4" t="s">
        <v>1823</v>
      </c>
      <c r="B272" s="7">
        <f>IFERROR(__xludf.DUMMYFUNCTION("GOOGLEFINANCE(A272, ""price"")"),1435.0)</f>
        <v>1435</v>
      </c>
      <c r="C272" s="7">
        <f>IFERROR(__xludf.DUMMYFUNCTION("GOOGLEFINANCE(A272, ""changepct"")"),2.26)</f>
        <v>2.26</v>
      </c>
      <c r="D272" s="9">
        <f>IFERROR(__xludf.DUMMYFUNCTION("GOOGLEFINANCE(A272, ""priceopen"")"),1400.0)</f>
        <v>1400</v>
      </c>
      <c r="E272" s="9">
        <f>IFERROR(__xludf.DUMMYFUNCTION("GOOGLEFINANCE(A272, ""high"")"),1439.8)</f>
        <v>1439.8</v>
      </c>
      <c r="F272" s="9">
        <f>IFERROR(__xludf.DUMMYFUNCTION("GOOGLEFINANCE(A272, ""low"")"),1380.0)</f>
        <v>1380</v>
      </c>
      <c r="G272" s="9">
        <f>IFERROR(__xludf.DUMMYFUNCTION("GOOGLEFINANCE(A272, ""price"")"),1435.0)</f>
        <v>1435</v>
      </c>
      <c r="H272" s="9">
        <f>IFERROR(__xludf.DUMMYFUNCTION("MAX(INDEX(GOOGLEFINANCE(A272, ""high"", TODAY()-30, TODAY()), 0, 2))"),1444.5)</f>
        <v>1444.5</v>
      </c>
      <c r="I272" s="9">
        <f>IFERROR(__xludf.DUMMYFUNCTION("MIN(INDEX(GOOGLEFINANCE(A272, ""low"", TODAY()-30, TODAY()), 0, 2))"),1243.0)</f>
        <v>1243</v>
      </c>
      <c r="J272" s="9">
        <f>IFERROR(__xludf.DUMMYFUNCTION("GOOGLEFINANCE(A272, ""high52"")"),1548.0)</f>
        <v>1548</v>
      </c>
      <c r="K272" s="9">
        <f>IFERROR(__xludf.DUMMYFUNCTION("GOOGLEFINANCE(A272, ""low52"")"),571.85)</f>
        <v>571.85</v>
      </c>
      <c r="L272" s="9">
        <f t="shared" si="1"/>
        <v>0.07299741602</v>
      </c>
      <c r="M272" s="9">
        <f t="shared" si="2"/>
        <v>1.509399318</v>
      </c>
      <c r="N272" s="9">
        <f t="shared" si="3"/>
        <v>0.04333333333</v>
      </c>
      <c r="O272" s="9">
        <f t="shared" si="4"/>
        <v>0.952853598</v>
      </c>
      <c r="P272" s="9">
        <f>IFERROR(__xludf.DUMMYFUNCTION("GOOGLEFINANCE(A272, ""pe"")"),161.42)</f>
        <v>161.42</v>
      </c>
      <c r="Q272" s="9">
        <f>IFERROR(__xludf.DUMMYFUNCTION("IFERROR(GOOGLEFINANCE(A272, ""volume"") / GOOGLEFINANCE(A272, ""volumeavg""), 0)"),0.0)</f>
        <v>0</v>
      </c>
      <c r="R272" s="9">
        <f>IFERROR(__xludf.DUMMYFUNCTION("AVERAGE(INDEX(GOOGLEFINANCE(A272, ""price"", TODAY()-30, TODAY()), 0, 2))"),1348.5782608695654)</f>
        <v>1348.578261</v>
      </c>
      <c r="S272" s="9">
        <f>IFERROR(__xludf.DUMMYFUNCTION("AVERAGE(INDEX(GOOGLEFINANCE(A272, ""price"", TODAY()-75, TODAY()), 0, 2))"),1321.5679245283018)</f>
        <v>1321.567925</v>
      </c>
      <c r="T272" s="9">
        <f>IFERROR(__xludf.DUMMYFUNCTION("AVERAGE(INDEX(GOOGLEFINANCE(A272, ""price"", TODAY()-300, TODAY()), 0, 2))"),996.337128712871)</f>
        <v>996.3371287</v>
      </c>
      <c r="U272" s="9">
        <f t="shared" si="5"/>
        <v>0.06408359206</v>
      </c>
      <c r="V272" s="15">
        <f>IFERROR(__xludf.DUMMYFUNCTION("LET(hist, GOOGLEFINANCE(A272,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rs))))))"),62.764456981664324)</f>
        <v>62.76445698</v>
      </c>
      <c r="W272" s="16" t="str">
        <f>IFERROR(__xludf.DUMMYFUNCTION("IFERROR(GOOGLEFINANCE(A272, ""volume"") / GOOGLEFINANCE(A272, ""volumeavg""), )"),"")</f>
        <v/>
      </c>
      <c r="X272" s="9">
        <f>IFERROR(__xludf.DUMMYFUNCTION("B272 * GOOGLEFINANCE(A272, ""volume"")"),6.0083163E8)</f>
        <v>600831630</v>
      </c>
      <c r="Y272" s="9">
        <f>IFERROR(__xludf.DUMMYFUNCTION("IFERROR(((B272 - GOOGLEFINANCE(A272, ""priceopen"")) / GOOGLEFINANCE(A272, ""priceopen"")) * GOOGLEFINANCE(A272, ""volume""), 0)"),10467.45)</f>
        <v>10467.45</v>
      </c>
    </row>
    <row r="273">
      <c r="A273" s="4" t="s">
        <v>1831</v>
      </c>
      <c r="B273" s="7">
        <f>IFERROR(__xludf.DUMMYFUNCTION("GOOGLEFINANCE(A273, ""price"")"),275.35)</f>
        <v>275.35</v>
      </c>
      <c r="C273" s="7">
        <f>IFERROR(__xludf.DUMMYFUNCTION("GOOGLEFINANCE(A273, ""changepct"")"),-1.85)</f>
        <v>-1.85</v>
      </c>
      <c r="D273" s="9">
        <f>IFERROR(__xludf.DUMMYFUNCTION("GOOGLEFINANCE(A273, ""priceopen"")"),280.2)</f>
        <v>280.2</v>
      </c>
      <c r="E273" s="9">
        <f>IFERROR(__xludf.DUMMYFUNCTION("GOOGLEFINANCE(A273, ""high"")"),280.25)</f>
        <v>280.25</v>
      </c>
      <c r="F273" s="9">
        <f>IFERROR(__xludf.DUMMYFUNCTION("GOOGLEFINANCE(A273, ""low"")"),272.8)</f>
        <v>272.8</v>
      </c>
      <c r="G273" s="9">
        <f>IFERROR(__xludf.DUMMYFUNCTION("GOOGLEFINANCE(A273, ""price"")"),275.35)</f>
        <v>275.35</v>
      </c>
      <c r="H273" s="9">
        <f>IFERROR(__xludf.DUMMYFUNCTION("MAX(INDEX(GOOGLEFINANCE(A273, ""high"", TODAY()-30, TODAY()), 0, 2))"),311.49)</f>
        <v>311.49</v>
      </c>
      <c r="I273" s="9">
        <f>IFERROR(__xludf.DUMMYFUNCTION("MIN(INDEX(GOOGLEFINANCE(A273, ""low"", TODAY()-30, TODAY()), 0, 2))"),262.4)</f>
        <v>262.4</v>
      </c>
      <c r="J273" s="9">
        <f>IFERROR(__xludf.DUMMYFUNCTION("GOOGLEFINANCE(A273, ""high52"")"),311.49)</f>
        <v>311.49</v>
      </c>
      <c r="K273" s="9">
        <f>IFERROR(__xludf.DUMMYFUNCTION("GOOGLEFINANCE(A273, ""low52"")"),158.0)</f>
        <v>158</v>
      </c>
      <c r="L273" s="9">
        <f t="shared" si="1"/>
        <v>0.1160229863</v>
      </c>
      <c r="M273" s="9">
        <f t="shared" si="2"/>
        <v>0.742721519</v>
      </c>
      <c r="N273" s="9">
        <f t="shared" si="3"/>
        <v>0.02730938416</v>
      </c>
      <c r="O273" s="9">
        <f t="shared" si="4"/>
        <v>0.2638011815</v>
      </c>
      <c r="P273" s="9">
        <f>IFERROR(__xludf.DUMMYFUNCTION("GOOGLEFINANCE(A273, ""pe"")"),92.76)</f>
        <v>92.76</v>
      </c>
      <c r="Q273" s="9">
        <f>IFERROR(__xludf.DUMMYFUNCTION("IFERROR(GOOGLEFINANCE(A273, ""volume"") / GOOGLEFINANCE(A273, ""volumeavg""), 0)"),0.0)</f>
        <v>0</v>
      </c>
      <c r="R273" s="9">
        <f>IFERROR(__xludf.DUMMYFUNCTION("AVERAGE(INDEX(GOOGLEFINANCE(A273, ""price"", TODAY()-30, TODAY()), 0, 2))"),287.7934782608696)</f>
        <v>287.7934783</v>
      </c>
      <c r="S273" s="9">
        <f>IFERROR(__xludf.DUMMYFUNCTION("AVERAGE(INDEX(GOOGLEFINANCE(A273, ""price"", TODAY()-75, TODAY()), 0, 2))"),254.82716981132066)</f>
        <v>254.8271698</v>
      </c>
      <c r="T273" s="9">
        <f>IFERROR(__xludf.DUMMYFUNCTION("AVERAGE(INDEX(GOOGLEFINANCE(A273, ""price"", TODAY()-300, TODAY()), 0, 2))"),233.49915841584175)</f>
        <v>233.4991584</v>
      </c>
      <c r="U273" s="9">
        <f t="shared" si="5"/>
        <v>-0.04323752691</v>
      </c>
      <c r="V273" s="15">
        <f>IFERROR(__xludf.DUMMYFUNCTION("LET(hist, GOOGLEFINANCE(A273,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rs))))))"),38.1636060100167)</f>
        <v>38.16360601</v>
      </c>
      <c r="W273" s="16" t="str">
        <f>IFERROR(__xludf.DUMMYFUNCTION("IFERROR(GOOGLEFINANCE(A273, ""volume"") / GOOGLEFINANCE(A273, ""volumeavg""), )"),"")</f>
        <v/>
      </c>
      <c r="X273" s="9">
        <f>IFERROR(__xludf.DUMMYFUNCTION("B273 * GOOGLEFINANCE(A273, ""volume"")"),1.2183576660000001E8)</f>
        <v>121835766.6</v>
      </c>
      <c r="Y273" s="9">
        <f>IFERROR(__xludf.DUMMYFUNCTION("IFERROR(((B273 - GOOGLEFINANCE(A273, ""priceopen"")) / GOOGLEFINANCE(A273, ""priceopen"")) * GOOGLEFINANCE(A273, ""volume""), 0)"),-7658.845824411082)</f>
        <v>-7658.845824</v>
      </c>
    </row>
    <row r="274">
      <c r="A274" s="4" t="s">
        <v>1839</v>
      </c>
      <c r="B274" s="7">
        <f>IFERROR(__xludf.DUMMYFUNCTION("GOOGLEFINANCE(A274, ""price"")"),1950.0)</f>
        <v>1950</v>
      </c>
      <c r="C274" s="7">
        <f>IFERROR(__xludf.DUMMYFUNCTION("GOOGLEFINANCE(A274, ""changepct"")"),0.01)</f>
        <v>0.01</v>
      </c>
      <c r="D274" s="9">
        <f>IFERROR(__xludf.DUMMYFUNCTION("GOOGLEFINANCE(A274, ""priceopen"")"),1954.8)</f>
        <v>1954.8</v>
      </c>
      <c r="E274" s="9">
        <f>IFERROR(__xludf.DUMMYFUNCTION("GOOGLEFINANCE(A274, ""high"")"),1988.9)</f>
        <v>1988.9</v>
      </c>
      <c r="F274" s="9">
        <f>IFERROR(__xludf.DUMMYFUNCTION("GOOGLEFINANCE(A274, ""low"")"),1940.0)</f>
        <v>1940</v>
      </c>
      <c r="G274" s="9">
        <f>IFERROR(__xludf.DUMMYFUNCTION("GOOGLEFINANCE(A274, ""price"")"),1950.0)</f>
        <v>1950</v>
      </c>
      <c r="H274" s="9">
        <f>IFERROR(__xludf.DUMMYFUNCTION("MAX(INDEX(GOOGLEFINANCE(A274, ""high"", TODAY()-30, TODAY()), 0, 2))"),1988.9)</f>
        <v>1988.9</v>
      </c>
      <c r="I274" s="9">
        <f>IFERROR(__xludf.DUMMYFUNCTION("MIN(INDEX(GOOGLEFINANCE(A274, ""low"", TODAY()-30, TODAY()), 0, 2))"),1650.9)</f>
        <v>1650.9</v>
      </c>
      <c r="J274" s="9">
        <f>IFERROR(__xludf.DUMMYFUNCTION("GOOGLEFINANCE(A274, ""high52"")"),1988.9)</f>
        <v>1988.9</v>
      </c>
      <c r="K274" s="9">
        <f>IFERROR(__xludf.DUMMYFUNCTION("GOOGLEFINANCE(A274, ""low52"")"),1272.6)</f>
        <v>1272.6</v>
      </c>
      <c r="L274" s="9">
        <f t="shared" si="1"/>
        <v>0.01955854995</v>
      </c>
      <c r="M274" s="9">
        <f t="shared" si="2"/>
        <v>0.5322960868</v>
      </c>
      <c r="N274" s="9">
        <f t="shared" si="3"/>
        <v>0.02520618557</v>
      </c>
      <c r="O274" s="9">
        <f t="shared" si="4"/>
        <v>0.8849112426</v>
      </c>
      <c r="P274" s="9">
        <f>IFERROR(__xludf.DUMMYFUNCTION("GOOGLEFINANCE(A274, ""pe"")"),60.19)</f>
        <v>60.19</v>
      </c>
      <c r="Q274" s="9">
        <f>IFERROR(__xludf.DUMMYFUNCTION("IFERROR(GOOGLEFINANCE(A274, ""volume"") / GOOGLEFINANCE(A274, ""volumeavg""), 0)"),0.0)</f>
        <v>0</v>
      </c>
      <c r="R274" s="9">
        <f>IFERROR(__xludf.DUMMYFUNCTION("AVERAGE(INDEX(GOOGLEFINANCE(A274, ""price"", TODAY()-30, TODAY()), 0, 2))"),1819.3217391304352)</f>
        <v>1819.321739</v>
      </c>
      <c r="S274" s="9">
        <f>IFERROR(__xludf.DUMMYFUNCTION("AVERAGE(INDEX(GOOGLEFINANCE(A274, ""price"", TODAY()-75, TODAY()), 0, 2))"),1710.4207547169808)</f>
        <v>1710.420755</v>
      </c>
      <c r="T274" s="9">
        <f>IFERROR(__xludf.DUMMYFUNCTION("AVERAGE(INDEX(GOOGLEFINANCE(A274, ""price"", TODAY()-300, TODAY()), 0, 2))"),1529.0923267326734)</f>
        <v>1529.092327</v>
      </c>
      <c r="U274" s="9">
        <f t="shared" si="5"/>
        <v>0.07182801044</v>
      </c>
      <c r="V274" s="15">
        <f>IFERROR(__xludf.DUMMYFUNCTION("LET(hist, GOOGLEFINANCE(A274,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rs))))))"),86.76795580110496)</f>
        <v>86.7679558</v>
      </c>
      <c r="W274" s="16" t="str">
        <f>IFERROR(__xludf.DUMMYFUNCTION("IFERROR(GOOGLEFINANCE(A274, ""volume"") / GOOGLEFINANCE(A274, ""volumeavg""), )"),"")</f>
        <v/>
      </c>
      <c r="X274" s="9">
        <f>IFERROR(__xludf.DUMMYFUNCTION("B274 * GOOGLEFINANCE(A274, ""volume"")"),6.8538795E8)</f>
        <v>685387950</v>
      </c>
      <c r="Y274" s="9">
        <f>IFERROR(__xludf.DUMMYFUNCTION("IFERROR(((B274 - GOOGLEFINANCE(A274, ""priceopen"")) / GOOGLEFINANCE(A274, ""priceopen"")) * GOOGLEFINANCE(A274, ""volume""), 0)"),-863.0595457335708)</f>
        <v>-863.0595457</v>
      </c>
    </row>
    <row r="275">
      <c r="A275" s="4" t="s">
        <v>1844</v>
      </c>
      <c r="B275" s="7">
        <f>IFERROR(__xludf.DUMMYFUNCTION("GOOGLEFINANCE(A275, ""price"")"),4486.0)</f>
        <v>4486</v>
      </c>
      <c r="C275" s="7">
        <f>IFERROR(__xludf.DUMMYFUNCTION("GOOGLEFINANCE(A275, ""changepct"")"),0.12)</f>
        <v>0.12</v>
      </c>
      <c r="D275" s="9">
        <f>IFERROR(__xludf.DUMMYFUNCTION("GOOGLEFINANCE(A275, ""priceopen"")"),4508.6)</f>
        <v>4508.6</v>
      </c>
      <c r="E275" s="9">
        <f>IFERROR(__xludf.DUMMYFUNCTION("GOOGLEFINANCE(A275, ""high"")"),4522.8)</f>
        <v>4522.8</v>
      </c>
      <c r="F275" s="9">
        <f>IFERROR(__xludf.DUMMYFUNCTION("GOOGLEFINANCE(A275, ""low"")"),4450.0)</f>
        <v>4450</v>
      </c>
      <c r="G275" s="9">
        <f>IFERROR(__xludf.DUMMYFUNCTION("GOOGLEFINANCE(A275, ""price"")"),4486.0)</f>
        <v>4486</v>
      </c>
      <c r="H275" s="9">
        <f>IFERROR(__xludf.DUMMYFUNCTION("MAX(INDEX(GOOGLEFINANCE(A275, ""high"", TODAY()-30, TODAY()), 0, 2))"),4662.0)</f>
        <v>4662</v>
      </c>
      <c r="I275" s="9">
        <f>IFERROR(__xludf.DUMMYFUNCTION("MIN(INDEX(GOOGLEFINANCE(A275, ""low"", TODAY()-30, TODAY()), 0, 2))"),4030.0)</f>
        <v>4030</v>
      </c>
      <c r="J275" s="9">
        <f>IFERROR(__xludf.DUMMYFUNCTION("GOOGLEFINANCE(A275, ""high52"")"),5451.0)</f>
        <v>5451</v>
      </c>
      <c r="K275" s="9">
        <f>IFERROR(__xludf.DUMMYFUNCTION("GOOGLEFINANCE(A275, ""low52"")"),3686.0)</f>
        <v>3686</v>
      </c>
      <c r="L275" s="9">
        <f t="shared" si="1"/>
        <v>0.1770317373</v>
      </c>
      <c r="M275" s="9">
        <f t="shared" si="2"/>
        <v>0.217037439</v>
      </c>
      <c r="N275" s="9">
        <f t="shared" si="3"/>
        <v>0.01635955056</v>
      </c>
      <c r="O275" s="9">
        <f t="shared" si="4"/>
        <v>0.7215189873</v>
      </c>
      <c r="P275" s="9">
        <f>IFERROR(__xludf.DUMMYFUNCTION("GOOGLEFINANCE(A275, ""pe"")"),39.08)</f>
        <v>39.08</v>
      </c>
      <c r="Q275" s="9">
        <f>IFERROR(__xludf.DUMMYFUNCTION("IFERROR(GOOGLEFINANCE(A275, ""volume"") / GOOGLEFINANCE(A275, ""volumeavg""), 0)"),0.0)</f>
        <v>0</v>
      </c>
      <c r="R275" s="9">
        <f>IFERROR(__xludf.DUMMYFUNCTION("AVERAGE(INDEX(GOOGLEFINANCE(A275, ""price"", TODAY()-30, TODAY()), 0, 2))"),4383.48695652174)</f>
        <v>4383.486957</v>
      </c>
      <c r="S275" s="9">
        <f>IFERROR(__xludf.DUMMYFUNCTION("AVERAGE(INDEX(GOOGLEFINANCE(A275, ""price"", TODAY()-75, TODAY()), 0, 2))"),4167.7679245283025)</f>
        <v>4167.767925</v>
      </c>
      <c r="T275" s="9">
        <f>IFERROR(__xludf.DUMMYFUNCTION("AVERAGE(INDEX(GOOGLEFINANCE(A275, ""price"", TODAY()-300, TODAY()), 0, 2))"),4348.451741293533)</f>
        <v>4348.451741</v>
      </c>
      <c r="U275" s="9">
        <f t="shared" si="5"/>
        <v>0.0233861865</v>
      </c>
      <c r="V275" s="15">
        <f>IFERROR(__xludf.DUMMYFUNCTION("LET(hist, GOOGLEFINANCE(A275,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rs))))))"),55.860865772543896)</f>
        <v>55.86086577</v>
      </c>
      <c r="W275" s="16" t="str">
        <f>IFERROR(__xludf.DUMMYFUNCTION("IFERROR(GOOGLEFINANCE(A275, ""volume"") / GOOGLEFINANCE(A275, ""volumeavg""), )"),"")</f>
        <v/>
      </c>
      <c r="X275" s="9">
        <f>IFERROR(__xludf.DUMMYFUNCTION("B275 * GOOGLEFINANCE(A275, ""volume"")"),1.26159778E8)</f>
        <v>126159778</v>
      </c>
      <c r="Y275" s="9">
        <f>IFERROR(__xludf.DUMMYFUNCTION("IFERROR(((B275 - GOOGLEFINANCE(A275, ""priceopen"")) / GOOGLEFINANCE(A275, ""priceopen"")) * GOOGLEFINANCE(A275, ""volume""), 0)"),-140.9705451803243)</f>
        <v>-140.9705452</v>
      </c>
    </row>
    <row r="276">
      <c r="A276" s="4" t="s">
        <v>1848</v>
      </c>
      <c r="B276" s="7">
        <f>IFERROR(__xludf.DUMMYFUNCTION("GOOGLEFINANCE(A276, ""price"")"),2064.0)</f>
        <v>2064</v>
      </c>
      <c r="C276" s="7">
        <f>IFERROR(__xludf.DUMMYFUNCTION("GOOGLEFINANCE(A276, ""changepct"")"),-1.78)</f>
        <v>-1.78</v>
      </c>
      <c r="D276" s="9">
        <f>IFERROR(__xludf.DUMMYFUNCTION("GOOGLEFINANCE(A276, ""priceopen"")"),2101.5)</f>
        <v>2101.5</v>
      </c>
      <c r="E276" s="9">
        <f>IFERROR(__xludf.DUMMYFUNCTION("GOOGLEFINANCE(A276, ""high"")"),2122.4)</f>
        <v>2122.4</v>
      </c>
      <c r="F276" s="9">
        <f>IFERROR(__xludf.DUMMYFUNCTION("GOOGLEFINANCE(A276, ""low"")"),2041.1)</f>
        <v>2041.1</v>
      </c>
      <c r="G276" s="9">
        <f>IFERROR(__xludf.DUMMYFUNCTION("GOOGLEFINANCE(A276, ""price"")"),2064.0)</f>
        <v>2064</v>
      </c>
      <c r="H276" s="9">
        <f>IFERROR(__xludf.DUMMYFUNCTION("MAX(INDEX(GOOGLEFINANCE(A276, ""high"", TODAY()-30, TODAY()), 0, 2))"),2572.0)</f>
        <v>2572</v>
      </c>
      <c r="I276" s="9">
        <f>IFERROR(__xludf.DUMMYFUNCTION("MIN(INDEX(GOOGLEFINANCE(A276, ""low"", TODAY()-30, TODAY()), 0, 2))"),1999.0)</f>
        <v>1999</v>
      </c>
      <c r="J276" s="9">
        <f>IFERROR(__xludf.DUMMYFUNCTION("GOOGLEFINANCE(A276, ""high52"")"),2720.0)</f>
        <v>2720</v>
      </c>
      <c r="K276" s="9">
        <f>IFERROR(__xludf.DUMMYFUNCTION("GOOGLEFINANCE(A276, ""low52"")"),855.8)</f>
        <v>855.8</v>
      </c>
      <c r="L276" s="9">
        <f t="shared" si="1"/>
        <v>0.2411764706</v>
      </c>
      <c r="M276" s="9">
        <f t="shared" si="2"/>
        <v>1.411778453</v>
      </c>
      <c r="N276" s="9">
        <f t="shared" si="3"/>
        <v>0.03983146343</v>
      </c>
      <c r="O276" s="9">
        <f t="shared" si="4"/>
        <v>0.1134380454</v>
      </c>
      <c r="P276" s="9">
        <f>IFERROR(__xludf.DUMMYFUNCTION("GOOGLEFINANCE(A276, ""pe"")"),55.01)</f>
        <v>55.01</v>
      </c>
      <c r="Q276" s="9">
        <f>IFERROR(__xludf.DUMMYFUNCTION("IFERROR(GOOGLEFINANCE(A276, ""volume"") / GOOGLEFINANCE(A276, ""volumeavg""), 0)"),0.0)</f>
        <v>0</v>
      </c>
      <c r="R276" s="9">
        <f>IFERROR(__xludf.DUMMYFUNCTION("AVERAGE(INDEX(GOOGLEFINANCE(A276, ""price"", TODAY()-30, TODAY()), 0, 2))"),2229.278260869565)</f>
        <v>2229.278261</v>
      </c>
      <c r="S276" s="9">
        <f>IFERROR(__xludf.DUMMYFUNCTION("AVERAGE(INDEX(GOOGLEFINANCE(A276, ""price"", TODAY()-75, TODAY()), 0, 2))"),2172.201886792452)</f>
        <v>2172.201887</v>
      </c>
      <c r="T276" s="9">
        <f>IFERROR(__xludf.DUMMYFUNCTION("AVERAGE(INDEX(GOOGLEFINANCE(A276, ""price"", TODAY()-300, TODAY()), 0, 2))"),1537.1990099009906)</f>
        <v>1537.19901</v>
      </c>
      <c r="U276" s="9">
        <f t="shared" si="5"/>
        <v>-0.07413980739</v>
      </c>
      <c r="V276" s="15">
        <f>IFERROR(__xludf.DUMMYFUNCTION("LET(hist, GOOGLEFINANCE(A276,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rs))))))"),40.04438807863031)</f>
        <v>40.04438808</v>
      </c>
      <c r="W276" s="16" t="str">
        <f>IFERROR(__xludf.DUMMYFUNCTION("IFERROR(GOOGLEFINANCE(A276, ""volume"") / GOOGLEFINANCE(A276, ""volumeavg""), )"),"")</f>
        <v/>
      </c>
      <c r="X276" s="9">
        <f>IFERROR(__xludf.DUMMYFUNCTION("B276 * GOOGLEFINANCE(A276, ""volume"")"),9.2690112E8)</f>
        <v>926901120</v>
      </c>
      <c r="Y276" s="9">
        <f>IFERROR(__xludf.DUMMYFUNCTION("IFERROR(((B276 - GOOGLEFINANCE(A276, ""priceopen"")) / GOOGLEFINANCE(A276, ""priceopen"")) * GOOGLEFINANCE(A276, ""volume""), 0)"),-8013.5617416131345)</f>
        <v>-8013.561742</v>
      </c>
    </row>
    <row r="277">
      <c r="A277" s="4" t="s">
        <v>1853</v>
      </c>
      <c r="B277" s="7">
        <f>IFERROR(__xludf.DUMMYFUNCTION("GOOGLEFINANCE(A277, ""price"")"),1845.0)</f>
        <v>1845</v>
      </c>
      <c r="C277" s="7">
        <f>IFERROR(__xludf.DUMMYFUNCTION("GOOGLEFINANCE(A277, ""changepct"")"),-3.37)</f>
        <v>-3.37</v>
      </c>
      <c r="D277" s="9">
        <f>IFERROR(__xludf.DUMMYFUNCTION("GOOGLEFINANCE(A277, ""priceopen"")"),1910.0)</f>
        <v>1910</v>
      </c>
      <c r="E277" s="9">
        <f>IFERROR(__xludf.DUMMYFUNCTION("GOOGLEFINANCE(A277, ""high"")"),1915.0)</f>
        <v>1915</v>
      </c>
      <c r="F277" s="9">
        <f>IFERROR(__xludf.DUMMYFUNCTION("GOOGLEFINANCE(A277, ""low"")"),1840.0)</f>
        <v>1840</v>
      </c>
      <c r="G277" s="9">
        <f>IFERROR(__xludf.DUMMYFUNCTION("GOOGLEFINANCE(A277, ""price"")"),1845.0)</f>
        <v>1845</v>
      </c>
      <c r="H277" s="9">
        <f>IFERROR(__xludf.DUMMYFUNCTION("MAX(INDEX(GOOGLEFINANCE(A277, ""high"", TODAY()-30, TODAY()), 0, 2))"),2067.7)</f>
        <v>2067.7</v>
      </c>
      <c r="I277" s="9">
        <f>IFERROR(__xludf.DUMMYFUNCTION("MIN(INDEX(GOOGLEFINANCE(A277, ""low"", TODAY()-30, TODAY()), 0, 2))"),1792.4)</f>
        <v>1792.4</v>
      </c>
      <c r="J277" s="9">
        <f>IFERROR(__xludf.DUMMYFUNCTION("GOOGLEFINANCE(A277, ""high52"")"),2422.3)</f>
        <v>2422.3</v>
      </c>
      <c r="K277" s="9">
        <f>IFERROR(__xludf.DUMMYFUNCTION("GOOGLEFINANCE(A277, ""low52"")"),1086.7)</f>
        <v>1086.7</v>
      </c>
      <c r="L277" s="9">
        <f t="shared" si="1"/>
        <v>0.2383272097</v>
      </c>
      <c r="M277" s="9">
        <f t="shared" si="2"/>
        <v>0.697800681</v>
      </c>
      <c r="N277" s="9">
        <f t="shared" si="3"/>
        <v>0.04076086957</v>
      </c>
      <c r="O277" s="9">
        <f t="shared" si="4"/>
        <v>0.1910642935</v>
      </c>
      <c r="P277" s="9">
        <f>IFERROR(__xludf.DUMMYFUNCTION("GOOGLEFINANCE(A277, ""pe"")"),140.88)</f>
        <v>140.88</v>
      </c>
      <c r="Q277" s="9">
        <f>IFERROR(__xludf.DUMMYFUNCTION("IFERROR(GOOGLEFINANCE(A277, ""volume"") / GOOGLEFINANCE(A277, ""volumeavg""), 0)"),0.0)</f>
        <v>0</v>
      </c>
      <c r="R277" s="9">
        <f>IFERROR(__xludf.DUMMYFUNCTION("AVERAGE(INDEX(GOOGLEFINANCE(A277, ""price"", TODAY()-30, TODAY()), 0, 2))"),1914.3130434782609)</f>
        <v>1914.313043</v>
      </c>
      <c r="S277" s="9">
        <f>IFERROR(__xludf.DUMMYFUNCTION("AVERAGE(INDEX(GOOGLEFINANCE(A277, ""price"", TODAY()-75, TODAY()), 0, 2))"),1934.1905660377352)</f>
        <v>1934.190566</v>
      </c>
      <c r="T277" s="9">
        <f>IFERROR(__xludf.DUMMYFUNCTION("AVERAGE(INDEX(GOOGLEFINANCE(A277, ""price"", TODAY()-300, TODAY()), 0, 2))"),1526.2806930693077)</f>
        <v>1526.280693</v>
      </c>
      <c r="U277" s="9">
        <f t="shared" si="5"/>
        <v>-0.03620778938</v>
      </c>
      <c r="V277" s="15">
        <f>IFERROR(__xludf.DUMMYFUNCTION("LET(hist, GOOGLEFINANCE(A277,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rs))))))"),49.759263135859335)</f>
        <v>49.75926314</v>
      </c>
      <c r="W277" s="16" t="str">
        <f>IFERROR(__xludf.DUMMYFUNCTION("IFERROR(GOOGLEFINANCE(A277, ""volume"") / GOOGLEFINANCE(A277, ""volumeavg""), )"),"")</f>
        <v/>
      </c>
      <c r="X277" s="9">
        <f>IFERROR(__xludf.DUMMYFUNCTION("B277 * GOOGLEFINANCE(A277, ""volume"")"),1.06621812E9)</f>
        <v>1066218120</v>
      </c>
      <c r="Y277" s="9">
        <f>IFERROR(__xludf.DUMMYFUNCTION("IFERROR(((B277 - GOOGLEFINANCE(A277, ""priceopen"")) / GOOGLEFINANCE(A277, ""priceopen"")) * GOOGLEFINANCE(A277, ""volume""), 0)"),-19666.61780104712)</f>
        <v>-19666.6178</v>
      </c>
    </row>
    <row r="278">
      <c r="A278" s="4" t="s">
        <v>1861</v>
      </c>
      <c r="B278" s="7">
        <f>IFERROR(__xludf.DUMMYFUNCTION("GOOGLEFINANCE(A278, ""price"")"),1776.2)</f>
        <v>1776.2</v>
      </c>
      <c r="C278" s="7">
        <f>IFERROR(__xludf.DUMMYFUNCTION("GOOGLEFINANCE(A278, ""changepct"")"),1.79)</f>
        <v>1.79</v>
      </c>
      <c r="D278" s="9">
        <f>IFERROR(__xludf.DUMMYFUNCTION("GOOGLEFINANCE(A278, ""priceopen"")"),1753.0)</f>
        <v>1753</v>
      </c>
      <c r="E278" s="9">
        <f>IFERROR(__xludf.DUMMYFUNCTION("GOOGLEFINANCE(A278, ""high"")"),1813.7)</f>
        <v>1813.7</v>
      </c>
      <c r="F278" s="9">
        <f>IFERROR(__xludf.DUMMYFUNCTION("GOOGLEFINANCE(A278, ""low"")"),1740.2)</f>
        <v>1740.2</v>
      </c>
      <c r="G278" s="9">
        <f>IFERROR(__xludf.DUMMYFUNCTION("GOOGLEFINANCE(A278, ""price"")"),1776.2)</f>
        <v>1776.2</v>
      </c>
      <c r="H278" s="9">
        <f>IFERROR(__xludf.DUMMYFUNCTION("MAX(INDEX(GOOGLEFINANCE(A278, ""high"", TODAY()-30, TODAY()), 0, 2))"),1932.0)</f>
        <v>1932</v>
      </c>
      <c r="I278" s="9">
        <f>IFERROR(__xludf.DUMMYFUNCTION("MIN(INDEX(GOOGLEFINANCE(A278, ""low"", TODAY()-30, TODAY()), 0, 2))"),1686.4)</f>
        <v>1686.4</v>
      </c>
      <c r="J278" s="9">
        <f>IFERROR(__xludf.DUMMYFUNCTION("GOOGLEFINANCE(A278, ""high52"")"),1933.0)</f>
        <v>1933</v>
      </c>
      <c r="K278" s="9">
        <f>IFERROR(__xludf.DUMMYFUNCTION("GOOGLEFINANCE(A278, ""low52"")"),1262.0)</f>
        <v>1262</v>
      </c>
      <c r="L278" s="9">
        <f t="shared" si="1"/>
        <v>0.08111743404</v>
      </c>
      <c r="M278" s="9">
        <f t="shared" si="2"/>
        <v>0.4074484945</v>
      </c>
      <c r="N278" s="9">
        <f t="shared" si="3"/>
        <v>0.04223652454</v>
      </c>
      <c r="O278" s="9">
        <f t="shared" si="4"/>
        <v>0.3656351792</v>
      </c>
      <c r="P278" s="9">
        <f>IFERROR(__xludf.DUMMYFUNCTION("GOOGLEFINANCE(A278, ""pe"")"),42.03)</f>
        <v>42.03</v>
      </c>
      <c r="Q278" s="9">
        <f>IFERROR(__xludf.DUMMYFUNCTION("IFERROR(GOOGLEFINANCE(A278, ""volume"") / GOOGLEFINANCE(A278, ""volumeavg""), 0)"),0.0)</f>
        <v>0</v>
      </c>
      <c r="R278" s="9">
        <f>IFERROR(__xludf.DUMMYFUNCTION("AVERAGE(INDEX(GOOGLEFINANCE(A278, ""price"", TODAY()-30, TODAY()), 0, 2))"),1826.4347826086957)</f>
        <v>1826.434783</v>
      </c>
      <c r="S278" s="9">
        <f>IFERROR(__xludf.DUMMYFUNCTION("AVERAGE(INDEX(GOOGLEFINANCE(A278, ""price"", TODAY()-75, TODAY()), 0, 2))"),1769.4075471698113)</f>
        <v>1769.407547</v>
      </c>
      <c r="T278" s="9">
        <f>IFERROR(__xludf.DUMMYFUNCTION("AVERAGE(INDEX(GOOGLEFINANCE(A278, ""price"", TODAY()-300, TODAY()), 0, 2))"),1626.2292079207914)</f>
        <v>1626.229208</v>
      </c>
      <c r="U278" s="9">
        <f t="shared" si="5"/>
        <v>-0.0275042849</v>
      </c>
      <c r="V278" s="15">
        <f>IFERROR(__xludf.DUMMYFUNCTION("LET(hist, GOOGLEFINANCE(A278,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rs))))))"),48.51891891891892)</f>
        <v>48.51891892</v>
      </c>
      <c r="W278" s="16" t="str">
        <f>IFERROR(__xludf.DUMMYFUNCTION("IFERROR(GOOGLEFINANCE(A278, ""volume"") / GOOGLEFINANCE(A278, ""volumeavg""), )"),"")</f>
        <v/>
      </c>
      <c r="X278" s="9">
        <f>IFERROR(__xludf.DUMMYFUNCTION("B278 * GOOGLEFINANCE(A278, ""volume"")"),3.01438902E8)</f>
        <v>301438902</v>
      </c>
      <c r="Y278" s="9">
        <f>IFERROR(__xludf.DUMMYFUNCTION("IFERROR(((B278 - GOOGLEFINANCE(A278, ""priceopen"")) / GOOGLEFINANCE(A278, ""priceopen"")) * GOOGLEFINANCE(A278, ""volume""), 0)"),2246.019395322309)</f>
        <v>2246.019395</v>
      </c>
    </row>
    <row r="279">
      <c r="A279" s="4" t="s">
        <v>1867</v>
      </c>
      <c r="B279" s="7">
        <f>IFERROR(__xludf.DUMMYFUNCTION("GOOGLEFINANCE(A279, ""price"")"),354.5)</f>
        <v>354.5</v>
      </c>
      <c r="C279" s="7">
        <f>IFERROR(__xludf.DUMMYFUNCTION("GOOGLEFINANCE(A279, ""changepct"")"),-1.53)</f>
        <v>-1.53</v>
      </c>
      <c r="D279" s="9">
        <f>IFERROR(__xludf.DUMMYFUNCTION("GOOGLEFINANCE(A279, ""priceopen"")"),369.95)</f>
        <v>369.95</v>
      </c>
      <c r="E279" s="9">
        <f>IFERROR(__xludf.DUMMYFUNCTION("GOOGLEFINANCE(A279, ""high"")"),369.95)</f>
        <v>369.95</v>
      </c>
      <c r="F279" s="9">
        <f>IFERROR(__xludf.DUMMYFUNCTION("GOOGLEFINANCE(A279, ""low"")"),351.0)</f>
        <v>351</v>
      </c>
      <c r="G279" s="9">
        <f>IFERROR(__xludf.DUMMYFUNCTION("GOOGLEFINANCE(A279, ""price"")"),354.5)</f>
        <v>354.5</v>
      </c>
      <c r="H279" s="9">
        <f>IFERROR(__xludf.DUMMYFUNCTION("MAX(INDEX(GOOGLEFINANCE(A279, ""high"", TODAY()-30, TODAY()), 0, 2))"),381.55)</f>
        <v>381.55</v>
      </c>
      <c r="I279" s="9">
        <f>IFERROR(__xludf.DUMMYFUNCTION("MIN(INDEX(GOOGLEFINANCE(A279, ""low"", TODAY()-30, TODAY()), 0, 2))"),318.75)</f>
        <v>318.75</v>
      </c>
      <c r="J279" s="9">
        <f>IFERROR(__xludf.DUMMYFUNCTION("GOOGLEFINANCE(A279, ""high52"")"),381.55)</f>
        <v>381.55</v>
      </c>
      <c r="K279" s="9">
        <f>IFERROR(__xludf.DUMMYFUNCTION("GOOGLEFINANCE(A279, ""low52"")"),245.15)</f>
        <v>245.15</v>
      </c>
      <c r="L279" s="9">
        <f t="shared" si="1"/>
        <v>0.07089503342</v>
      </c>
      <c r="M279" s="9">
        <f t="shared" si="2"/>
        <v>0.4460534367</v>
      </c>
      <c r="N279" s="9">
        <f t="shared" si="3"/>
        <v>0.05398860399</v>
      </c>
      <c r="O279" s="9">
        <f t="shared" si="4"/>
        <v>0.5692675159</v>
      </c>
      <c r="P279" s="9">
        <f>IFERROR(__xludf.DUMMYFUNCTION("GOOGLEFINANCE(A279, ""pe"")"),29.95)</f>
        <v>29.95</v>
      </c>
      <c r="Q279" s="9">
        <f>IFERROR(__xludf.DUMMYFUNCTION("IFERROR(GOOGLEFINANCE(A279, ""volume"") / GOOGLEFINANCE(A279, ""volumeavg""), 0)"),0.0)</f>
        <v>0</v>
      </c>
      <c r="R279" s="9">
        <f>IFERROR(__xludf.DUMMYFUNCTION("AVERAGE(INDEX(GOOGLEFINANCE(A279, ""price"", TODAY()-30, TODAY()), 0, 2))"),352.72826086956525)</f>
        <v>352.7282609</v>
      </c>
      <c r="S279" s="9">
        <f>IFERROR(__xludf.DUMMYFUNCTION("AVERAGE(INDEX(GOOGLEFINANCE(A279, ""price"", TODAY()-75, TODAY()), 0, 2))"),333.4028301886793)</f>
        <v>333.4028302</v>
      </c>
      <c r="T279" s="9">
        <f>IFERROR(__xludf.DUMMYFUNCTION("AVERAGE(INDEX(GOOGLEFINANCE(A279, ""price"", TODAY()-300, TODAY()), 0, 2))"),299.7618811881186)</f>
        <v>299.7618812</v>
      </c>
      <c r="U279" s="9">
        <f t="shared" si="5"/>
        <v>0.00502295769</v>
      </c>
      <c r="V279" s="15">
        <f>IFERROR(__xludf.DUMMYFUNCTION("LET(hist, GOOGLEFINANCE(A279,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rs))))))"),50.11086474501111)</f>
        <v>50.11086475</v>
      </c>
      <c r="W279" s="16" t="str">
        <f>IFERROR(__xludf.DUMMYFUNCTION("IFERROR(GOOGLEFINANCE(A279, ""volume"") / GOOGLEFINANCE(A279, ""volumeavg""), )"),"")</f>
        <v/>
      </c>
      <c r="X279" s="9">
        <f>IFERROR(__xludf.DUMMYFUNCTION("B279 * GOOGLEFINANCE(A279, ""volume"")"),1.1167213686E10)</f>
        <v>11167213686</v>
      </c>
      <c r="Y279" s="9">
        <f>IFERROR(__xludf.DUMMYFUNCTION("IFERROR(((B279 - GOOGLEFINANCE(A279, ""priceopen"")) / GOOGLEFINANCE(A279, ""priceopen"")) * GOOGLEFINANCE(A279, ""volume""), 0)"),-1315570.2354372202)</f>
        <v>-1315570.235</v>
      </c>
    </row>
    <row r="280">
      <c r="A280" s="4" t="s">
        <v>1874</v>
      </c>
      <c r="B280" s="7">
        <f>IFERROR(__xludf.DUMMYFUNCTION("GOOGLEFINANCE(A280, ""price"")"),290.0)</f>
        <v>290</v>
      </c>
      <c r="C280" s="7">
        <f>IFERROR(__xludf.DUMMYFUNCTION("GOOGLEFINANCE(A280, ""changepct"")"),4.83)</f>
        <v>4.83</v>
      </c>
      <c r="D280" s="9">
        <f>IFERROR(__xludf.DUMMYFUNCTION("GOOGLEFINANCE(A280, ""priceopen"")"),281.0)</f>
        <v>281</v>
      </c>
      <c r="E280" s="9">
        <f>IFERROR(__xludf.DUMMYFUNCTION("GOOGLEFINANCE(A280, ""high"")"),290.0)</f>
        <v>290</v>
      </c>
      <c r="F280" s="9">
        <f>IFERROR(__xludf.DUMMYFUNCTION("GOOGLEFINANCE(A280, ""low"")"),279.42)</f>
        <v>279.42</v>
      </c>
      <c r="G280" s="9">
        <f>IFERROR(__xludf.DUMMYFUNCTION("GOOGLEFINANCE(A280, ""price"")"),290.0)</f>
        <v>290</v>
      </c>
      <c r="H280" s="9">
        <f>IFERROR(__xludf.DUMMYFUNCTION("MAX(INDEX(GOOGLEFINANCE(A280, ""high"", TODAY()-30, TODAY()), 0, 2))"),290.0)</f>
        <v>290</v>
      </c>
      <c r="I280" s="9">
        <f>IFERROR(__xludf.DUMMYFUNCTION("MIN(INDEX(GOOGLEFINANCE(A280, ""low"", TODAY()-30, TODAY()), 0, 2))"),201.0)</f>
        <v>201</v>
      </c>
      <c r="J280" s="9">
        <f>IFERROR(__xludf.DUMMYFUNCTION("GOOGLEFINANCE(A280, ""high52"")"),290.0)</f>
        <v>290</v>
      </c>
      <c r="K280" s="9">
        <f>IFERROR(__xludf.DUMMYFUNCTION("GOOGLEFINANCE(A280, ""low52"")"),32.68)</f>
        <v>32.68</v>
      </c>
      <c r="L280" s="9">
        <f t="shared" si="1"/>
        <v>0</v>
      </c>
      <c r="M280" s="9">
        <f t="shared" si="2"/>
        <v>7.873929009</v>
      </c>
      <c r="N280" s="9">
        <f t="shared" si="3"/>
        <v>0.03786414716</v>
      </c>
      <c r="O280" s="9">
        <f t="shared" si="4"/>
        <v>1</v>
      </c>
      <c r="P280" s="9">
        <f>IFERROR(__xludf.DUMMYFUNCTION("GOOGLEFINANCE(A280, ""pe"")"),367.09)</f>
        <v>367.09</v>
      </c>
      <c r="Q280" s="9">
        <f>IFERROR(__xludf.DUMMYFUNCTION("IFERROR(GOOGLEFINANCE(A280, ""volume"") / GOOGLEFINANCE(A280, ""volumeavg""), 0)"),0.0)</f>
        <v>0</v>
      </c>
      <c r="R280" s="9">
        <f>IFERROR(__xludf.DUMMYFUNCTION("AVERAGE(INDEX(GOOGLEFINANCE(A280, ""price"", TODAY()-30, TODAY()), 0, 2))"),232.17521739130433)</f>
        <v>232.1752174</v>
      </c>
      <c r="S280" s="9">
        <f>IFERROR(__xludf.DUMMYFUNCTION("AVERAGE(INDEX(GOOGLEFINANCE(A280, ""price"", TODAY()-75, TODAY()), 0, 2))"),197.36622641509433)</f>
        <v>197.3662264</v>
      </c>
      <c r="T280" s="9">
        <f>IFERROR(__xludf.DUMMYFUNCTION("AVERAGE(INDEX(GOOGLEFINANCE(A280, ""price"", TODAY()-300, TODAY()), 0, 2))"),114.68014851485154)</f>
        <v>114.6801485</v>
      </c>
      <c r="U280" s="9">
        <f t="shared" si="5"/>
        <v>0.2490566532</v>
      </c>
      <c r="V280" s="15">
        <f>IFERROR(__xludf.DUMMYFUNCTION("LET(hist, GOOGLEFINANCE(A280,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rs))))))"),94.2263781667935)</f>
        <v>94.22637817</v>
      </c>
      <c r="W280" s="16" t="str">
        <f>IFERROR(__xludf.DUMMYFUNCTION("IFERROR(GOOGLEFINANCE(A280, ""volume"") / GOOGLEFINANCE(A280, ""volumeavg""), )"),"")</f>
        <v/>
      </c>
      <c r="X280" s="9">
        <f>IFERROR(__xludf.DUMMYFUNCTION("B280 * GOOGLEFINANCE(A280, ""volume"")"),1.397915043E10)</f>
        <v>13979150430</v>
      </c>
      <c r="Y280" s="9">
        <f>IFERROR(__xludf.DUMMYFUNCTION("IFERROR(((B280 - GOOGLEFINANCE(A280, ""priceopen"")) / GOOGLEFINANCE(A280, ""priceopen"")) * GOOGLEFINANCE(A280, ""volume""), 0)"),1543899.2989323845)</f>
        <v>1543899.299</v>
      </c>
    </row>
    <row r="281">
      <c r="A281" s="4" t="s">
        <v>1883</v>
      </c>
      <c r="B281" s="7">
        <f>IFERROR(__xludf.DUMMYFUNCTION("GOOGLEFINANCE(A281, ""price"")"),840.4)</f>
        <v>840.4</v>
      </c>
      <c r="C281" s="7">
        <f>IFERROR(__xludf.DUMMYFUNCTION("GOOGLEFINANCE(A281, ""changepct"")"),-2.87)</f>
        <v>-2.87</v>
      </c>
      <c r="D281" s="9">
        <f>IFERROR(__xludf.DUMMYFUNCTION("GOOGLEFINANCE(A281, ""priceopen"")"),865.2)</f>
        <v>865.2</v>
      </c>
      <c r="E281" s="9">
        <f>IFERROR(__xludf.DUMMYFUNCTION("GOOGLEFINANCE(A281, ""high"")"),868.55)</f>
        <v>868.55</v>
      </c>
      <c r="F281" s="9">
        <f>IFERROR(__xludf.DUMMYFUNCTION("GOOGLEFINANCE(A281, ""low"")"),836.0)</f>
        <v>836</v>
      </c>
      <c r="G281" s="9">
        <f>IFERROR(__xludf.DUMMYFUNCTION("GOOGLEFINANCE(A281, ""price"")"),840.4)</f>
        <v>840.4</v>
      </c>
      <c r="H281" s="9">
        <f>IFERROR(__xludf.DUMMYFUNCTION("MAX(INDEX(GOOGLEFINANCE(A281, ""high"", TODAY()-30, TODAY()), 0, 2))"),891.0)</f>
        <v>891</v>
      </c>
      <c r="I281" s="9">
        <f>IFERROR(__xludf.DUMMYFUNCTION("MIN(INDEX(GOOGLEFINANCE(A281, ""low"", TODAY()-30, TODAY()), 0, 2))"),690.0)</f>
        <v>690</v>
      </c>
      <c r="J281" s="9">
        <f>IFERROR(__xludf.DUMMYFUNCTION("GOOGLEFINANCE(A281, ""high52"")"),891.0)</f>
        <v>891</v>
      </c>
      <c r="K281" s="9">
        <f>IFERROR(__xludf.DUMMYFUNCTION("GOOGLEFINANCE(A281, ""low52"")"),507.4)</f>
        <v>507.4</v>
      </c>
      <c r="L281" s="9">
        <f t="shared" si="1"/>
        <v>0.05679012346</v>
      </c>
      <c r="M281" s="9">
        <f t="shared" si="2"/>
        <v>0.6562869531</v>
      </c>
      <c r="N281" s="9">
        <f t="shared" si="3"/>
        <v>0.0389354067</v>
      </c>
      <c r="O281" s="9">
        <f t="shared" si="4"/>
        <v>0.7482587065</v>
      </c>
      <c r="P281" s="9">
        <f>IFERROR(__xludf.DUMMYFUNCTION("GOOGLEFINANCE(A281, ""pe"")"),61.2)</f>
        <v>61.2</v>
      </c>
      <c r="Q281" s="9">
        <f>IFERROR(__xludf.DUMMYFUNCTION("IFERROR(GOOGLEFINANCE(A281, ""volume"") / GOOGLEFINANCE(A281, ""volumeavg""), 0)"),0.0)</f>
        <v>0</v>
      </c>
      <c r="R281" s="9">
        <f>IFERROR(__xludf.DUMMYFUNCTION("AVERAGE(INDEX(GOOGLEFINANCE(A281, ""price"", TODAY()-30, TODAY()), 0, 2))"),766.5978260869564)</f>
        <v>766.5978261</v>
      </c>
      <c r="S281" s="9">
        <f>IFERROR(__xludf.DUMMYFUNCTION("AVERAGE(INDEX(GOOGLEFINANCE(A281, ""price"", TODAY()-75, TODAY()), 0, 2))"),749.1245283018869)</f>
        <v>749.1245283</v>
      </c>
      <c r="T281" s="9">
        <f>IFERROR(__xludf.DUMMYFUNCTION("AVERAGE(INDEX(GOOGLEFINANCE(A281, ""price"", TODAY()-300, TODAY()), 0, 2))"),660.3470297029708)</f>
        <v>660.3470297</v>
      </c>
      <c r="U281" s="9">
        <f t="shared" si="5"/>
        <v>0.0962723496</v>
      </c>
      <c r="V281" s="15">
        <f>IFERROR(__xludf.DUMMYFUNCTION("LET(hist, GOOGLEFINANCE(A281,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rs))))))"),79.53026928528044)</f>
        <v>79.53026929</v>
      </c>
      <c r="W281" s="16" t="str">
        <f>IFERROR(__xludf.DUMMYFUNCTION("IFERROR(GOOGLEFINANCE(A281, ""volume"") / GOOGLEFINANCE(A281, ""volumeavg""), )"),"")</f>
        <v/>
      </c>
      <c r="X281" s="9">
        <f>IFERROR(__xludf.DUMMYFUNCTION("B281 * GOOGLEFINANCE(A281, ""volume"")"),1.2387437172E9)</f>
        <v>1238743717</v>
      </c>
      <c r="Y281" s="9">
        <f>IFERROR(__xludf.DUMMYFUNCTION("IFERROR(((B281 - GOOGLEFINANCE(A281, ""priceopen"")) / GOOGLEFINANCE(A281, ""priceopen"")) * GOOGLEFINANCE(A281, ""volume""), 0)"),-42250.37725381426)</f>
        <v>-42250.37725</v>
      </c>
    </row>
    <row r="282">
      <c r="A282" s="4" t="s">
        <v>1892</v>
      </c>
      <c r="B282" s="7">
        <f>IFERROR(__xludf.DUMMYFUNCTION("GOOGLEFINANCE(A282, ""price"")"),2577.7)</f>
        <v>2577.7</v>
      </c>
      <c r="C282" s="7">
        <f>IFERROR(__xludf.DUMMYFUNCTION("GOOGLEFINANCE(A282, ""changepct"")"),0.09)</f>
        <v>0.09</v>
      </c>
      <c r="D282" s="9">
        <f>IFERROR(__xludf.DUMMYFUNCTION("GOOGLEFINANCE(A282, ""priceopen"")"),2579.0)</f>
        <v>2579</v>
      </c>
      <c r="E282" s="9">
        <f>IFERROR(__xludf.DUMMYFUNCTION("GOOGLEFINANCE(A282, ""high"")"),2584.0)</f>
        <v>2584</v>
      </c>
      <c r="F282" s="9">
        <f>IFERROR(__xludf.DUMMYFUNCTION("GOOGLEFINANCE(A282, ""low"")"),2546.6)</f>
        <v>2546.6</v>
      </c>
      <c r="G282" s="9">
        <f>IFERROR(__xludf.DUMMYFUNCTION("GOOGLEFINANCE(A282, ""price"")"),2577.7)</f>
        <v>2577.7</v>
      </c>
      <c r="H282" s="9">
        <f>IFERROR(__xludf.DUMMYFUNCTION("MAX(INDEX(GOOGLEFINANCE(A282, ""high"", TODAY()-30, TODAY()), 0, 2))"),2665.0)</f>
        <v>2665</v>
      </c>
      <c r="I282" s="9">
        <f>IFERROR(__xludf.DUMMYFUNCTION("MIN(INDEX(GOOGLEFINANCE(A282, ""low"", TODAY()-30, TODAY()), 0, 2))"),2471.7)</f>
        <v>2471.7</v>
      </c>
      <c r="J282" s="9">
        <f>IFERROR(__xludf.DUMMYFUNCTION("GOOGLEFINANCE(A282, ""high52"")"),3339.0)</f>
        <v>3339</v>
      </c>
      <c r="K282" s="9">
        <f>IFERROR(__xludf.DUMMYFUNCTION("GOOGLEFINANCE(A282, ""low52"")"),1963.7)</f>
        <v>1963.7</v>
      </c>
      <c r="L282" s="9">
        <f t="shared" si="1"/>
        <v>0.2280023959</v>
      </c>
      <c r="M282" s="9">
        <f t="shared" si="2"/>
        <v>0.3126750522</v>
      </c>
      <c r="N282" s="9">
        <f t="shared" si="3"/>
        <v>0.01468624833</v>
      </c>
      <c r="O282" s="9">
        <f t="shared" si="4"/>
        <v>0.5483704087</v>
      </c>
      <c r="P282" s="9">
        <f>IFERROR(__xludf.DUMMYFUNCTION("GOOGLEFINANCE(A282, ""pe"")"),36.88)</f>
        <v>36.88</v>
      </c>
      <c r="Q282" s="9">
        <f>IFERROR(__xludf.DUMMYFUNCTION("IFERROR(GOOGLEFINANCE(A282, ""volume"") / GOOGLEFINANCE(A282, ""volumeavg""), 0)"),0.0)</f>
        <v>0</v>
      </c>
      <c r="R282" s="9">
        <f>IFERROR(__xludf.DUMMYFUNCTION("AVERAGE(INDEX(GOOGLEFINANCE(A282, ""price"", TODAY()-30, TODAY()), 0, 2))"),2591.54347826087)</f>
        <v>2591.543478</v>
      </c>
      <c r="S282" s="9">
        <f>IFERROR(__xludf.DUMMYFUNCTION("AVERAGE(INDEX(GOOGLEFINANCE(A282, ""price"", TODAY()-75, TODAY()), 0, 2))"),2650.3698113207547)</f>
        <v>2650.369811</v>
      </c>
      <c r="T282" s="9">
        <f>IFERROR(__xludf.DUMMYFUNCTION("AVERAGE(INDEX(GOOGLEFINANCE(A282, ""price"", TODAY()-300, TODAY()), 0, 2))"),2573.0980198019806)</f>
        <v>2573.09802</v>
      </c>
      <c r="U282" s="9">
        <f t="shared" si="5"/>
        <v>-0.005341788929</v>
      </c>
      <c r="V282" s="15">
        <f>IFERROR(__xludf.DUMMYFUNCTION("LET(hist, GOOGLEFINANCE(A282,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rs))))))"),50.24485798237023)</f>
        <v>50.24485798</v>
      </c>
      <c r="W282" s="16" t="str">
        <f>IFERROR(__xludf.DUMMYFUNCTION("IFERROR(GOOGLEFINANCE(A282, ""volume"") / GOOGLEFINANCE(A282, ""volumeavg""), )"),"")</f>
        <v/>
      </c>
      <c r="X282" s="9">
        <f>IFERROR(__xludf.DUMMYFUNCTION("B282 * GOOGLEFINANCE(A282, ""volume"")"),7.914028763E8)</f>
        <v>791402876.3</v>
      </c>
      <c r="Y282" s="9">
        <f>IFERROR(__xludf.DUMMYFUNCTION("IFERROR(((B282 - GOOGLEFINANCE(A282, ""priceopen"")) / GOOGLEFINANCE(A282, ""priceopen"")) * GOOGLEFINANCE(A282, ""volume""), 0)"),-154.75948041878863)</f>
        <v>-154.7594804</v>
      </c>
    </row>
    <row r="283">
      <c r="A283" s="4" t="s">
        <v>1898</v>
      </c>
      <c r="B283" s="7">
        <f>IFERROR(__xludf.DUMMYFUNCTION("GOOGLEFINANCE(A283, ""price"")"),174.2)</f>
        <v>174.2</v>
      </c>
      <c r="C283" s="7">
        <f>IFERROR(__xludf.DUMMYFUNCTION("GOOGLEFINANCE(A283, ""changepct"")"),-3.83)</f>
        <v>-3.83</v>
      </c>
      <c r="D283" s="9">
        <f>IFERROR(__xludf.DUMMYFUNCTION("GOOGLEFINANCE(A283, ""priceopen"")"),180.24)</f>
        <v>180.24</v>
      </c>
      <c r="E283" s="9">
        <f>IFERROR(__xludf.DUMMYFUNCTION("GOOGLEFINANCE(A283, ""high"")"),180.78)</f>
        <v>180.78</v>
      </c>
      <c r="F283" s="9">
        <f>IFERROR(__xludf.DUMMYFUNCTION("GOOGLEFINANCE(A283, ""low"")"),173.22)</f>
        <v>173.22</v>
      </c>
      <c r="G283" s="9">
        <f>IFERROR(__xludf.DUMMYFUNCTION("GOOGLEFINANCE(A283, ""price"")"),174.2)</f>
        <v>174.2</v>
      </c>
      <c r="H283" s="9">
        <f>IFERROR(__xludf.DUMMYFUNCTION("MAX(INDEX(GOOGLEFINANCE(A283, ""high"", TODAY()-30, TODAY()), 0, 2))"),183.0)</f>
        <v>183</v>
      </c>
      <c r="I283" s="9">
        <f>IFERROR(__xludf.DUMMYFUNCTION("MIN(INDEX(GOOGLEFINANCE(A283, ""low"", TODAY()-30, TODAY()), 0, 2))"),156.15)</f>
        <v>156.15</v>
      </c>
      <c r="J283" s="9">
        <f>IFERROR(__xludf.DUMMYFUNCTION("GOOGLEFINANCE(A283, ""high52"")"),212.31)</f>
        <v>212.31</v>
      </c>
      <c r="K283" s="9">
        <f>IFERROR(__xludf.DUMMYFUNCTION("GOOGLEFINANCE(A283, ""low52"")"),120.45)</f>
        <v>120.45</v>
      </c>
      <c r="L283" s="9">
        <f t="shared" si="1"/>
        <v>0.1795016721</v>
      </c>
      <c r="M283" s="9">
        <f t="shared" si="2"/>
        <v>0.4462432545</v>
      </c>
      <c r="N283" s="9">
        <f t="shared" si="3"/>
        <v>0.04364392103</v>
      </c>
      <c r="O283" s="9">
        <f t="shared" si="4"/>
        <v>0.6722532588</v>
      </c>
      <c r="P283" s="9">
        <f>IFERROR(__xludf.DUMMYFUNCTION("GOOGLEFINANCE(A283, ""pe"")"),9.72)</f>
        <v>9.72</v>
      </c>
      <c r="Q283" s="9">
        <f>IFERROR(__xludf.DUMMYFUNCTION("IFERROR(GOOGLEFINANCE(A283, ""volume"") / GOOGLEFINANCE(A283, ""volumeavg""), 0)"),0.0)</f>
        <v>0</v>
      </c>
      <c r="R283" s="9">
        <f>IFERROR(__xludf.DUMMYFUNCTION("AVERAGE(INDEX(GOOGLEFINANCE(A283, ""price"", TODAY()-30, TODAY()), 0, 2))"),168.95782608695654)</f>
        <v>168.9578261</v>
      </c>
      <c r="S283" s="9">
        <f>IFERROR(__xludf.DUMMYFUNCTION("AVERAGE(INDEX(GOOGLEFINANCE(A283, ""price"", TODAY()-75, TODAY()), 0, 2))"),160.62962264150943)</f>
        <v>160.6296226</v>
      </c>
      <c r="T283" s="9">
        <f>IFERROR(__xludf.DUMMYFUNCTION("AVERAGE(INDEX(GOOGLEFINANCE(A283, ""price"", TODAY()-300, TODAY()), 0, 2))"),165.97044554455445)</f>
        <v>165.9704455</v>
      </c>
      <c r="U283" s="9">
        <f t="shared" si="5"/>
        <v>0.03102652321</v>
      </c>
      <c r="V283" s="15">
        <f>IFERROR(__xludf.DUMMYFUNCTION("LET(hist, GOOGLEFINANCE(A283,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rs))))))"),49.57871396895787)</f>
        <v>49.57871397</v>
      </c>
      <c r="W283" s="16" t="str">
        <f>IFERROR(__xludf.DUMMYFUNCTION("IFERROR(GOOGLEFINANCE(A283, ""volume"") / GOOGLEFINANCE(A283, ""volumeavg""), )"),"")</f>
        <v/>
      </c>
      <c r="X283" s="9">
        <f>IFERROR(__xludf.DUMMYFUNCTION("B283 * GOOGLEFINANCE(A283, ""volume"")"),1.7569644768E9)</f>
        <v>1756964477</v>
      </c>
      <c r="Y283" s="9">
        <f>IFERROR(__xludf.DUMMYFUNCTION("IFERROR(((B283 - GOOGLEFINANCE(A283, ""priceopen"")) / GOOGLEFINANCE(A283, ""priceopen"")) * GOOGLEFINANCE(A283, ""volume""), 0)"),-337987.4620506003)</f>
        <v>-337987.4621</v>
      </c>
    </row>
    <row r="284">
      <c r="A284" s="4" t="s">
        <v>1903</v>
      </c>
      <c r="B284" s="7">
        <f>IFERROR(__xludf.DUMMYFUNCTION("GOOGLEFINANCE(A284, ""price"")"),14593.0)</f>
        <v>14593</v>
      </c>
      <c r="C284" s="7">
        <f>IFERROR(__xludf.DUMMYFUNCTION("GOOGLEFINANCE(A284, ""changepct"")"),-0.1)</f>
        <v>-0.1</v>
      </c>
      <c r="D284" s="9">
        <f>IFERROR(__xludf.DUMMYFUNCTION("GOOGLEFINANCE(A284, ""priceopen"")"),14607.0)</f>
        <v>14607</v>
      </c>
      <c r="E284" s="9">
        <f>IFERROR(__xludf.DUMMYFUNCTION("GOOGLEFINANCE(A284, ""high"")"),14775.0)</f>
        <v>14775</v>
      </c>
      <c r="F284" s="9">
        <f>IFERROR(__xludf.DUMMYFUNCTION("GOOGLEFINANCE(A284, ""low"")"),14500.0)</f>
        <v>14500</v>
      </c>
      <c r="G284" s="9">
        <f>IFERROR(__xludf.DUMMYFUNCTION("GOOGLEFINANCE(A284, ""price"")"),14593.0)</f>
        <v>14593</v>
      </c>
      <c r="H284" s="9">
        <f>IFERROR(__xludf.DUMMYFUNCTION("MAX(INDEX(GOOGLEFINANCE(A284, ""high"", TODAY()-30, TODAY()), 0, 2))"),15700.0)</f>
        <v>15700</v>
      </c>
      <c r="I284" s="9">
        <f>IFERROR(__xludf.DUMMYFUNCTION("MIN(INDEX(GOOGLEFINANCE(A284, ""low"", TODAY()-30, TODAY()), 0, 2))"),13750.0)</f>
        <v>13750</v>
      </c>
      <c r="J284" s="9">
        <f>IFERROR(__xludf.DUMMYFUNCTION("GOOGLEFINANCE(A284, ""high52"")"),16297.0)</f>
        <v>16297</v>
      </c>
      <c r="K284" s="9">
        <f>IFERROR(__xludf.DUMMYFUNCTION("GOOGLEFINANCE(A284, ""low52"")"),11066.0)</f>
        <v>11066</v>
      </c>
      <c r="L284" s="9">
        <f t="shared" si="1"/>
        <v>0.1045591213</v>
      </c>
      <c r="M284" s="9">
        <f t="shared" si="2"/>
        <v>0.3187240195</v>
      </c>
      <c r="N284" s="9">
        <f t="shared" si="3"/>
        <v>0.01896551724</v>
      </c>
      <c r="O284" s="9">
        <f t="shared" si="4"/>
        <v>0.4323076923</v>
      </c>
      <c r="P284" s="9" t="str">
        <f>IFERROR(__xludf.DUMMYFUNCTION("GOOGLEFINANCE(A284, ""pe"")"),"#N/A")</f>
        <v>#N/A</v>
      </c>
      <c r="Q284" s="9">
        <f>IFERROR(__xludf.DUMMYFUNCTION("IFERROR(GOOGLEFINANCE(A284, ""volume"") / GOOGLEFINANCE(A284, ""volumeavg""), 0)"),0.0)</f>
        <v>0</v>
      </c>
      <c r="R284" s="9">
        <f>IFERROR(__xludf.DUMMYFUNCTION("AVERAGE(INDEX(GOOGLEFINANCE(A284, ""price"", TODAY()-30, TODAY()), 0, 2))"),14550.434782608696)</f>
        <v>14550.43478</v>
      </c>
      <c r="S284" s="9">
        <f>IFERROR(__xludf.DUMMYFUNCTION("AVERAGE(INDEX(GOOGLEFINANCE(A284, ""price"", TODAY()-75, TODAY()), 0, 2))"),14019.33962264151)</f>
        <v>14019.33962</v>
      </c>
      <c r="T284" s="9">
        <f>IFERROR(__xludf.DUMMYFUNCTION("AVERAGE(INDEX(GOOGLEFINANCE(A284, ""price"", TODAY()-300, TODAY()), 0, 2))"),14322.671641791045)</f>
        <v>14322.67164</v>
      </c>
      <c r="U284" s="9">
        <f t="shared" si="5"/>
        <v>0.002925357079</v>
      </c>
      <c r="V284" s="15">
        <f>IFERROR(__xludf.DUMMYFUNCTION("LET(hist, GOOGLEFINANCE(A284,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rs))))))"),40.87591240875912)</f>
        <v>40.87591241</v>
      </c>
      <c r="W284" s="16" t="str">
        <f>IFERROR(__xludf.DUMMYFUNCTION("IFERROR(GOOGLEFINANCE(A284, ""volume"") / GOOGLEFINANCE(A284, ""volumeavg""), )"),"")</f>
        <v/>
      </c>
      <c r="X284" s="9">
        <f>IFERROR(__xludf.DUMMYFUNCTION("B284 * GOOGLEFINANCE(A284, ""volume"")"),4.421679E7)</f>
        <v>44216790</v>
      </c>
      <c r="Y284" s="9">
        <f>IFERROR(__xludf.DUMMYFUNCTION("IFERROR(((B284 - GOOGLEFINANCE(A284, ""priceopen"")) / GOOGLEFINANCE(A284, ""priceopen"")) * GOOGLEFINANCE(A284, ""volume""), 0)"),-2.90408708153625)</f>
        <v>-2.904087082</v>
      </c>
    </row>
    <row r="285">
      <c r="A285" s="4" t="s">
        <v>1909</v>
      </c>
      <c r="B285" s="7">
        <f>IFERROR(__xludf.DUMMYFUNCTION("GOOGLEFINANCE(A285, ""price"")"),221.05)</f>
        <v>221.05</v>
      </c>
      <c r="C285" s="7">
        <f>IFERROR(__xludf.DUMMYFUNCTION("GOOGLEFINANCE(A285, ""changepct"")"),3.18)</f>
        <v>3.18</v>
      </c>
      <c r="D285" s="9">
        <f>IFERROR(__xludf.DUMMYFUNCTION("GOOGLEFINANCE(A285, ""priceopen"")"),215.4)</f>
        <v>215.4</v>
      </c>
      <c r="E285" s="9">
        <f>IFERROR(__xludf.DUMMYFUNCTION("GOOGLEFINANCE(A285, ""high"")"),223.61)</f>
        <v>223.61</v>
      </c>
      <c r="F285" s="9">
        <f>IFERROR(__xludf.DUMMYFUNCTION("GOOGLEFINANCE(A285, ""low"")"),215.0)</f>
        <v>215</v>
      </c>
      <c r="G285" s="9">
        <f>IFERROR(__xludf.DUMMYFUNCTION("GOOGLEFINANCE(A285, ""price"")"),221.05)</f>
        <v>221.05</v>
      </c>
      <c r="H285" s="9">
        <f>IFERROR(__xludf.DUMMYFUNCTION("MAX(INDEX(GOOGLEFINANCE(A285, ""high"", TODAY()-30, TODAY()), 0, 2))"),229.4)</f>
        <v>229.4</v>
      </c>
      <c r="I285" s="9">
        <f>IFERROR(__xludf.DUMMYFUNCTION("MIN(INDEX(GOOGLEFINANCE(A285, ""low"", TODAY()-30, TODAY()), 0, 2))"),181.05)</f>
        <v>181.05</v>
      </c>
      <c r="J285" s="9">
        <f>IFERROR(__xludf.DUMMYFUNCTION("GOOGLEFINANCE(A285, ""high52"")"),229.5)</f>
        <v>229.5</v>
      </c>
      <c r="K285" s="9">
        <f>IFERROR(__xludf.DUMMYFUNCTION("GOOGLEFINANCE(A285, ""low52"")"),59.82)</f>
        <v>59.82</v>
      </c>
      <c r="L285" s="9">
        <f t="shared" si="1"/>
        <v>0.03681917211</v>
      </c>
      <c r="M285" s="9">
        <f t="shared" si="2"/>
        <v>2.695252424</v>
      </c>
      <c r="N285" s="9">
        <f t="shared" si="3"/>
        <v>0.04004651163</v>
      </c>
      <c r="O285" s="9">
        <f t="shared" si="4"/>
        <v>0.8273009307</v>
      </c>
      <c r="P285" s="9">
        <f>IFERROR(__xludf.DUMMYFUNCTION("GOOGLEFINANCE(A285, ""pe"")"),57.57)</f>
        <v>57.57</v>
      </c>
      <c r="Q285" s="9">
        <f>IFERROR(__xludf.DUMMYFUNCTION("IFERROR(GOOGLEFINANCE(A285, ""volume"") / GOOGLEFINANCE(A285, ""volumeavg""), 0)"),0.0)</f>
        <v>0</v>
      </c>
      <c r="R285" s="9">
        <f>IFERROR(__xludf.DUMMYFUNCTION("AVERAGE(INDEX(GOOGLEFINANCE(A285, ""price"", TODAY()-30, TODAY()), 0, 2))"),207.25260869565219)</f>
        <v>207.2526087</v>
      </c>
      <c r="S285" s="9">
        <f>IFERROR(__xludf.DUMMYFUNCTION("AVERAGE(INDEX(GOOGLEFINANCE(A285, ""price"", TODAY()-75, TODAY()), 0, 2))"),202.19132075471697)</f>
        <v>202.1913208</v>
      </c>
      <c r="T285" s="9">
        <f>IFERROR(__xludf.DUMMYFUNCTION("AVERAGE(INDEX(GOOGLEFINANCE(A285, ""price"", TODAY()-300, TODAY()), 0, 2))"),113.74522388059704)</f>
        <v>113.7452239</v>
      </c>
      <c r="U285" s="9">
        <f t="shared" si="5"/>
        <v>0.06657282333</v>
      </c>
      <c r="V285" s="15">
        <f>IFERROR(__xludf.DUMMYFUNCTION("LET(hist, GOOGLEFINANCE(A285,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rs))))))"),58.37663087403303)</f>
        <v>58.37663087</v>
      </c>
      <c r="W285" s="16" t="str">
        <f>IFERROR(__xludf.DUMMYFUNCTION("IFERROR(GOOGLEFINANCE(A285, ""volume"") / GOOGLEFINANCE(A285, ""volumeavg""), )"),"")</f>
        <v/>
      </c>
      <c r="X285" s="9">
        <f>IFERROR(__xludf.DUMMYFUNCTION("B285 * GOOGLEFINANCE(A285, ""volume"")"),6.203222919650001E9)</f>
        <v>6203222920</v>
      </c>
      <c r="Y285" s="9">
        <f>IFERROR(__xludf.DUMMYFUNCTION("IFERROR(((B285 - GOOGLEFINANCE(A285, ""priceopen"")) / GOOGLEFINANCE(A285, ""priceopen"")) * GOOGLEFINANCE(A285, ""volume""), 0)"),736087.7968895086)</f>
        <v>736087.7969</v>
      </c>
    </row>
    <row r="286">
      <c r="A286" s="4" t="s">
        <v>1923</v>
      </c>
      <c r="B286" s="7">
        <f>IFERROR(__xludf.DUMMYFUNCTION("GOOGLEFINANCE(A286, ""price"")"),2789.9)</f>
        <v>2789.9</v>
      </c>
      <c r="C286" s="7">
        <f>IFERROR(__xludf.DUMMYFUNCTION("GOOGLEFINANCE(A286, ""changepct"")"),-0.81)</f>
        <v>-0.81</v>
      </c>
      <c r="D286" s="9">
        <f>IFERROR(__xludf.DUMMYFUNCTION("GOOGLEFINANCE(A286, ""priceopen"")"),2835.0)</f>
        <v>2835</v>
      </c>
      <c r="E286" s="9">
        <f>IFERROR(__xludf.DUMMYFUNCTION("GOOGLEFINANCE(A286, ""high"")"),2844.9)</f>
        <v>2844.9</v>
      </c>
      <c r="F286" s="9">
        <f>IFERROR(__xludf.DUMMYFUNCTION("GOOGLEFINANCE(A286, ""low"")"),2775.0)</f>
        <v>2775</v>
      </c>
      <c r="G286" s="9">
        <f>IFERROR(__xludf.DUMMYFUNCTION("GOOGLEFINANCE(A286, ""price"")"),2789.9)</f>
        <v>2789.9</v>
      </c>
      <c r="H286" s="9">
        <f>IFERROR(__xludf.DUMMYFUNCTION("MAX(INDEX(GOOGLEFINANCE(A286, ""high"", TODAY()-30, TODAY()), 0, 2))"),2845.0)</f>
        <v>2845</v>
      </c>
      <c r="I286" s="9">
        <f>IFERROR(__xludf.DUMMYFUNCTION("MIN(INDEX(GOOGLEFINANCE(A286, ""low"", TODAY()-30, TODAY()), 0, 2))"),2175.0)</f>
        <v>2175</v>
      </c>
      <c r="J286" s="9">
        <f>IFERROR(__xludf.DUMMYFUNCTION("GOOGLEFINANCE(A286, ""high52"")"),2845.0)</f>
        <v>2845</v>
      </c>
      <c r="K286" s="9">
        <f>IFERROR(__xludf.DUMMYFUNCTION("GOOGLEFINANCE(A286, ""low52"")"),1165.0)</f>
        <v>1165</v>
      </c>
      <c r="L286" s="9">
        <f t="shared" si="1"/>
        <v>0.01936731107</v>
      </c>
      <c r="M286" s="9">
        <f t="shared" si="2"/>
        <v>1.394763948</v>
      </c>
      <c r="N286" s="9">
        <f t="shared" si="3"/>
        <v>0.02518918919</v>
      </c>
      <c r="O286" s="9">
        <f t="shared" si="4"/>
        <v>0.917761194</v>
      </c>
      <c r="P286" s="9">
        <f>IFERROR(__xludf.DUMMYFUNCTION("GOOGLEFINANCE(A286, ""pe"")"),51.95)</f>
        <v>51.95</v>
      </c>
      <c r="Q286" s="9">
        <f>IFERROR(__xludf.DUMMYFUNCTION("IFERROR(GOOGLEFINANCE(A286, ""volume"") / GOOGLEFINANCE(A286, ""volumeavg""), 0)"),0.0)</f>
        <v>0</v>
      </c>
      <c r="R286" s="9">
        <f>IFERROR(__xludf.DUMMYFUNCTION("AVERAGE(INDEX(GOOGLEFINANCE(A286, ""price"", TODAY()-30, TODAY()), 0, 2))"),2542.021739130435)</f>
        <v>2542.021739</v>
      </c>
      <c r="S286" s="9">
        <f>IFERROR(__xludf.DUMMYFUNCTION("AVERAGE(INDEX(GOOGLEFINANCE(A286, ""price"", TODAY()-75, TODAY()), 0, 2))"),2376.5698113207545)</f>
        <v>2376.569811</v>
      </c>
      <c r="T286" s="9">
        <f>IFERROR(__xludf.DUMMYFUNCTION("AVERAGE(INDEX(GOOGLEFINANCE(A286, ""price"", TODAY()-300, TODAY()), 0, 2))"),1714.9970297029706)</f>
        <v>1714.99703</v>
      </c>
      <c r="U286" s="9">
        <f t="shared" si="5"/>
        <v>0.09751225061</v>
      </c>
      <c r="V286" s="15">
        <f>IFERROR(__xludf.DUMMYFUNCTION("LET(hist, GOOGLEFINANCE(A286,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rs))))))"),86.34034281675204)</f>
        <v>86.34034282</v>
      </c>
      <c r="W286" s="16" t="str">
        <f>IFERROR(__xludf.DUMMYFUNCTION("IFERROR(GOOGLEFINANCE(A286, ""volume"") / GOOGLEFINANCE(A286, ""volumeavg""), )"),"")</f>
        <v/>
      </c>
      <c r="X286" s="9">
        <f>IFERROR(__xludf.DUMMYFUNCTION("B286 * GOOGLEFINANCE(A286, ""volume"")"),6.531797577E8)</f>
        <v>653179757.7</v>
      </c>
      <c r="Y286" s="9">
        <f>IFERROR(__xludf.DUMMYFUNCTION("IFERROR(((B286 - GOOGLEFINANCE(A286, ""priceopen"")) / GOOGLEFINANCE(A286, ""priceopen"")) * GOOGLEFINANCE(A286, ""volume""), 0)"),-3724.496402116395)</f>
        <v>-3724.496402</v>
      </c>
    </row>
    <row r="287">
      <c r="A287" s="4" t="s">
        <v>1937</v>
      </c>
      <c r="B287" s="7">
        <f>IFERROR(__xludf.DUMMYFUNCTION("GOOGLEFINANCE(A287, ""price"")"),1041.5)</f>
        <v>1041.5</v>
      </c>
      <c r="C287" s="7">
        <f>IFERROR(__xludf.DUMMYFUNCTION("GOOGLEFINANCE(A287, ""changepct"")"),2.14)</f>
        <v>2.14</v>
      </c>
      <c r="D287" s="9">
        <f>IFERROR(__xludf.DUMMYFUNCTION("GOOGLEFINANCE(A287, ""priceopen"")"),1017.8)</f>
        <v>1017.8</v>
      </c>
      <c r="E287" s="9">
        <f>IFERROR(__xludf.DUMMYFUNCTION("GOOGLEFINANCE(A287, ""high"")"),1042.0)</f>
        <v>1042</v>
      </c>
      <c r="F287" s="9">
        <f>IFERROR(__xludf.DUMMYFUNCTION("GOOGLEFINANCE(A287, ""low"")"),1010.9)</f>
        <v>1010.9</v>
      </c>
      <c r="G287" s="9">
        <f>IFERROR(__xludf.DUMMYFUNCTION("GOOGLEFINANCE(A287, ""price"")"),1041.5)</f>
        <v>1041.5</v>
      </c>
      <c r="H287" s="9">
        <f>IFERROR(__xludf.DUMMYFUNCTION("MAX(INDEX(GOOGLEFINANCE(A287, ""high"", TODAY()-30, TODAY()), 0, 2))"),1179.7)</f>
        <v>1179.7</v>
      </c>
      <c r="I287" s="9">
        <f>IFERROR(__xludf.DUMMYFUNCTION("MIN(INDEX(GOOGLEFINANCE(A287, ""low"", TODAY()-30, TODAY()), 0, 2))"),973.3)</f>
        <v>973.3</v>
      </c>
      <c r="J287" s="9">
        <f>IFERROR(__xludf.DUMMYFUNCTION("GOOGLEFINANCE(A287, ""high52"")"),1224.9)</f>
        <v>1224.9</v>
      </c>
      <c r="K287" s="9">
        <f>IFERROR(__xludf.DUMMYFUNCTION("GOOGLEFINANCE(A287, ""low52"")"),708.0)</f>
        <v>708</v>
      </c>
      <c r="L287" s="9">
        <f t="shared" si="1"/>
        <v>0.1497265083</v>
      </c>
      <c r="M287" s="9">
        <f t="shared" si="2"/>
        <v>0.4710451977</v>
      </c>
      <c r="N287" s="9">
        <f t="shared" si="3"/>
        <v>0.03076466515</v>
      </c>
      <c r="O287" s="9">
        <f t="shared" si="4"/>
        <v>0.3304263566</v>
      </c>
      <c r="P287" s="9">
        <f>IFERROR(__xludf.DUMMYFUNCTION("GOOGLEFINANCE(A287, ""pe"")"),29.95)</f>
        <v>29.95</v>
      </c>
      <c r="Q287" s="9">
        <f>IFERROR(__xludf.DUMMYFUNCTION("IFERROR(GOOGLEFINANCE(A287, ""volume"") / GOOGLEFINANCE(A287, ""volumeavg""), 0)"),0.0)</f>
        <v>0</v>
      </c>
      <c r="R287" s="9">
        <f>IFERROR(__xludf.DUMMYFUNCTION("AVERAGE(INDEX(GOOGLEFINANCE(A287, ""price"", TODAY()-30, TODAY()), 0, 2))"),1047.5304347826084)</f>
        <v>1047.530435</v>
      </c>
      <c r="S287" s="9">
        <f>IFERROR(__xludf.DUMMYFUNCTION("AVERAGE(INDEX(GOOGLEFINANCE(A287, ""price"", TODAY()-75, TODAY()), 0, 2))"),1088.6905660377356)</f>
        <v>1088.690566</v>
      </c>
      <c r="T287" s="9">
        <f>IFERROR(__xludf.DUMMYFUNCTION("AVERAGE(INDEX(GOOGLEFINANCE(A287, ""price"", TODAY()-300, TODAY()), 0, 2))"),928.8371287128716)</f>
        <v>928.8371287</v>
      </c>
      <c r="U287" s="9">
        <f t="shared" si="5"/>
        <v>-0.00575681105</v>
      </c>
      <c r="V287" s="15">
        <f>IFERROR(__xludf.DUMMYFUNCTION("LET(hist, GOOGLEFINANCE(A287,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rs))))))"),63.35025380710659)</f>
        <v>63.35025381</v>
      </c>
      <c r="W287" s="16" t="str">
        <f>IFERROR(__xludf.DUMMYFUNCTION("IFERROR(GOOGLEFINANCE(A287, ""volume"") / GOOGLEFINANCE(A287, ""volumeavg""), )"),"")</f>
        <v/>
      </c>
      <c r="X287" s="9">
        <f>IFERROR(__xludf.DUMMYFUNCTION("B287 * GOOGLEFINANCE(A287, ""volume"")"),1.684761645E8)</f>
        <v>168476164.5</v>
      </c>
      <c r="Y287" s="9">
        <f>IFERROR(__xludf.DUMMYFUNCTION("IFERROR(((B287 - GOOGLEFINANCE(A287, ""priceopen"")) / GOOGLEFINANCE(A287, ""priceopen"")) * GOOGLEFINANCE(A287, ""volume""), 0)"),3766.7352132049596)</f>
        <v>3766.735213</v>
      </c>
    </row>
    <row r="288">
      <c r="A288" s="4" t="s">
        <v>1948</v>
      </c>
      <c r="B288" s="7">
        <f>IFERROR(__xludf.DUMMYFUNCTION("GOOGLEFINANCE(A288, ""price"")"),481.4)</f>
        <v>481.4</v>
      </c>
      <c r="C288" s="7">
        <f>IFERROR(__xludf.DUMMYFUNCTION("GOOGLEFINANCE(A288, ""changepct"")"),-1.39)</f>
        <v>-1.39</v>
      </c>
      <c r="D288" s="9">
        <f>IFERROR(__xludf.DUMMYFUNCTION("GOOGLEFINANCE(A288, ""priceopen"")"),487.0)</f>
        <v>487</v>
      </c>
      <c r="E288" s="9">
        <f>IFERROR(__xludf.DUMMYFUNCTION("GOOGLEFINANCE(A288, ""high"")"),489.0)</f>
        <v>489</v>
      </c>
      <c r="F288" s="9">
        <f>IFERROR(__xludf.DUMMYFUNCTION("GOOGLEFINANCE(A288, ""low"")"),477.25)</f>
        <v>477.25</v>
      </c>
      <c r="G288" s="9">
        <f>IFERROR(__xludf.DUMMYFUNCTION("GOOGLEFINANCE(A288, ""price"")"),481.4)</f>
        <v>481.4</v>
      </c>
      <c r="H288" s="9">
        <f>IFERROR(__xludf.DUMMYFUNCTION("MAX(INDEX(GOOGLEFINANCE(A288, ""high"", TODAY()-30, TODAY()), 0, 2))"),497.95)</f>
        <v>497.95</v>
      </c>
      <c r="I288" s="9">
        <f>IFERROR(__xludf.DUMMYFUNCTION("MIN(INDEX(GOOGLEFINANCE(A288, ""low"", TODAY()-30, TODAY()), 0, 2))"),408.55)</f>
        <v>408.55</v>
      </c>
      <c r="J288" s="9">
        <f>IFERROR(__xludf.DUMMYFUNCTION("GOOGLEFINANCE(A288, ""high52"")"),670.45)</f>
        <v>670.45</v>
      </c>
      <c r="K288" s="9">
        <f>IFERROR(__xludf.DUMMYFUNCTION("GOOGLEFINANCE(A288, ""low52"")"),408.55)</f>
        <v>408.55</v>
      </c>
      <c r="L288" s="9">
        <f t="shared" si="1"/>
        <v>0.281974793</v>
      </c>
      <c r="M288" s="9">
        <f t="shared" si="2"/>
        <v>0.1783135479</v>
      </c>
      <c r="N288" s="9">
        <f t="shared" si="3"/>
        <v>0.02462022001</v>
      </c>
      <c r="O288" s="9">
        <f t="shared" si="4"/>
        <v>0.8148769575</v>
      </c>
      <c r="P288" s="9">
        <f>IFERROR(__xludf.DUMMYFUNCTION("GOOGLEFINANCE(A288, ""pe"")"),85.79)</f>
        <v>85.79</v>
      </c>
      <c r="Q288" s="9">
        <f>IFERROR(__xludf.DUMMYFUNCTION("IFERROR(GOOGLEFINANCE(A288, ""volume"") / GOOGLEFINANCE(A288, ""volumeavg""), 0)"),0.0)</f>
        <v>0</v>
      </c>
      <c r="R288" s="9">
        <f>IFERROR(__xludf.DUMMYFUNCTION("AVERAGE(INDEX(GOOGLEFINANCE(A288, ""price"", TODAY()-30, TODAY()), 0, 2))"),445.458695652174)</f>
        <v>445.4586957</v>
      </c>
      <c r="S288" s="9">
        <f>IFERROR(__xludf.DUMMYFUNCTION("AVERAGE(INDEX(GOOGLEFINANCE(A288, ""price"", TODAY()-75, TODAY()), 0, 2))"),434.64245283018874)</f>
        <v>434.6424528</v>
      </c>
      <c r="T288" s="9">
        <f>IFERROR(__xludf.DUMMYFUNCTION("AVERAGE(INDEX(GOOGLEFINANCE(A288, ""price"", TODAY()-300, TODAY()), 0, 2))"),499.34203980099505)</f>
        <v>499.3420398</v>
      </c>
      <c r="U288" s="9">
        <f t="shared" si="5"/>
        <v>0.08068380907</v>
      </c>
      <c r="V288" s="15">
        <f>IFERROR(__xludf.DUMMYFUNCTION("LET(hist, GOOGLEFINANCE(A288,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rs))))))"),77.69701606732974)</f>
        <v>77.69701607</v>
      </c>
      <c r="W288" s="16" t="str">
        <f>IFERROR(__xludf.DUMMYFUNCTION("IFERROR(GOOGLEFINANCE(A288, ""volume"") / GOOGLEFINANCE(A288, ""volumeavg""), )"),"")</f>
        <v/>
      </c>
      <c r="X288" s="9">
        <f>IFERROR(__xludf.DUMMYFUNCTION("B288 * GOOGLEFINANCE(A288, ""volume"")"),1.5032985896E9)</f>
        <v>1503298590</v>
      </c>
      <c r="Y288" s="9">
        <f>IFERROR(__xludf.DUMMYFUNCTION("IFERROR(((B288 - GOOGLEFINANCE(A288, ""priceopen"")) / GOOGLEFINANCE(A288, ""priceopen"")) * GOOGLEFINANCE(A288, ""volume""), 0)"),-35908.57987679686)</f>
        <v>-35908.57988</v>
      </c>
    </row>
    <row r="289">
      <c r="A289" s="4" t="s">
        <v>1956</v>
      </c>
      <c r="B289" s="7">
        <f>IFERROR(__xludf.DUMMYFUNCTION("GOOGLEFINANCE(A289, ""price"")"),1578.0)</f>
        <v>1578</v>
      </c>
      <c r="C289" s="7">
        <f>IFERROR(__xludf.DUMMYFUNCTION("GOOGLEFINANCE(A289, ""changepct"")"),-2.02)</f>
        <v>-2.02</v>
      </c>
      <c r="D289" s="9">
        <f>IFERROR(__xludf.DUMMYFUNCTION("GOOGLEFINANCE(A289, ""priceopen"")"),1619.4)</f>
        <v>1619.4</v>
      </c>
      <c r="E289" s="9">
        <f>IFERROR(__xludf.DUMMYFUNCTION("GOOGLEFINANCE(A289, ""high"")"),1619.4)</f>
        <v>1619.4</v>
      </c>
      <c r="F289" s="9">
        <f>IFERROR(__xludf.DUMMYFUNCTION("GOOGLEFINANCE(A289, ""low"")"),1400.1)</f>
        <v>1400.1</v>
      </c>
      <c r="G289" s="9">
        <f>IFERROR(__xludf.DUMMYFUNCTION("GOOGLEFINANCE(A289, ""price"")"),1578.0)</f>
        <v>1578</v>
      </c>
      <c r="H289" s="9">
        <f>IFERROR(__xludf.DUMMYFUNCTION("MAX(INDEX(GOOGLEFINANCE(A289, ""high"", TODAY()-30, TODAY()), 0, 2))"),1663.5)</f>
        <v>1663.5</v>
      </c>
      <c r="I289" s="9">
        <f>IFERROR(__xludf.DUMMYFUNCTION("MIN(INDEX(GOOGLEFINANCE(A289, ""low"", TODAY()-30, TODAY()), 0, 2))"),1400.1)</f>
        <v>1400.1</v>
      </c>
      <c r="J289" s="9">
        <f>IFERROR(__xludf.DUMMYFUNCTION("GOOGLEFINANCE(A289, ""high52"")"),2064.0)</f>
        <v>2064</v>
      </c>
      <c r="K289" s="9">
        <f>IFERROR(__xludf.DUMMYFUNCTION("GOOGLEFINANCE(A289, ""low52"")"),1305.0)</f>
        <v>1305</v>
      </c>
      <c r="L289" s="9">
        <f t="shared" si="1"/>
        <v>0.2354651163</v>
      </c>
      <c r="M289" s="9">
        <f t="shared" si="2"/>
        <v>0.2091954023</v>
      </c>
      <c r="N289" s="9">
        <f t="shared" si="3"/>
        <v>0.1566316692</v>
      </c>
      <c r="O289" s="9">
        <f t="shared" si="4"/>
        <v>0.6753986333</v>
      </c>
      <c r="P289" s="9">
        <f>IFERROR(__xludf.DUMMYFUNCTION("GOOGLEFINANCE(A289, ""pe"")"),12.14)</f>
        <v>12.14</v>
      </c>
      <c r="Q289" s="9">
        <f>IFERROR(__xludf.DUMMYFUNCTION("IFERROR(GOOGLEFINANCE(A289, ""volume"") / GOOGLEFINANCE(A289, ""volumeavg""), 0)"),0.0)</f>
        <v>0</v>
      </c>
      <c r="R289" s="9">
        <f>IFERROR(__xludf.DUMMYFUNCTION("AVERAGE(INDEX(GOOGLEFINANCE(A289, ""price"", TODAY()-30, TODAY()), 0, 2))"),1565.8521739130433)</f>
        <v>1565.852174</v>
      </c>
      <c r="S289" s="9">
        <f>IFERROR(__xludf.DUMMYFUNCTION("AVERAGE(INDEX(GOOGLEFINANCE(A289, ""price"", TODAY()-75, TODAY()), 0, 2))"),1570.9660377358487)</f>
        <v>1570.966038</v>
      </c>
      <c r="T289" s="9">
        <f>IFERROR(__xludf.DUMMYFUNCTION("AVERAGE(INDEX(GOOGLEFINANCE(A289, ""price"", TODAY()-300, TODAY()), 0, 2))"),1687.0975247524757)</f>
        <v>1687.097525</v>
      </c>
      <c r="U289" s="9">
        <f t="shared" si="5"/>
        <v>0.007757964825</v>
      </c>
      <c r="V289" s="15">
        <f>IFERROR(__xludf.DUMMYFUNCTION("LET(hist, GOOGLEFINANCE(A289,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rs))))))"),55.128584096955386)</f>
        <v>55.1285841</v>
      </c>
      <c r="W289" s="16" t="str">
        <f>IFERROR(__xludf.DUMMYFUNCTION("IFERROR(GOOGLEFINANCE(A289, ""volume"") / GOOGLEFINANCE(A289, ""volumeavg""), )"),"")</f>
        <v/>
      </c>
      <c r="X289" s="9">
        <f>IFERROR(__xludf.DUMMYFUNCTION("B289 * GOOGLEFINANCE(A289, ""volume"")"),3.33600246E8)</f>
        <v>333600246</v>
      </c>
      <c r="Y289" s="9">
        <f>IFERROR(__xludf.DUMMYFUNCTION("IFERROR(((B289 - GOOGLEFINANCE(A289, ""priceopen"")) / GOOGLEFINANCE(A289, ""priceopen"")) * GOOGLEFINANCE(A289, ""volume""), 0)"),-5404.625046313461)</f>
        <v>-5404.625046</v>
      </c>
    </row>
    <row r="290">
      <c r="A290" s="4" t="s">
        <v>1966</v>
      </c>
      <c r="B290" s="7">
        <f>IFERROR(__xludf.DUMMYFUNCTION("GOOGLEFINANCE(A290, ""price"")"),989.0)</f>
        <v>989</v>
      </c>
      <c r="C290" s="7">
        <f>IFERROR(__xludf.DUMMYFUNCTION("GOOGLEFINANCE(A290, ""changepct"")"),0.43)</f>
        <v>0.43</v>
      </c>
      <c r="D290" s="9">
        <f>IFERROR(__xludf.DUMMYFUNCTION("GOOGLEFINANCE(A290, ""priceopen"")"),984.8)</f>
        <v>984.8</v>
      </c>
      <c r="E290" s="9">
        <f>IFERROR(__xludf.DUMMYFUNCTION("GOOGLEFINANCE(A290, ""high"")"),992.9)</f>
        <v>992.9</v>
      </c>
      <c r="F290" s="9">
        <f>IFERROR(__xludf.DUMMYFUNCTION("GOOGLEFINANCE(A290, ""low"")"),981.4)</f>
        <v>981.4</v>
      </c>
      <c r="G290" s="9">
        <f>IFERROR(__xludf.DUMMYFUNCTION("GOOGLEFINANCE(A290, ""price"")"),989.0)</f>
        <v>989</v>
      </c>
      <c r="H290" s="9">
        <f>IFERROR(__xludf.DUMMYFUNCTION("MAX(INDEX(GOOGLEFINANCE(A290, ""high"", TODAY()-30, TODAY()), 0, 2))"),1090.0)</f>
        <v>1090</v>
      </c>
      <c r="I290" s="9">
        <f>IFERROR(__xludf.DUMMYFUNCTION("MIN(INDEX(GOOGLEFINANCE(A290, ""low"", TODAY()-30, TODAY()), 0, 2))"),965.15)</f>
        <v>965.15</v>
      </c>
      <c r="J290" s="9">
        <f>IFERROR(__xludf.DUMMYFUNCTION("GOOGLEFINANCE(A290, ""high52"")"),1090.0)</f>
        <v>1090</v>
      </c>
      <c r="K290" s="9">
        <f>IFERROR(__xludf.DUMMYFUNCTION("GOOGLEFINANCE(A290, ""low52"")"),746.0)</f>
        <v>746</v>
      </c>
      <c r="L290" s="9">
        <f t="shared" si="1"/>
        <v>0.09266055046</v>
      </c>
      <c r="M290" s="9">
        <f t="shared" si="2"/>
        <v>0.3257372654</v>
      </c>
      <c r="N290" s="9">
        <f t="shared" si="3"/>
        <v>0.01171795394</v>
      </c>
      <c r="O290" s="9">
        <f t="shared" si="4"/>
        <v>0.1910292351</v>
      </c>
      <c r="P290" s="9">
        <f>IFERROR(__xludf.DUMMYFUNCTION("GOOGLEFINANCE(A290, ""pe"")"),24.42)</f>
        <v>24.42</v>
      </c>
      <c r="Q290" s="9">
        <f>IFERROR(__xludf.DUMMYFUNCTION("IFERROR(GOOGLEFINANCE(A290, ""volume"") / GOOGLEFINANCE(A290, ""volumeavg""), 0)"),0.0)</f>
        <v>0</v>
      </c>
      <c r="R290" s="9">
        <f>IFERROR(__xludf.DUMMYFUNCTION("AVERAGE(INDEX(GOOGLEFINANCE(A290, ""price"", TODAY()-30, TODAY()), 0, 2))"),1025.9891304347825)</f>
        <v>1025.98913</v>
      </c>
      <c r="S290" s="9">
        <f>IFERROR(__xludf.DUMMYFUNCTION("AVERAGE(INDEX(GOOGLEFINANCE(A290, ""price"", TODAY()-75, TODAY()), 0, 2))"),991.9820754716981)</f>
        <v>991.9820755</v>
      </c>
      <c r="T290" s="9">
        <f>IFERROR(__xludf.DUMMYFUNCTION("AVERAGE(INDEX(GOOGLEFINANCE(A290, ""price"", TODAY()-300, TODAY()), 0, 2))"),883.0561881188116)</f>
        <v>883.0561881</v>
      </c>
      <c r="U290" s="9">
        <f t="shared" si="5"/>
        <v>-0.03605216599</v>
      </c>
      <c r="V290" s="15">
        <f>IFERROR(__xludf.DUMMYFUNCTION("LET(hist, GOOGLEFINANCE(A290,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rs))))))"),28.3679283679283)</f>
        <v>28.36792837</v>
      </c>
      <c r="W290" s="16" t="str">
        <f>IFERROR(__xludf.DUMMYFUNCTION("IFERROR(GOOGLEFINANCE(A290, ""volume"") / GOOGLEFINANCE(A290, ""volumeavg""), )"),"")</f>
        <v/>
      </c>
      <c r="X290" s="9">
        <f>IFERROR(__xludf.DUMMYFUNCTION("B290 * GOOGLEFINANCE(A290, ""volume"")"),4.61400148E8)</f>
        <v>461400148</v>
      </c>
      <c r="Y290" s="9">
        <f>IFERROR(__xludf.DUMMYFUNCTION("IFERROR(((B290 - GOOGLEFINANCE(A290, ""priceopen"")) / GOOGLEFINANCE(A290, ""priceopen"")) * GOOGLEFINANCE(A290, ""volume""), 0)"),1989.6774979691527)</f>
        <v>1989.677498</v>
      </c>
    </row>
    <row r="291">
      <c r="A291" s="4" t="s">
        <v>1971</v>
      </c>
      <c r="B291" s="7">
        <f>IFERROR(__xludf.DUMMYFUNCTION("GOOGLEFINANCE(A291, ""price"")"),505.9)</f>
        <v>505.9</v>
      </c>
      <c r="C291" s="7">
        <f>IFERROR(__xludf.DUMMYFUNCTION("GOOGLEFINANCE(A291, ""changepct"")"),0.78)</f>
        <v>0.78</v>
      </c>
      <c r="D291" s="9">
        <f>IFERROR(__xludf.DUMMYFUNCTION("GOOGLEFINANCE(A291, ""priceopen"")"),502.95)</f>
        <v>502.95</v>
      </c>
      <c r="E291" s="9">
        <f>IFERROR(__xludf.DUMMYFUNCTION("GOOGLEFINANCE(A291, ""high"")"),508.0)</f>
        <v>508</v>
      </c>
      <c r="F291" s="9">
        <f>IFERROR(__xludf.DUMMYFUNCTION("GOOGLEFINANCE(A291, ""low"")"),499.45)</f>
        <v>499.45</v>
      </c>
      <c r="G291" s="9">
        <f>IFERROR(__xludf.DUMMYFUNCTION("GOOGLEFINANCE(A291, ""price"")"),505.9)</f>
        <v>505.9</v>
      </c>
      <c r="H291" s="9">
        <f>IFERROR(__xludf.DUMMYFUNCTION("MAX(INDEX(GOOGLEFINANCE(A291, ""high"", TODAY()-30, TODAY()), 0, 2))"),563.0)</f>
        <v>563</v>
      </c>
      <c r="I291" s="9">
        <f>IFERROR(__xludf.DUMMYFUNCTION("MIN(INDEX(GOOGLEFINANCE(A291, ""low"", TODAY()-30, TODAY()), 0, 2))"),499.2)</f>
        <v>499.2</v>
      </c>
      <c r="J291" s="9">
        <f>IFERROR(__xludf.DUMMYFUNCTION("GOOGLEFINANCE(A291, ""high52"")"),598.2)</f>
        <v>598.2</v>
      </c>
      <c r="K291" s="9">
        <f>IFERROR(__xludf.DUMMYFUNCTION("GOOGLEFINANCE(A291, ""low52"")"),458.9)</f>
        <v>458.9</v>
      </c>
      <c r="L291" s="9">
        <f t="shared" si="1"/>
        <v>0.154296222</v>
      </c>
      <c r="M291" s="9">
        <f t="shared" si="2"/>
        <v>0.1024188276</v>
      </c>
      <c r="N291" s="9">
        <f t="shared" si="3"/>
        <v>0.01711883071</v>
      </c>
      <c r="O291" s="9">
        <f t="shared" si="4"/>
        <v>0.105015674</v>
      </c>
      <c r="P291" s="9">
        <f>IFERROR(__xludf.DUMMYFUNCTION("GOOGLEFINANCE(A291, ""pe"")"),4.85)</f>
        <v>4.85</v>
      </c>
      <c r="Q291" s="9">
        <f>IFERROR(__xludf.DUMMYFUNCTION("IFERROR(GOOGLEFINANCE(A291, ""volume"") / GOOGLEFINANCE(A291, ""volumeavg""), 0)"),0.0)</f>
        <v>0</v>
      </c>
      <c r="R291" s="9">
        <f>IFERROR(__xludf.DUMMYFUNCTION("AVERAGE(INDEX(GOOGLEFINANCE(A291, ""price"", TODAY()-30, TODAY()), 0, 2))"),532.0782608695652)</f>
        <v>532.0782609</v>
      </c>
      <c r="S291" s="9">
        <f>IFERROR(__xludf.DUMMYFUNCTION("AVERAGE(INDEX(GOOGLEFINANCE(A291, ""price"", TODAY()-75, TODAY()), 0, 2))"),540.6773584905661)</f>
        <v>540.6773585</v>
      </c>
      <c r="T291" s="9">
        <f>IFERROR(__xludf.DUMMYFUNCTION("AVERAGE(INDEX(GOOGLEFINANCE(A291, ""price"", TODAY()-300, TODAY()), 0, 2))"),538.4752475247524)</f>
        <v>538.4752475</v>
      </c>
      <c r="U291" s="9">
        <f t="shared" si="5"/>
        <v>-0.04920001961</v>
      </c>
      <c r="V291" s="15">
        <f>IFERROR(__xludf.DUMMYFUNCTION("LET(hist, GOOGLEFINANCE(A291,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rs))))))"),36.24197002141322)</f>
        <v>36.24197002</v>
      </c>
      <c r="W291" s="16" t="str">
        <f>IFERROR(__xludf.DUMMYFUNCTION("IFERROR(GOOGLEFINANCE(A291, ""volume"") / GOOGLEFINANCE(A291, ""volumeavg""), )"),"")</f>
        <v/>
      </c>
      <c r="X291" s="9">
        <f>IFERROR(__xludf.DUMMYFUNCTION("B291 * GOOGLEFINANCE(A291, ""volume"")"),7.889960751E8)</f>
        <v>788996075.1</v>
      </c>
      <c r="Y291" s="9">
        <f>IFERROR(__xludf.DUMMYFUNCTION("IFERROR(((B291 - GOOGLEFINANCE(A291, ""priceopen"")) / GOOGLEFINANCE(A291, ""priceopen"")) * GOOGLEFINANCE(A291, ""volume""), 0)"),9147.604235013385)</f>
        <v>9147.604235</v>
      </c>
    </row>
    <row r="292">
      <c r="A292" s="4" t="s">
        <v>1978</v>
      </c>
      <c r="B292" s="7">
        <f>IFERROR(__xludf.DUMMYFUNCTION("GOOGLEFINANCE(A292, ""price"")"),651.0)</f>
        <v>651</v>
      </c>
      <c r="C292" s="7">
        <f>IFERROR(__xludf.DUMMYFUNCTION("GOOGLEFINANCE(A292, ""changepct"")"),5.0)</f>
        <v>5</v>
      </c>
      <c r="D292" s="9">
        <f>IFERROR(__xludf.DUMMYFUNCTION("GOOGLEFINANCE(A292, ""priceopen"")"),621.2)</f>
        <v>621.2</v>
      </c>
      <c r="E292" s="9">
        <f>IFERROR(__xludf.DUMMYFUNCTION("GOOGLEFINANCE(A292, ""high"")"),651.0)</f>
        <v>651</v>
      </c>
      <c r="F292" s="9">
        <f>IFERROR(__xludf.DUMMYFUNCTION("GOOGLEFINANCE(A292, ""low"")"),620.0)</f>
        <v>620</v>
      </c>
      <c r="G292" s="9">
        <f>IFERROR(__xludf.DUMMYFUNCTION("GOOGLEFINANCE(A292, ""price"")"),651.0)</f>
        <v>651</v>
      </c>
      <c r="H292" s="9">
        <f>IFERROR(__xludf.DUMMYFUNCTION("MAX(INDEX(GOOGLEFINANCE(A292, ""high"", TODAY()-30, TODAY()), 0, 2))"),666.3)</f>
        <v>666.3</v>
      </c>
      <c r="I292" s="9">
        <f>IFERROR(__xludf.DUMMYFUNCTION("MIN(INDEX(GOOGLEFINANCE(A292, ""low"", TODAY()-30, TODAY()), 0, 2))"),492.25)</f>
        <v>492.25</v>
      </c>
      <c r="J292" s="9">
        <f>IFERROR(__xludf.DUMMYFUNCTION("GOOGLEFINANCE(A292, ""high52"")"),679.9)</f>
        <v>679.9</v>
      </c>
      <c r="K292" s="9">
        <f>IFERROR(__xludf.DUMMYFUNCTION("GOOGLEFINANCE(A292, ""low52"")"),84.6)</f>
        <v>84.6</v>
      </c>
      <c r="L292" s="9">
        <f t="shared" si="1"/>
        <v>0.04250625092</v>
      </c>
      <c r="M292" s="9">
        <f t="shared" si="2"/>
        <v>6.695035461</v>
      </c>
      <c r="N292" s="9">
        <f t="shared" si="3"/>
        <v>0.05</v>
      </c>
      <c r="O292" s="9">
        <f t="shared" si="4"/>
        <v>0.9120942258</v>
      </c>
      <c r="P292" s="9">
        <f>IFERROR(__xludf.DUMMYFUNCTION("GOOGLEFINANCE(A292, ""pe"")"),142.52)</f>
        <v>142.52</v>
      </c>
      <c r="Q292" s="9">
        <f>IFERROR(__xludf.DUMMYFUNCTION("IFERROR(GOOGLEFINANCE(A292, ""volume"") / GOOGLEFINANCE(A292, ""volumeavg""), 0)"),0.0)</f>
        <v>0</v>
      </c>
      <c r="R292" s="9">
        <f>IFERROR(__xludf.DUMMYFUNCTION("AVERAGE(INDEX(GOOGLEFINANCE(A292, ""price"", TODAY()-30, TODAY()), 0, 2))"),567.4173913043478)</f>
        <v>567.4173913</v>
      </c>
      <c r="S292" s="9">
        <f>IFERROR(__xludf.DUMMYFUNCTION("AVERAGE(INDEX(GOOGLEFINANCE(A292, ""price"", TODAY()-75, TODAY()), 0, 2))"),582.6962264150943)</f>
        <v>582.6962264</v>
      </c>
      <c r="T292" s="9">
        <f>IFERROR(__xludf.DUMMYFUNCTION("AVERAGE(INDEX(GOOGLEFINANCE(A292, ""price"", TODAY()-300, TODAY()), 0, 2))"),283.0138613861388)</f>
        <v>283.0138614</v>
      </c>
      <c r="U292" s="9">
        <f t="shared" si="5"/>
        <v>0.1473035722</v>
      </c>
      <c r="V292" s="15">
        <f>IFERROR(__xludf.DUMMYFUNCTION("LET(hist, GOOGLEFINANCE(A292,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rs))))))"),72.2113502935421)</f>
        <v>72.21135029</v>
      </c>
      <c r="W292" s="16" t="str">
        <f>IFERROR(__xludf.DUMMYFUNCTION("IFERROR(GOOGLEFINANCE(A292, ""volume"") / GOOGLEFINANCE(A292, ""volumeavg""), )"),"")</f>
        <v/>
      </c>
      <c r="X292" s="9">
        <f>IFERROR(__xludf.DUMMYFUNCTION("B292 * GOOGLEFINANCE(A292, ""volume"")"),1.668774051E9)</f>
        <v>1668774051</v>
      </c>
      <c r="Y292" s="9">
        <f>IFERROR(__xludf.DUMMYFUNCTION("IFERROR(((B292 - GOOGLEFINANCE(A292, ""priceopen"")) / GOOGLEFINANCE(A292, ""priceopen"")) * GOOGLEFINANCE(A292, ""volume""), 0)"),122970.6210560204)</f>
        <v>122970.6211</v>
      </c>
    </row>
    <row r="293">
      <c r="A293" s="4" t="s">
        <v>1985</v>
      </c>
      <c r="B293" s="7">
        <f>IFERROR(__xludf.DUMMYFUNCTION("GOOGLEFINANCE(A293, ""price"")"),180.39)</f>
        <v>180.39</v>
      </c>
      <c r="C293" s="7">
        <f>IFERROR(__xludf.DUMMYFUNCTION("GOOGLEFINANCE(A293, ""changepct"")"),0.57)</f>
        <v>0.57</v>
      </c>
      <c r="D293" s="9">
        <f>IFERROR(__xludf.DUMMYFUNCTION("GOOGLEFINANCE(A293, ""priceopen"")"),180.0)</f>
        <v>180</v>
      </c>
      <c r="E293" s="9">
        <f>IFERROR(__xludf.DUMMYFUNCTION("GOOGLEFINANCE(A293, ""high"")"),187.1)</f>
        <v>187.1</v>
      </c>
      <c r="F293" s="9">
        <f>IFERROR(__xludf.DUMMYFUNCTION("GOOGLEFINANCE(A293, ""low"")"),178.72)</f>
        <v>178.72</v>
      </c>
      <c r="G293" s="9">
        <f>IFERROR(__xludf.DUMMYFUNCTION("GOOGLEFINANCE(A293, ""price"")"),180.39)</f>
        <v>180.39</v>
      </c>
      <c r="H293" s="9">
        <f>IFERROR(__xludf.DUMMYFUNCTION("MAX(INDEX(GOOGLEFINANCE(A293, ""high"", TODAY()-30, TODAY()), 0, 2))"),189.37)</f>
        <v>189.37</v>
      </c>
      <c r="I293" s="9">
        <f>IFERROR(__xludf.DUMMYFUNCTION("MIN(INDEX(GOOGLEFINANCE(A293, ""low"", TODAY()-30, TODAY()), 0, 2))"),161.76)</f>
        <v>161.76</v>
      </c>
      <c r="J293" s="9">
        <f>IFERROR(__xludf.DUMMYFUNCTION("GOOGLEFINANCE(A293, ""high52"")"),218.0)</f>
        <v>218</v>
      </c>
      <c r="K293" s="9">
        <f>IFERROR(__xludf.DUMMYFUNCTION("GOOGLEFINANCE(A293, ""low52"")"),116.97)</f>
        <v>116.97</v>
      </c>
      <c r="L293" s="9">
        <f t="shared" si="1"/>
        <v>0.1725229358</v>
      </c>
      <c r="M293" s="9">
        <f t="shared" si="2"/>
        <v>0.5421903052</v>
      </c>
      <c r="N293" s="9">
        <f t="shared" si="3"/>
        <v>0.04688898836</v>
      </c>
      <c r="O293" s="9">
        <f t="shared" si="4"/>
        <v>0.6747555234</v>
      </c>
      <c r="P293" s="9">
        <f>IFERROR(__xludf.DUMMYFUNCTION("GOOGLEFINANCE(A293, ""pe"")"),38.52)</f>
        <v>38.52</v>
      </c>
      <c r="Q293" s="9">
        <f>IFERROR(__xludf.DUMMYFUNCTION("IFERROR(GOOGLEFINANCE(A293, ""volume"") / GOOGLEFINANCE(A293, ""volumeavg""), 0)"),0.0)</f>
        <v>0</v>
      </c>
      <c r="R293" s="9">
        <f>IFERROR(__xludf.DUMMYFUNCTION("AVERAGE(INDEX(GOOGLEFINANCE(A293, ""price"", TODAY()-30, TODAY()), 0, 2))"),175.1178260869565)</f>
        <v>175.1178261</v>
      </c>
      <c r="S293" s="9">
        <f>IFERROR(__xludf.DUMMYFUNCTION("AVERAGE(INDEX(GOOGLEFINANCE(A293, ""price"", TODAY()-75, TODAY()), 0, 2))"),173.1167924528302)</f>
        <v>173.1167925</v>
      </c>
      <c r="T293" s="9">
        <f>IFERROR(__xludf.DUMMYFUNCTION("AVERAGE(INDEX(GOOGLEFINANCE(A293, ""price"", TODAY()-300, TODAY()), 0, 2))"),161.87277227722763)</f>
        <v>161.8727723</v>
      </c>
      <c r="U293" s="9">
        <f t="shared" si="5"/>
        <v>0.03010643765</v>
      </c>
      <c r="V293" s="15">
        <f>IFERROR(__xludf.DUMMYFUNCTION("LET(hist, GOOGLEFINANCE(A293,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rs))))))"),58.13576494427559)</f>
        <v>58.13576494</v>
      </c>
      <c r="W293" s="16" t="str">
        <f>IFERROR(__xludf.DUMMYFUNCTION("IFERROR(GOOGLEFINANCE(A293, ""volume"") / GOOGLEFINANCE(A293, ""volumeavg""), )"),"")</f>
        <v/>
      </c>
      <c r="X293" s="9">
        <f>IFERROR(__xludf.DUMMYFUNCTION("B293 * GOOGLEFINANCE(A293, ""volume"")"),4.6194938642999995E8)</f>
        <v>461949386.4</v>
      </c>
      <c r="Y293" s="9">
        <f>IFERROR(__xludf.DUMMYFUNCTION("IFERROR(((B293 - GOOGLEFINANCE(A293, ""priceopen"")) / GOOGLEFINANCE(A293, ""priceopen"")) * GOOGLEFINANCE(A293, ""volume""), 0)"),5548.480166666472)</f>
        <v>5548.480167</v>
      </c>
    </row>
    <row r="294">
      <c r="A294" s="4" t="s">
        <v>1992</v>
      </c>
      <c r="B294" s="7">
        <f>IFERROR(__xludf.DUMMYFUNCTION("GOOGLEFINANCE(A294, ""price"")"),937.6)</f>
        <v>937.6</v>
      </c>
      <c r="C294" s="7">
        <f>IFERROR(__xludf.DUMMYFUNCTION("GOOGLEFINANCE(A294, ""changepct"")"),-1.28)</f>
        <v>-1.28</v>
      </c>
      <c r="D294" s="9">
        <f>IFERROR(__xludf.DUMMYFUNCTION("GOOGLEFINANCE(A294, ""priceopen"")"),950.3)</f>
        <v>950.3</v>
      </c>
      <c r="E294" s="9">
        <f>IFERROR(__xludf.DUMMYFUNCTION("GOOGLEFINANCE(A294, ""high"")"),959.2)</f>
        <v>959.2</v>
      </c>
      <c r="F294" s="9">
        <f>IFERROR(__xludf.DUMMYFUNCTION("GOOGLEFINANCE(A294, ""low"")"),932.0)</f>
        <v>932</v>
      </c>
      <c r="G294" s="9">
        <f>IFERROR(__xludf.DUMMYFUNCTION("GOOGLEFINANCE(A294, ""price"")"),937.6)</f>
        <v>937.6</v>
      </c>
      <c r="H294" s="9">
        <f>IFERROR(__xludf.DUMMYFUNCTION("MAX(INDEX(GOOGLEFINANCE(A294, ""high"", TODAY()-30, TODAY()), 0, 2))"),1095.0)</f>
        <v>1095</v>
      </c>
      <c r="I294" s="9">
        <f>IFERROR(__xludf.DUMMYFUNCTION("MIN(INDEX(GOOGLEFINANCE(A294, ""low"", TODAY()-30, TODAY()), 0, 2))"),932.0)</f>
        <v>932</v>
      </c>
      <c r="J294" s="9">
        <f>IFERROR(__xludf.DUMMYFUNCTION("GOOGLEFINANCE(A294, ""high52"")"),1340.4)</f>
        <v>1340.4</v>
      </c>
      <c r="K294" s="9">
        <f>IFERROR(__xludf.DUMMYFUNCTION("GOOGLEFINANCE(A294, ""low52"")"),883.0)</f>
        <v>883</v>
      </c>
      <c r="L294" s="9">
        <f t="shared" si="1"/>
        <v>0.3005073113</v>
      </c>
      <c r="M294" s="9">
        <f t="shared" si="2"/>
        <v>0.06183465459</v>
      </c>
      <c r="N294" s="9">
        <f t="shared" si="3"/>
        <v>0.02918454936</v>
      </c>
      <c r="O294" s="9">
        <f t="shared" si="4"/>
        <v>0.03435582822</v>
      </c>
      <c r="P294" s="9">
        <f>IFERROR(__xludf.DUMMYFUNCTION("GOOGLEFINANCE(A294, ""pe"")"),63.01)</f>
        <v>63.01</v>
      </c>
      <c r="Q294" s="9">
        <f>IFERROR(__xludf.DUMMYFUNCTION("IFERROR(GOOGLEFINANCE(A294, ""volume"") / GOOGLEFINANCE(A294, ""volumeavg""), 0)"),0.0)</f>
        <v>0</v>
      </c>
      <c r="R294" s="9">
        <f>IFERROR(__xludf.DUMMYFUNCTION("AVERAGE(INDEX(GOOGLEFINANCE(A294, ""price"", TODAY()-30, TODAY()), 0, 2))"),1024.004347826087)</f>
        <v>1024.004348</v>
      </c>
      <c r="S294" s="9">
        <f>IFERROR(__xludf.DUMMYFUNCTION("AVERAGE(INDEX(GOOGLEFINANCE(A294, ""price"", TODAY()-75, TODAY()), 0, 2))"),1025.1584905660377)</f>
        <v>1025.158491</v>
      </c>
      <c r="T294" s="9">
        <f>IFERROR(__xludf.DUMMYFUNCTION("AVERAGE(INDEX(GOOGLEFINANCE(A294, ""price"", TODAY()-300, TODAY()), 0, 2))"),1058.0809405940595)</f>
        <v>1058.080941</v>
      </c>
      <c r="U294" s="9">
        <f t="shared" si="5"/>
        <v>-0.08437888766</v>
      </c>
      <c r="V294" s="15">
        <f>IFERROR(__xludf.DUMMYFUNCTION("LET(hist, GOOGLEFINANCE(A294,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rs))))))"),20.027529249827836)</f>
        <v>20.02752925</v>
      </c>
      <c r="W294" s="16" t="str">
        <f>IFERROR(__xludf.DUMMYFUNCTION("IFERROR(GOOGLEFINANCE(A294, ""volume"") / GOOGLEFINANCE(A294, ""volumeavg""), )"),"")</f>
        <v/>
      </c>
      <c r="X294" s="9">
        <f>IFERROR(__xludf.DUMMYFUNCTION("B294 * GOOGLEFINANCE(A294, ""volume"")"),1.25422752E8)</f>
        <v>125422752</v>
      </c>
      <c r="Y294" s="9">
        <f>IFERROR(__xludf.DUMMYFUNCTION("IFERROR(((B294 - GOOGLEFINANCE(A294, ""priceopen"")) / GOOGLEFINANCE(A294, ""priceopen"")) * GOOGLEFINANCE(A294, ""volume""), 0)"),-1787.7291381668851)</f>
        <v>-1787.729138</v>
      </c>
    </row>
    <row r="295">
      <c r="A295" s="4" t="s">
        <v>1999</v>
      </c>
      <c r="B295" s="7">
        <f>IFERROR(__xludf.DUMMYFUNCTION("GOOGLEFINANCE(A295, ""price"")"),176.45)</f>
        <v>176.45</v>
      </c>
      <c r="C295" s="7">
        <f>IFERROR(__xludf.DUMMYFUNCTION("GOOGLEFINANCE(A295, ""changepct"")"),1.41)</f>
        <v>1.41</v>
      </c>
      <c r="D295" s="9">
        <f>IFERROR(__xludf.DUMMYFUNCTION("GOOGLEFINANCE(A295, ""priceopen"")"),173.82)</f>
        <v>173.82</v>
      </c>
      <c r="E295" s="9">
        <f>IFERROR(__xludf.DUMMYFUNCTION("GOOGLEFINANCE(A295, ""high"")"),176.79)</f>
        <v>176.79</v>
      </c>
      <c r="F295" s="9">
        <f>IFERROR(__xludf.DUMMYFUNCTION("GOOGLEFINANCE(A295, ""low"")"),172.57)</f>
        <v>172.57</v>
      </c>
      <c r="G295" s="9">
        <f>IFERROR(__xludf.DUMMYFUNCTION("GOOGLEFINANCE(A295, ""price"")"),176.45)</f>
        <v>176.45</v>
      </c>
      <c r="H295" s="9">
        <f>IFERROR(__xludf.DUMMYFUNCTION("MAX(INDEX(GOOGLEFINANCE(A295, ""high"", TODAY()-30, TODAY()), 0, 2))"),220.76)</f>
        <v>220.76</v>
      </c>
      <c r="I295" s="9">
        <f>IFERROR(__xludf.DUMMYFUNCTION("MIN(INDEX(GOOGLEFINANCE(A295, ""low"", TODAY()-30, TODAY()), 0, 2))"),161.95)</f>
        <v>161.95</v>
      </c>
      <c r="J295" s="9">
        <f>IFERROR(__xludf.DUMMYFUNCTION("GOOGLEFINANCE(A295, ""high52"")"),220.76)</f>
        <v>220.76</v>
      </c>
      <c r="K295" s="9">
        <f>IFERROR(__xludf.DUMMYFUNCTION("GOOGLEFINANCE(A295, ""low52"")"),134.25)</f>
        <v>134.25</v>
      </c>
      <c r="L295" s="9">
        <f t="shared" si="1"/>
        <v>0.2007157094</v>
      </c>
      <c r="M295" s="9">
        <f t="shared" si="2"/>
        <v>0.3143389199</v>
      </c>
      <c r="N295" s="9">
        <f t="shared" si="3"/>
        <v>0.02445384482</v>
      </c>
      <c r="O295" s="9">
        <f t="shared" si="4"/>
        <v>0.246556708</v>
      </c>
      <c r="P295" s="9">
        <f>IFERROR(__xludf.DUMMYFUNCTION("GOOGLEFINANCE(A295, ""pe"")"),21.05)</f>
        <v>21.05</v>
      </c>
      <c r="Q295" s="9">
        <f>IFERROR(__xludf.DUMMYFUNCTION("IFERROR(GOOGLEFINANCE(A295, ""volume"") / GOOGLEFINANCE(A295, ""volumeavg""), 0)"),0.0)</f>
        <v>0</v>
      </c>
      <c r="R295" s="9">
        <f>IFERROR(__xludf.DUMMYFUNCTION("AVERAGE(INDEX(GOOGLEFINANCE(A295, ""price"", TODAY()-30, TODAY()), 0, 2))"),184.36347826086956)</f>
        <v>184.3634783</v>
      </c>
      <c r="S295" s="9">
        <f>IFERROR(__xludf.DUMMYFUNCTION("AVERAGE(INDEX(GOOGLEFINANCE(A295, ""price"", TODAY()-75, TODAY()), 0, 2))"),196.55716981132076)</f>
        <v>196.5571698</v>
      </c>
      <c r="T295" s="9">
        <f>IFERROR(__xludf.DUMMYFUNCTION("AVERAGE(INDEX(GOOGLEFINANCE(A295, ""price"", TODAY()-300, TODAY()), 0, 2))"),172.39346534653467)</f>
        <v>172.3934653</v>
      </c>
      <c r="U295" s="9">
        <f t="shared" si="5"/>
        <v>-0.04292324237</v>
      </c>
      <c r="V295" s="15">
        <f>IFERROR(__xludf.DUMMYFUNCTION("LET(hist, GOOGLEFINANCE(A295,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rs))))))"),68.67647058823528)</f>
        <v>68.67647059</v>
      </c>
      <c r="W295" s="16" t="str">
        <f>IFERROR(__xludf.DUMMYFUNCTION("IFERROR(GOOGLEFINANCE(A295, ""volume"") / GOOGLEFINANCE(A295, ""volumeavg""), )"),"")</f>
        <v/>
      </c>
      <c r="X295" s="9">
        <f>IFERROR(__xludf.DUMMYFUNCTION("B295 * GOOGLEFINANCE(A295, ""volume"")"),1.2438345161E9)</f>
        <v>1243834516</v>
      </c>
      <c r="Y295" s="9">
        <f>IFERROR(__xludf.DUMMYFUNCTION("IFERROR(((B295 - GOOGLEFINANCE(A295, ""priceopen"")) / GOOGLEFINANCE(A295, ""priceopen"")) * GOOGLEFINANCE(A295, ""volume""), 0)"),106658.86169600718)</f>
        <v>106658.8617</v>
      </c>
    </row>
    <row r="296">
      <c r="A296" s="4" t="s">
        <v>2009</v>
      </c>
      <c r="B296" s="7">
        <f>IFERROR(__xludf.DUMMYFUNCTION("GOOGLEFINANCE(A296, ""price"")"),31.3)</f>
        <v>31.3</v>
      </c>
      <c r="C296" s="7">
        <f>IFERROR(__xludf.DUMMYFUNCTION("GOOGLEFINANCE(A296, ""changepct"")"),0.35)</f>
        <v>0.35</v>
      </c>
      <c r="D296" s="9">
        <f>IFERROR(__xludf.DUMMYFUNCTION("GOOGLEFINANCE(A296, ""priceopen"")"),31.23)</f>
        <v>31.23</v>
      </c>
      <c r="E296" s="9">
        <f>IFERROR(__xludf.DUMMYFUNCTION("GOOGLEFINANCE(A296, ""high"")"),31.66)</f>
        <v>31.66</v>
      </c>
      <c r="F296" s="9">
        <f>IFERROR(__xludf.DUMMYFUNCTION("GOOGLEFINANCE(A296, ""low"")"),31.0)</f>
        <v>31</v>
      </c>
      <c r="G296" s="9">
        <f>IFERROR(__xludf.DUMMYFUNCTION("GOOGLEFINANCE(A296, ""price"")"),31.3)</f>
        <v>31.3</v>
      </c>
      <c r="H296" s="9">
        <f>IFERROR(__xludf.DUMMYFUNCTION("MAX(INDEX(GOOGLEFINANCE(A296, ""high"", TODAY()-30, TODAY()), 0, 2))"),33.3)</f>
        <v>33.3</v>
      </c>
      <c r="I296" s="9">
        <f>IFERROR(__xludf.DUMMYFUNCTION("MIN(INDEX(GOOGLEFINANCE(A296, ""low"", TODAY()-30, TODAY()), 0, 2))"),30.52)</f>
        <v>30.52</v>
      </c>
      <c r="J296" s="9">
        <f>IFERROR(__xludf.DUMMYFUNCTION("GOOGLEFINANCE(A296, ""high52"")"),40.92)</f>
        <v>40.92</v>
      </c>
      <c r="K296" s="9">
        <f>IFERROR(__xludf.DUMMYFUNCTION("GOOGLEFINANCE(A296, ""low52"")"),29.32)</f>
        <v>29.32</v>
      </c>
      <c r="L296" s="9">
        <f t="shared" si="1"/>
        <v>0.2350928641</v>
      </c>
      <c r="M296" s="9">
        <f t="shared" si="2"/>
        <v>0.06753069577</v>
      </c>
      <c r="N296" s="9">
        <f t="shared" si="3"/>
        <v>0.02129032258</v>
      </c>
      <c r="O296" s="9">
        <f t="shared" si="4"/>
        <v>0.2805755396</v>
      </c>
      <c r="P296" s="9">
        <f>IFERROR(__xludf.DUMMYFUNCTION("GOOGLEFINANCE(A296, ""pe"")"),6.2)</f>
        <v>6.2</v>
      </c>
      <c r="Q296" s="9">
        <f>IFERROR(__xludf.DUMMYFUNCTION("IFERROR(GOOGLEFINANCE(A296, ""volume"") / GOOGLEFINANCE(A296, ""volumeavg""), 0)"),0.0)</f>
        <v>0</v>
      </c>
      <c r="R296" s="9">
        <f>IFERROR(__xludf.DUMMYFUNCTION("AVERAGE(INDEX(GOOGLEFINANCE(A296, ""price"", TODAY()-30, TODAY()), 0, 2))"),31.514347826086947)</f>
        <v>31.51434783</v>
      </c>
      <c r="S296" s="9">
        <f>IFERROR(__xludf.DUMMYFUNCTION("AVERAGE(INDEX(GOOGLEFINANCE(A296, ""price"", TODAY()-75, TODAY()), 0, 2))"),31.66622641509434)</f>
        <v>31.66622642</v>
      </c>
      <c r="T296" s="9">
        <f>IFERROR(__xludf.DUMMYFUNCTION("AVERAGE(INDEX(GOOGLEFINANCE(A296, ""price"", TODAY()-300, TODAY()), 0, 2))"),35.42638613861388)</f>
        <v>35.42638614</v>
      </c>
      <c r="U296" s="9">
        <f t="shared" si="5"/>
        <v>-0.006801594857</v>
      </c>
      <c r="V296" s="15">
        <f>IFERROR(__xludf.DUMMYFUNCTION("LET(hist, GOOGLEFINANCE(A296,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rs))))))"),55.631399317406164)</f>
        <v>55.63139932</v>
      </c>
      <c r="W296" s="16" t="str">
        <f>IFERROR(__xludf.DUMMYFUNCTION("IFERROR(GOOGLEFINANCE(A296, ""volume"") / GOOGLEFINANCE(A296, ""volumeavg""), )"),"")</f>
        <v/>
      </c>
      <c r="X296" s="9">
        <f>IFERROR(__xludf.DUMMYFUNCTION("B296 * GOOGLEFINANCE(A296, ""volume"")"),2.777758251E8)</f>
        <v>277775825.1</v>
      </c>
      <c r="Y296" s="9">
        <f>IFERROR(__xludf.DUMMYFUNCTION("IFERROR(((B296 - GOOGLEFINANCE(A296, ""priceopen"")) / GOOGLEFINANCE(A296, ""priceopen"")) * GOOGLEFINANCE(A296, ""volume""), 0)"),19891.895292987592)</f>
        <v>19891.89529</v>
      </c>
    </row>
    <row r="297">
      <c r="A297" s="4" t="s">
        <v>2017</v>
      </c>
      <c r="B297" s="7">
        <f>IFERROR(__xludf.DUMMYFUNCTION("GOOGLEFINANCE(A297, ""price"")"),1462.1)</f>
        <v>1462.1</v>
      </c>
      <c r="C297" s="7">
        <f>IFERROR(__xludf.DUMMYFUNCTION("GOOGLEFINANCE(A297, ""changepct"")"),1.23)</f>
        <v>1.23</v>
      </c>
      <c r="D297" s="9">
        <f>IFERROR(__xludf.DUMMYFUNCTION("GOOGLEFINANCE(A297, ""priceopen"")"),1446.4)</f>
        <v>1446.4</v>
      </c>
      <c r="E297" s="9">
        <f>IFERROR(__xludf.DUMMYFUNCTION("GOOGLEFINANCE(A297, ""high"")"),1474.0)</f>
        <v>1474</v>
      </c>
      <c r="F297" s="9">
        <f>IFERROR(__xludf.DUMMYFUNCTION("GOOGLEFINANCE(A297, ""low"")"),1443.3)</f>
        <v>1443.3</v>
      </c>
      <c r="G297" s="9">
        <f>IFERROR(__xludf.DUMMYFUNCTION("GOOGLEFINANCE(A297, ""price"")"),1462.1)</f>
        <v>1462.1</v>
      </c>
      <c r="H297" s="9">
        <f>IFERROR(__xludf.DUMMYFUNCTION("MAX(INDEX(GOOGLEFINANCE(A297, ""high"", TODAY()-30, TODAY()), 0, 2))"),1474.0)</f>
        <v>1474</v>
      </c>
      <c r="I297" s="9">
        <f>IFERROR(__xludf.DUMMYFUNCTION("MIN(INDEX(GOOGLEFINANCE(A297, ""low"", TODAY()-30, TODAY()), 0, 2))"),1216.3)</f>
        <v>1216.3</v>
      </c>
      <c r="J297" s="9">
        <f>IFERROR(__xludf.DUMMYFUNCTION("GOOGLEFINANCE(A297, ""high52"")"),1474.0)</f>
        <v>1474</v>
      </c>
      <c r="K297" s="9">
        <f>IFERROR(__xludf.DUMMYFUNCTION("GOOGLEFINANCE(A297, ""low52"")"),783.85)</f>
        <v>783.85</v>
      </c>
      <c r="L297" s="9">
        <f t="shared" si="1"/>
        <v>0.008073270014</v>
      </c>
      <c r="M297" s="9">
        <f t="shared" si="2"/>
        <v>0.865280347</v>
      </c>
      <c r="N297" s="9">
        <f t="shared" si="3"/>
        <v>0.02127069909</v>
      </c>
      <c r="O297" s="9">
        <f t="shared" si="4"/>
        <v>0.953822274</v>
      </c>
      <c r="P297" s="9">
        <f>IFERROR(__xludf.DUMMYFUNCTION("GOOGLEFINANCE(A297, ""pe"")"),86.16)</f>
        <v>86.16</v>
      </c>
      <c r="Q297" s="9">
        <f>IFERROR(__xludf.DUMMYFUNCTION("IFERROR(GOOGLEFINANCE(A297, ""volume"") / GOOGLEFINANCE(A297, ""volumeavg""), 0)"),0.0)</f>
        <v>0</v>
      </c>
      <c r="R297" s="9">
        <f>IFERROR(__xludf.DUMMYFUNCTION("AVERAGE(INDEX(GOOGLEFINANCE(A297, ""price"", TODAY()-30, TODAY()), 0, 2))"),1322.6565217391305)</f>
        <v>1322.656522</v>
      </c>
      <c r="S297" s="9">
        <f>IFERROR(__xludf.DUMMYFUNCTION("AVERAGE(INDEX(GOOGLEFINANCE(A297, ""price"", TODAY()-75, TODAY()), 0, 2))"),1256.9169811320755)</f>
        <v>1256.916981</v>
      </c>
      <c r="T297" s="9">
        <f>IFERROR(__xludf.DUMMYFUNCTION("AVERAGE(INDEX(GOOGLEFINANCE(A297, ""price"", TODAY()-300, TODAY()), 0, 2))"),1028.4366336633661)</f>
        <v>1028.436634</v>
      </c>
      <c r="U297" s="9">
        <f t="shared" si="5"/>
        <v>0.1054268255</v>
      </c>
      <c r="V297" s="15">
        <f>IFERROR(__xludf.DUMMYFUNCTION("LET(hist, GOOGLEFINANCE(A297,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rs))))))"),83.1995242343146)</f>
        <v>83.19952423</v>
      </c>
      <c r="W297" s="16" t="str">
        <f>IFERROR(__xludf.DUMMYFUNCTION("IFERROR(GOOGLEFINANCE(A297, ""volume"") / GOOGLEFINANCE(A297, ""volumeavg""), )"),"")</f>
        <v/>
      </c>
      <c r="X297" s="9">
        <f>IFERROR(__xludf.DUMMYFUNCTION("B297 * GOOGLEFINANCE(A297, ""volume"")"),6.287878018E8)</f>
        <v>628787801.8</v>
      </c>
      <c r="Y297" s="9">
        <f>IFERROR(__xludf.DUMMYFUNCTION("IFERROR(((B297 - GOOGLEFINANCE(A297, ""priceopen"")) / GOOGLEFINANCE(A297, ""priceopen"")) * GOOGLEFINANCE(A297, ""volume""), 0)"),4668.079784291981)</f>
        <v>4668.079784</v>
      </c>
    </row>
    <row r="298">
      <c r="A298" s="4" t="s">
        <v>2024</v>
      </c>
      <c r="B298" s="7">
        <f>IFERROR(__xludf.DUMMYFUNCTION("GOOGLEFINANCE(A298, ""price"")"),8450.0)</f>
        <v>8450</v>
      </c>
      <c r="C298" s="7">
        <f>IFERROR(__xludf.DUMMYFUNCTION("GOOGLEFINANCE(A298, ""changepct"")"),-0.06)</f>
        <v>-0.06</v>
      </c>
      <c r="D298" s="9">
        <f>IFERROR(__xludf.DUMMYFUNCTION("GOOGLEFINANCE(A298, ""priceopen"")"),8470.0)</f>
        <v>8470</v>
      </c>
      <c r="E298" s="9">
        <f>IFERROR(__xludf.DUMMYFUNCTION("GOOGLEFINANCE(A298, ""high"")"),8470.0)</f>
        <v>8470</v>
      </c>
      <c r="F298" s="9">
        <f>IFERROR(__xludf.DUMMYFUNCTION("GOOGLEFINANCE(A298, ""low"")"),8430.0)</f>
        <v>8430</v>
      </c>
      <c r="G298" s="9">
        <f>IFERROR(__xludf.DUMMYFUNCTION("GOOGLEFINANCE(A298, ""price"")"),8450.0)</f>
        <v>8450</v>
      </c>
      <c r="H298" s="9">
        <f>IFERROR(__xludf.DUMMYFUNCTION("MAX(INDEX(GOOGLEFINANCE(A298, ""high"", TODAY()-30, TODAY()), 0, 2))"),9070.0)</f>
        <v>9070</v>
      </c>
      <c r="I298" s="9">
        <f>IFERROR(__xludf.DUMMYFUNCTION("MIN(INDEX(GOOGLEFINANCE(A298, ""low"", TODAY()-30, TODAY()), 0, 2))"),8419.0)</f>
        <v>8419</v>
      </c>
      <c r="J298" s="9">
        <f>IFERROR(__xludf.DUMMYFUNCTION("GOOGLEFINANCE(A298, ""high52"")"),14509.0)</f>
        <v>14509</v>
      </c>
      <c r="K298" s="9">
        <f>IFERROR(__xludf.DUMMYFUNCTION("GOOGLEFINANCE(A298, ""low52"")"),8419.0)</f>
        <v>8419</v>
      </c>
      <c r="L298" s="9">
        <f t="shared" si="1"/>
        <v>0.4176028672</v>
      </c>
      <c r="M298" s="9">
        <f t="shared" si="2"/>
        <v>0.003682147523</v>
      </c>
      <c r="N298" s="9">
        <f t="shared" si="3"/>
        <v>0.004744958482</v>
      </c>
      <c r="O298" s="9">
        <f t="shared" si="4"/>
        <v>0.04761904762</v>
      </c>
      <c r="P298" s="9">
        <f>IFERROR(__xludf.DUMMYFUNCTION("GOOGLEFINANCE(A298, ""pe"")"),34.69)</f>
        <v>34.69</v>
      </c>
      <c r="Q298" s="9">
        <f>IFERROR(__xludf.DUMMYFUNCTION("IFERROR(GOOGLEFINANCE(A298, ""volume"") / GOOGLEFINANCE(A298, ""volumeavg""), 0)"),0.0)</f>
        <v>0</v>
      </c>
      <c r="R298" s="9">
        <f>IFERROR(__xludf.DUMMYFUNCTION("AVERAGE(INDEX(GOOGLEFINANCE(A298, ""price"", TODAY()-30, TODAY()), 0, 2))"),8710.130434782608)</f>
        <v>8710.130435</v>
      </c>
      <c r="S298" s="9">
        <f>IFERROR(__xludf.DUMMYFUNCTION("AVERAGE(INDEX(GOOGLEFINANCE(A298, ""price"", TODAY()-75, TODAY()), 0, 2))"),8926.688679245282)</f>
        <v>8926.688679</v>
      </c>
      <c r="T298" s="9">
        <f>IFERROR(__xludf.DUMMYFUNCTION("AVERAGE(INDEX(GOOGLEFINANCE(A298, ""price"", TODAY()-300, TODAY()), 0, 2))"),10909.45297029703)</f>
        <v>10909.45297</v>
      </c>
      <c r="U298" s="9">
        <f t="shared" si="5"/>
        <v>-0.02986527432</v>
      </c>
      <c r="V298" s="15">
        <f>IFERROR(__xludf.DUMMYFUNCTION("LET(hist, GOOGLEFINANCE(A298,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rs))))))"),21.564482029598324)</f>
        <v>21.56448203</v>
      </c>
      <c r="W298" s="16" t="str">
        <f>IFERROR(__xludf.DUMMYFUNCTION("IFERROR(GOOGLEFINANCE(A298, ""volume"") / GOOGLEFINANCE(A298, ""volumeavg""), )"),"")</f>
        <v/>
      </c>
      <c r="X298" s="9">
        <f>IFERROR(__xludf.DUMMYFUNCTION("B298 * GOOGLEFINANCE(A298, ""volume"")"),6.684795E7)</f>
        <v>66847950</v>
      </c>
      <c r="Y298" s="9">
        <f>IFERROR(__xludf.DUMMYFUNCTION("IFERROR(((B298 - GOOGLEFINANCE(A298, ""priceopen"")) / GOOGLEFINANCE(A298, ""priceopen"")) * GOOGLEFINANCE(A298, ""volume""), 0)"),-18.68004722550177)</f>
        <v>-18.68004723</v>
      </c>
    </row>
    <row r="299">
      <c r="A299" s="4" t="s">
        <v>2031</v>
      </c>
      <c r="B299" s="7">
        <f>IFERROR(__xludf.DUMMYFUNCTION("GOOGLEFINANCE(A299, ""price"")"),1342.1)</f>
        <v>1342.1</v>
      </c>
      <c r="C299" s="7">
        <f>IFERROR(__xludf.DUMMYFUNCTION("GOOGLEFINANCE(A299, ""changepct"")"),-0.36)</f>
        <v>-0.36</v>
      </c>
      <c r="D299" s="9">
        <f>IFERROR(__xludf.DUMMYFUNCTION("GOOGLEFINANCE(A299, ""priceopen"")"),1349.8)</f>
        <v>1349.8</v>
      </c>
      <c r="E299" s="9">
        <f>IFERROR(__xludf.DUMMYFUNCTION("GOOGLEFINANCE(A299, ""high"")"),1353.4)</f>
        <v>1353.4</v>
      </c>
      <c r="F299" s="9">
        <f>IFERROR(__xludf.DUMMYFUNCTION("GOOGLEFINANCE(A299, ""low"")"),1333.1)</f>
        <v>1333.1</v>
      </c>
      <c r="G299" s="9">
        <f>IFERROR(__xludf.DUMMYFUNCTION("GOOGLEFINANCE(A299, ""price"")"),1342.1)</f>
        <v>1342.1</v>
      </c>
      <c r="H299" s="9">
        <f>IFERROR(__xludf.DUMMYFUNCTION("MAX(INDEX(GOOGLEFINANCE(A299, ""high"", TODAY()-30, TODAY()), 0, 2))"),1453.1)</f>
        <v>1453.1</v>
      </c>
      <c r="I299" s="9">
        <f>IFERROR(__xludf.DUMMYFUNCTION("MIN(INDEX(GOOGLEFINANCE(A299, ""low"", TODAY()-30, TODAY()), 0, 2))"),1305.0)</f>
        <v>1305</v>
      </c>
      <c r="J299" s="9">
        <f>IFERROR(__xludf.DUMMYFUNCTION("GOOGLEFINANCE(A299, ""high52"")"),1673.7)</f>
        <v>1673.7</v>
      </c>
      <c r="K299" s="9">
        <f>IFERROR(__xludf.DUMMYFUNCTION("GOOGLEFINANCE(A299, ""low52"")"),1116.3)</f>
        <v>1116.3</v>
      </c>
      <c r="L299" s="9">
        <f t="shared" si="1"/>
        <v>0.1981239171</v>
      </c>
      <c r="M299" s="9">
        <f t="shared" si="2"/>
        <v>0.202275374</v>
      </c>
      <c r="N299" s="9">
        <f t="shared" si="3"/>
        <v>0.01522766484</v>
      </c>
      <c r="O299" s="9">
        <f t="shared" si="4"/>
        <v>0.2505064146</v>
      </c>
      <c r="P299" s="9">
        <f>IFERROR(__xludf.DUMMYFUNCTION("GOOGLEFINANCE(A299, ""pe"")"),59.53)</f>
        <v>59.53</v>
      </c>
      <c r="Q299" s="9">
        <f>IFERROR(__xludf.DUMMYFUNCTION("IFERROR(GOOGLEFINANCE(A299, ""volume"") / GOOGLEFINANCE(A299, ""volumeavg""), 0)"),0.0)</f>
        <v>0</v>
      </c>
      <c r="R299" s="9">
        <f>IFERROR(__xludf.DUMMYFUNCTION("AVERAGE(INDEX(GOOGLEFINANCE(A299, ""price"", TODAY()-30, TODAY()), 0, 2))"),1358.6000000000001)</f>
        <v>1358.6</v>
      </c>
      <c r="S299" s="9">
        <f>IFERROR(__xludf.DUMMYFUNCTION("AVERAGE(INDEX(GOOGLEFINANCE(A299, ""price"", TODAY()-75, TODAY()), 0, 2))"),1320.1905660377356)</f>
        <v>1320.190566</v>
      </c>
      <c r="T299" s="9">
        <f>IFERROR(__xludf.DUMMYFUNCTION("AVERAGE(INDEX(GOOGLEFINANCE(A299, ""price"", TODAY()-300, TODAY()), 0, 2))"),1370.5658415841574)</f>
        <v>1370.565842</v>
      </c>
      <c r="U299" s="9">
        <f t="shared" si="5"/>
        <v>-0.012144855</v>
      </c>
      <c r="V299" s="15">
        <f>IFERROR(__xludf.DUMMYFUNCTION("LET(hist, GOOGLEFINANCE(A299,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rs))))))"),56.07476635514016)</f>
        <v>56.07476636</v>
      </c>
      <c r="W299" s="16" t="str">
        <f>IFERROR(__xludf.DUMMYFUNCTION("IFERROR(GOOGLEFINANCE(A299, ""volume"") / GOOGLEFINANCE(A299, ""volumeavg""), )"),"")</f>
        <v/>
      </c>
      <c r="X299" s="9">
        <f>IFERROR(__xludf.DUMMYFUNCTION("B299 * GOOGLEFINANCE(A299, ""volume"")"),1.0260180026999999E9)</f>
        <v>1026018003</v>
      </c>
      <c r="Y299" s="9">
        <f>IFERROR(__xludf.DUMMYFUNCTION("IFERROR(((B299 - GOOGLEFINANCE(A299, ""priceopen"")) / GOOGLEFINANCE(A299, ""priceopen"")) * GOOGLEFINANCE(A299, ""volume""), 0)"),-4361.053415320814)</f>
        <v>-4361.053415</v>
      </c>
    </row>
    <row r="300">
      <c r="A300" s="4" t="s">
        <v>2037</v>
      </c>
      <c r="B300" s="7">
        <f>IFERROR(__xludf.DUMMYFUNCTION("GOOGLEFINANCE(A300, ""price"")"),2612.3)</f>
        <v>2612.3</v>
      </c>
      <c r="C300" s="7">
        <f>IFERROR(__xludf.DUMMYFUNCTION("GOOGLEFINANCE(A300, ""changepct"")"),-0.1)</f>
        <v>-0.1</v>
      </c>
      <c r="D300" s="9">
        <f>IFERROR(__xludf.DUMMYFUNCTION("GOOGLEFINANCE(A300, ""priceopen"")"),2615.0)</f>
        <v>2615</v>
      </c>
      <c r="E300" s="9">
        <f>IFERROR(__xludf.DUMMYFUNCTION("GOOGLEFINANCE(A300, ""high"")"),2644.7)</f>
        <v>2644.7</v>
      </c>
      <c r="F300" s="9">
        <f>IFERROR(__xludf.DUMMYFUNCTION("GOOGLEFINANCE(A300, ""low"")"),2605.3)</f>
        <v>2605.3</v>
      </c>
      <c r="G300" s="9">
        <f>IFERROR(__xludf.DUMMYFUNCTION("GOOGLEFINANCE(A300, ""price"")"),2612.3)</f>
        <v>2612.3</v>
      </c>
      <c r="H300" s="9">
        <f>IFERROR(__xludf.DUMMYFUNCTION("MAX(INDEX(GOOGLEFINANCE(A300, ""high"", TODAY()-30, TODAY()), 0, 2))"),2656.0)</f>
        <v>2656</v>
      </c>
      <c r="I300" s="9">
        <f>IFERROR(__xludf.DUMMYFUNCTION("MIN(INDEX(GOOGLEFINANCE(A300, ""low"", TODAY()-30, TODAY()), 0, 2))"),2260.0)</f>
        <v>2260</v>
      </c>
      <c r="J300" s="9">
        <f>IFERROR(__xludf.DUMMYFUNCTION("GOOGLEFINANCE(A300, ""high52"")"),3044.0)</f>
        <v>3044</v>
      </c>
      <c r="K300" s="9">
        <f>IFERROR(__xludf.DUMMYFUNCTION("GOOGLEFINANCE(A300, ""low52"")"),2050.33)</f>
        <v>2050.33</v>
      </c>
      <c r="L300" s="9">
        <f t="shared" si="1"/>
        <v>0.1418199737</v>
      </c>
      <c r="M300" s="9">
        <f t="shared" si="2"/>
        <v>0.2740875859</v>
      </c>
      <c r="N300" s="9">
        <f t="shared" si="3"/>
        <v>0.01512301846</v>
      </c>
      <c r="O300" s="9">
        <f t="shared" si="4"/>
        <v>0.8896464646</v>
      </c>
      <c r="P300" s="9">
        <f>IFERROR(__xludf.DUMMYFUNCTION("GOOGLEFINANCE(A300, ""pe"")"),59.55)</f>
        <v>59.55</v>
      </c>
      <c r="Q300" s="9">
        <f>IFERROR(__xludf.DUMMYFUNCTION("IFERROR(GOOGLEFINANCE(A300, ""volume"") / GOOGLEFINANCE(A300, ""volumeavg""), 0)"),0.0)</f>
        <v>0</v>
      </c>
      <c r="R300" s="9">
        <f>IFERROR(__xludf.DUMMYFUNCTION("AVERAGE(INDEX(GOOGLEFINANCE(A300, ""price"", TODAY()-30, TODAY()), 0, 2))"),2436.456521739131)</f>
        <v>2436.456522</v>
      </c>
      <c r="S300" s="9">
        <f>IFERROR(__xludf.DUMMYFUNCTION("AVERAGE(INDEX(GOOGLEFINANCE(A300, ""price"", TODAY()-75, TODAY()), 0, 2))"),2457.814339622642)</f>
        <v>2457.81434</v>
      </c>
      <c r="T300" s="9">
        <f>IFERROR(__xludf.DUMMYFUNCTION("AVERAGE(INDEX(GOOGLEFINANCE(A300, ""price"", TODAY()-300, TODAY()), 0, 2))"),2396.470198019802)</f>
        <v>2396.470198</v>
      </c>
      <c r="U300" s="9">
        <f t="shared" si="5"/>
        <v>0.07217181045</v>
      </c>
      <c r="V300" s="15">
        <f>IFERROR(__xludf.DUMMYFUNCTION("LET(hist, GOOGLEFINANCE(A300,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rs))))))"),76.04122843920912)</f>
        <v>76.04122844</v>
      </c>
      <c r="W300" s="16" t="str">
        <f>IFERROR(__xludf.DUMMYFUNCTION("IFERROR(GOOGLEFINANCE(A300, ""volume"") / GOOGLEFINANCE(A300, ""volumeavg""), )"),"")</f>
        <v/>
      </c>
      <c r="X300" s="9">
        <f>IFERROR(__xludf.DUMMYFUNCTION("B300 * GOOGLEFINANCE(A300, ""volume"")"),1.001921542E8)</f>
        <v>100192154.2</v>
      </c>
      <c r="Y300" s="9">
        <f>IFERROR(__xludf.DUMMYFUNCTION("IFERROR(((B300 - GOOGLEFINANCE(A300, ""priceopen"")) / GOOGLEFINANCE(A300, ""priceopen"")) * GOOGLEFINANCE(A300, ""volume""), 0)"),-39.600688336517415)</f>
        <v>-39.60068834</v>
      </c>
    </row>
    <row r="301">
      <c r="A301" s="4" t="s">
        <v>2040</v>
      </c>
      <c r="B301" s="7">
        <f>IFERROR(__xludf.DUMMYFUNCTION("GOOGLEFINANCE(A301, ""price"")"),1148.6)</f>
        <v>1148.6</v>
      </c>
      <c r="C301" s="7">
        <f>IFERROR(__xludf.DUMMYFUNCTION("GOOGLEFINANCE(A301, ""changepct"")"),0.57)</f>
        <v>0.57</v>
      </c>
      <c r="D301" s="9">
        <f>IFERROR(__xludf.DUMMYFUNCTION("GOOGLEFINANCE(A301, ""priceopen"")"),1141.9)</f>
        <v>1141.9</v>
      </c>
      <c r="E301" s="9">
        <f>IFERROR(__xludf.DUMMYFUNCTION("GOOGLEFINANCE(A301, ""high"")"),1166.0)</f>
        <v>1166</v>
      </c>
      <c r="F301" s="9">
        <f>IFERROR(__xludf.DUMMYFUNCTION("GOOGLEFINANCE(A301, ""low"")"),1140.5)</f>
        <v>1140.5</v>
      </c>
      <c r="G301" s="9">
        <f>IFERROR(__xludf.DUMMYFUNCTION("GOOGLEFINANCE(A301, ""price"")"),1148.6)</f>
        <v>1148.6</v>
      </c>
      <c r="H301" s="9">
        <f>IFERROR(__xludf.DUMMYFUNCTION("MAX(INDEX(GOOGLEFINANCE(A301, ""high"", TODAY()-30, TODAY()), 0, 2))"),1174.8)</f>
        <v>1174.8</v>
      </c>
      <c r="I301" s="9">
        <f>IFERROR(__xludf.DUMMYFUNCTION("MIN(INDEX(GOOGLEFINANCE(A301, ""low"", TODAY()-30, TODAY()), 0, 2))"),1024.2)</f>
        <v>1024.2</v>
      </c>
      <c r="J301" s="9">
        <f>IFERROR(__xludf.DUMMYFUNCTION("GOOGLEFINANCE(A301, ""high52"")"),1174.8)</f>
        <v>1174.8</v>
      </c>
      <c r="K301" s="9">
        <f>IFERROR(__xludf.DUMMYFUNCTION("GOOGLEFINANCE(A301, ""low52"")"),729.6)</f>
        <v>729.6</v>
      </c>
      <c r="L301" s="9">
        <f t="shared" si="1"/>
        <v>0.02230166837</v>
      </c>
      <c r="M301" s="9">
        <f t="shared" si="2"/>
        <v>0.5742872807</v>
      </c>
      <c r="N301" s="9">
        <f t="shared" si="3"/>
        <v>0.02235861464</v>
      </c>
      <c r="O301" s="9">
        <f t="shared" si="4"/>
        <v>0.8260292165</v>
      </c>
      <c r="P301" s="9">
        <f>IFERROR(__xludf.DUMMYFUNCTION("GOOGLEFINANCE(A301, ""pe"")"),12.95)</f>
        <v>12.95</v>
      </c>
      <c r="Q301" s="9">
        <f>IFERROR(__xludf.DUMMYFUNCTION("IFERROR(GOOGLEFINANCE(A301, ""volume"") / GOOGLEFINANCE(A301, ""volumeavg""), 0)"),0.0)</f>
        <v>0</v>
      </c>
      <c r="R301" s="9">
        <f>IFERROR(__xludf.DUMMYFUNCTION("AVERAGE(INDEX(GOOGLEFINANCE(A301, ""price"", TODAY()-30, TODAY()), 0, 2))"),1097.569565217391)</f>
        <v>1097.569565</v>
      </c>
      <c r="S301" s="9">
        <f>IFERROR(__xludf.DUMMYFUNCTION("AVERAGE(INDEX(GOOGLEFINANCE(A301, ""price"", TODAY()-75, TODAY()), 0, 2))"),1056.9)</f>
        <v>1056.9</v>
      </c>
      <c r="T301" s="9">
        <f>IFERROR(__xludf.DUMMYFUNCTION("AVERAGE(INDEX(GOOGLEFINANCE(A301, ""price"", TODAY()-300, TODAY()), 0, 2))"),946.873267326732)</f>
        <v>946.8732673</v>
      </c>
      <c r="U301" s="9">
        <f t="shared" si="5"/>
        <v>0.04649403227</v>
      </c>
      <c r="V301" s="15">
        <f>IFERROR(__xludf.DUMMYFUNCTION("LET(hist, GOOGLEFINANCE(A301,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rs))))))"),68.33602584814214)</f>
        <v>68.33602585</v>
      </c>
      <c r="W301" s="16" t="str">
        <f>IFERROR(__xludf.DUMMYFUNCTION("IFERROR(GOOGLEFINANCE(A301, ""volume"") / GOOGLEFINANCE(A301, ""volumeavg""), )"),"")</f>
        <v/>
      </c>
      <c r="X301" s="9">
        <f>IFERROR(__xludf.DUMMYFUNCTION("B301 * GOOGLEFINANCE(A301, ""volume"")"),1.0023211955999999E9)</f>
        <v>1002321196</v>
      </c>
      <c r="Y301" s="9">
        <f>IFERROR(__xludf.DUMMYFUNCTION("IFERROR(((B301 - GOOGLEFINANCE(A301, ""priceopen"")) / GOOGLEFINANCE(A301, ""priceopen"")) * GOOGLEFINANCE(A301, ""volume""), 0)"),5120.175321831895)</f>
        <v>5120.175322</v>
      </c>
    </row>
    <row r="302">
      <c r="A302" s="4" t="s">
        <v>2046</v>
      </c>
      <c r="B302" s="7">
        <f>IFERROR(__xludf.DUMMYFUNCTION("GOOGLEFINANCE(A302, ""price"")"),288.6)</f>
        <v>288.6</v>
      </c>
      <c r="C302" s="7">
        <f>IFERROR(__xludf.DUMMYFUNCTION("GOOGLEFINANCE(A302, ""changepct"")"),-0.96)</f>
        <v>-0.96</v>
      </c>
      <c r="D302" s="9">
        <f>IFERROR(__xludf.DUMMYFUNCTION("GOOGLEFINANCE(A302, ""priceopen"")"),290.75)</f>
        <v>290.75</v>
      </c>
      <c r="E302" s="9">
        <f>IFERROR(__xludf.DUMMYFUNCTION("GOOGLEFINANCE(A302, ""high"")"),291.0)</f>
        <v>291</v>
      </c>
      <c r="F302" s="9">
        <f>IFERROR(__xludf.DUMMYFUNCTION("GOOGLEFINANCE(A302, ""low"")"),285.25)</f>
        <v>285.25</v>
      </c>
      <c r="G302" s="9">
        <f>IFERROR(__xludf.DUMMYFUNCTION("GOOGLEFINANCE(A302, ""price"")"),288.6)</f>
        <v>288.6</v>
      </c>
      <c r="H302" s="9">
        <f>IFERROR(__xludf.DUMMYFUNCTION("MAX(INDEX(GOOGLEFINANCE(A302, ""high"", TODAY()-30, TODAY()), 0, 2))"),355.3)</f>
        <v>355.3</v>
      </c>
      <c r="I302" s="9">
        <f>IFERROR(__xludf.DUMMYFUNCTION("MIN(INDEX(GOOGLEFINANCE(A302, ""low"", TODAY()-30, TODAY()), 0, 2))"),285.25)</f>
        <v>285.25</v>
      </c>
      <c r="J302" s="9">
        <f>IFERROR(__xludf.DUMMYFUNCTION("GOOGLEFINANCE(A302, ""high52"")"),360.45)</f>
        <v>360.45</v>
      </c>
      <c r="K302" s="9">
        <f>IFERROR(__xludf.DUMMYFUNCTION("GOOGLEFINANCE(A302, ""low52"")"),208.63)</f>
        <v>208.63</v>
      </c>
      <c r="L302" s="9">
        <f t="shared" si="1"/>
        <v>0.1993341656</v>
      </c>
      <c r="M302" s="9">
        <f t="shared" si="2"/>
        <v>0.3833101663</v>
      </c>
      <c r="N302" s="9">
        <f t="shared" si="3"/>
        <v>0.02015775635</v>
      </c>
      <c r="O302" s="9">
        <f t="shared" si="4"/>
        <v>0.04782298358</v>
      </c>
      <c r="P302" s="9">
        <f>IFERROR(__xludf.DUMMYFUNCTION("GOOGLEFINANCE(A302, ""pe"")"),26.04)</f>
        <v>26.04</v>
      </c>
      <c r="Q302" s="9">
        <f>IFERROR(__xludf.DUMMYFUNCTION("IFERROR(GOOGLEFINANCE(A302, ""volume"") / GOOGLEFINANCE(A302, ""volumeavg""), 0)"),0.0)</f>
        <v>0</v>
      </c>
      <c r="R302" s="9">
        <f>IFERROR(__xludf.DUMMYFUNCTION("AVERAGE(INDEX(GOOGLEFINANCE(A302, ""price"", TODAY()-30, TODAY()), 0, 2))"),309.5804347826087)</f>
        <v>309.5804348</v>
      </c>
      <c r="S302" s="9">
        <f>IFERROR(__xludf.DUMMYFUNCTION("AVERAGE(INDEX(GOOGLEFINANCE(A302, ""price"", TODAY()-75, TODAY()), 0, 2))"),326.87075471698114)</f>
        <v>326.8707547</v>
      </c>
      <c r="T302" s="9">
        <f>IFERROR(__xludf.DUMMYFUNCTION("AVERAGE(INDEX(GOOGLEFINANCE(A302, ""price"", TODAY()-300, TODAY()), 0, 2))"),281.72074257425726)</f>
        <v>281.7207426</v>
      </c>
      <c r="U302" s="9">
        <f t="shared" si="5"/>
        <v>-0.06777054499</v>
      </c>
      <c r="V302" s="15">
        <f>IFERROR(__xludf.DUMMYFUNCTION("LET(hist, GOOGLEFINANCE(A302,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rs))))))"),33.33333333333333)</f>
        <v>33.33333333</v>
      </c>
      <c r="W302" s="16" t="str">
        <f>IFERROR(__xludf.DUMMYFUNCTION("IFERROR(GOOGLEFINANCE(A302, ""volume"") / GOOGLEFINANCE(A302, ""volumeavg""), )"),"")</f>
        <v/>
      </c>
      <c r="X302" s="9">
        <f>IFERROR(__xludf.DUMMYFUNCTION("B302 * GOOGLEFINANCE(A302, ""volume"")"),1.300332033E9)</f>
        <v>1300332033</v>
      </c>
      <c r="Y302" s="9">
        <f>IFERROR(__xludf.DUMMYFUNCTION("IFERROR(((B302 - GOOGLEFINANCE(A302, ""priceopen"")) / GOOGLEFINANCE(A302, ""priceopen"")) * GOOGLEFINANCE(A302, ""volume""), 0)"),-33317.827171108846)</f>
        <v>-33317.82717</v>
      </c>
    </row>
    <row r="303">
      <c r="A303" s="4" t="s">
        <v>2052</v>
      </c>
      <c r="B303" s="7">
        <f>IFERROR(__xludf.DUMMYFUNCTION("GOOGLEFINANCE(A303, ""price"")"),444.3)</f>
        <v>444.3</v>
      </c>
      <c r="C303" s="7">
        <f>IFERROR(__xludf.DUMMYFUNCTION("GOOGLEFINANCE(A303, ""changepct"")"),0.29)</f>
        <v>0.29</v>
      </c>
      <c r="D303" s="9">
        <f>IFERROR(__xludf.DUMMYFUNCTION("GOOGLEFINANCE(A303, ""priceopen"")"),443.0)</f>
        <v>443</v>
      </c>
      <c r="E303" s="9">
        <f>IFERROR(__xludf.DUMMYFUNCTION("GOOGLEFINANCE(A303, ""high"")"),448.25)</f>
        <v>448.25</v>
      </c>
      <c r="F303" s="9">
        <f>IFERROR(__xludf.DUMMYFUNCTION("GOOGLEFINANCE(A303, ""low"")"),441.35)</f>
        <v>441.35</v>
      </c>
      <c r="G303" s="9">
        <f>IFERROR(__xludf.DUMMYFUNCTION("GOOGLEFINANCE(A303, ""price"")"),444.3)</f>
        <v>444.3</v>
      </c>
      <c r="H303" s="9">
        <f>IFERROR(__xludf.DUMMYFUNCTION("MAX(INDEX(GOOGLEFINANCE(A303, ""high"", TODAY()-30, TODAY()), 0, 2))"),452.0)</f>
        <v>452</v>
      </c>
      <c r="I303" s="9">
        <f>IFERROR(__xludf.DUMMYFUNCTION("MIN(INDEX(GOOGLEFINANCE(A303, ""low"", TODAY()-30, TODAY()), 0, 2))"),413.4)</f>
        <v>413.4</v>
      </c>
      <c r="J303" s="9">
        <f>IFERROR(__xludf.DUMMYFUNCTION("GOOGLEFINANCE(A303, ""high52"")"),540.5)</f>
        <v>540.5</v>
      </c>
      <c r="K303" s="9">
        <f>IFERROR(__xludf.DUMMYFUNCTION("GOOGLEFINANCE(A303, ""low52"")"),365.3)</f>
        <v>365.3</v>
      </c>
      <c r="L303" s="9">
        <f t="shared" si="1"/>
        <v>0.1779833488</v>
      </c>
      <c r="M303" s="9">
        <f t="shared" si="2"/>
        <v>0.2162606077</v>
      </c>
      <c r="N303" s="9">
        <f t="shared" si="3"/>
        <v>0.01563385069</v>
      </c>
      <c r="O303" s="9">
        <f t="shared" si="4"/>
        <v>0.8005181347</v>
      </c>
      <c r="P303" s="9">
        <f>IFERROR(__xludf.DUMMYFUNCTION("GOOGLEFINANCE(A303, ""pe"")"),16.46)</f>
        <v>16.46</v>
      </c>
      <c r="Q303" s="9">
        <f>IFERROR(__xludf.DUMMYFUNCTION("IFERROR(GOOGLEFINANCE(A303, ""volume"") / GOOGLEFINANCE(A303, ""volumeavg""), 0)"),0.0)</f>
        <v>0</v>
      </c>
      <c r="R303" s="9">
        <f>IFERROR(__xludf.DUMMYFUNCTION("AVERAGE(INDEX(GOOGLEFINANCE(A303, ""price"", TODAY()-30, TODAY()), 0, 2))"),432.6891304347826)</f>
        <v>432.6891304</v>
      </c>
      <c r="S303" s="9">
        <f>IFERROR(__xludf.DUMMYFUNCTION("AVERAGE(INDEX(GOOGLEFINANCE(A303, ""price"", TODAY()-75, TODAY()), 0, 2))"),424.1575471698114)</f>
        <v>424.1575472</v>
      </c>
      <c r="T303" s="9">
        <f>IFERROR(__xludf.DUMMYFUNCTION("AVERAGE(INDEX(GOOGLEFINANCE(A303, ""price"", TODAY()-300, TODAY()), 0, 2))"),458.629702970297)</f>
        <v>458.629703</v>
      </c>
      <c r="U303" s="9">
        <f t="shared" si="5"/>
        <v>0.02683420671</v>
      </c>
      <c r="V303" s="15">
        <f>IFERROR(__xludf.DUMMYFUNCTION("LET(hist, GOOGLEFINANCE(A303,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rs))))))"),71.98731501057074)</f>
        <v>71.98731501</v>
      </c>
      <c r="W303" s="16" t="str">
        <f>IFERROR(__xludf.DUMMYFUNCTION("IFERROR(GOOGLEFINANCE(A303, ""volume"") / GOOGLEFINANCE(A303, ""volumeavg""), )"),"")</f>
        <v/>
      </c>
      <c r="X303" s="9">
        <f>IFERROR(__xludf.DUMMYFUNCTION("B303 * GOOGLEFINANCE(A303, ""volume"")"),2.492203104E8)</f>
        <v>249220310.4</v>
      </c>
      <c r="Y303" s="9">
        <f>IFERROR(__xludf.DUMMYFUNCTION("IFERROR(((B303 - GOOGLEFINANCE(A303, ""priceopen"")) / GOOGLEFINANCE(A303, ""priceopen"")) * GOOGLEFINANCE(A303, ""volume""), 0)"),1646.0641083521589)</f>
        <v>1646.064108</v>
      </c>
    </row>
    <row r="304">
      <c r="A304" s="4" t="s">
        <v>2058</v>
      </c>
      <c r="B304" s="7">
        <f>IFERROR(__xludf.DUMMYFUNCTION("GOOGLEFINANCE(A304, ""price"")"),67.01)</f>
        <v>67.01</v>
      </c>
      <c r="C304" s="7">
        <f>IFERROR(__xludf.DUMMYFUNCTION("GOOGLEFINANCE(A304, ""changepct"")"),-0.34)</f>
        <v>-0.34</v>
      </c>
      <c r="D304" s="9">
        <f>IFERROR(__xludf.DUMMYFUNCTION("GOOGLEFINANCE(A304, ""priceopen"")"),67.25)</f>
        <v>67.25</v>
      </c>
      <c r="E304" s="9">
        <f>IFERROR(__xludf.DUMMYFUNCTION("GOOGLEFINANCE(A304, ""high"")"),67.47)</f>
        <v>67.47</v>
      </c>
      <c r="F304" s="9">
        <f>IFERROR(__xludf.DUMMYFUNCTION("GOOGLEFINANCE(A304, ""low"")"),66.96)</f>
        <v>66.96</v>
      </c>
      <c r="G304" s="9">
        <f>IFERROR(__xludf.DUMMYFUNCTION("GOOGLEFINANCE(A304, ""price"")"),67.01)</f>
        <v>67.01</v>
      </c>
      <c r="H304" s="9">
        <f>IFERROR(__xludf.DUMMYFUNCTION("MAX(INDEX(GOOGLEFINANCE(A304, ""high"", TODAY()-30, TODAY()), 0, 2))"),70.98)</f>
        <v>70.98</v>
      </c>
      <c r="I304" s="9">
        <f>IFERROR(__xludf.DUMMYFUNCTION("MIN(INDEX(GOOGLEFINANCE(A304, ""low"", TODAY()-30, TODAY()), 0, 2))"),66.81)</f>
        <v>66.81</v>
      </c>
      <c r="J304" s="9">
        <f>IFERROR(__xludf.DUMMYFUNCTION("GOOGLEFINANCE(A304, ""high52"")"),101.45)</f>
        <v>101.45</v>
      </c>
      <c r="K304" s="9">
        <f>IFERROR(__xludf.DUMMYFUNCTION("GOOGLEFINANCE(A304, ""low52"")"),63.02)</f>
        <v>63.02</v>
      </c>
      <c r="L304" s="9">
        <f t="shared" si="1"/>
        <v>0.3394775752</v>
      </c>
      <c r="M304" s="9">
        <f t="shared" si="2"/>
        <v>0.06331323389</v>
      </c>
      <c r="N304" s="9">
        <f t="shared" si="3"/>
        <v>0.007616487455</v>
      </c>
      <c r="O304" s="9">
        <f t="shared" si="4"/>
        <v>0.0479616307</v>
      </c>
      <c r="P304" s="9">
        <f>IFERROR(__xludf.DUMMYFUNCTION("GOOGLEFINANCE(A304, ""pe"")"),41.42)</f>
        <v>41.42</v>
      </c>
      <c r="Q304" s="9">
        <f>IFERROR(__xludf.DUMMYFUNCTION("IFERROR(GOOGLEFINANCE(A304, ""volume"") / GOOGLEFINANCE(A304, ""volumeavg""), 0)"),0.0)</f>
        <v>0</v>
      </c>
      <c r="R304" s="9">
        <f>IFERROR(__xludf.DUMMYFUNCTION("AVERAGE(INDEX(GOOGLEFINANCE(A304, ""price"", TODAY()-30, TODAY()), 0, 2))"),68.68608695652175)</f>
        <v>68.68608696</v>
      </c>
      <c r="S304" s="9">
        <f>IFERROR(__xludf.DUMMYFUNCTION("AVERAGE(INDEX(GOOGLEFINANCE(A304, ""price"", TODAY()-75, TODAY()), 0, 2))"),70.89698113207548)</f>
        <v>70.89698113</v>
      </c>
      <c r="T304" s="9">
        <f>IFERROR(__xludf.DUMMYFUNCTION("AVERAGE(INDEX(GOOGLEFINANCE(A304, ""price"", TODAY()-300, TODAY()), 0, 2))"),74.92386138613861)</f>
        <v>74.92386139</v>
      </c>
      <c r="U304" s="9">
        <f t="shared" si="5"/>
        <v>-0.02440213194</v>
      </c>
      <c r="V304" s="15">
        <f>IFERROR(__xludf.DUMMYFUNCTION("LET(hist, GOOGLEFINANCE(A304,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rs))))))"),45.53990610328632)</f>
        <v>45.5399061</v>
      </c>
      <c r="W304" s="16" t="str">
        <f>IFERROR(__xludf.DUMMYFUNCTION("IFERROR(GOOGLEFINANCE(A304, ""volume"") / GOOGLEFINANCE(A304, ""volumeavg""), )"),"")</f>
        <v/>
      </c>
      <c r="X304" s="9">
        <f>IFERROR(__xludf.DUMMYFUNCTION("B304 * GOOGLEFINANCE(A304, ""volume"")"),7.557233677000001E7)</f>
        <v>75572336.77</v>
      </c>
      <c r="Y304" s="9">
        <f>IFERROR(__xludf.DUMMYFUNCTION("IFERROR(((B304 - GOOGLEFINANCE(A304, ""priceopen"")) / GOOGLEFINANCE(A304, ""priceopen"")) * GOOGLEFINANCE(A304, ""volume""), 0)"),-4024.780371747126)</f>
        <v>-4024.780372</v>
      </c>
    </row>
    <row r="305">
      <c r="A305" s="4" t="s">
        <v>2063</v>
      </c>
      <c r="B305" s="7">
        <f>IFERROR(__xludf.DUMMYFUNCTION("GOOGLEFINANCE(A305, ""price"")"),40.98)</f>
        <v>40.98</v>
      </c>
      <c r="C305" s="7">
        <f>IFERROR(__xludf.DUMMYFUNCTION("GOOGLEFINANCE(A305, ""changepct"")"),-0.07)</f>
        <v>-0.07</v>
      </c>
      <c r="D305" s="9">
        <f>IFERROR(__xludf.DUMMYFUNCTION("GOOGLEFINANCE(A305, ""priceopen"")"),41.01)</f>
        <v>41.01</v>
      </c>
      <c r="E305" s="9">
        <f>IFERROR(__xludf.DUMMYFUNCTION("GOOGLEFINANCE(A305, ""high"")"),41.2)</f>
        <v>41.2</v>
      </c>
      <c r="F305" s="9">
        <f>IFERROR(__xludf.DUMMYFUNCTION("GOOGLEFINANCE(A305, ""low"")"),40.56)</f>
        <v>40.56</v>
      </c>
      <c r="G305" s="9">
        <f>IFERROR(__xludf.DUMMYFUNCTION("GOOGLEFINANCE(A305, ""price"")"),40.98)</f>
        <v>40.98</v>
      </c>
      <c r="H305" s="9">
        <f>IFERROR(__xludf.DUMMYFUNCTION("MAX(INDEX(GOOGLEFINANCE(A305, ""high"", TODAY()-30, TODAY()), 0, 2))"),42.22)</f>
        <v>42.22</v>
      </c>
      <c r="I305" s="9">
        <f>IFERROR(__xludf.DUMMYFUNCTION("MIN(INDEX(GOOGLEFINANCE(A305, ""low"", TODAY()-30, TODAY()), 0, 2))"),38.75)</f>
        <v>38.75</v>
      </c>
      <c r="J305" s="9">
        <f>IFERROR(__xludf.DUMMYFUNCTION("GOOGLEFINANCE(A305, ""high52"")"),53.59)</f>
        <v>53.59</v>
      </c>
      <c r="K305" s="9">
        <f>IFERROR(__xludf.DUMMYFUNCTION("GOOGLEFINANCE(A305, ""low52"")"),35.7)</f>
        <v>35.7</v>
      </c>
      <c r="L305" s="9">
        <f t="shared" si="1"/>
        <v>0.2353050942</v>
      </c>
      <c r="M305" s="9">
        <f t="shared" si="2"/>
        <v>0.1478991597</v>
      </c>
      <c r="N305" s="9">
        <f t="shared" si="3"/>
        <v>0.0157790927</v>
      </c>
      <c r="O305" s="9">
        <f t="shared" si="4"/>
        <v>0.6426512968</v>
      </c>
      <c r="P305" s="9">
        <f>IFERROR(__xludf.DUMMYFUNCTION("GOOGLEFINANCE(A305, ""pe"")"),43.14)</f>
        <v>43.14</v>
      </c>
      <c r="Q305" s="9">
        <f>IFERROR(__xludf.DUMMYFUNCTION("IFERROR(GOOGLEFINANCE(A305, ""volume"") / GOOGLEFINANCE(A305, ""volumeavg""), 0)"),0.0)</f>
        <v>0</v>
      </c>
      <c r="R305" s="9">
        <f>IFERROR(__xludf.DUMMYFUNCTION("AVERAGE(INDEX(GOOGLEFINANCE(A305, ""price"", TODAY()-30, TODAY()), 0, 2))"),40.58521739130435)</f>
        <v>40.58521739</v>
      </c>
      <c r="S305" s="9">
        <f>IFERROR(__xludf.DUMMYFUNCTION("AVERAGE(INDEX(GOOGLEFINANCE(A305, ""price"", TODAY()-75, TODAY()), 0, 2))"),39.63377358490566)</f>
        <v>39.63377358</v>
      </c>
      <c r="T305" s="9">
        <f>IFERROR(__xludf.DUMMYFUNCTION("AVERAGE(INDEX(GOOGLEFINANCE(A305, ""price"", TODAY()-300, TODAY()), 0, 2))"),42.44663366336634)</f>
        <v>42.44663366</v>
      </c>
      <c r="U305" s="9">
        <f t="shared" si="5"/>
        <v>0.009727251302</v>
      </c>
      <c r="V305" s="15">
        <f>IFERROR(__xludf.DUMMYFUNCTION("LET(hist, GOOGLEFINANCE(A305,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rs))))))"),57.784011220196355)</f>
        <v>57.78401122</v>
      </c>
      <c r="W305" s="16" t="str">
        <f>IFERROR(__xludf.DUMMYFUNCTION("IFERROR(GOOGLEFINANCE(A305, ""volume"") / GOOGLEFINANCE(A305, ""volumeavg""), )"),"")</f>
        <v/>
      </c>
      <c r="X305" s="9">
        <f>IFERROR(__xludf.DUMMYFUNCTION("B305 * GOOGLEFINANCE(A305, ""volume"")"),3.7269654408E8)</f>
        <v>372696544.1</v>
      </c>
      <c r="Y305" s="9">
        <f>IFERROR(__xludf.DUMMYFUNCTION("IFERROR(((B305 - GOOGLEFINANCE(A305, ""priceopen"")) / GOOGLEFINANCE(A305, ""priceopen"")) * GOOGLEFINANCE(A305, ""volume""), 0)"),-6652.959765911006)</f>
        <v>-6652.959766</v>
      </c>
    </row>
    <row r="306">
      <c r="A306" s="4" t="s">
        <v>2072</v>
      </c>
      <c r="B306" s="7">
        <f>IFERROR(__xludf.DUMMYFUNCTION("GOOGLEFINANCE(A306, ""price"")"),19000.0)</f>
        <v>19000</v>
      </c>
      <c r="C306" s="7">
        <f>IFERROR(__xludf.DUMMYFUNCTION("GOOGLEFINANCE(A306, ""changepct"")"),0.5)</f>
        <v>0.5</v>
      </c>
      <c r="D306" s="9">
        <f>IFERROR(__xludf.DUMMYFUNCTION("GOOGLEFINANCE(A306, ""priceopen"")"),18898.0)</f>
        <v>18898</v>
      </c>
      <c r="E306" s="9">
        <f>IFERROR(__xludf.DUMMYFUNCTION("GOOGLEFINANCE(A306, ""high"")"),19063.0)</f>
        <v>19063</v>
      </c>
      <c r="F306" s="9">
        <f>IFERROR(__xludf.DUMMYFUNCTION("GOOGLEFINANCE(A306, ""low"")"),18720.0)</f>
        <v>18720</v>
      </c>
      <c r="G306" s="9">
        <f>IFERROR(__xludf.DUMMYFUNCTION("GOOGLEFINANCE(A306, ""price"")"),19000.0)</f>
        <v>19000</v>
      </c>
      <c r="H306" s="9">
        <f>IFERROR(__xludf.DUMMYFUNCTION("MAX(INDEX(GOOGLEFINANCE(A306, ""high"", TODAY()-30, TODAY()), 0, 2))"),19520.0)</f>
        <v>19520</v>
      </c>
      <c r="I306" s="9">
        <f>IFERROR(__xludf.DUMMYFUNCTION("MIN(INDEX(GOOGLEFINANCE(A306, ""low"", TODAY()-30, TODAY()), 0, 2))"),17350.0)</f>
        <v>17350</v>
      </c>
      <c r="J306" s="9">
        <f>IFERROR(__xludf.DUMMYFUNCTION("GOOGLEFINANCE(A306, ""high52"")"),19851.0)</f>
        <v>19851</v>
      </c>
      <c r="K306" s="9">
        <f>IFERROR(__xludf.DUMMYFUNCTION("GOOGLEFINANCE(A306, ""low52"")"),13251.0)</f>
        <v>13251</v>
      </c>
      <c r="L306" s="9">
        <f t="shared" si="1"/>
        <v>0.04286937686</v>
      </c>
      <c r="M306" s="9">
        <f t="shared" si="2"/>
        <v>0.4338540488</v>
      </c>
      <c r="N306" s="9">
        <f t="shared" si="3"/>
        <v>0.01832264957</v>
      </c>
      <c r="O306" s="9">
        <f t="shared" si="4"/>
        <v>0.7603686636</v>
      </c>
      <c r="P306" s="9">
        <f>IFERROR(__xludf.DUMMYFUNCTION("GOOGLEFINANCE(A306, ""pe"")"),280.4)</f>
        <v>280.4</v>
      </c>
      <c r="Q306" s="9">
        <f>IFERROR(__xludf.DUMMYFUNCTION("IFERROR(GOOGLEFINANCE(A306, ""volume"") / GOOGLEFINANCE(A306, ""volumeavg""), 0)"),0.0)</f>
        <v>0</v>
      </c>
      <c r="R306" s="9">
        <f>IFERROR(__xludf.DUMMYFUNCTION("AVERAGE(INDEX(GOOGLEFINANCE(A306, ""price"", TODAY()-30, TODAY()), 0, 2))"),18064.0)</f>
        <v>18064</v>
      </c>
      <c r="S306" s="9">
        <f>IFERROR(__xludf.DUMMYFUNCTION("AVERAGE(INDEX(GOOGLEFINANCE(A306, ""price"", TODAY()-75, TODAY()), 0, 2))"),17970.69811320755)</f>
        <v>17970.69811</v>
      </c>
      <c r="T306" s="9">
        <f>IFERROR(__xludf.DUMMYFUNCTION("AVERAGE(INDEX(GOOGLEFINANCE(A306, ""price"", TODAY()-300, TODAY()), 0, 2))"),17475.321782178216)</f>
        <v>17475.32178</v>
      </c>
      <c r="U306" s="9">
        <f t="shared" si="5"/>
        <v>0.05181576616</v>
      </c>
      <c r="V306" s="15">
        <f>IFERROR(__xludf.DUMMYFUNCTION("LET(hist, GOOGLEFINANCE(A306,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rs))))))"),68.93099749731856)</f>
        <v>68.9309975</v>
      </c>
      <c r="W306" s="16" t="str">
        <f>IFERROR(__xludf.DUMMYFUNCTION("IFERROR(GOOGLEFINANCE(A306, ""volume"") / GOOGLEFINANCE(A306, ""volumeavg""), )"),"")</f>
        <v/>
      </c>
      <c r="X306" s="9">
        <f>IFERROR(__xludf.DUMMYFUNCTION("B306 * GOOGLEFINANCE(A306, ""volume"")"),1.29428E8)</f>
        <v>129428000</v>
      </c>
      <c r="Y306" s="9">
        <f>IFERROR(__xludf.DUMMYFUNCTION("IFERROR(((B306 - GOOGLEFINANCE(A306, ""priceopen"")) / GOOGLEFINANCE(A306, ""priceopen"")) * GOOGLEFINANCE(A306, ""volume""), 0)"),36.767065297915124)</f>
        <v>36.7670653</v>
      </c>
    </row>
    <row r="307">
      <c r="A307" s="4" t="s">
        <v>2083</v>
      </c>
      <c r="B307" s="7">
        <f>IFERROR(__xludf.DUMMYFUNCTION("GOOGLEFINANCE(A307, ""price"")"),283.0)</f>
        <v>283</v>
      </c>
      <c r="C307" s="7">
        <f>IFERROR(__xludf.DUMMYFUNCTION("GOOGLEFINANCE(A307, ""changepct"")"),-0.88)</f>
        <v>-0.88</v>
      </c>
      <c r="D307" s="9">
        <f>IFERROR(__xludf.DUMMYFUNCTION("GOOGLEFINANCE(A307, ""priceopen"")"),284.0)</f>
        <v>284</v>
      </c>
      <c r="E307" s="9">
        <f>IFERROR(__xludf.DUMMYFUNCTION("GOOGLEFINANCE(A307, ""high"")"),289.4)</f>
        <v>289.4</v>
      </c>
      <c r="F307" s="9">
        <f>IFERROR(__xludf.DUMMYFUNCTION("GOOGLEFINANCE(A307, ""low"")"),282.25)</f>
        <v>282.25</v>
      </c>
      <c r="G307" s="9">
        <f>IFERROR(__xludf.DUMMYFUNCTION("GOOGLEFINANCE(A307, ""price"")"),283.0)</f>
        <v>283</v>
      </c>
      <c r="H307" s="9">
        <f>IFERROR(__xludf.DUMMYFUNCTION("MAX(INDEX(GOOGLEFINANCE(A307, ""high"", TODAY()-30, TODAY()), 0, 2))"),302.4)</f>
        <v>302.4</v>
      </c>
      <c r="I307" s="9">
        <f>IFERROR(__xludf.DUMMYFUNCTION("MIN(INDEX(GOOGLEFINANCE(A307, ""low"", TODAY()-30, TODAY()), 0, 2))"),271.5)</f>
        <v>271.5</v>
      </c>
      <c r="J307" s="9">
        <f>IFERROR(__xludf.DUMMYFUNCTION("GOOGLEFINANCE(A307, ""high52"")"),372.85)</f>
        <v>372.85</v>
      </c>
      <c r="K307" s="9">
        <f>IFERROR(__xludf.DUMMYFUNCTION("GOOGLEFINANCE(A307, ""low52"")"),237.0)</f>
        <v>237</v>
      </c>
      <c r="L307" s="9">
        <f t="shared" si="1"/>
        <v>0.240981628</v>
      </c>
      <c r="M307" s="9">
        <f t="shared" si="2"/>
        <v>0.194092827</v>
      </c>
      <c r="N307" s="9">
        <f t="shared" si="3"/>
        <v>0.02533215235</v>
      </c>
      <c r="O307" s="9">
        <f t="shared" si="4"/>
        <v>0.3721682848</v>
      </c>
      <c r="P307" s="9">
        <f>IFERROR(__xludf.DUMMYFUNCTION("GOOGLEFINANCE(A307, ""pe"")"),93.09)</f>
        <v>93.09</v>
      </c>
      <c r="Q307" s="9">
        <f>IFERROR(__xludf.DUMMYFUNCTION("IFERROR(GOOGLEFINANCE(A307, ""volume"") / GOOGLEFINANCE(A307, ""volumeavg""), 0)"),0.0)</f>
        <v>0</v>
      </c>
      <c r="R307" s="9">
        <f>IFERROR(__xludf.DUMMYFUNCTION("AVERAGE(INDEX(GOOGLEFINANCE(A307, ""price"", TODAY()-30, TODAY()), 0, 2))"),281.76521739130436)</f>
        <v>281.7652174</v>
      </c>
      <c r="S307" s="9">
        <f>IFERROR(__xludf.DUMMYFUNCTION("AVERAGE(INDEX(GOOGLEFINANCE(A307, ""price"", TODAY()-75, TODAY()), 0, 2))"),291.73018867924526)</f>
        <v>291.7301887</v>
      </c>
      <c r="T307" s="9">
        <f>IFERROR(__xludf.DUMMYFUNCTION("AVERAGE(INDEX(GOOGLEFINANCE(A307, ""price"", TODAY()-300, TODAY()), 0, 2))"),294.204306930693)</f>
        <v>294.2043069</v>
      </c>
      <c r="U307" s="9">
        <f t="shared" si="5"/>
        <v>0.00438231028</v>
      </c>
      <c r="V307" s="15">
        <f>IFERROR(__xludf.DUMMYFUNCTION("LET(hist, GOOGLEFINANCE(A307,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rs))))))"),57.32009925558307)</f>
        <v>57.32009926</v>
      </c>
      <c r="W307" s="16" t="str">
        <f>IFERROR(__xludf.DUMMYFUNCTION("IFERROR(GOOGLEFINANCE(A307, ""volume"") / GOOGLEFINANCE(A307, ""volumeavg""), )"),"")</f>
        <v/>
      </c>
      <c r="X307" s="9">
        <f>IFERROR(__xludf.DUMMYFUNCTION("B307 * GOOGLEFINANCE(A307, ""volume"")"),6.6346237E7)</f>
        <v>66346237</v>
      </c>
      <c r="Y307" s="9">
        <f>IFERROR(__xludf.DUMMYFUNCTION("IFERROR(((B307 - GOOGLEFINANCE(A307, ""priceopen"")) / GOOGLEFINANCE(A307, ""priceopen"")) * GOOGLEFINANCE(A307, ""volume""), 0)"),-825.4894366197183)</f>
        <v>-825.4894366</v>
      </c>
    </row>
    <row r="308">
      <c r="A308" s="4" t="s">
        <v>2094</v>
      </c>
      <c r="B308" s="7">
        <f>IFERROR(__xludf.DUMMYFUNCTION("GOOGLEFINANCE(A308, ""price"")"),1479.9)</f>
        <v>1479.9</v>
      </c>
      <c r="C308" s="7">
        <f>IFERROR(__xludf.DUMMYFUNCTION("GOOGLEFINANCE(A308, ""changepct"")"),-1.0)</f>
        <v>-1</v>
      </c>
      <c r="D308" s="9">
        <f>IFERROR(__xludf.DUMMYFUNCTION("GOOGLEFINANCE(A308, ""priceopen"")"),1494.8)</f>
        <v>1494.8</v>
      </c>
      <c r="E308" s="9">
        <f>IFERROR(__xludf.DUMMYFUNCTION("GOOGLEFINANCE(A308, ""high"")"),1514.0)</f>
        <v>1514</v>
      </c>
      <c r="F308" s="9">
        <f>IFERROR(__xludf.DUMMYFUNCTION("GOOGLEFINANCE(A308, ""low"")"),1465.1)</f>
        <v>1465.1</v>
      </c>
      <c r="G308" s="9">
        <f>IFERROR(__xludf.DUMMYFUNCTION("GOOGLEFINANCE(A308, ""price"")"),1479.9)</f>
        <v>1479.9</v>
      </c>
      <c r="H308" s="9">
        <f>IFERROR(__xludf.DUMMYFUNCTION("MAX(INDEX(GOOGLEFINANCE(A308, ""high"", TODAY()-30, TODAY()), 0, 2))"),1543.0)</f>
        <v>1543</v>
      </c>
      <c r="I308" s="9">
        <f>IFERROR(__xludf.DUMMYFUNCTION("MIN(INDEX(GOOGLEFINANCE(A308, ""low"", TODAY()-30, TODAY()), 0, 2))"),1257.0)</f>
        <v>1257</v>
      </c>
      <c r="J308" s="9">
        <f>IFERROR(__xludf.DUMMYFUNCTION("GOOGLEFINANCE(A308, ""high52"")"),1543.0)</f>
        <v>1543</v>
      </c>
      <c r="K308" s="9">
        <f>IFERROR(__xludf.DUMMYFUNCTION("GOOGLEFINANCE(A308, ""low52"")"),634.5)</f>
        <v>634.5</v>
      </c>
      <c r="L308" s="9">
        <f t="shared" si="1"/>
        <v>0.04089436163</v>
      </c>
      <c r="M308" s="9">
        <f t="shared" si="2"/>
        <v>1.332387707</v>
      </c>
      <c r="N308" s="9">
        <f t="shared" si="3"/>
        <v>0.03337656133</v>
      </c>
      <c r="O308" s="9">
        <f t="shared" si="4"/>
        <v>0.7793706294</v>
      </c>
      <c r="P308" s="9">
        <f>IFERROR(__xludf.DUMMYFUNCTION("GOOGLEFINANCE(A308, ""pe"")"),77.15)</f>
        <v>77.15</v>
      </c>
      <c r="Q308" s="9">
        <f>IFERROR(__xludf.DUMMYFUNCTION("IFERROR(GOOGLEFINANCE(A308, ""volume"") / GOOGLEFINANCE(A308, ""volumeavg""), 0)"),0.0)</f>
        <v>0</v>
      </c>
      <c r="R308" s="9">
        <f>IFERROR(__xludf.DUMMYFUNCTION("AVERAGE(INDEX(GOOGLEFINANCE(A308, ""price"", TODAY()-30, TODAY()), 0, 2))"),1393.1217391304347)</f>
        <v>1393.121739</v>
      </c>
      <c r="S308" s="9">
        <f>IFERROR(__xludf.DUMMYFUNCTION("AVERAGE(INDEX(GOOGLEFINANCE(A308, ""price"", TODAY()-75, TODAY()), 0, 2))"),1346.317924528302)</f>
        <v>1346.317925</v>
      </c>
      <c r="T308" s="9">
        <f>IFERROR(__xludf.DUMMYFUNCTION("AVERAGE(INDEX(GOOGLEFINANCE(A308, ""price"", TODAY()-300, TODAY()), 0, 2))"),966.0089108910889)</f>
        <v>966.0089109</v>
      </c>
      <c r="U308" s="9">
        <f t="shared" si="5"/>
        <v>0.06229050802</v>
      </c>
      <c r="V308" s="15">
        <f>IFERROR(__xludf.DUMMYFUNCTION("LET(hist, GOOGLEFINANCE(A308,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rs))))))"),60.3689708824183)</f>
        <v>60.36897088</v>
      </c>
      <c r="W308" s="16" t="str">
        <f>IFERROR(__xludf.DUMMYFUNCTION("IFERROR(GOOGLEFINANCE(A308, ""volume"") / GOOGLEFINANCE(A308, ""volumeavg""), )"),"")</f>
        <v/>
      </c>
      <c r="X308" s="9">
        <f>IFERROR(__xludf.DUMMYFUNCTION("B308 * GOOGLEFINANCE(A308, ""volume"")"),1.1087366403E9)</f>
        <v>1108736640</v>
      </c>
      <c r="Y308" s="9">
        <f>IFERROR(__xludf.DUMMYFUNCTION("IFERROR(((B308 - GOOGLEFINANCE(A308, ""priceopen"")) / GOOGLEFINANCE(A308, ""priceopen"")) * GOOGLEFINANCE(A308, ""volume""), 0)"),-7467.912295959258)</f>
        <v>-7467.912296</v>
      </c>
    </row>
    <row r="309">
      <c r="A309" s="4" t="s">
        <v>2102</v>
      </c>
      <c r="B309" s="7">
        <f>IFERROR(__xludf.DUMMYFUNCTION("GOOGLEFINANCE(A309, ""price"")"),6988.0)</f>
        <v>6988</v>
      </c>
      <c r="C309" s="7">
        <f>IFERROR(__xludf.DUMMYFUNCTION("GOOGLEFINANCE(A309, ""changepct"")"),-1.28)</f>
        <v>-1.28</v>
      </c>
      <c r="D309" s="9">
        <f>IFERROR(__xludf.DUMMYFUNCTION("GOOGLEFINANCE(A309, ""priceopen"")"),7078.0)</f>
        <v>7078</v>
      </c>
      <c r="E309" s="9">
        <f>IFERROR(__xludf.DUMMYFUNCTION("GOOGLEFINANCE(A309, ""high"")"),7106.0)</f>
        <v>7106</v>
      </c>
      <c r="F309" s="9">
        <f>IFERROR(__xludf.DUMMYFUNCTION("GOOGLEFINANCE(A309, ""low"")"),6951.0)</f>
        <v>6951</v>
      </c>
      <c r="G309" s="9">
        <f>IFERROR(__xludf.DUMMYFUNCTION("GOOGLEFINANCE(A309, ""price"")"),6988.0)</f>
        <v>6988</v>
      </c>
      <c r="H309" s="9">
        <f>IFERROR(__xludf.DUMMYFUNCTION("MAX(INDEX(GOOGLEFINANCE(A309, ""high"", TODAY()-30, TODAY()), 0, 2))"),8095.0)</f>
        <v>8095</v>
      </c>
      <c r="I309" s="9">
        <f>IFERROR(__xludf.DUMMYFUNCTION("MIN(INDEX(GOOGLEFINANCE(A309, ""low"", TODAY()-30, TODAY()), 0, 2))"),6951.0)</f>
        <v>6951</v>
      </c>
      <c r="J309" s="9">
        <f>IFERROR(__xludf.DUMMYFUNCTION("GOOGLEFINANCE(A309, ""high52"")"),8974.0)</f>
        <v>8974</v>
      </c>
      <c r="K309" s="9">
        <f>IFERROR(__xludf.DUMMYFUNCTION("GOOGLEFINANCE(A309, ""low52"")"),5400.5)</f>
        <v>5400.5</v>
      </c>
      <c r="L309" s="9">
        <f t="shared" si="1"/>
        <v>0.2213059951</v>
      </c>
      <c r="M309" s="9">
        <f t="shared" si="2"/>
        <v>0.2939542635</v>
      </c>
      <c r="N309" s="9">
        <f t="shared" si="3"/>
        <v>0.02229894979</v>
      </c>
      <c r="O309" s="9">
        <f t="shared" si="4"/>
        <v>0.03234265734</v>
      </c>
      <c r="P309" s="9">
        <f>IFERROR(__xludf.DUMMYFUNCTION("GOOGLEFINANCE(A309, ""pe"")"),138.03)</f>
        <v>138.03</v>
      </c>
      <c r="Q309" s="9">
        <f>IFERROR(__xludf.DUMMYFUNCTION("IFERROR(GOOGLEFINANCE(A309, ""volume"") / GOOGLEFINANCE(A309, ""volumeavg""), 0)"),0.0)</f>
        <v>0</v>
      </c>
      <c r="R309" s="9">
        <f>IFERROR(__xludf.DUMMYFUNCTION("AVERAGE(INDEX(GOOGLEFINANCE(A309, ""price"", TODAY()-30, TODAY()), 0, 2))"),7476.630434782609)</f>
        <v>7476.630435</v>
      </c>
      <c r="S309" s="9">
        <f>IFERROR(__xludf.DUMMYFUNCTION("AVERAGE(INDEX(GOOGLEFINANCE(A309, ""price"", TODAY()-75, TODAY()), 0, 2))"),7570.2169811320755)</f>
        <v>7570.216981</v>
      </c>
      <c r="T309" s="9">
        <f>IFERROR(__xludf.DUMMYFUNCTION("AVERAGE(INDEX(GOOGLEFINANCE(A309, ""price"", TODAY()-300, TODAY()), 0, 2))"),7288.170792079208)</f>
        <v>7288.170792</v>
      </c>
      <c r="U309" s="9">
        <f t="shared" si="5"/>
        <v>-0.06535436505</v>
      </c>
      <c r="V309" s="15">
        <f>IFERROR(__xludf.DUMMYFUNCTION("LET(hist, GOOGLEFINANCE(A309,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rs))))))"),32.1857485988791)</f>
        <v>32.1857486</v>
      </c>
      <c r="W309" s="16" t="str">
        <f>IFERROR(__xludf.DUMMYFUNCTION("IFERROR(GOOGLEFINANCE(A309, ""volume"") / GOOGLEFINANCE(A309, ""volumeavg""), )"),"")</f>
        <v/>
      </c>
      <c r="X309" s="9">
        <f>IFERROR(__xludf.DUMMYFUNCTION("B309 * GOOGLEFINANCE(A309, ""volume"")"),2.596559112E9)</f>
        <v>2596559112</v>
      </c>
      <c r="Y309" s="9">
        <f>IFERROR(__xludf.DUMMYFUNCTION("IFERROR(((B309 - GOOGLEFINANCE(A309, ""priceopen"")) / GOOGLEFINANCE(A309, ""priceopen"")) * GOOGLEFINANCE(A309, ""volume""), 0)"),-4724.732975416784)</f>
        <v>-4724.732975</v>
      </c>
    </row>
    <row r="310">
      <c r="A310" s="4" t="s">
        <v>2103</v>
      </c>
      <c r="B310" s="7">
        <f>IFERROR(__xludf.DUMMYFUNCTION("GOOGLEFINANCE(A310, ""price"")"),209.4)</f>
        <v>209.4</v>
      </c>
      <c r="C310" s="7">
        <f>IFERROR(__xludf.DUMMYFUNCTION("GOOGLEFINANCE(A310, ""changepct"")"),-2.24)</f>
        <v>-2.24</v>
      </c>
      <c r="D310" s="9">
        <f>IFERROR(__xludf.DUMMYFUNCTION("GOOGLEFINANCE(A310, ""priceopen"")"),214.2)</f>
        <v>214.2</v>
      </c>
      <c r="E310" s="9">
        <f>IFERROR(__xludf.DUMMYFUNCTION("GOOGLEFINANCE(A310, ""high"")"),216.96)</f>
        <v>216.96</v>
      </c>
      <c r="F310" s="9">
        <f>IFERROR(__xludf.DUMMYFUNCTION("GOOGLEFINANCE(A310, ""low"")"),209.0)</f>
        <v>209</v>
      </c>
      <c r="G310" s="9">
        <f>IFERROR(__xludf.DUMMYFUNCTION("GOOGLEFINANCE(A310, ""price"")"),209.4)</f>
        <v>209.4</v>
      </c>
      <c r="H310" s="9">
        <f>IFERROR(__xludf.DUMMYFUNCTION("MAX(INDEX(GOOGLEFINANCE(A310, ""high"", TODAY()-30, TODAY()), 0, 2))"),218.5)</f>
        <v>218.5</v>
      </c>
      <c r="I310" s="9">
        <f>IFERROR(__xludf.DUMMYFUNCTION("MIN(INDEX(GOOGLEFINANCE(A310, ""low"", TODAY()-30, TODAY()), 0, 2))"),170.61)</f>
        <v>170.61</v>
      </c>
      <c r="J310" s="9">
        <f>IFERROR(__xludf.DUMMYFUNCTION("GOOGLEFINANCE(A310, ""high52"")"),218.5)</f>
        <v>218.5</v>
      </c>
      <c r="K310" s="9">
        <f>IFERROR(__xludf.DUMMYFUNCTION("GOOGLEFINANCE(A310, ""low52"")"),132.3)</f>
        <v>132.3</v>
      </c>
      <c r="L310" s="9">
        <f t="shared" si="1"/>
        <v>0.04164759725</v>
      </c>
      <c r="M310" s="9">
        <f t="shared" si="2"/>
        <v>0.5827664399</v>
      </c>
      <c r="N310" s="9">
        <f t="shared" si="3"/>
        <v>0.0380861244</v>
      </c>
      <c r="O310" s="9">
        <f t="shared" si="4"/>
        <v>0.8099812069</v>
      </c>
      <c r="P310" s="9" t="str">
        <f>IFERROR(__xludf.DUMMYFUNCTION("GOOGLEFINANCE(A310, ""pe"")"),"#N/A")</f>
        <v>#N/A</v>
      </c>
      <c r="Q310" s="9">
        <f>IFERROR(__xludf.DUMMYFUNCTION("IFERROR(GOOGLEFINANCE(A310, ""volume"") / GOOGLEFINANCE(A310, ""volumeavg""), 0)"),0.0)</f>
        <v>0</v>
      </c>
      <c r="R310" s="9">
        <f>IFERROR(__xludf.DUMMYFUNCTION("AVERAGE(INDEX(GOOGLEFINANCE(A310, ""price"", TODAY()-30, TODAY()), 0, 2))"),191.83434782608694)</f>
        <v>191.8343478</v>
      </c>
      <c r="S310" s="9">
        <f>IFERROR(__xludf.DUMMYFUNCTION("AVERAGE(INDEX(GOOGLEFINANCE(A310, ""price"", TODAY()-75, TODAY()), 0, 2))"),178.27188679245282)</f>
        <v>178.2718868</v>
      </c>
      <c r="T310" s="9">
        <f>IFERROR(__xludf.DUMMYFUNCTION("AVERAGE(INDEX(GOOGLEFINANCE(A310, ""price"", TODAY()-300, TODAY()), 0, 2))"),171.31584158415848)</f>
        <v>171.3158416</v>
      </c>
      <c r="U310" s="9">
        <f t="shared" si="5"/>
        <v>0.09156677296</v>
      </c>
      <c r="V310" s="15">
        <f>IFERROR(__xludf.DUMMYFUNCTION("LET(hist, GOOGLEFINANCE(A310,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rs))))))"),87.19959524411844)</f>
        <v>87.19959524</v>
      </c>
      <c r="W310" s="16" t="str">
        <f>IFERROR(__xludf.DUMMYFUNCTION("IFERROR(GOOGLEFINANCE(A310, ""volume"") / GOOGLEFINANCE(A310, ""volumeavg""), )"),"")</f>
        <v/>
      </c>
      <c r="X310" s="9">
        <f>IFERROR(__xludf.DUMMYFUNCTION("B310 * GOOGLEFINANCE(A310, ""volume"")"),5.697660924E8)</f>
        <v>569766092.4</v>
      </c>
      <c r="Y310" s="9">
        <f>IFERROR(__xludf.DUMMYFUNCTION("IFERROR(((B310 - GOOGLEFINANCE(A310, ""priceopen"")) / GOOGLEFINANCE(A310, ""priceopen"")) * GOOGLEFINANCE(A310, ""volume""), 0)"),-60973.579831932555)</f>
        <v>-60973.57983</v>
      </c>
    </row>
    <row r="311">
      <c r="A311" s="4" t="s">
        <v>2104</v>
      </c>
      <c r="B311" s="7">
        <f>IFERROR(__xludf.DUMMYFUNCTION("GOOGLEFINANCE(A311, ""price"")"),627.5)</f>
        <v>627.5</v>
      </c>
      <c r="C311" s="7">
        <f>IFERROR(__xludf.DUMMYFUNCTION("GOOGLEFINANCE(A311, ""changepct"")"),1.33)</f>
        <v>1.33</v>
      </c>
      <c r="D311" s="9">
        <f>IFERROR(__xludf.DUMMYFUNCTION("GOOGLEFINANCE(A311, ""priceopen"")"),622.0)</f>
        <v>622</v>
      </c>
      <c r="E311" s="9">
        <f>IFERROR(__xludf.DUMMYFUNCTION("GOOGLEFINANCE(A311, ""high"")"),628.7)</f>
        <v>628.7</v>
      </c>
      <c r="F311" s="9">
        <f>IFERROR(__xludf.DUMMYFUNCTION("GOOGLEFINANCE(A311, ""low"")"),615.2)</f>
        <v>615.2</v>
      </c>
      <c r="G311" s="9">
        <f>IFERROR(__xludf.DUMMYFUNCTION("GOOGLEFINANCE(A311, ""price"")"),627.5)</f>
        <v>627.5</v>
      </c>
      <c r="H311" s="9">
        <f>IFERROR(__xludf.DUMMYFUNCTION("MAX(INDEX(GOOGLEFINANCE(A311, ""high"", TODAY()-30, TODAY()), 0, 2))"),630.25)</f>
        <v>630.25</v>
      </c>
      <c r="I311" s="9">
        <f>IFERROR(__xludf.DUMMYFUNCTION("MIN(INDEX(GOOGLEFINANCE(A311, ""low"", TODAY()-30, TODAY()), 0, 2))"),537.6)</f>
        <v>537.6</v>
      </c>
      <c r="J311" s="9">
        <f>IFERROR(__xludf.DUMMYFUNCTION("GOOGLEFINANCE(A311, ""high52"")"),675.0)</f>
        <v>675</v>
      </c>
      <c r="K311" s="9">
        <f>IFERROR(__xludf.DUMMYFUNCTION("GOOGLEFINANCE(A311, ""low52"")"),409.1)</f>
        <v>409.1</v>
      </c>
      <c r="L311" s="9">
        <f t="shared" si="1"/>
        <v>0.07037037037</v>
      </c>
      <c r="M311" s="9">
        <f t="shared" si="2"/>
        <v>0.5338548032</v>
      </c>
      <c r="N311" s="9">
        <f t="shared" si="3"/>
        <v>0.02194408322</v>
      </c>
      <c r="O311" s="9">
        <f t="shared" si="4"/>
        <v>0.9703184026</v>
      </c>
      <c r="P311" s="9">
        <f>IFERROR(__xludf.DUMMYFUNCTION("GOOGLEFINANCE(A311, ""pe"")"),12.77)</f>
        <v>12.77</v>
      </c>
      <c r="Q311" s="9">
        <f>IFERROR(__xludf.DUMMYFUNCTION("IFERROR(GOOGLEFINANCE(A311, ""volume"") / GOOGLEFINANCE(A311, ""volumeavg""), 0)"),0.0)</f>
        <v>0</v>
      </c>
      <c r="R311" s="9">
        <f>IFERROR(__xludf.DUMMYFUNCTION("AVERAGE(INDEX(GOOGLEFINANCE(A311, ""price"", TODAY()-30, TODAY()), 0, 2))"),586.2739130434784)</f>
        <v>586.273913</v>
      </c>
      <c r="S311" s="9">
        <f>IFERROR(__xludf.DUMMYFUNCTION("AVERAGE(INDEX(GOOGLEFINANCE(A311, ""price"", TODAY()-75, TODAY()), 0, 2))"),545.2622641509433)</f>
        <v>545.2622642</v>
      </c>
      <c r="T311" s="9">
        <f>IFERROR(__xludf.DUMMYFUNCTION("AVERAGE(INDEX(GOOGLEFINANCE(A311, ""price"", TODAY()-300, TODAY()), 0, 2))"),526.2805970149257)</f>
        <v>526.280597</v>
      </c>
      <c r="U311" s="9">
        <f t="shared" si="5"/>
        <v>0.07031881521</v>
      </c>
      <c r="V311" s="15">
        <f>IFERROR(__xludf.DUMMYFUNCTION("LET(hist, GOOGLEFINANCE(A311,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rs))))))"),74.40068493150682)</f>
        <v>74.40068493</v>
      </c>
      <c r="W311" s="16" t="str">
        <f>IFERROR(__xludf.DUMMYFUNCTION("IFERROR(GOOGLEFINANCE(A311, ""volume"") / GOOGLEFINANCE(A311, ""volumeavg""), )"),"")</f>
        <v/>
      </c>
      <c r="X311" s="9">
        <f>IFERROR(__xludf.DUMMYFUNCTION("B311 * GOOGLEFINANCE(A311, ""volume"")"),6.021395875E8)</f>
        <v>602139587.5</v>
      </c>
      <c r="Y311" s="9">
        <f>IFERROR(__xludf.DUMMYFUNCTION("IFERROR(((B311 - GOOGLEFINANCE(A311, ""priceopen"")) / GOOGLEFINANCE(A311, ""priceopen"")) * GOOGLEFINANCE(A311, ""volume""), 0)"),8485.076366559486)</f>
        <v>8485.076367</v>
      </c>
    </row>
    <row r="312">
      <c r="A312" s="4" t="s">
        <v>2105</v>
      </c>
      <c r="B312" s="7">
        <f>IFERROR(__xludf.DUMMYFUNCTION("GOOGLEFINANCE(A312, ""price"")"),10550.0)</f>
        <v>10550</v>
      </c>
      <c r="C312" s="7">
        <f>IFERROR(__xludf.DUMMYFUNCTION("GOOGLEFINANCE(A312, ""changepct"")"),2.49)</f>
        <v>2.49</v>
      </c>
      <c r="D312" s="9">
        <f>IFERROR(__xludf.DUMMYFUNCTION("GOOGLEFINANCE(A312, ""priceopen"")"),10360.0)</f>
        <v>10360</v>
      </c>
      <c r="E312" s="9">
        <f>IFERROR(__xludf.DUMMYFUNCTION("GOOGLEFINANCE(A312, ""high"")"),10723.0)</f>
        <v>10723</v>
      </c>
      <c r="F312" s="9">
        <f>IFERROR(__xludf.DUMMYFUNCTION("GOOGLEFINANCE(A312, ""low"")"),10326.0)</f>
        <v>10326</v>
      </c>
      <c r="G312" s="9">
        <f>IFERROR(__xludf.DUMMYFUNCTION("GOOGLEFINANCE(A312, ""price"")"),10550.0)</f>
        <v>10550</v>
      </c>
      <c r="H312" s="9">
        <f>IFERROR(__xludf.DUMMYFUNCTION("MAX(INDEX(GOOGLEFINANCE(A312, ""high"", TODAY()-30, TODAY()), 0, 2))"),10762.0)</f>
        <v>10762</v>
      </c>
      <c r="I312" s="9">
        <f>IFERROR(__xludf.DUMMYFUNCTION("MIN(INDEX(GOOGLEFINANCE(A312, ""low"", TODAY()-30, TODAY()), 0, 2))"),9045.5)</f>
        <v>9045.5</v>
      </c>
      <c r="J312" s="9">
        <f>IFERROR(__xludf.DUMMYFUNCTION("GOOGLEFINANCE(A312, ""high52"")"),10762.0)</f>
        <v>10762</v>
      </c>
      <c r="K312" s="9">
        <f>IFERROR(__xludf.DUMMYFUNCTION("GOOGLEFINANCE(A312, ""low52"")"),6324.0)</f>
        <v>6324</v>
      </c>
      <c r="L312" s="9">
        <f t="shared" si="1"/>
        <v>0.01969894072</v>
      </c>
      <c r="M312" s="9">
        <f t="shared" si="2"/>
        <v>0.6682479443</v>
      </c>
      <c r="N312" s="9">
        <f t="shared" si="3"/>
        <v>0.03844663955</v>
      </c>
      <c r="O312" s="9">
        <f t="shared" si="4"/>
        <v>0.8764928634</v>
      </c>
      <c r="P312" s="9">
        <f>IFERROR(__xludf.DUMMYFUNCTION("GOOGLEFINANCE(A312, ""pe"")"),54.37)</f>
        <v>54.37</v>
      </c>
      <c r="Q312" s="9">
        <f>IFERROR(__xludf.DUMMYFUNCTION("IFERROR(GOOGLEFINANCE(A312, ""volume"") / GOOGLEFINANCE(A312, ""volumeavg""), 0)"),0.0)</f>
        <v>0</v>
      </c>
      <c r="R312" s="9">
        <f>IFERROR(__xludf.DUMMYFUNCTION("AVERAGE(INDEX(GOOGLEFINANCE(A312, ""price"", TODAY()-30, TODAY()), 0, 2))"),9748.608695652174)</f>
        <v>9748.608696</v>
      </c>
      <c r="S312" s="9">
        <f>IFERROR(__xludf.DUMMYFUNCTION("AVERAGE(INDEX(GOOGLEFINANCE(A312, ""price"", TODAY()-75, TODAY()), 0, 2))"),9444.518867924528)</f>
        <v>9444.518868</v>
      </c>
      <c r="T312" s="9">
        <f>IFERROR(__xludf.DUMMYFUNCTION("AVERAGE(INDEX(GOOGLEFINANCE(A312, ""price"", TODAY()-300, TODAY()), 0, 2))"),7947.274752475248)</f>
        <v>7947.274752</v>
      </c>
      <c r="U312" s="9">
        <f t="shared" si="5"/>
        <v>0.08220571051</v>
      </c>
      <c r="V312" s="15">
        <f>IFERROR(__xludf.DUMMYFUNCTION("LET(hist, GOOGLEFINANCE(A312,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rs))))))"),73.54268891069677)</f>
        <v>73.54268891</v>
      </c>
      <c r="W312" s="16" t="str">
        <f>IFERROR(__xludf.DUMMYFUNCTION("IFERROR(GOOGLEFINANCE(A312, ""volume"") / GOOGLEFINANCE(A312, ""volumeavg""), )"),"")</f>
        <v/>
      </c>
      <c r="X312" s="9">
        <f>IFERROR(__xludf.DUMMYFUNCTION("B312 * GOOGLEFINANCE(A312, ""volume"")"),7.5205675E8)</f>
        <v>752056750</v>
      </c>
      <c r="Y312" s="9">
        <f>IFERROR(__xludf.DUMMYFUNCTION("IFERROR(((B312 - GOOGLEFINANCE(A312, ""priceopen"")) / GOOGLEFINANCE(A312, ""priceopen"")) * GOOGLEFINANCE(A312, ""volume""), 0)"),1307.3503861003862)</f>
        <v>1307.350386</v>
      </c>
    </row>
    <row r="313">
      <c r="A313" s="4" t="s">
        <v>2106</v>
      </c>
      <c r="B313" s="7">
        <f>IFERROR(__xludf.DUMMYFUNCTION("GOOGLEFINANCE(A313, ""price"")"),4845.3)</f>
        <v>4845.3</v>
      </c>
      <c r="C313" s="7">
        <f>IFERROR(__xludf.DUMMYFUNCTION("GOOGLEFINANCE(A313, ""changepct"")"),-0.3)</f>
        <v>-0.3</v>
      </c>
      <c r="D313" s="9">
        <f>IFERROR(__xludf.DUMMYFUNCTION("GOOGLEFINANCE(A313, ""priceopen"")"),4866.0)</f>
        <v>4866</v>
      </c>
      <c r="E313" s="9">
        <f>IFERROR(__xludf.DUMMYFUNCTION("GOOGLEFINANCE(A313, ""high"")"),4907.9)</f>
        <v>4907.9</v>
      </c>
      <c r="F313" s="9">
        <f>IFERROR(__xludf.DUMMYFUNCTION("GOOGLEFINANCE(A313, ""low"")"),4753.0)</f>
        <v>4753</v>
      </c>
      <c r="G313" s="9">
        <f>IFERROR(__xludf.DUMMYFUNCTION("GOOGLEFINANCE(A313, ""price"")"),4845.3)</f>
        <v>4845.3</v>
      </c>
      <c r="H313" s="9">
        <f>IFERROR(__xludf.DUMMYFUNCTION("MAX(INDEX(GOOGLEFINANCE(A313, ""high"", TODAY()-30, TODAY()), 0, 2))"),5085.0)</f>
        <v>5085</v>
      </c>
      <c r="I313" s="9">
        <f>IFERROR(__xludf.DUMMYFUNCTION("MIN(INDEX(GOOGLEFINANCE(A313, ""low"", TODAY()-30, TODAY()), 0, 2))"),4115.0)</f>
        <v>4115</v>
      </c>
      <c r="J313" s="9">
        <f>IFERROR(__xludf.DUMMYFUNCTION("GOOGLEFINANCE(A313, ""high52"")"),5244.0)</f>
        <v>5244</v>
      </c>
      <c r="K313" s="9">
        <f>IFERROR(__xludf.DUMMYFUNCTION("GOOGLEFINANCE(A313, ""low52"")"),2037.3)</f>
        <v>2037.3</v>
      </c>
      <c r="L313" s="9">
        <f t="shared" si="1"/>
        <v>0.07602974828</v>
      </c>
      <c r="M313" s="9">
        <f t="shared" si="2"/>
        <v>1.378294802</v>
      </c>
      <c r="N313" s="9">
        <f t="shared" si="3"/>
        <v>0.03258994319</v>
      </c>
      <c r="O313" s="9">
        <f t="shared" si="4"/>
        <v>0.7528865979</v>
      </c>
      <c r="P313" s="9">
        <f>IFERROR(__xludf.DUMMYFUNCTION("GOOGLEFINANCE(A313, ""pe"")"),105.56)</f>
        <v>105.56</v>
      </c>
      <c r="Q313" s="9">
        <f>IFERROR(__xludf.DUMMYFUNCTION("IFERROR(GOOGLEFINANCE(A313, ""volume"") / GOOGLEFINANCE(A313, ""volumeavg""), 0)"),0.0)</f>
        <v>0</v>
      </c>
      <c r="R313" s="9">
        <f>IFERROR(__xludf.DUMMYFUNCTION("AVERAGE(INDEX(GOOGLEFINANCE(A313, ""price"", TODAY()-30, TODAY()), 0, 2))"),4490.45652173913)</f>
        <v>4490.456522</v>
      </c>
      <c r="S313" s="9">
        <f>IFERROR(__xludf.DUMMYFUNCTION("AVERAGE(INDEX(GOOGLEFINANCE(A313, ""price"", TODAY()-75, TODAY()), 0, 2))"),4562.224528301887)</f>
        <v>4562.224528</v>
      </c>
      <c r="T313" s="9">
        <f>IFERROR(__xludf.DUMMYFUNCTION("AVERAGE(INDEX(GOOGLEFINANCE(A313, ""price"", TODAY()-300, TODAY()), 0, 2))"),3747.1851485148527)</f>
        <v>3747.185149</v>
      </c>
      <c r="U313" s="9">
        <f t="shared" si="5"/>
        <v>0.07902169335</v>
      </c>
      <c r="V313" s="15">
        <f>IFERROR(__xludf.DUMMYFUNCTION("LET(hist, GOOGLEFINANCE(A313,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rs))))))"),69.40630312540863)</f>
        <v>69.40630313</v>
      </c>
      <c r="W313" s="16" t="str">
        <f>IFERROR(__xludf.DUMMYFUNCTION("IFERROR(GOOGLEFINANCE(A313, ""volume"") / GOOGLEFINANCE(A313, ""volumeavg""), )"),"")</f>
        <v/>
      </c>
      <c r="X313" s="9">
        <f>IFERROR(__xludf.DUMMYFUNCTION("B313 * GOOGLEFINANCE(A313, ""volume"")"),2.9704063197000003E9)</f>
        <v>2970406320</v>
      </c>
      <c r="Y313" s="9">
        <f>IFERROR(__xludf.DUMMYFUNCTION("IFERROR(((B313 - GOOGLEFINANCE(A313, ""priceopen"")) / GOOGLEFINANCE(A313, ""priceopen"")) * GOOGLEFINANCE(A313, ""volume""), 0)"),-2607.9149815042924)</f>
        <v>-2607.914982</v>
      </c>
    </row>
    <row r="314">
      <c r="A314" s="4" t="s">
        <v>2107</v>
      </c>
      <c r="B314" s="7">
        <f>IFERROR(__xludf.DUMMYFUNCTION("GOOGLEFINANCE(A314, ""price"")"),275.0)</f>
        <v>275</v>
      </c>
      <c r="C314" s="7">
        <f>IFERROR(__xludf.DUMMYFUNCTION("GOOGLEFINANCE(A314, ""changepct"")"),0.22)</f>
        <v>0.22</v>
      </c>
      <c r="D314" s="9">
        <f>IFERROR(__xludf.DUMMYFUNCTION("GOOGLEFINANCE(A314, ""priceopen"")"),299.45)</f>
        <v>299.45</v>
      </c>
      <c r="E314" s="9">
        <f>IFERROR(__xludf.DUMMYFUNCTION("GOOGLEFINANCE(A314, ""high"")"),299.45)</f>
        <v>299.45</v>
      </c>
      <c r="F314" s="9">
        <f>IFERROR(__xludf.DUMMYFUNCTION("GOOGLEFINANCE(A314, ""low"")"),272.4)</f>
        <v>272.4</v>
      </c>
      <c r="G314" s="9">
        <f>IFERROR(__xludf.DUMMYFUNCTION("GOOGLEFINANCE(A314, ""price"")"),275.0)</f>
        <v>275</v>
      </c>
      <c r="H314" s="9">
        <f>IFERROR(__xludf.DUMMYFUNCTION("MAX(INDEX(GOOGLEFINANCE(A314, ""high"", TODAY()-30, TODAY()), 0, 2))"),299.45)</f>
        <v>299.45</v>
      </c>
      <c r="I314" s="9">
        <f>IFERROR(__xludf.DUMMYFUNCTION("MIN(INDEX(GOOGLEFINANCE(A314, ""low"", TODAY()-30, TODAY()), 0, 2))"),261.25)</f>
        <v>261.25</v>
      </c>
      <c r="J314" s="9">
        <f>IFERROR(__xludf.DUMMYFUNCTION("GOOGLEFINANCE(A314, ""high52"")"),314.9)</f>
        <v>314.9</v>
      </c>
      <c r="K314" s="9">
        <f>IFERROR(__xludf.DUMMYFUNCTION("GOOGLEFINANCE(A314, ""low52"")"),261.25)</f>
        <v>261.25</v>
      </c>
      <c r="L314" s="9">
        <f t="shared" si="1"/>
        <v>0.1267068911</v>
      </c>
      <c r="M314" s="9">
        <f t="shared" si="2"/>
        <v>0.05263157895</v>
      </c>
      <c r="N314" s="9">
        <f t="shared" si="3"/>
        <v>0.09930249633</v>
      </c>
      <c r="O314" s="9">
        <f t="shared" si="4"/>
        <v>0.359947644</v>
      </c>
      <c r="P314" s="9">
        <f>IFERROR(__xludf.DUMMYFUNCTION("GOOGLEFINANCE(A314, ""pe"")"),12.76)</f>
        <v>12.76</v>
      </c>
      <c r="Q314" s="9">
        <f>IFERROR(__xludf.DUMMYFUNCTION("IFERROR(GOOGLEFINANCE(A314, ""volume"") / GOOGLEFINANCE(A314, ""volumeavg""), 0)"),0.0)</f>
        <v>0</v>
      </c>
      <c r="R314" s="9">
        <f>IFERROR(__xludf.DUMMYFUNCTION("AVERAGE(INDEX(GOOGLEFINANCE(A314, ""price"", TODAY()-30, TODAY()), 0, 2))"),273.8913043478262)</f>
        <v>273.8913043</v>
      </c>
      <c r="S314" s="9">
        <f>IFERROR(__xludf.DUMMYFUNCTION("AVERAGE(INDEX(GOOGLEFINANCE(A314, ""price"", TODAY()-75, TODAY()), 0, 2))"),280.0854838709677)</f>
        <v>280.0854839</v>
      </c>
      <c r="T314" s="9">
        <f>IFERROR(__xludf.DUMMYFUNCTION("AVERAGE(INDEX(GOOGLEFINANCE(A314, ""price"", TODAY()-300, TODAY()), 0, 2))"),280.0854838709677)</f>
        <v>280.0854839</v>
      </c>
      <c r="U314" s="9">
        <f t="shared" si="5"/>
        <v>0.004047940313</v>
      </c>
      <c r="V314" s="15">
        <f>IFERROR(__xludf.DUMMYFUNCTION("LET(hist, GOOGLEFINANCE(A314,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rs))))))"),62.173913043478315)</f>
        <v>62.17391304</v>
      </c>
      <c r="W314" s="16" t="str">
        <f>IFERROR(__xludf.DUMMYFUNCTION("IFERROR(GOOGLEFINANCE(A314, ""volume"") / GOOGLEFINANCE(A314, ""volumeavg""), )"),"")</f>
        <v/>
      </c>
      <c r="X314" s="9">
        <f>IFERROR(__xludf.DUMMYFUNCTION("B314 * GOOGLEFINANCE(A314, ""volume"")"),1.8799825E9)</f>
        <v>1879982500</v>
      </c>
      <c r="Y314" s="9">
        <f>IFERROR(__xludf.DUMMYFUNCTION("IFERROR(((B314 - GOOGLEFINANCE(A314, ""priceopen"")) / GOOGLEFINANCE(A314, ""priceopen"")) * GOOGLEFINANCE(A314, ""volume""), 0)"),-558181.7832693269)</f>
        <v>-558181.7833</v>
      </c>
    </row>
    <row r="315">
      <c r="A315" s="4" t="s">
        <v>2108</v>
      </c>
      <c r="B315" s="7">
        <f>IFERROR(__xludf.DUMMYFUNCTION("GOOGLEFINANCE(A315, ""price"")"),372.9)</f>
        <v>372.9</v>
      </c>
      <c r="C315" s="7">
        <f>IFERROR(__xludf.DUMMYFUNCTION("GOOGLEFINANCE(A315, ""changepct"")"),1.21)</f>
        <v>1.21</v>
      </c>
      <c r="D315" s="9">
        <f>IFERROR(__xludf.DUMMYFUNCTION("GOOGLEFINANCE(A315, ""priceopen"")"),369.0)</f>
        <v>369</v>
      </c>
      <c r="E315" s="9">
        <f>IFERROR(__xludf.DUMMYFUNCTION("GOOGLEFINANCE(A315, ""high"")"),375.0)</f>
        <v>375</v>
      </c>
      <c r="F315" s="9">
        <f>IFERROR(__xludf.DUMMYFUNCTION("GOOGLEFINANCE(A315, ""low"")"),367.5)</f>
        <v>367.5</v>
      </c>
      <c r="G315" s="9">
        <f>IFERROR(__xludf.DUMMYFUNCTION("GOOGLEFINANCE(A315, ""price"")"),372.9)</f>
        <v>372.9</v>
      </c>
      <c r="H315" s="9">
        <f>IFERROR(__xludf.DUMMYFUNCTION("MAX(INDEX(GOOGLEFINANCE(A315, ""high"", TODAY()-30, TODAY()), 0, 2))"),398.65)</f>
        <v>398.65</v>
      </c>
      <c r="I315" s="9">
        <f>IFERROR(__xludf.DUMMYFUNCTION("MIN(INDEX(GOOGLEFINANCE(A315, ""low"", TODAY()-30, TODAY()), 0, 2))"),344.7)</f>
        <v>344.7</v>
      </c>
      <c r="J315" s="9">
        <f>IFERROR(__xludf.DUMMYFUNCTION("GOOGLEFINANCE(A315, ""high52"")"),398.65)</f>
        <v>398.65</v>
      </c>
      <c r="K315" s="9">
        <f>IFERROR(__xludf.DUMMYFUNCTION("GOOGLEFINANCE(A315, ""low52"")"),195.9)</f>
        <v>195.9</v>
      </c>
      <c r="L315" s="9">
        <f t="shared" si="1"/>
        <v>0.06459300138</v>
      </c>
      <c r="M315" s="9">
        <f t="shared" si="2"/>
        <v>0.9035222052</v>
      </c>
      <c r="N315" s="9">
        <f t="shared" si="3"/>
        <v>0.02040816327</v>
      </c>
      <c r="O315" s="9">
        <f t="shared" si="4"/>
        <v>0.5227062095</v>
      </c>
      <c r="P315" s="9">
        <f>IFERROR(__xludf.DUMMYFUNCTION("GOOGLEFINANCE(A315, ""pe"")"),38.48)</f>
        <v>38.48</v>
      </c>
      <c r="Q315" s="9">
        <f>IFERROR(__xludf.DUMMYFUNCTION("IFERROR(GOOGLEFINANCE(A315, ""volume"") / GOOGLEFINANCE(A315, ""volumeavg""), 0)"),0.0)</f>
        <v>0</v>
      </c>
      <c r="R315" s="9">
        <f>IFERROR(__xludf.DUMMYFUNCTION("AVERAGE(INDEX(GOOGLEFINANCE(A315, ""price"", TODAY()-30, TODAY()), 0, 2))"),372.9434782608696)</f>
        <v>372.9434783</v>
      </c>
      <c r="S315" s="9">
        <f>IFERROR(__xludf.DUMMYFUNCTION("AVERAGE(INDEX(GOOGLEFINANCE(A315, ""price"", TODAY()-75, TODAY()), 0, 2))"),361.57075471698107)</f>
        <v>361.5707547</v>
      </c>
      <c r="T315" s="9">
        <f>IFERROR(__xludf.DUMMYFUNCTION("AVERAGE(INDEX(GOOGLEFINANCE(A315, ""price"", TODAY()-300, TODAY()), 0, 2))"),280.369801980198)</f>
        <v>280.369802</v>
      </c>
      <c r="U315" s="9">
        <f t="shared" si="5"/>
        <v>-0.000116581368</v>
      </c>
      <c r="V315" s="15">
        <f>IFERROR(__xludf.DUMMYFUNCTION("LET(hist, GOOGLEFINANCE(A315,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rs))))))"),56.362425049966696)</f>
        <v>56.36242505</v>
      </c>
      <c r="W315" s="16" t="str">
        <f>IFERROR(__xludf.DUMMYFUNCTION("IFERROR(GOOGLEFINANCE(A315, ""volume"") / GOOGLEFINANCE(A315, ""volumeavg""), )"),"")</f>
        <v/>
      </c>
      <c r="X315" s="9">
        <f>IFERROR(__xludf.DUMMYFUNCTION("B315 * GOOGLEFINANCE(A315, ""volume"")"),2.415694677E8)</f>
        <v>241569467.7</v>
      </c>
      <c r="Y315" s="9">
        <f>IFERROR(__xludf.DUMMYFUNCTION("IFERROR(((B315 - GOOGLEFINANCE(A315, ""priceopen"")) / GOOGLEFINANCE(A315, ""priceopen"")) * GOOGLEFINANCE(A315, ""volume""), 0)"),6846.804065040611)</f>
        <v>6846.804065</v>
      </c>
    </row>
    <row r="316">
      <c r="A316" s="4" t="s">
        <v>2109</v>
      </c>
      <c r="B316" s="7">
        <f>IFERROR(__xludf.DUMMYFUNCTION("GOOGLEFINANCE(A316, ""price"")"),92.51)</f>
        <v>92.51</v>
      </c>
      <c r="C316" s="7">
        <f>IFERROR(__xludf.DUMMYFUNCTION("GOOGLEFINANCE(A316, ""changepct"")"),-1.38)</f>
        <v>-1.38</v>
      </c>
      <c r="D316" s="9">
        <f>IFERROR(__xludf.DUMMYFUNCTION("GOOGLEFINANCE(A316, ""priceopen"")"),93.8)</f>
        <v>93.8</v>
      </c>
      <c r="E316" s="9">
        <f>IFERROR(__xludf.DUMMYFUNCTION("GOOGLEFINANCE(A316, ""high"")"),94.14)</f>
        <v>94.14</v>
      </c>
      <c r="F316" s="9">
        <f>IFERROR(__xludf.DUMMYFUNCTION("GOOGLEFINANCE(A316, ""low"")"),90.9)</f>
        <v>90.9</v>
      </c>
      <c r="G316" s="9">
        <f>IFERROR(__xludf.DUMMYFUNCTION("GOOGLEFINANCE(A316, ""price"")"),92.51)</f>
        <v>92.51</v>
      </c>
      <c r="H316" s="9">
        <f>IFERROR(__xludf.DUMMYFUNCTION("MAX(INDEX(GOOGLEFINANCE(A316, ""high"", TODAY()-30, TODAY()), 0, 2))"),102.47)</f>
        <v>102.47</v>
      </c>
      <c r="I316" s="9">
        <f>IFERROR(__xludf.DUMMYFUNCTION("MIN(INDEX(GOOGLEFINANCE(A316, ""low"", TODAY()-30, TODAY()), 0, 2))"),90.9)</f>
        <v>90.9</v>
      </c>
      <c r="J316" s="9">
        <f>IFERROR(__xludf.DUMMYFUNCTION("GOOGLEFINANCE(A316, ""high52"")"),125.85)</f>
        <v>125.85</v>
      </c>
      <c r="K316" s="9">
        <f>IFERROR(__xludf.DUMMYFUNCTION("GOOGLEFINANCE(A316, ""low52"")"),77.18)</f>
        <v>77.18</v>
      </c>
      <c r="L316" s="9">
        <f t="shared" si="1"/>
        <v>0.2649185538</v>
      </c>
      <c r="M316" s="9">
        <f t="shared" si="2"/>
        <v>0.1986265872</v>
      </c>
      <c r="N316" s="9">
        <f t="shared" si="3"/>
        <v>0.03564356436</v>
      </c>
      <c r="O316" s="9">
        <f t="shared" si="4"/>
        <v>0.1391529818</v>
      </c>
      <c r="P316" s="9">
        <f>IFERROR(__xludf.DUMMYFUNCTION("GOOGLEFINANCE(A316, ""pe"")"),34.65)</f>
        <v>34.65</v>
      </c>
      <c r="Q316" s="9">
        <f>IFERROR(__xludf.DUMMYFUNCTION("IFERROR(GOOGLEFINANCE(A316, ""volume"") / GOOGLEFINANCE(A316, ""volumeavg""), 0)"),0.0)</f>
        <v>0</v>
      </c>
      <c r="R316" s="9">
        <f>IFERROR(__xludf.DUMMYFUNCTION("AVERAGE(INDEX(GOOGLEFINANCE(A316, ""price"", TODAY()-30, TODAY()), 0, 2))"),95.64217391304346)</f>
        <v>95.64217391</v>
      </c>
      <c r="S316" s="9">
        <f>IFERROR(__xludf.DUMMYFUNCTION("AVERAGE(INDEX(GOOGLEFINANCE(A316, ""price"", TODAY()-75, TODAY()), 0, 2))"),100.65943396226419)</f>
        <v>100.659434</v>
      </c>
      <c r="T316" s="9">
        <f>IFERROR(__xludf.DUMMYFUNCTION("AVERAGE(INDEX(GOOGLEFINANCE(A316, ""price"", TODAY()-300, TODAY()), 0, 2))"),101.35069306930697)</f>
        <v>101.3506931</v>
      </c>
      <c r="U316" s="9">
        <f t="shared" si="5"/>
        <v>-0.03274887829</v>
      </c>
      <c r="V316" s="15">
        <f>IFERROR(__xludf.DUMMYFUNCTION("LET(hist, GOOGLEFINANCE(A316,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rs))))))"),45.67901234567899)</f>
        <v>45.67901235</v>
      </c>
      <c r="W316" s="16" t="str">
        <f>IFERROR(__xludf.DUMMYFUNCTION("IFERROR(GOOGLEFINANCE(A316, ""volume"") / GOOGLEFINANCE(A316, ""volumeavg""), )"),"")</f>
        <v/>
      </c>
      <c r="X316" s="9">
        <f>IFERROR(__xludf.DUMMYFUNCTION("B316 * GOOGLEFINANCE(A316, ""volume"")"),1.06242397173E9)</f>
        <v>1062423972</v>
      </c>
      <c r="Y316" s="9">
        <f>IFERROR(__xludf.DUMMYFUNCTION("IFERROR(((B316 - GOOGLEFINANCE(A316, ""priceopen"")) / GOOGLEFINANCE(A316, ""priceopen"")) * GOOGLEFINANCE(A316, ""volume""), 0)"),-157941.42505330392)</f>
        <v>-157941.4251</v>
      </c>
    </row>
    <row r="317">
      <c r="A317" s="4" t="s">
        <v>2110</v>
      </c>
      <c r="B317" s="7">
        <f>IFERROR(__xludf.DUMMYFUNCTION("GOOGLEFINANCE(A317, ""price"")"),1480.0)</f>
        <v>1480</v>
      </c>
      <c r="C317" s="7">
        <f>IFERROR(__xludf.DUMMYFUNCTION("GOOGLEFINANCE(A317, ""changepct"")"),-1.43)</f>
        <v>-1.43</v>
      </c>
      <c r="D317" s="9">
        <f>IFERROR(__xludf.DUMMYFUNCTION("GOOGLEFINANCE(A317, ""priceopen"")"),1510.0)</f>
        <v>1510</v>
      </c>
      <c r="E317" s="9">
        <f>IFERROR(__xludf.DUMMYFUNCTION("GOOGLEFINANCE(A317, ""high"")"),1510.0)</f>
        <v>1510</v>
      </c>
      <c r="F317" s="9">
        <f>IFERROR(__xludf.DUMMYFUNCTION("GOOGLEFINANCE(A317, ""low"")"),1471.2)</f>
        <v>1471.2</v>
      </c>
      <c r="G317" s="9">
        <f>IFERROR(__xludf.DUMMYFUNCTION("GOOGLEFINANCE(A317, ""price"")"),1480.0)</f>
        <v>1480</v>
      </c>
      <c r="H317" s="9">
        <f>IFERROR(__xludf.DUMMYFUNCTION("MAX(INDEX(GOOGLEFINANCE(A317, ""high"", TODAY()-30, TODAY()), 0, 2))"),1600.0)</f>
        <v>1600</v>
      </c>
      <c r="I317" s="9">
        <f>IFERROR(__xludf.DUMMYFUNCTION("MIN(INDEX(GOOGLEFINANCE(A317, ""low"", TODAY()-30, TODAY()), 0, 2))"),1228.0)</f>
        <v>1228</v>
      </c>
      <c r="J317" s="9">
        <f>IFERROR(__xludf.DUMMYFUNCTION("GOOGLEFINANCE(A317, ""high52"")"),1600.0)</f>
        <v>1600</v>
      </c>
      <c r="K317" s="9">
        <f>IFERROR(__xludf.DUMMYFUNCTION("GOOGLEFINANCE(A317, ""low52"")"),795.7)</f>
        <v>795.7</v>
      </c>
      <c r="L317" s="9">
        <f t="shared" si="1"/>
        <v>0.075</v>
      </c>
      <c r="M317" s="9">
        <f t="shared" si="2"/>
        <v>0.8599974865</v>
      </c>
      <c r="N317" s="9">
        <f t="shared" si="3"/>
        <v>0.02637302882</v>
      </c>
      <c r="O317" s="9">
        <f t="shared" si="4"/>
        <v>0.6774193548</v>
      </c>
      <c r="P317" s="9">
        <f>IFERROR(__xludf.DUMMYFUNCTION("GOOGLEFINANCE(A317, ""pe"")"),76.69)</f>
        <v>76.69</v>
      </c>
      <c r="Q317" s="9">
        <f>IFERROR(__xludf.DUMMYFUNCTION("IFERROR(GOOGLEFINANCE(A317, ""volume"") / GOOGLEFINANCE(A317, ""volumeavg""), 0)"),0.0)</f>
        <v>0</v>
      </c>
      <c r="R317" s="9">
        <f>IFERROR(__xludf.DUMMYFUNCTION("AVERAGE(INDEX(GOOGLEFINANCE(A317, ""price"", TODAY()-30, TODAY()), 0, 2))"),1427.821739130435)</f>
        <v>1427.821739</v>
      </c>
      <c r="S317" s="9">
        <f>IFERROR(__xludf.DUMMYFUNCTION("AVERAGE(INDEX(GOOGLEFINANCE(A317, ""price"", TODAY()-75, TODAY()), 0, 2))"),1272.8698113207552)</f>
        <v>1272.869811</v>
      </c>
      <c r="T317" s="9">
        <f>IFERROR(__xludf.DUMMYFUNCTION("AVERAGE(INDEX(GOOGLEFINANCE(A317, ""price"", TODAY()-300, TODAY()), 0, 2))"),1085.660643564356)</f>
        <v>1085.660644</v>
      </c>
      <c r="U317" s="9">
        <f t="shared" si="5"/>
        <v>0.03654396024</v>
      </c>
      <c r="V317" s="15">
        <f>IFERROR(__xludf.DUMMYFUNCTION("LET(hist, GOOGLEFINANCE(A317,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rs))))))"),59.563790773981836)</f>
        <v>59.56379077</v>
      </c>
      <c r="W317" s="16" t="str">
        <f>IFERROR(__xludf.DUMMYFUNCTION("IFERROR(GOOGLEFINANCE(A317, ""volume"") / GOOGLEFINANCE(A317, ""volumeavg""), )"),"")</f>
        <v/>
      </c>
      <c r="X317" s="9">
        <f>IFERROR(__xludf.DUMMYFUNCTION("B317 * GOOGLEFINANCE(A317, ""volume"")"),2.793352E8)</f>
        <v>279335200</v>
      </c>
      <c r="Y317" s="9">
        <f>IFERROR(__xludf.DUMMYFUNCTION("IFERROR(((B317 - GOOGLEFINANCE(A317, ""priceopen"")) / GOOGLEFINANCE(A317, ""priceopen"")) * GOOGLEFINANCE(A317, ""volume""), 0)"),-3749.801324503311)</f>
        <v>-3749.801325</v>
      </c>
    </row>
    <row r="318">
      <c r="A318" s="4" t="s">
        <v>2111</v>
      </c>
      <c r="B318" s="7">
        <f>IFERROR(__xludf.DUMMYFUNCTION("GOOGLEFINANCE(A318, ""price"")"),1543.0)</f>
        <v>1543</v>
      </c>
      <c r="C318" s="7">
        <f>IFERROR(__xludf.DUMMYFUNCTION("GOOGLEFINANCE(A318, ""changepct"")"),0.18)</f>
        <v>0.18</v>
      </c>
      <c r="D318" s="9">
        <f>IFERROR(__xludf.DUMMYFUNCTION("GOOGLEFINANCE(A318, ""priceopen"")"),1540.0)</f>
        <v>1540</v>
      </c>
      <c r="E318" s="9">
        <f>IFERROR(__xludf.DUMMYFUNCTION("GOOGLEFINANCE(A318, ""high"")"),1560.0)</f>
        <v>1560</v>
      </c>
      <c r="F318" s="9">
        <f>IFERROR(__xludf.DUMMYFUNCTION("GOOGLEFINANCE(A318, ""low"")"),1535.0)</f>
        <v>1535</v>
      </c>
      <c r="G318" s="9">
        <f>IFERROR(__xludf.DUMMYFUNCTION("GOOGLEFINANCE(A318, ""price"")"),1543.0)</f>
        <v>1543</v>
      </c>
      <c r="H318" s="9">
        <f>IFERROR(__xludf.DUMMYFUNCTION("MAX(INDEX(GOOGLEFINANCE(A318, ""high"", TODAY()-30, TODAY()), 0, 2))"),1634.0)</f>
        <v>1634</v>
      </c>
      <c r="I318" s="9">
        <f>IFERROR(__xludf.DUMMYFUNCTION("MIN(INDEX(GOOGLEFINANCE(A318, ""low"", TODAY()-30, TODAY()), 0, 2))"),1456.5)</f>
        <v>1456.5</v>
      </c>
      <c r="J318" s="9">
        <f>IFERROR(__xludf.DUMMYFUNCTION("GOOGLEFINANCE(A318, ""high52"")"),1634.0)</f>
        <v>1634</v>
      </c>
      <c r="K318" s="9">
        <f>IFERROR(__xludf.DUMMYFUNCTION("GOOGLEFINANCE(A318, ""low52"")"),1113.0)</f>
        <v>1113</v>
      </c>
      <c r="L318" s="9">
        <f t="shared" si="1"/>
        <v>0.05569155447</v>
      </c>
      <c r="M318" s="9">
        <f t="shared" si="2"/>
        <v>0.3863432165</v>
      </c>
      <c r="N318" s="9">
        <f t="shared" si="3"/>
        <v>0.01628664495</v>
      </c>
      <c r="O318" s="9">
        <f t="shared" si="4"/>
        <v>0.4873239437</v>
      </c>
      <c r="P318" s="9">
        <f>IFERROR(__xludf.DUMMYFUNCTION("GOOGLEFINANCE(A318, ""pe"")"),20.5)</f>
        <v>20.5</v>
      </c>
      <c r="Q318" s="9">
        <f>IFERROR(__xludf.DUMMYFUNCTION("IFERROR(GOOGLEFINANCE(A318, ""volume"") / GOOGLEFINANCE(A318, ""volumeavg""), 0)"),0.0)</f>
        <v>0</v>
      </c>
      <c r="R318" s="9">
        <f>IFERROR(__xludf.DUMMYFUNCTION("AVERAGE(INDEX(GOOGLEFINANCE(A318, ""price"", TODAY()-30, TODAY()), 0, 2))"),1534.713043478261)</f>
        <v>1534.713043</v>
      </c>
      <c r="S318" s="9">
        <f>IFERROR(__xludf.DUMMYFUNCTION("AVERAGE(INDEX(GOOGLEFINANCE(A318, ""price"", TODAY()-75, TODAY()), 0, 2))"),1461.1641509433964)</f>
        <v>1461.164151</v>
      </c>
      <c r="T318" s="9">
        <f>IFERROR(__xludf.DUMMYFUNCTION("AVERAGE(INDEX(GOOGLEFINANCE(A318, ""price"", TODAY()-300, TODAY()), 0, 2))"),1340.0089552238799)</f>
        <v>1340.008955</v>
      </c>
      <c r="U318" s="9">
        <f t="shared" si="5"/>
        <v>0.005399678172</v>
      </c>
      <c r="V318" s="15">
        <f>IFERROR(__xludf.DUMMYFUNCTION("LET(hist, GOOGLEFINANCE(A318,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rs))))))"),57.211703958691906)</f>
        <v>57.21170396</v>
      </c>
      <c r="W318" s="16" t="str">
        <f>IFERROR(__xludf.DUMMYFUNCTION("IFERROR(GOOGLEFINANCE(A318, ""volume"") / GOOGLEFINANCE(A318, ""volumeavg""), )"),"")</f>
        <v/>
      </c>
      <c r="X318" s="9">
        <f>IFERROR(__xludf.DUMMYFUNCTION("B318 * GOOGLEFINANCE(A318, ""volume"")"),4.78817588E8)</f>
        <v>478817588</v>
      </c>
      <c r="Y318" s="9">
        <f>IFERROR(__xludf.DUMMYFUNCTION("IFERROR(((B318 - GOOGLEFINANCE(A318, ""priceopen"")) / GOOGLEFINANCE(A318, ""priceopen"")) * GOOGLEFINANCE(A318, ""volume""), 0)"),604.5116883116883)</f>
        <v>604.5116883</v>
      </c>
    </row>
    <row r="319">
      <c r="A319" s="4" t="s">
        <v>2112</v>
      </c>
      <c r="B319" s="7">
        <f>IFERROR(__xludf.DUMMYFUNCTION("GOOGLEFINANCE(A319, ""price"")"),3834.0)</f>
        <v>3834</v>
      </c>
      <c r="C319" s="7">
        <f>IFERROR(__xludf.DUMMYFUNCTION("GOOGLEFINANCE(A319, ""changepct"")"),3.13)</f>
        <v>3.13</v>
      </c>
      <c r="D319" s="9">
        <f>IFERROR(__xludf.DUMMYFUNCTION("GOOGLEFINANCE(A319, ""priceopen"")"),3718.1)</f>
        <v>3718.1</v>
      </c>
      <c r="E319" s="9">
        <f>IFERROR(__xludf.DUMMYFUNCTION("GOOGLEFINANCE(A319, ""high"")"),3860.0)</f>
        <v>3860</v>
      </c>
      <c r="F319" s="9">
        <f>IFERROR(__xludf.DUMMYFUNCTION("GOOGLEFINANCE(A319, ""low"")"),3700.5)</f>
        <v>3700.5</v>
      </c>
      <c r="G319" s="9">
        <f>IFERROR(__xludf.DUMMYFUNCTION("GOOGLEFINANCE(A319, ""price"")"),3834.0)</f>
        <v>3834</v>
      </c>
      <c r="H319" s="9">
        <f>IFERROR(__xludf.DUMMYFUNCTION("MAX(INDEX(GOOGLEFINANCE(A319, ""high"", TODAY()-30, TODAY()), 0, 2))"),3963.2)</f>
        <v>3963.2</v>
      </c>
      <c r="I319" s="9">
        <f>IFERROR(__xludf.DUMMYFUNCTION("MIN(INDEX(GOOGLEFINANCE(A319, ""low"", TODAY()-30, TODAY()), 0, 2))"),3131.0)</f>
        <v>3131</v>
      </c>
      <c r="J319" s="9">
        <f>IFERROR(__xludf.DUMMYFUNCTION("GOOGLEFINANCE(A319, ""high52"")"),7705.0)</f>
        <v>7705</v>
      </c>
      <c r="K319" s="9">
        <f>IFERROR(__xludf.DUMMYFUNCTION("GOOGLEFINANCE(A319, ""low52"")"),2995.0)</f>
        <v>2995</v>
      </c>
      <c r="L319" s="9">
        <f t="shared" si="1"/>
        <v>0.5024010383</v>
      </c>
      <c r="M319" s="9">
        <f t="shared" si="2"/>
        <v>0.2801335559</v>
      </c>
      <c r="N319" s="9">
        <f t="shared" si="3"/>
        <v>0.04310228348</v>
      </c>
      <c r="O319" s="9">
        <f t="shared" si="4"/>
        <v>0.8447488584</v>
      </c>
      <c r="P319" s="9">
        <f>IFERROR(__xludf.DUMMYFUNCTION("GOOGLEFINANCE(A319, ""pe"")"),74.75)</f>
        <v>74.75</v>
      </c>
      <c r="Q319" s="9">
        <f>IFERROR(__xludf.DUMMYFUNCTION("IFERROR(GOOGLEFINANCE(A319, ""volume"") / GOOGLEFINANCE(A319, ""volumeavg""), 0)"),0.0)</f>
        <v>0</v>
      </c>
      <c r="R319" s="9">
        <f>IFERROR(__xludf.DUMMYFUNCTION("AVERAGE(INDEX(GOOGLEFINANCE(A319, ""price"", TODAY()-30, TODAY()), 0, 2))"),3524.273913043478)</f>
        <v>3524.273913</v>
      </c>
      <c r="S319" s="9">
        <f>IFERROR(__xludf.DUMMYFUNCTION("AVERAGE(INDEX(GOOGLEFINANCE(A319, ""price"", TODAY()-75, TODAY()), 0, 2))"),3338.573584905661)</f>
        <v>3338.573585</v>
      </c>
      <c r="T319" s="9">
        <f>IFERROR(__xludf.DUMMYFUNCTION("AVERAGE(INDEX(GOOGLEFINANCE(A319, ""price"", TODAY()-300, TODAY()), 0, 2))"),4106.215346534654)</f>
        <v>4106.215347</v>
      </c>
      <c r="U319" s="9">
        <f t="shared" si="5"/>
        <v>0.08788365905</v>
      </c>
      <c r="V319" s="15">
        <f>IFERROR(__xludf.DUMMYFUNCTION("LET(hist, GOOGLEFINANCE(A319,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rs))))))"),75.26003610418634)</f>
        <v>75.2600361</v>
      </c>
      <c r="W319" s="16" t="str">
        <f>IFERROR(__xludf.DUMMYFUNCTION("IFERROR(GOOGLEFINANCE(A319, ""volume"") / GOOGLEFINANCE(A319, ""volumeavg""), )"),"")</f>
        <v/>
      </c>
      <c r="X319" s="9">
        <f>IFERROR(__xludf.DUMMYFUNCTION("B319 * GOOGLEFINANCE(A319, ""volume"")"),4.67034876E9)</f>
        <v>4670348760</v>
      </c>
      <c r="Y319" s="9">
        <f>IFERROR(__xludf.DUMMYFUNCTION("IFERROR(((B319 - GOOGLEFINANCE(A319, ""priceopen"")) / GOOGLEFINANCE(A319, ""priceopen"")) * GOOGLEFINANCE(A319, ""volume""), 0)"),37971.6591807644)</f>
        <v>37971.65918</v>
      </c>
    </row>
    <row r="320">
      <c r="A320" s="4" t="s">
        <v>2113</v>
      </c>
      <c r="B320" s="7">
        <f>IFERROR(__xludf.DUMMYFUNCTION("GOOGLEFINANCE(A320, ""price"")"),1335.9)</f>
        <v>1335.9</v>
      </c>
      <c r="C320" s="7">
        <f>IFERROR(__xludf.DUMMYFUNCTION("GOOGLEFINANCE(A320, ""changepct"")"),-0.29)</f>
        <v>-0.29</v>
      </c>
      <c r="D320" s="9">
        <f>IFERROR(__xludf.DUMMYFUNCTION("GOOGLEFINANCE(A320, ""priceopen"")"),1349.0)</f>
        <v>1349</v>
      </c>
      <c r="E320" s="9">
        <f>IFERROR(__xludf.DUMMYFUNCTION("GOOGLEFINANCE(A320, ""high"")"),1349.0)</f>
        <v>1349</v>
      </c>
      <c r="F320" s="9">
        <f>IFERROR(__xludf.DUMMYFUNCTION("GOOGLEFINANCE(A320, ""low"")"),1324.0)</f>
        <v>1324</v>
      </c>
      <c r="G320" s="9">
        <f>IFERROR(__xludf.DUMMYFUNCTION("GOOGLEFINANCE(A320, ""price"")"),1335.9)</f>
        <v>1335.9</v>
      </c>
      <c r="H320" s="9">
        <f>IFERROR(__xludf.DUMMYFUNCTION("MAX(INDEX(GOOGLEFINANCE(A320, ""high"", TODAY()-30, TODAY()), 0, 2))"),1413.9)</f>
        <v>1413.9</v>
      </c>
      <c r="I320" s="9">
        <f>IFERROR(__xludf.DUMMYFUNCTION("MIN(INDEX(GOOGLEFINANCE(A320, ""low"", TODAY()-30, TODAY()), 0, 2))"),1312.0)</f>
        <v>1312</v>
      </c>
      <c r="J320" s="9">
        <f>IFERROR(__xludf.DUMMYFUNCTION("GOOGLEFINANCE(A320, ""high52"")"),1987.0)</f>
        <v>1987</v>
      </c>
      <c r="K320" s="9">
        <f>IFERROR(__xludf.DUMMYFUNCTION("GOOGLEFINANCE(A320, ""low52"")"),1251.7)</f>
        <v>1251.7</v>
      </c>
      <c r="L320" s="9">
        <f t="shared" si="1"/>
        <v>0.3276799195</v>
      </c>
      <c r="M320" s="9">
        <f t="shared" si="2"/>
        <v>0.06726851482</v>
      </c>
      <c r="N320" s="9">
        <f t="shared" si="3"/>
        <v>0.01888217523</v>
      </c>
      <c r="O320" s="9">
        <f t="shared" si="4"/>
        <v>0.2345436703</v>
      </c>
      <c r="P320" s="9">
        <f>IFERROR(__xludf.DUMMYFUNCTION("GOOGLEFINANCE(A320, ""pe"")"),13.18)</f>
        <v>13.18</v>
      </c>
      <c r="Q320" s="9">
        <f>IFERROR(__xludf.DUMMYFUNCTION("IFERROR(GOOGLEFINANCE(A320, ""volume"") / GOOGLEFINANCE(A320, ""volumeavg""), 0)"),0.0)</f>
        <v>0</v>
      </c>
      <c r="R320" s="9">
        <f>IFERROR(__xludf.DUMMYFUNCTION("AVERAGE(INDEX(GOOGLEFINANCE(A320, ""price"", TODAY()-30, TODAY()), 0, 2))"),1365.678260869565)</f>
        <v>1365.678261</v>
      </c>
      <c r="S320" s="9">
        <f>IFERROR(__xludf.DUMMYFUNCTION("AVERAGE(INDEX(GOOGLEFINANCE(A320, ""price"", TODAY()-75, TODAY()), 0, 2))"),1356.5000000000005)</f>
        <v>1356.5</v>
      </c>
      <c r="T320" s="9">
        <f>IFERROR(__xludf.DUMMYFUNCTION("AVERAGE(INDEX(GOOGLEFINANCE(A320, ""price"", TODAY()-300, TODAY()), 0, 2))"),1553.0024752475251)</f>
        <v>1553.002475</v>
      </c>
      <c r="U320" s="9">
        <f t="shared" si="5"/>
        <v>-0.02180474107</v>
      </c>
      <c r="V320" s="15">
        <f>IFERROR(__xludf.DUMMYFUNCTION("LET(hist, GOOGLEFINANCE(A320,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rs))))))"),49.736967957914835)</f>
        <v>49.73696796</v>
      </c>
      <c r="W320" s="16" t="str">
        <f>IFERROR(__xludf.DUMMYFUNCTION("IFERROR(GOOGLEFINANCE(A320, ""volume"") / GOOGLEFINANCE(A320, ""volumeavg""), )"),"")</f>
        <v/>
      </c>
      <c r="X320" s="9">
        <f>IFERROR(__xludf.DUMMYFUNCTION("B320 * GOOGLEFINANCE(A320, ""volume"")"),1.834083828E8)</f>
        <v>183408382.8</v>
      </c>
      <c r="Y320" s="9">
        <f>IFERROR(__xludf.DUMMYFUNCTION("IFERROR(((B320 - GOOGLEFINANCE(A320, ""priceopen"")) / GOOGLEFINANCE(A320, ""priceopen"")) * GOOGLEFINANCE(A320, ""volume""), 0)"),-1333.228465530013)</f>
        <v>-1333.228466</v>
      </c>
    </row>
    <row r="321">
      <c r="A321" s="4" t="s">
        <v>2114</v>
      </c>
      <c r="B321" s="7">
        <f>IFERROR(__xludf.DUMMYFUNCTION("GOOGLEFINANCE(A321, ""price"")"),547.0)</f>
        <v>547</v>
      </c>
      <c r="C321" s="7">
        <f>IFERROR(__xludf.DUMMYFUNCTION("GOOGLEFINANCE(A321, ""changepct"")"),-1.99)</f>
        <v>-1.99</v>
      </c>
      <c r="D321" s="9">
        <f>IFERROR(__xludf.DUMMYFUNCTION("GOOGLEFINANCE(A321, ""priceopen"")"),558.15)</f>
        <v>558.15</v>
      </c>
      <c r="E321" s="9">
        <f>IFERROR(__xludf.DUMMYFUNCTION("GOOGLEFINANCE(A321, ""high"")"),558.25)</f>
        <v>558.25</v>
      </c>
      <c r="F321" s="9">
        <f>IFERROR(__xludf.DUMMYFUNCTION("GOOGLEFINANCE(A321, ""low"")"),541.05)</f>
        <v>541.05</v>
      </c>
      <c r="G321" s="9">
        <f>IFERROR(__xludf.DUMMYFUNCTION("GOOGLEFINANCE(A321, ""price"")"),547.0)</f>
        <v>547</v>
      </c>
      <c r="H321" s="9">
        <f>IFERROR(__xludf.DUMMYFUNCTION("MAX(INDEX(GOOGLEFINANCE(A321, ""high"", TODAY()-30, TODAY()), 0, 2))"),569.0)</f>
        <v>569</v>
      </c>
      <c r="I321" s="9">
        <f>IFERROR(__xludf.DUMMYFUNCTION("MIN(INDEX(GOOGLEFINANCE(A321, ""low"", TODAY()-30, TODAY()), 0, 2))"),488.25)</f>
        <v>488.25</v>
      </c>
      <c r="J321" s="9">
        <f>IFERROR(__xludf.DUMMYFUNCTION("GOOGLEFINANCE(A321, ""high52"")"),617.45)</f>
        <v>617.45</v>
      </c>
      <c r="K321" s="9">
        <f>IFERROR(__xludf.DUMMYFUNCTION("GOOGLEFINANCE(A321, ""low52"")"),362.6)</f>
        <v>362.6</v>
      </c>
      <c r="L321" s="9">
        <f t="shared" si="1"/>
        <v>0.1140983076</v>
      </c>
      <c r="M321" s="9">
        <f t="shared" si="2"/>
        <v>0.5085493657</v>
      </c>
      <c r="N321" s="9">
        <f t="shared" si="3"/>
        <v>0.03179003789</v>
      </c>
      <c r="O321" s="9">
        <f t="shared" si="4"/>
        <v>0.7275541796</v>
      </c>
      <c r="P321" s="9">
        <f>IFERROR(__xludf.DUMMYFUNCTION("GOOGLEFINANCE(A321, ""pe"")"),47.12)</f>
        <v>47.12</v>
      </c>
      <c r="Q321" s="9">
        <f>IFERROR(__xludf.DUMMYFUNCTION("IFERROR(GOOGLEFINANCE(A321, ""volume"") / GOOGLEFINANCE(A321, ""volumeavg""), 0)"),0.0)</f>
        <v>0</v>
      </c>
      <c r="R321" s="9">
        <f>IFERROR(__xludf.DUMMYFUNCTION("AVERAGE(INDEX(GOOGLEFINANCE(A321, ""price"", TODAY()-30, TODAY()), 0, 2))"),530.3326086956522)</f>
        <v>530.3326087</v>
      </c>
      <c r="S321" s="9">
        <f>IFERROR(__xludf.DUMMYFUNCTION("AVERAGE(INDEX(GOOGLEFINANCE(A321, ""price"", TODAY()-75, TODAY()), 0, 2))"),492.3622641509434)</f>
        <v>492.3622642</v>
      </c>
      <c r="T321" s="9">
        <f>IFERROR(__xludf.DUMMYFUNCTION("AVERAGE(INDEX(GOOGLEFINANCE(A321, ""price"", TODAY()-300, TODAY()), 0, 2))"),455.3933168316833)</f>
        <v>455.3933168</v>
      </c>
      <c r="U321" s="9">
        <f t="shared" si="5"/>
        <v>0.03142818494</v>
      </c>
      <c r="V321" s="15">
        <f>IFERROR(__xludf.DUMMYFUNCTION("LET(hist, GOOGLEFINANCE(A321,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rs))))))"),55.217669654289395)</f>
        <v>55.21766965</v>
      </c>
      <c r="W321" s="16" t="str">
        <f>IFERROR(__xludf.DUMMYFUNCTION("IFERROR(GOOGLEFINANCE(A321, ""volume"") / GOOGLEFINANCE(A321, ""volumeavg""), )"),"")</f>
        <v/>
      </c>
      <c r="X321" s="9">
        <f>IFERROR(__xludf.DUMMYFUNCTION("B321 * GOOGLEFINANCE(A321, ""volume"")"),1.94002849E8)</f>
        <v>194002849</v>
      </c>
      <c r="Y321" s="9">
        <f>IFERROR(__xludf.DUMMYFUNCTION("IFERROR(((B321 - GOOGLEFINANCE(A321, ""priceopen"")) / GOOGLEFINANCE(A321, ""priceopen"")) * GOOGLEFINANCE(A321, ""volume""), 0)"),-7085.079369345143)</f>
        <v>-7085.079369</v>
      </c>
    </row>
    <row r="322">
      <c r="A322" s="4" t="s">
        <v>2115</v>
      </c>
      <c r="B322" s="7">
        <f>IFERROR(__xludf.DUMMYFUNCTION("GOOGLEFINANCE(A322, ""price"")"),3151.0)</f>
        <v>3151</v>
      </c>
      <c r="C322" s="7">
        <f>IFERROR(__xludf.DUMMYFUNCTION("GOOGLEFINANCE(A322, ""changepct"")"),-2.93)</f>
        <v>-2.93</v>
      </c>
      <c r="D322" s="9">
        <f>IFERROR(__xludf.DUMMYFUNCTION("GOOGLEFINANCE(A322, ""priceopen"")"),3242.0)</f>
        <v>3242</v>
      </c>
      <c r="E322" s="9">
        <f>IFERROR(__xludf.DUMMYFUNCTION("GOOGLEFINANCE(A322, ""high"")"),3285.0)</f>
        <v>3285</v>
      </c>
      <c r="F322" s="9">
        <f>IFERROR(__xludf.DUMMYFUNCTION("GOOGLEFINANCE(A322, ""low"")"),3136.2)</f>
        <v>3136.2</v>
      </c>
      <c r="G322" s="9">
        <f>IFERROR(__xludf.DUMMYFUNCTION("GOOGLEFINANCE(A322, ""price"")"),3151.0)</f>
        <v>3151</v>
      </c>
      <c r="H322" s="9">
        <f>IFERROR(__xludf.DUMMYFUNCTION("MAX(INDEX(GOOGLEFINANCE(A322, ""high"", TODAY()-30, TODAY()), 0, 2))"),3700.0)</f>
        <v>3700</v>
      </c>
      <c r="I322" s="9">
        <f>IFERROR(__xludf.DUMMYFUNCTION("MIN(INDEX(GOOGLEFINANCE(A322, ""low"", TODAY()-30, TODAY()), 0, 2))"),3025.0)</f>
        <v>3025</v>
      </c>
      <c r="J322" s="9">
        <f>IFERROR(__xludf.DUMMYFUNCTION("GOOGLEFINANCE(A322, ""high52"")"),3740.0)</f>
        <v>3740</v>
      </c>
      <c r="K322" s="9">
        <f>IFERROR(__xludf.DUMMYFUNCTION("GOOGLEFINANCE(A322, ""low52"")"),1282.7)</f>
        <v>1282.7</v>
      </c>
      <c r="L322" s="9">
        <f t="shared" si="1"/>
        <v>0.157486631</v>
      </c>
      <c r="M322" s="9">
        <f t="shared" si="2"/>
        <v>1.456536992</v>
      </c>
      <c r="N322" s="9">
        <f t="shared" si="3"/>
        <v>0.0474459537</v>
      </c>
      <c r="O322" s="9">
        <f t="shared" si="4"/>
        <v>0.1866666667</v>
      </c>
      <c r="P322" s="9">
        <f>IFERROR(__xludf.DUMMYFUNCTION("GOOGLEFINANCE(A322, ""pe"")"),67.04)</f>
        <v>67.04</v>
      </c>
      <c r="Q322" s="9">
        <f>IFERROR(__xludf.DUMMYFUNCTION("IFERROR(GOOGLEFINANCE(A322, ""volume"") / GOOGLEFINANCE(A322, ""volumeavg""), 0)"),0.0)</f>
        <v>0</v>
      </c>
      <c r="R322" s="9">
        <f>IFERROR(__xludf.DUMMYFUNCTION("AVERAGE(INDEX(GOOGLEFINANCE(A322, ""price"", TODAY()-30, TODAY()), 0, 2))"),3373.486956521739)</f>
        <v>3373.486957</v>
      </c>
      <c r="S322" s="9">
        <f>IFERROR(__xludf.DUMMYFUNCTION("AVERAGE(INDEX(GOOGLEFINANCE(A322, ""price"", TODAY()-75, TODAY()), 0, 2))"),3325.332075471697)</f>
        <v>3325.332075</v>
      </c>
      <c r="T322" s="9">
        <f>IFERROR(__xludf.DUMMYFUNCTION("AVERAGE(INDEX(GOOGLEFINANCE(A322, ""price"", TODAY()-300, TODAY()), 0, 2))"),2390.144554455445)</f>
        <v>2390.144554</v>
      </c>
      <c r="U322" s="9">
        <f t="shared" si="5"/>
        <v>-0.06595162791</v>
      </c>
      <c r="V322" s="15">
        <f>IFERROR(__xludf.DUMMYFUNCTION("LET(hist, GOOGLEFINANCE(A322,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rs))))))"),34.23739300814687)</f>
        <v>34.23739301</v>
      </c>
      <c r="W322" s="16" t="str">
        <f>IFERROR(__xludf.DUMMYFUNCTION("IFERROR(GOOGLEFINANCE(A322, ""volume"") / GOOGLEFINANCE(A322, ""volumeavg""), )"),"")</f>
        <v/>
      </c>
      <c r="X322" s="9">
        <f>IFERROR(__xludf.DUMMYFUNCTION("B322 * GOOGLEFINANCE(A322, ""volume"")"),5.01147644E8)</f>
        <v>501147644</v>
      </c>
      <c r="Y322" s="9">
        <f>IFERROR(__xludf.DUMMYFUNCTION("IFERROR(((B322 - GOOGLEFINANCE(A322, ""priceopen"")) / GOOGLEFINANCE(A322, ""priceopen"")) * GOOGLEFINANCE(A322, ""volume""), 0)"),-4464.220851326342)</f>
        <v>-4464.220851</v>
      </c>
    </row>
    <row r="323">
      <c r="A323" s="4" t="s">
        <v>2116</v>
      </c>
      <c r="B323" s="7">
        <f>IFERROR(__xludf.DUMMYFUNCTION("GOOGLEFINANCE(A323, ""price"")"),340.05)</f>
        <v>340.05</v>
      </c>
      <c r="C323" s="7">
        <f>IFERROR(__xludf.DUMMYFUNCTION("GOOGLEFINANCE(A323, ""changepct"")"),-4.09)</f>
        <v>-4.09</v>
      </c>
      <c r="D323" s="9">
        <f>IFERROR(__xludf.DUMMYFUNCTION("GOOGLEFINANCE(A323, ""priceopen"")"),355.0)</f>
        <v>355</v>
      </c>
      <c r="E323" s="9">
        <f>IFERROR(__xludf.DUMMYFUNCTION("GOOGLEFINANCE(A323, ""high"")"),356.2)</f>
        <v>356.2</v>
      </c>
      <c r="F323" s="9">
        <f>IFERROR(__xludf.DUMMYFUNCTION("GOOGLEFINANCE(A323, ""low"")"),338.0)</f>
        <v>338</v>
      </c>
      <c r="G323" s="9">
        <f>IFERROR(__xludf.DUMMYFUNCTION("GOOGLEFINANCE(A323, ""price"")"),340.05)</f>
        <v>340.05</v>
      </c>
      <c r="H323" s="9">
        <f>IFERROR(__xludf.DUMMYFUNCTION("MAX(INDEX(GOOGLEFINANCE(A323, ""high"", TODAY()-30, TODAY()), 0, 2))"),364.5)</f>
        <v>364.5</v>
      </c>
      <c r="I323" s="9">
        <f>IFERROR(__xludf.DUMMYFUNCTION("MIN(INDEX(GOOGLEFINANCE(A323, ""low"", TODAY()-30, TODAY()), 0, 2))"),255.7)</f>
        <v>255.7</v>
      </c>
      <c r="J323" s="9">
        <f>IFERROR(__xludf.DUMMYFUNCTION("GOOGLEFINANCE(A323, ""high52"")"),364.5)</f>
        <v>364.5</v>
      </c>
      <c r="K323" s="9">
        <f>IFERROR(__xludf.DUMMYFUNCTION("GOOGLEFINANCE(A323, ""low52"")"),191.31)</f>
        <v>191.31</v>
      </c>
      <c r="L323" s="9">
        <f t="shared" si="1"/>
        <v>0.0670781893</v>
      </c>
      <c r="M323" s="9">
        <f t="shared" si="2"/>
        <v>0.7774815744</v>
      </c>
      <c r="N323" s="9">
        <f t="shared" si="3"/>
        <v>0.05384615385</v>
      </c>
      <c r="O323" s="9">
        <f t="shared" si="4"/>
        <v>0.7752757353</v>
      </c>
      <c r="P323" s="9">
        <f>IFERROR(__xludf.DUMMYFUNCTION("GOOGLEFINANCE(A323, ""pe"")"),15.63)</f>
        <v>15.63</v>
      </c>
      <c r="Q323" s="9">
        <f>IFERROR(__xludf.DUMMYFUNCTION("IFERROR(GOOGLEFINANCE(A323, ""volume"") / GOOGLEFINANCE(A323, ""volumeavg""), 0)"),0.0)</f>
        <v>0</v>
      </c>
      <c r="R323" s="9">
        <f>IFERROR(__xludf.DUMMYFUNCTION("AVERAGE(INDEX(GOOGLEFINANCE(A323, ""price"", TODAY()-30, TODAY()), 0, 2))"),304.354347826087)</f>
        <v>304.3543478</v>
      </c>
      <c r="S323" s="9">
        <f>IFERROR(__xludf.DUMMYFUNCTION("AVERAGE(INDEX(GOOGLEFINANCE(A323, ""price"", TODAY()-75, TODAY()), 0, 2))"),278.5016981132075)</f>
        <v>278.5016981</v>
      </c>
      <c r="T323" s="9">
        <f>IFERROR(__xludf.DUMMYFUNCTION("AVERAGE(INDEX(GOOGLEFINANCE(A323, ""price"", TODAY()-300, TODAY()), 0, 2))"),259.7356435643565)</f>
        <v>259.7356436</v>
      </c>
      <c r="U323" s="9">
        <f t="shared" si="5"/>
        <v>0.1172832011</v>
      </c>
      <c r="V323" s="15">
        <f>IFERROR(__xludf.DUMMYFUNCTION("LET(hist, GOOGLEFINANCE(A323,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rs))))))"),82.05553253211767)</f>
        <v>82.05553253</v>
      </c>
      <c r="W323" s="16" t="str">
        <f>IFERROR(__xludf.DUMMYFUNCTION("IFERROR(GOOGLEFINANCE(A323, ""volume"") / GOOGLEFINANCE(A323, ""volumeavg""), )"),"")</f>
        <v/>
      </c>
      <c r="X323" s="9">
        <f>IFERROR(__xludf.DUMMYFUNCTION("B323 * GOOGLEFINANCE(A323, ""volume"")"),1.0283560866E9)</f>
        <v>1028356087</v>
      </c>
      <c r="Y323" s="9">
        <f>IFERROR(__xludf.DUMMYFUNCTION("IFERROR(((B323 - GOOGLEFINANCE(A323, ""priceopen"")) / GOOGLEFINANCE(A323, ""priceopen"")) * GOOGLEFINANCE(A323, ""volume""), 0)"),-127354.29126760554)</f>
        <v>-127354.2913</v>
      </c>
    </row>
    <row r="324">
      <c r="A324" s="4" t="s">
        <v>2117</v>
      </c>
      <c r="B324" s="7">
        <f>IFERROR(__xludf.DUMMYFUNCTION("GOOGLEFINANCE(A324, ""price"")"),7585.0)</f>
        <v>7585</v>
      </c>
      <c r="C324" s="7">
        <f>IFERROR(__xludf.DUMMYFUNCTION("GOOGLEFINANCE(A324, ""changepct"")"),-0.74)</f>
        <v>-0.74</v>
      </c>
      <c r="D324" s="9">
        <f>IFERROR(__xludf.DUMMYFUNCTION("GOOGLEFINANCE(A324, ""priceopen"")"),7660.0)</f>
        <v>7660</v>
      </c>
      <c r="E324" s="9">
        <f>IFERROR(__xludf.DUMMYFUNCTION("GOOGLEFINANCE(A324, ""high"")"),7660.0)</f>
        <v>7660</v>
      </c>
      <c r="F324" s="9">
        <f>IFERROR(__xludf.DUMMYFUNCTION("GOOGLEFINANCE(A324, ""low"")"),7581.5)</f>
        <v>7581.5</v>
      </c>
      <c r="G324" s="9">
        <f>IFERROR(__xludf.DUMMYFUNCTION("GOOGLEFINANCE(A324, ""price"")"),7585.0)</f>
        <v>7585</v>
      </c>
      <c r="H324" s="9">
        <f>IFERROR(__xludf.DUMMYFUNCTION("MAX(INDEX(GOOGLEFINANCE(A324, ""high"", TODAY()-30, TODAY()), 0, 2))"),8100.0)</f>
        <v>8100</v>
      </c>
      <c r="I324" s="9">
        <f>IFERROR(__xludf.DUMMYFUNCTION("MIN(INDEX(GOOGLEFINANCE(A324, ""low"", TODAY()-30, TODAY()), 0, 2))"),7546.0)</f>
        <v>7546</v>
      </c>
      <c r="J324" s="9">
        <f>IFERROR(__xludf.DUMMYFUNCTION("GOOGLEFINANCE(A324, ""high52"")"),10740.0)</f>
        <v>10740</v>
      </c>
      <c r="K324" s="9">
        <f>IFERROR(__xludf.DUMMYFUNCTION("GOOGLEFINANCE(A324, ""low52"")"),7206.0)</f>
        <v>7206</v>
      </c>
      <c r="L324" s="9">
        <f t="shared" si="1"/>
        <v>0.2937616387</v>
      </c>
      <c r="M324" s="9">
        <f t="shared" si="2"/>
        <v>0.05259505967</v>
      </c>
      <c r="N324" s="9">
        <f t="shared" si="3"/>
        <v>0.01035415155</v>
      </c>
      <c r="O324" s="9">
        <f t="shared" si="4"/>
        <v>0.07039711191</v>
      </c>
      <c r="P324" s="9">
        <f>IFERROR(__xludf.DUMMYFUNCTION("GOOGLEFINANCE(A324, ""pe"")"),37.0)</f>
        <v>37</v>
      </c>
      <c r="Q324" s="9">
        <f>IFERROR(__xludf.DUMMYFUNCTION("IFERROR(GOOGLEFINANCE(A324, ""volume"") / GOOGLEFINANCE(A324, ""volumeavg""), 0)"),0.0)</f>
        <v>0</v>
      </c>
      <c r="R324" s="9">
        <f>IFERROR(__xludf.DUMMYFUNCTION("AVERAGE(INDEX(GOOGLEFINANCE(A324, ""price"", TODAY()-30, TODAY()), 0, 2))"),7768.260869565217)</f>
        <v>7768.26087</v>
      </c>
      <c r="S324" s="9">
        <f>IFERROR(__xludf.DUMMYFUNCTION("AVERAGE(INDEX(GOOGLEFINANCE(A324, ""price"", TODAY()-75, TODAY()), 0, 2))"),7756.226415094339)</f>
        <v>7756.226415</v>
      </c>
      <c r="T324" s="9">
        <f>IFERROR(__xludf.DUMMYFUNCTION("AVERAGE(INDEX(GOOGLEFINANCE(A324, ""price"", TODAY()-300, TODAY()), 0, 2))"),8108.099502487562)</f>
        <v>8108.099502</v>
      </c>
      <c r="U324" s="9">
        <f t="shared" si="5"/>
        <v>-0.02359097778</v>
      </c>
      <c r="V324" s="15">
        <f>IFERROR(__xludf.DUMMYFUNCTION("LET(hist, GOOGLEFINANCE(A324,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rs))))))"),39.74025974025974)</f>
        <v>39.74025974</v>
      </c>
      <c r="W324" s="16" t="str">
        <f>IFERROR(__xludf.DUMMYFUNCTION("IFERROR(GOOGLEFINANCE(A324, ""volume"") / GOOGLEFINANCE(A324, ""volumeavg""), )"),"")</f>
        <v/>
      </c>
      <c r="X324" s="9">
        <f>IFERROR(__xludf.DUMMYFUNCTION("B324 * GOOGLEFINANCE(A324, ""volume"")"),7.4704665E7)</f>
        <v>74704665</v>
      </c>
      <c r="Y324" s="9">
        <f>IFERROR(__xludf.DUMMYFUNCTION("IFERROR(((B324 - GOOGLEFINANCE(A324, ""priceopen"")) / GOOGLEFINANCE(A324, ""priceopen"")) * GOOGLEFINANCE(A324, ""volume""), 0)"),-96.4327676240209)</f>
        <v>-96.43276762</v>
      </c>
    </row>
    <row r="325">
      <c r="A325" s="4" t="s">
        <v>2118</v>
      </c>
      <c r="B325" s="7">
        <f>IFERROR(__xludf.DUMMYFUNCTION("GOOGLEFINANCE(A325, ""price"")"),1645.2)</f>
        <v>1645.2</v>
      </c>
      <c r="C325" s="7">
        <f>IFERROR(__xludf.DUMMYFUNCTION("GOOGLEFINANCE(A325, ""changepct"")"),-0.6)</f>
        <v>-0.6</v>
      </c>
      <c r="D325" s="9">
        <f>IFERROR(__xludf.DUMMYFUNCTION("GOOGLEFINANCE(A325, ""priceopen"")"),1659.9)</f>
        <v>1659.9</v>
      </c>
      <c r="E325" s="9">
        <f>IFERROR(__xludf.DUMMYFUNCTION("GOOGLEFINANCE(A325, ""high"")"),1679.8)</f>
        <v>1679.8</v>
      </c>
      <c r="F325" s="9">
        <f>IFERROR(__xludf.DUMMYFUNCTION("GOOGLEFINANCE(A325, ""low"")"),1625.1)</f>
        <v>1625.1</v>
      </c>
      <c r="G325" s="9">
        <f>IFERROR(__xludf.DUMMYFUNCTION("GOOGLEFINANCE(A325, ""price"")"),1645.2)</f>
        <v>1645.2</v>
      </c>
      <c r="H325" s="9">
        <f>IFERROR(__xludf.DUMMYFUNCTION("MAX(INDEX(GOOGLEFINANCE(A325, ""high"", TODAY()-30, TODAY()), 0, 2))"),1684.1)</f>
        <v>1684.1</v>
      </c>
      <c r="I325" s="9">
        <f>IFERROR(__xludf.DUMMYFUNCTION("MIN(INDEX(GOOGLEFINANCE(A325, ""low"", TODAY()-30, TODAY()), 0, 2))"),1390.3)</f>
        <v>1390.3</v>
      </c>
      <c r="J325" s="9">
        <f>IFERROR(__xludf.DUMMYFUNCTION("GOOGLEFINANCE(A325, ""high52"")"),1684.1)</f>
        <v>1684.1</v>
      </c>
      <c r="K325" s="9">
        <f>IFERROR(__xludf.DUMMYFUNCTION("GOOGLEFINANCE(A325, ""low52"")"),570.75)</f>
        <v>570.75</v>
      </c>
      <c r="L325" s="9">
        <f t="shared" si="1"/>
        <v>0.02309839083</v>
      </c>
      <c r="M325" s="9">
        <f t="shared" si="2"/>
        <v>1.882522996</v>
      </c>
      <c r="N325" s="9">
        <f t="shared" si="3"/>
        <v>0.03365946711</v>
      </c>
      <c r="O325" s="9">
        <f t="shared" si="4"/>
        <v>0.8675970048</v>
      </c>
      <c r="P325" s="9">
        <f>IFERROR(__xludf.DUMMYFUNCTION("GOOGLEFINANCE(A325, ""pe"")"),107.48)</f>
        <v>107.48</v>
      </c>
      <c r="Q325" s="9">
        <f>IFERROR(__xludf.DUMMYFUNCTION("IFERROR(GOOGLEFINANCE(A325, ""volume"") / GOOGLEFINANCE(A325, ""volumeavg""), 0)"),0.0)</f>
        <v>0</v>
      </c>
      <c r="R325" s="9">
        <f>IFERROR(__xludf.DUMMYFUNCTION("AVERAGE(INDEX(GOOGLEFINANCE(A325, ""price"", TODAY()-30, TODAY()), 0, 2))"),1520.5956521739129)</f>
        <v>1520.595652</v>
      </c>
      <c r="S325" s="9">
        <f>IFERROR(__xludf.DUMMYFUNCTION("AVERAGE(INDEX(GOOGLEFINANCE(A325, ""price"", TODAY()-75, TODAY()), 0, 2))"),1405.5132075471697)</f>
        <v>1405.513208</v>
      </c>
      <c r="T325" s="9">
        <f>IFERROR(__xludf.DUMMYFUNCTION("AVERAGE(INDEX(GOOGLEFINANCE(A325, ""price"", TODAY()-300, TODAY()), 0, 2))"),923.3871287128718)</f>
        <v>923.3871287</v>
      </c>
      <c r="U325" s="9">
        <f t="shared" si="5"/>
        <v>0.08194443253</v>
      </c>
      <c r="V325" s="15">
        <f>IFERROR(__xludf.DUMMYFUNCTION("LET(hist, GOOGLEFINANCE(A325,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rs))))))"),68.10734463276836)</f>
        <v>68.10734463</v>
      </c>
      <c r="W325" s="16" t="str">
        <f>IFERROR(__xludf.DUMMYFUNCTION("IFERROR(GOOGLEFINANCE(A325, ""volume"") / GOOGLEFINANCE(A325, ""volumeavg""), )"),"")</f>
        <v/>
      </c>
      <c r="X325" s="9">
        <f>IFERROR(__xludf.DUMMYFUNCTION("B325 * GOOGLEFINANCE(A325, ""volume"")"),4.754776068E8)</f>
        <v>475477606.8</v>
      </c>
      <c r="Y325" s="9">
        <f>IFERROR(__xludf.DUMMYFUNCTION("IFERROR(((B325 - GOOGLEFINANCE(A325, ""priceopen"")) / GOOGLEFINANCE(A325, ""priceopen"")) * GOOGLEFINANCE(A325, ""volume""), 0)"),-2559.4507500451914)</f>
        <v>-2559.45075</v>
      </c>
    </row>
    <row r="326">
      <c r="A326" s="4" t="s">
        <v>2119</v>
      </c>
      <c r="B326" s="7">
        <f>IFERROR(__xludf.DUMMYFUNCTION("GOOGLEFINANCE(A326, ""price"")"),194.6)</f>
        <v>194.6</v>
      </c>
      <c r="C326" s="7">
        <f>IFERROR(__xludf.DUMMYFUNCTION("GOOGLEFINANCE(A326, ""changepct"")"),0.9)</f>
        <v>0.9</v>
      </c>
      <c r="D326" s="9">
        <f>IFERROR(__xludf.DUMMYFUNCTION("GOOGLEFINANCE(A326, ""priceopen"")"),192.86)</f>
        <v>192.86</v>
      </c>
      <c r="E326" s="9">
        <f>IFERROR(__xludf.DUMMYFUNCTION("GOOGLEFINANCE(A326, ""high"")"),195.0)</f>
        <v>195</v>
      </c>
      <c r="F326" s="9">
        <f>IFERROR(__xludf.DUMMYFUNCTION("GOOGLEFINANCE(A326, ""low"")"),191.3)</f>
        <v>191.3</v>
      </c>
      <c r="G326" s="9">
        <f>IFERROR(__xludf.DUMMYFUNCTION("GOOGLEFINANCE(A326, ""price"")"),194.6)</f>
        <v>194.6</v>
      </c>
      <c r="H326" s="9">
        <f>IFERROR(__xludf.DUMMYFUNCTION("MAX(INDEX(GOOGLEFINANCE(A326, ""high"", TODAY()-30, TODAY()), 0, 2))"),201.5)</f>
        <v>201.5</v>
      </c>
      <c r="I326" s="9">
        <f>IFERROR(__xludf.DUMMYFUNCTION("MIN(INDEX(GOOGLEFINANCE(A326, ""low"", TODAY()-30, TODAY()), 0, 2))"),185.0)</f>
        <v>185</v>
      </c>
      <c r="J326" s="9">
        <f>IFERROR(__xludf.DUMMYFUNCTION("GOOGLEFINANCE(A326, ""high52"")"),282.9)</f>
        <v>282.9</v>
      </c>
      <c r="K326" s="9">
        <f>IFERROR(__xludf.DUMMYFUNCTION("GOOGLEFINANCE(A326, ""low52"")"),171.19)</f>
        <v>171.19</v>
      </c>
      <c r="L326" s="9">
        <f t="shared" si="1"/>
        <v>0.3121244256</v>
      </c>
      <c r="M326" s="9">
        <f t="shared" si="2"/>
        <v>0.1367486419</v>
      </c>
      <c r="N326" s="9">
        <f t="shared" si="3"/>
        <v>0.01934134867</v>
      </c>
      <c r="O326" s="9">
        <f t="shared" si="4"/>
        <v>0.5818181818</v>
      </c>
      <c r="P326" s="9">
        <f>IFERROR(__xludf.DUMMYFUNCTION("GOOGLEFINANCE(A326, ""pe"")"),21.81)</f>
        <v>21.81</v>
      </c>
      <c r="Q326" s="9">
        <f>IFERROR(__xludf.DUMMYFUNCTION("IFERROR(GOOGLEFINANCE(A326, ""volume"") / GOOGLEFINANCE(A326, ""volumeavg""), 0)"),0.0)</f>
        <v>0</v>
      </c>
      <c r="R326" s="9">
        <f>IFERROR(__xludf.DUMMYFUNCTION("AVERAGE(INDEX(GOOGLEFINANCE(A326, ""price"", TODAY()-30, TODAY()), 0, 2))"),190.78913043478263)</f>
        <v>190.7891304</v>
      </c>
      <c r="S326" s="9">
        <f>IFERROR(__xludf.DUMMYFUNCTION("AVERAGE(INDEX(GOOGLEFINANCE(A326, ""price"", TODAY()-75, TODAY()), 0, 2))"),189.0845283018868)</f>
        <v>189.0845283</v>
      </c>
      <c r="T326" s="9">
        <f>IFERROR(__xludf.DUMMYFUNCTION("AVERAGE(INDEX(GOOGLEFINANCE(A326, ""price"", TODAY()-300, TODAY()), 0, 2))"),211.48910891089096)</f>
        <v>211.4891089</v>
      </c>
      <c r="U326" s="9">
        <f t="shared" si="5"/>
        <v>0.01997424883</v>
      </c>
      <c r="V326" s="15">
        <f>IFERROR(__xludf.DUMMYFUNCTION("LET(hist, GOOGLEFINANCE(A326,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rs))))))"),63.783346806790675)</f>
        <v>63.78334681</v>
      </c>
      <c r="W326" s="16" t="str">
        <f>IFERROR(__xludf.DUMMYFUNCTION("IFERROR(GOOGLEFINANCE(A326, ""volume"") / GOOGLEFINANCE(A326, ""volumeavg""), )"),"")</f>
        <v/>
      </c>
      <c r="X326" s="9">
        <f>IFERROR(__xludf.DUMMYFUNCTION("B326 * GOOGLEFINANCE(A326, ""volume"")"),2.785751542E8)</f>
        <v>278575154.2</v>
      </c>
      <c r="Y326" s="9">
        <f>IFERROR(__xludf.DUMMYFUNCTION("IFERROR(((B326 - GOOGLEFINANCE(A326, ""priceopen"")) / GOOGLEFINANCE(A326, ""priceopen"")) * GOOGLEFINANCE(A326, ""volume""), 0)"),12915.363372394339)</f>
        <v>12915.36337</v>
      </c>
    </row>
    <row r="327">
      <c r="A327" s="4" t="s">
        <v>2120</v>
      </c>
      <c r="B327" s="7">
        <f>IFERROR(__xludf.DUMMYFUNCTION("GOOGLEFINANCE(A327, ""price"")"),22507.0)</f>
        <v>22507</v>
      </c>
      <c r="C327" s="7">
        <f>IFERROR(__xludf.DUMMYFUNCTION("GOOGLEFINANCE(A327, ""changepct"")"),-1.95)</f>
        <v>-1.95</v>
      </c>
      <c r="D327" s="9">
        <f>IFERROR(__xludf.DUMMYFUNCTION("GOOGLEFINANCE(A327, ""priceopen"")"),22988.0)</f>
        <v>22988</v>
      </c>
      <c r="E327" s="9">
        <f>IFERROR(__xludf.DUMMYFUNCTION("GOOGLEFINANCE(A327, ""high"")"),23100.0)</f>
        <v>23100</v>
      </c>
      <c r="F327" s="9">
        <f>IFERROR(__xludf.DUMMYFUNCTION("GOOGLEFINANCE(A327, ""low"")"),22419.0)</f>
        <v>22419</v>
      </c>
      <c r="G327" s="9">
        <f>IFERROR(__xludf.DUMMYFUNCTION("GOOGLEFINANCE(A327, ""price"")"),22507.0)</f>
        <v>22507</v>
      </c>
      <c r="H327" s="9">
        <f>IFERROR(__xludf.DUMMYFUNCTION("MAX(INDEX(GOOGLEFINANCE(A327, ""high"", TODAY()-30, TODAY()), 0, 2))"),23500.0)</f>
        <v>23500</v>
      </c>
      <c r="I327" s="9">
        <f>IFERROR(__xludf.DUMMYFUNCTION("MIN(INDEX(GOOGLEFINANCE(A327, ""low"", TODAY()-30, TODAY()), 0, 2))"),18055.0)</f>
        <v>18055</v>
      </c>
      <c r="J327" s="9">
        <f>IFERROR(__xludf.DUMMYFUNCTION("GOOGLEFINANCE(A327, ""high52"")"),23500.0)</f>
        <v>23500</v>
      </c>
      <c r="K327" s="9">
        <f>IFERROR(__xludf.DUMMYFUNCTION("GOOGLEFINANCE(A327, ""low52"")"),11500.0)</f>
        <v>11500</v>
      </c>
      <c r="L327" s="9">
        <f t="shared" si="1"/>
        <v>0.04225531915</v>
      </c>
      <c r="M327" s="9">
        <f t="shared" si="2"/>
        <v>0.9571304348</v>
      </c>
      <c r="N327" s="9">
        <f t="shared" si="3"/>
        <v>0.03037602034</v>
      </c>
      <c r="O327" s="9">
        <f t="shared" si="4"/>
        <v>0.817630854</v>
      </c>
      <c r="P327" s="9">
        <f>IFERROR(__xludf.DUMMYFUNCTION("GOOGLEFINANCE(A327, ""pe"")"),58.01)</f>
        <v>58.01</v>
      </c>
      <c r="Q327" s="9">
        <f>IFERROR(__xludf.DUMMYFUNCTION("IFERROR(GOOGLEFINANCE(A327, ""volume"") / GOOGLEFINANCE(A327, ""volumeavg""), 0)"),0.0)</f>
        <v>0</v>
      </c>
      <c r="R327" s="9">
        <f>IFERROR(__xludf.DUMMYFUNCTION("AVERAGE(INDEX(GOOGLEFINANCE(A327, ""price"", TODAY()-30, TODAY()), 0, 2))"),19756.260869565216)</f>
        <v>19756.26087</v>
      </c>
      <c r="S327" s="9">
        <f>IFERROR(__xludf.DUMMYFUNCTION("AVERAGE(INDEX(GOOGLEFINANCE(A327, ""price"", TODAY()-75, TODAY()), 0, 2))"),18630.509433962263)</f>
        <v>18630.50943</v>
      </c>
      <c r="T327" s="9">
        <f>IFERROR(__xludf.DUMMYFUNCTION("AVERAGE(INDEX(GOOGLEFINANCE(A327, ""price"", TODAY()-300, TODAY()), 0, 2))"),15914.564356435643)</f>
        <v>15914.56436</v>
      </c>
      <c r="U327" s="9">
        <f t="shared" si="5"/>
        <v>0.1392337927</v>
      </c>
      <c r="V327" s="15">
        <f>IFERROR(__xludf.DUMMYFUNCTION("LET(hist, GOOGLEFINANCE(A327,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rs))))))"),73.7013364323068)</f>
        <v>73.70133643</v>
      </c>
      <c r="W327" s="16" t="str">
        <f>IFERROR(__xludf.DUMMYFUNCTION("IFERROR(GOOGLEFINANCE(A327, ""volume"") / GOOGLEFINANCE(A327, ""volumeavg""), )"),"")</f>
        <v/>
      </c>
      <c r="X327" s="9">
        <f>IFERROR(__xludf.DUMMYFUNCTION("B327 * GOOGLEFINANCE(A327, ""volume"")"),1.197124823E9)</f>
        <v>1197124823</v>
      </c>
      <c r="Y327" s="9">
        <f>IFERROR(__xludf.DUMMYFUNCTION("IFERROR(((B327 - GOOGLEFINANCE(A327, ""priceopen"")) / GOOGLEFINANCE(A327, ""priceopen"")) * GOOGLEFINANCE(A327, ""volume""), 0)"),-1112.9245258395683)</f>
        <v>-1112.924526</v>
      </c>
    </row>
    <row r="328">
      <c r="A328" s="4" t="s">
        <v>2121</v>
      </c>
      <c r="B328" s="7">
        <f>IFERROR(__xludf.DUMMYFUNCTION("GOOGLEFINANCE(A328, ""price"")"),19.34)</f>
        <v>19.34</v>
      </c>
      <c r="C328" s="7">
        <f>IFERROR(__xludf.DUMMYFUNCTION("GOOGLEFINANCE(A328, ""changepct"")"),-1.12)</f>
        <v>-1.12</v>
      </c>
      <c r="D328" s="9">
        <f>IFERROR(__xludf.DUMMYFUNCTION("GOOGLEFINANCE(A328, ""priceopen"")"),19.56)</f>
        <v>19.56</v>
      </c>
      <c r="E328" s="9">
        <f>IFERROR(__xludf.DUMMYFUNCTION("GOOGLEFINANCE(A328, ""high"")"),19.62)</f>
        <v>19.62</v>
      </c>
      <c r="F328" s="9">
        <f>IFERROR(__xludf.DUMMYFUNCTION("GOOGLEFINANCE(A328, ""low"")"),19.3)</f>
        <v>19.3</v>
      </c>
      <c r="G328" s="9">
        <f>IFERROR(__xludf.DUMMYFUNCTION("GOOGLEFINANCE(A328, ""price"")"),19.34)</f>
        <v>19.34</v>
      </c>
      <c r="H328" s="9">
        <f>IFERROR(__xludf.DUMMYFUNCTION("MAX(INDEX(GOOGLEFINANCE(A328, ""high"", TODAY()-30, TODAY()), 0, 2))"),21.04)</f>
        <v>21.04</v>
      </c>
      <c r="I328" s="9">
        <f>IFERROR(__xludf.DUMMYFUNCTION("MIN(INDEX(GOOGLEFINANCE(A328, ""low"", TODAY()-30, TODAY()), 0, 2))"),19.28)</f>
        <v>19.28</v>
      </c>
      <c r="J328" s="9">
        <f>IFERROR(__xludf.DUMMYFUNCTION("GOOGLEFINANCE(A328, ""high52"")"),23.95)</f>
        <v>23.95</v>
      </c>
      <c r="K328" s="9">
        <f>IFERROR(__xludf.DUMMYFUNCTION("GOOGLEFINANCE(A328, ""low52"")"),19.15)</f>
        <v>19.15</v>
      </c>
      <c r="L328" s="9">
        <f t="shared" si="1"/>
        <v>0.1924843424</v>
      </c>
      <c r="M328" s="9">
        <f t="shared" si="2"/>
        <v>0.009921671018</v>
      </c>
      <c r="N328" s="9">
        <f t="shared" si="3"/>
        <v>0.01658031088</v>
      </c>
      <c r="O328" s="9">
        <f t="shared" si="4"/>
        <v>0.03409090909</v>
      </c>
      <c r="P328" s="9">
        <f>IFERROR(__xludf.DUMMYFUNCTION("GOOGLEFINANCE(A328, ""pe"")"),24.48)</f>
        <v>24.48</v>
      </c>
      <c r="Q328" s="9">
        <f>IFERROR(__xludf.DUMMYFUNCTION("IFERROR(GOOGLEFINANCE(A328, ""volume"") / GOOGLEFINANCE(A328, ""volumeavg""), 0)"),0.0)</f>
        <v>0</v>
      </c>
      <c r="R328" s="9">
        <f>IFERROR(__xludf.DUMMYFUNCTION("AVERAGE(INDEX(GOOGLEFINANCE(A328, ""price"", TODAY()-30, TODAY()), 0, 2))"),19.88)</f>
        <v>19.88</v>
      </c>
      <c r="S328" s="9">
        <f>IFERROR(__xludf.DUMMYFUNCTION("AVERAGE(INDEX(GOOGLEFINANCE(A328, ""price"", TODAY()-75, TODAY()), 0, 2))"),20.553018867924532)</f>
        <v>20.55301887</v>
      </c>
      <c r="T328" s="9">
        <f>IFERROR(__xludf.DUMMYFUNCTION("AVERAGE(INDEX(GOOGLEFINANCE(A328, ""price"", TODAY()-300, TODAY()), 0, 2))"),21.040049504950513)</f>
        <v>21.0400495</v>
      </c>
      <c r="U328" s="9">
        <f t="shared" si="5"/>
        <v>-0.02716297787</v>
      </c>
      <c r="V328" s="15">
        <f>IFERROR(__xludf.DUMMYFUNCTION("LET(hist, GOOGLEFINANCE(A328,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rs))))))"),46.96356275303639)</f>
        <v>46.96356275</v>
      </c>
      <c r="W328" s="16" t="str">
        <f>IFERROR(__xludf.DUMMYFUNCTION("IFERROR(GOOGLEFINANCE(A328, ""volume"") / GOOGLEFINANCE(A328, ""volumeavg""), )"),"")</f>
        <v/>
      </c>
      <c r="X328" s="9">
        <f>IFERROR(__xludf.DUMMYFUNCTION("B328 * GOOGLEFINANCE(A328, ""volume"")"),1.7182431534E8)</f>
        <v>171824315.3</v>
      </c>
      <c r="Y328" s="9">
        <f>IFERROR(__xludf.DUMMYFUNCTION("IFERROR(((B328 - GOOGLEFINANCE(A328, ""priceopen"")) / GOOGLEFINANCE(A328, ""priceopen"")) * GOOGLEFINANCE(A328, ""volume""), 0)"),-99926.80061349642)</f>
        <v>-99926.80061</v>
      </c>
    </row>
    <row r="329">
      <c r="A329" s="4" t="s">
        <v>2122</v>
      </c>
      <c r="B329" s="7">
        <f>IFERROR(__xludf.DUMMYFUNCTION("GOOGLEFINANCE(A329, ""price"")"),4504.0)</f>
        <v>4504</v>
      </c>
      <c r="C329" s="7">
        <f>IFERROR(__xludf.DUMMYFUNCTION("GOOGLEFINANCE(A329, ""changepct"")"),2.56)</f>
        <v>2.56</v>
      </c>
      <c r="D329" s="9">
        <f>IFERROR(__xludf.DUMMYFUNCTION("GOOGLEFINANCE(A329, ""priceopen"")"),4403.0)</f>
        <v>4403</v>
      </c>
      <c r="E329" s="9">
        <f>IFERROR(__xludf.DUMMYFUNCTION("GOOGLEFINANCE(A329, ""high"")"),4546.1)</f>
        <v>4546.1</v>
      </c>
      <c r="F329" s="9">
        <f>IFERROR(__xludf.DUMMYFUNCTION("GOOGLEFINANCE(A329, ""low"")"),4399.9)</f>
        <v>4399.9</v>
      </c>
      <c r="G329" s="9">
        <f>IFERROR(__xludf.DUMMYFUNCTION("GOOGLEFINANCE(A329, ""price"")"),4504.0)</f>
        <v>4504</v>
      </c>
      <c r="H329" s="9">
        <f>IFERROR(__xludf.DUMMYFUNCTION("MAX(INDEX(GOOGLEFINANCE(A329, ""high"", TODAY()-30, TODAY()), 0, 2))"),4831.7)</f>
        <v>4831.7</v>
      </c>
      <c r="I329" s="9">
        <f>IFERROR(__xludf.DUMMYFUNCTION("MIN(INDEX(GOOGLEFINANCE(A329, ""low"", TODAY()-30, TODAY()), 0, 2))"),3899.0)</f>
        <v>3899</v>
      </c>
      <c r="J329" s="9">
        <f>IFERROR(__xludf.DUMMYFUNCTION("GOOGLEFINANCE(A329, ""high52"")"),4955.9)</f>
        <v>4955.9</v>
      </c>
      <c r="K329" s="9">
        <f>IFERROR(__xludf.DUMMYFUNCTION("GOOGLEFINANCE(A329, ""low52"")"),2131.0)</f>
        <v>2131</v>
      </c>
      <c r="L329" s="9">
        <f t="shared" si="1"/>
        <v>0.09118424504</v>
      </c>
      <c r="M329" s="9">
        <f t="shared" si="2"/>
        <v>1.113561708</v>
      </c>
      <c r="N329" s="9">
        <f t="shared" si="3"/>
        <v>0.03322802791</v>
      </c>
      <c r="O329" s="9">
        <f t="shared" si="4"/>
        <v>0.6486544441</v>
      </c>
      <c r="P329" s="9">
        <f>IFERROR(__xludf.DUMMYFUNCTION("GOOGLEFINANCE(A329, ""pe"")"),94.12)</f>
        <v>94.12</v>
      </c>
      <c r="Q329" s="9">
        <f>IFERROR(__xludf.DUMMYFUNCTION("IFERROR(GOOGLEFINANCE(A329, ""volume"") / GOOGLEFINANCE(A329, ""volumeavg""), 0)"),0.0)</f>
        <v>0</v>
      </c>
      <c r="R329" s="9">
        <f>IFERROR(__xludf.DUMMYFUNCTION("AVERAGE(INDEX(GOOGLEFINANCE(A329, ""price"", TODAY()-30, TODAY()), 0, 2))"),4380.782608695653)</f>
        <v>4380.782609</v>
      </c>
      <c r="S329" s="9">
        <f>IFERROR(__xludf.DUMMYFUNCTION("AVERAGE(INDEX(GOOGLEFINANCE(A329, ""price"", TODAY()-75, TODAY()), 0, 2))"),4407.305660377359)</f>
        <v>4407.30566</v>
      </c>
      <c r="T329" s="9">
        <f>IFERROR(__xludf.DUMMYFUNCTION("AVERAGE(INDEX(GOOGLEFINANCE(A329, ""price"", TODAY()-300, TODAY()), 0, 2))"),3424.943283582089)</f>
        <v>3424.943284</v>
      </c>
      <c r="U329" s="9">
        <f t="shared" si="5"/>
        <v>0.02812679886</v>
      </c>
      <c r="V329" s="15">
        <f>IFERROR(__xludf.DUMMYFUNCTION("LET(hist, GOOGLEFINANCE(A329,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rs))))))"),45.20831458652029)</f>
        <v>45.20831459</v>
      </c>
      <c r="W329" s="16" t="str">
        <f>IFERROR(__xludf.DUMMYFUNCTION("IFERROR(GOOGLEFINANCE(A329, ""volume"") / GOOGLEFINANCE(A329, ""volumeavg""), )"),"")</f>
        <v/>
      </c>
      <c r="X329" s="9">
        <f>IFERROR(__xludf.DUMMYFUNCTION("B329 * GOOGLEFINANCE(A329, ""volume"")"),3.76903728E9)</f>
        <v>3769037280</v>
      </c>
      <c r="Y329" s="9">
        <f>IFERROR(__xludf.DUMMYFUNCTION("IFERROR(((B329 - GOOGLEFINANCE(A329, ""priceopen"")) / GOOGLEFINANCE(A329, ""priceopen"")) * GOOGLEFINANCE(A329, ""volume""), 0)"),19195.734726322964)</f>
        <v>19195.73473</v>
      </c>
    </row>
    <row r="330">
      <c r="A330" s="4" t="s">
        <v>2123</v>
      </c>
      <c r="B330" s="7">
        <f>IFERROR(__xludf.DUMMYFUNCTION("GOOGLEFINANCE(A330, ""price"")"),3250.0)</f>
        <v>3250</v>
      </c>
      <c r="C330" s="7">
        <f>IFERROR(__xludf.DUMMYFUNCTION("GOOGLEFINANCE(A330, ""changepct"")"),1.2)</f>
        <v>1.2</v>
      </c>
      <c r="D330" s="9">
        <f>IFERROR(__xludf.DUMMYFUNCTION("GOOGLEFINANCE(A330, ""priceopen"")"),3219.9)</f>
        <v>3219.9</v>
      </c>
      <c r="E330" s="9">
        <f>IFERROR(__xludf.DUMMYFUNCTION("GOOGLEFINANCE(A330, ""high"")"),3252.6)</f>
        <v>3252.6</v>
      </c>
      <c r="F330" s="9">
        <f>IFERROR(__xludf.DUMMYFUNCTION("GOOGLEFINANCE(A330, ""low"")"),3200.0)</f>
        <v>3200</v>
      </c>
      <c r="G330" s="9">
        <f>IFERROR(__xludf.DUMMYFUNCTION("GOOGLEFINANCE(A330, ""price"")"),3250.0)</f>
        <v>3250</v>
      </c>
      <c r="H330" s="9">
        <f>IFERROR(__xludf.DUMMYFUNCTION("MAX(INDEX(GOOGLEFINANCE(A330, ""high"", TODAY()-30, TODAY()), 0, 2))"),3390.4)</f>
        <v>3390.4</v>
      </c>
      <c r="I330" s="9">
        <f>IFERROR(__xludf.DUMMYFUNCTION("MIN(INDEX(GOOGLEFINANCE(A330, ""low"", TODAY()-30, TODAY()), 0, 2))"),3035.1)</f>
        <v>3035.1</v>
      </c>
      <c r="J330" s="9">
        <f>IFERROR(__xludf.DUMMYFUNCTION("GOOGLEFINANCE(A330, ""high52"")"),3925.0)</f>
        <v>3925</v>
      </c>
      <c r="K330" s="9">
        <f>IFERROR(__xludf.DUMMYFUNCTION("GOOGLEFINANCE(A330, ""low52"")"),2800.5)</f>
        <v>2800.5</v>
      </c>
      <c r="L330" s="9">
        <f t="shared" si="1"/>
        <v>0.1719745223</v>
      </c>
      <c r="M330" s="9">
        <f t="shared" si="2"/>
        <v>0.1605070523</v>
      </c>
      <c r="N330" s="9">
        <f t="shared" si="3"/>
        <v>0.0164375</v>
      </c>
      <c r="O330" s="9">
        <f t="shared" si="4"/>
        <v>0.6048409795</v>
      </c>
      <c r="P330" s="9">
        <f>IFERROR(__xludf.DUMMYFUNCTION("GOOGLEFINANCE(A330, ""pe"")"),57.93)</f>
        <v>57.93</v>
      </c>
      <c r="Q330" s="9">
        <f>IFERROR(__xludf.DUMMYFUNCTION("IFERROR(GOOGLEFINANCE(A330, ""volume"") / GOOGLEFINANCE(A330, ""volumeavg""), 0)"),0.0)</f>
        <v>0</v>
      </c>
      <c r="R330" s="9">
        <f>IFERROR(__xludf.DUMMYFUNCTION("AVERAGE(INDEX(GOOGLEFINANCE(A330, ""price"", TODAY()-30, TODAY()), 0, 2))"),3174.3521739130433)</f>
        <v>3174.352174</v>
      </c>
      <c r="S330" s="9">
        <f>IFERROR(__xludf.DUMMYFUNCTION("AVERAGE(INDEX(GOOGLEFINANCE(A330, ""price"", TODAY()-75, TODAY()), 0, 2))"),3371.450943396226)</f>
        <v>3371.450943</v>
      </c>
      <c r="T330" s="9">
        <f>IFERROR(__xludf.DUMMYFUNCTION("AVERAGE(INDEX(GOOGLEFINANCE(A330, ""price"", TODAY()-300, TODAY()), 0, 2))"),3259.763861386139)</f>
        <v>3259.763861</v>
      </c>
      <c r="U330" s="9">
        <f t="shared" si="5"/>
        <v>0.02383094942</v>
      </c>
      <c r="V330" s="15">
        <f>IFERROR(__xludf.DUMMYFUNCTION("LET(hist, GOOGLEFINANCE(A330,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rs))))))"),64.23617619493908)</f>
        <v>64.23617619</v>
      </c>
      <c r="W330" s="16" t="str">
        <f>IFERROR(__xludf.DUMMYFUNCTION("IFERROR(GOOGLEFINANCE(A330, ""volume"") / GOOGLEFINANCE(A330, ""volumeavg""), )"),"")</f>
        <v/>
      </c>
      <c r="X330" s="9">
        <f>IFERROR(__xludf.DUMMYFUNCTION("B330 * GOOGLEFINANCE(A330, ""volume"")"),1.46016E8)</f>
        <v>146016000</v>
      </c>
      <c r="Y330" s="9">
        <f>IFERROR(__xludf.DUMMYFUNCTION("IFERROR(((B330 - GOOGLEFINANCE(A330, ""priceopen"")) / GOOGLEFINANCE(A330, ""priceopen"")) * GOOGLEFINANCE(A330, ""volume""), 0)"),419.99217366998846)</f>
        <v>419.9921737</v>
      </c>
    </row>
    <row r="331">
      <c r="A331" s="4" t="s">
        <v>2124</v>
      </c>
      <c r="B331" s="7">
        <f>IFERROR(__xludf.DUMMYFUNCTION("GOOGLEFINANCE(A331, ""price"")"),19269.0)</f>
        <v>19269</v>
      </c>
      <c r="C331" s="7">
        <f>IFERROR(__xludf.DUMMYFUNCTION("GOOGLEFINANCE(A331, ""changepct"")"),5.12)</f>
        <v>5.12</v>
      </c>
      <c r="D331" s="9">
        <f>IFERROR(__xludf.DUMMYFUNCTION("GOOGLEFINANCE(A331, ""priceopen"")"),18347.0)</f>
        <v>18347</v>
      </c>
      <c r="E331" s="9">
        <f>IFERROR(__xludf.DUMMYFUNCTION("GOOGLEFINANCE(A331, ""high"")"),19399.0)</f>
        <v>19399</v>
      </c>
      <c r="F331" s="9">
        <f>IFERROR(__xludf.DUMMYFUNCTION("GOOGLEFINANCE(A331, ""low"")"),18347.0)</f>
        <v>18347</v>
      </c>
      <c r="G331" s="9">
        <f>IFERROR(__xludf.DUMMYFUNCTION("GOOGLEFINANCE(A331, ""price"")"),19269.0)</f>
        <v>19269</v>
      </c>
      <c r="H331" s="9">
        <f>IFERROR(__xludf.DUMMYFUNCTION("MAX(INDEX(GOOGLEFINANCE(A331, ""high"", TODAY()-30, TODAY()), 0, 2))"),19399.0)</f>
        <v>19399</v>
      </c>
      <c r="I331" s="9">
        <f>IFERROR(__xludf.DUMMYFUNCTION("MIN(INDEX(GOOGLEFINANCE(A331, ""low"", TODAY()-30, TODAY()), 0, 2))"),17002.0)</f>
        <v>17002</v>
      </c>
      <c r="J331" s="9">
        <f>IFERROR(__xludf.DUMMYFUNCTION("GOOGLEFINANCE(A331, ""high52"")"),26450.0)</f>
        <v>26450</v>
      </c>
      <c r="K331" s="9">
        <f>IFERROR(__xludf.DUMMYFUNCTION("GOOGLEFINANCE(A331, ""low52"")"),14911.0)</f>
        <v>14911</v>
      </c>
      <c r="L331" s="9">
        <f t="shared" si="1"/>
        <v>0.2714933837</v>
      </c>
      <c r="M331" s="9">
        <f t="shared" si="2"/>
        <v>0.2922674536</v>
      </c>
      <c r="N331" s="9">
        <f t="shared" si="3"/>
        <v>0.05733907451</v>
      </c>
      <c r="O331" s="9">
        <f t="shared" si="4"/>
        <v>0.9457655403</v>
      </c>
      <c r="P331" s="9">
        <f>IFERROR(__xludf.DUMMYFUNCTION("GOOGLEFINANCE(A331, ""pe"")"),20.28)</f>
        <v>20.28</v>
      </c>
      <c r="Q331" s="9">
        <f>IFERROR(__xludf.DUMMYFUNCTION("IFERROR(GOOGLEFINANCE(A331, ""volume"") / GOOGLEFINANCE(A331, ""volumeavg""), 0)"),0.0)</f>
        <v>0</v>
      </c>
      <c r="R331" s="9">
        <f>IFERROR(__xludf.DUMMYFUNCTION("AVERAGE(INDEX(GOOGLEFINANCE(A331, ""price"", TODAY()-30, TODAY()), 0, 2))"),18028.478260869564)</f>
        <v>18028.47826</v>
      </c>
      <c r="S331" s="9">
        <f>IFERROR(__xludf.DUMMYFUNCTION("AVERAGE(INDEX(GOOGLEFINANCE(A331, ""price"", TODAY()-75, TODAY()), 0, 2))"),18168.735849056604)</f>
        <v>18168.73585</v>
      </c>
      <c r="T331" s="9">
        <f>IFERROR(__xludf.DUMMYFUNCTION("AVERAGE(INDEX(GOOGLEFINANCE(A331, ""price"", TODAY()-300, TODAY()), 0, 2))"),19474.15422885572)</f>
        <v>19474.15423</v>
      </c>
      <c r="U331" s="9">
        <f t="shared" si="5"/>
        <v>0.0688090099</v>
      </c>
      <c r="V331" s="15">
        <f>IFERROR(__xludf.DUMMYFUNCTION("LET(hist, GOOGLEFINANCE(A331,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rs))))))"),75.00672585418349)</f>
        <v>75.00672585</v>
      </c>
      <c r="W331" s="16" t="str">
        <f>IFERROR(__xludf.DUMMYFUNCTION("IFERROR(GOOGLEFINANCE(A331, ""volume"") / GOOGLEFINANCE(A331, ""volumeavg""), )"),"")</f>
        <v/>
      </c>
      <c r="X331" s="9">
        <f>IFERROR(__xludf.DUMMYFUNCTION("B331 * GOOGLEFINANCE(A331, ""volume"")"),4.630668273E9)</f>
        <v>4630668273</v>
      </c>
      <c r="Y331" s="9">
        <f>IFERROR(__xludf.DUMMYFUNCTION("IFERROR(((B331 - GOOGLEFINANCE(A331, ""priceopen"")) / GOOGLEFINANCE(A331, ""priceopen"")) * GOOGLEFINANCE(A331, ""volume""), 0)"),12076.757726058755)</f>
        <v>12076.75773</v>
      </c>
    </row>
    <row r="332">
      <c r="A332" s="4" t="s">
        <v>2125</v>
      </c>
      <c r="B332" s="7">
        <f>IFERROR(__xludf.DUMMYFUNCTION("GOOGLEFINANCE(A332, ""price"")"),1255.0)</f>
        <v>1255</v>
      </c>
      <c r="C332" s="7">
        <f>IFERROR(__xludf.DUMMYFUNCTION("GOOGLEFINANCE(A332, ""changepct"")"),-1.54)</f>
        <v>-1.54</v>
      </c>
      <c r="D332" s="9">
        <f>IFERROR(__xludf.DUMMYFUNCTION("GOOGLEFINANCE(A332, ""priceopen"")"),1270.9)</f>
        <v>1270.9</v>
      </c>
      <c r="E332" s="9">
        <f>IFERROR(__xludf.DUMMYFUNCTION("GOOGLEFINANCE(A332, ""high"")"),1281.8)</f>
        <v>1281.8</v>
      </c>
      <c r="F332" s="9">
        <f>IFERROR(__xludf.DUMMYFUNCTION("GOOGLEFINANCE(A332, ""low"")"),1249.5)</f>
        <v>1249.5</v>
      </c>
      <c r="G332" s="9">
        <f>IFERROR(__xludf.DUMMYFUNCTION("GOOGLEFINANCE(A332, ""price"")"),1255.0)</f>
        <v>1255</v>
      </c>
      <c r="H332" s="9">
        <f>IFERROR(__xludf.DUMMYFUNCTION("MAX(INDEX(GOOGLEFINANCE(A332, ""high"", TODAY()-30, TODAY()), 0, 2))"),1649.2)</f>
        <v>1649.2</v>
      </c>
      <c r="I332" s="9">
        <f>IFERROR(__xludf.DUMMYFUNCTION("MIN(INDEX(GOOGLEFINANCE(A332, ""low"", TODAY()-30, TODAY()), 0, 2))"),1153.8)</f>
        <v>1153.8</v>
      </c>
      <c r="J332" s="9">
        <f>IFERROR(__xludf.DUMMYFUNCTION("GOOGLEFINANCE(A332, ""high52"")"),1649.2)</f>
        <v>1649.2</v>
      </c>
      <c r="K332" s="9">
        <f>IFERROR(__xludf.DUMMYFUNCTION("GOOGLEFINANCE(A332, ""low52"")"),503.3)</f>
        <v>503.3</v>
      </c>
      <c r="L332" s="9">
        <f t="shared" si="1"/>
        <v>0.2390249818</v>
      </c>
      <c r="M332" s="9">
        <f t="shared" si="2"/>
        <v>1.493542619</v>
      </c>
      <c r="N332" s="9">
        <f t="shared" si="3"/>
        <v>0.02585034014</v>
      </c>
      <c r="O332" s="9">
        <f t="shared" si="4"/>
        <v>0.2042793702</v>
      </c>
      <c r="P332" s="9">
        <f>IFERROR(__xludf.DUMMYFUNCTION("GOOGLEFINANCE(A332, ""pe"")"),35.84)</f>
        <v>35.84</v>
      </c>
      <c r="Q332" s="9">
        <f>IFERROR(__xludf.DUMMYFUNCTION("IFERROR(GOOGLEFINANCE(A332, ""volume"") / GOOGLEFINANCE(A332, ""volumeavg""), 0)"),0.0)</f>
        <v>0</v>
      </c>
      <c r="R332" s="9">
        <f>IFERROR(__xludf.DUMMYFUNCTION("AVERAGE(INDEX(GOOGLEFINANCE(A332, ""price"", TODAY()-30, TODAY()), 0, 2))"),1428.1173913043476)</f>
        <v>1428.117391</v>
      </c>
      <c r="S332" s="9">
        <f>IFERROR(__xludf.DUMMYFUNCTION("AVERAGE(INDEX(GOOGLEFINANCE(A332, ""price"", TODAY()-75, TODAY()), 0, 2))"),1329.1556603773588)</f>
        <v>1329.15566</v>
      </c>
      <c r="T332" s="9">
        <f>IFERROR(__xludf.DUMMYFUNCTION("AVERAGE(INDEX(GOOGLEFINANCE(A332, ""price"", TODAY()-300, TODAY()), 0, 2))"),883.0730198019802)</f>
        <v>883.0730198</v>
      </c>
      <c r="U332" s="9">
        <f t="shared" si="5"/>
        <v>-0.121220701</v>
      </c>
      <c r="V332" s="15">
        <f>IFERROR(__xludf.DUMMYFUNCTION("LET(hist, GOOGLEFINANCE(A332,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rs))))))"),21.149061298348784)</f>
        <v>21.1490613</v>
      </c>
      <c r="W332" s="16" t="str">
        <f>IFERROR(__xludf.DUMMYFUNCTION("IFERROR(GOOGLEFINANCE(A332, ""volume"") / GOOGLEFINANCE(A332, ""volumeavg""), )"),"")</f>
        <v/>
      </c>
      <c r="X332" s="9">
        <f>IFERROR(__xludf.DUMMYFUNCTION("B332 * GOOGLEFINANCE(A332, ""volume"")"),4.2925016E8)</f>
        <v>429250160</v>
      </c>
      <c r="Y332" s="9">
        <f>IFERROR(__xludf.DUMMYFUNCTION("IFERROR(((B332 - GOOGLEFINANCE(A332, ""priceopen"")) / GOOGLEFINANCE(A332, ""priceopen"")) * GOOGLEFINANCE(A332, ""volume""), 0)"),-4279.100479974845)</f>
        <v>-4279.10048</v>
      </c>
    </row>
    <row r="333">
      <c r="A333" s="4" t="s">
        <v>2126</v>
      </c>
      <c r="B333" s="7">
        <f>IFERROR(__xludf.DUMMYFUNCTION("GOOGLEFINANCE(A333, ""price"")"),2103.0)</f>
        <v>2103</v>
      </c>
      <c r="C333" s="7">
        <f>IFERROR(__xludf.DUMMYFUNCTION("GOOGLEFINANCE(A333, ""changepct"")"),1.07)</f>
        <v>1.07</v>
      </c>
      <c r="D333" s="9">
        <f>IFERROR(__xludf.DUMMYFUNCTION("GOOGLEFINANCE(A333, ""priceopen"")"),2079.0)</f>
        <v>2079</v>
      </c>
      <c r="E333" s="9">
        <f>IFERROR(__xludf.DUMMYFUNCTION("GOOGLEFINANCE(A333, ""high"")"),2127.6)</f>
        <v>2127.6</v>
      </c>
      <c r="F333" s="9">
        <f>IFERROR(__xludf.DUMMYFUNCTION("GOOGLEFINANCE(A333, ""low"")"),2079.0)</f>
        <v>2079</v>
      </c>
      <c r="G333" s="9">
        <f>IFERROR(__xludf.DUMMYFUNCTION("GOOGLEFINANCE(A333, ""price"")"),2103.0)</f>
        <v>2103</v>
      </c>
      <c r="H333" s="9">
        <f>IFERROR(__xludf.DUMMYFUNCTION("MAX(INDEX(GOOGLEFINANCE(A333, ""high"", TODAY()-30, TODAY()), 0, 2))"),2455.0)</f>
        <v>2455</v>
      </c>
      <c r="I333" s="9">
        <f>IFERROR(__xludf.DUMMYFUNCTION("MIN(INDEX(GOOGLEFINANCE(A333, ""low"", TODAY()-30, TODAY()), 0, 2))"),1951.0)</f>
        <v>1951</v>
      </c>
      <c r="J333" s="9">
        <f>IFERROR(__xludf.DUMMYFUNCTION("GOOGLEFINANCE(A333, ""high52"")"),2455.0)</f>
        <v>2455</v>
      </c>
      <c r="K333" s="9">
        <f>IFERROR(__xludf.DUMMYFUNCTION("GOOGLEFINANCE(A333, ""low52"")"),1329.0)</f>
        <v>1329</v>
      </c>
      <c r="L333" s="9">
        <f t="shared" si="1"/>
        <v>0.1433808554</v>
      </c>
      <c r="M333" s="9">
        <f t="shared" si="2"/>
        <v>0.5823927765</v>
      </c>
      <c r="N333" s="9">
        <f t="shared" si="3"/>
        <v>0.02337662338</v>
      </c>
      <c r="O333" s="9">
        <f t="shared" si="4"/>
        <v>0.3015873016</v>
      </c>
      <c r="P333" s="9">
        <f>IFERROR(__xludf.DUMMYFUNCTION("GOOGLEFINANCE(A333, ""pe"")"),53.32)</f>
        <v>53.32</v>
      </c>
      <c r="Q333" s="9">
        <f>IFERROR(__xludf.DUMMYFUNCTION("IFERROR(GOOGLEFINANCE(A333, ""volume"") / GOOGLEFINANCE(A333, ""volumeavg""), 0)"),0.0)</f>
        <v>0</v>
      </c>
      <c r="R333" s="9">
        <f>IFERROR(__xludf.DUMMYFUNCTION("AVERAGE(INDEX(GOOGLEFINANCE(A333, ""price"", TODAY()-30, TODAY()), 0, 2))"),2088.5478260869563)</f>
        <v>2088.547826</v>
      </c>
      <c r="S333" s="9">
        <f>IFERROR(__xludf.DUMMYFUNCTION("AVERAGE(INDEX(GOOGLEFINANCE(A333, ""price"", TODAY()-75, TODAY()), 0, 2))"),2053.816981132076)</f>
        <v>2053.816981</v>
      </c>
      <c r="T333" s="9">
        <f>IFERROR(__xludf.DUMMYFUNCTION("AVERAGE(INDEX(GOOGLEFINANCE(A333, ""price"", TODAY()-300, TODAY()), 0, 2))"),1719.6945273631825)</f>
        <v>1719.694527</v>
      </c>
      <c r="U333" s="9">
        <f t="shared" si="5"/>
        <v>0.006919723711</v>
      </c>
      <c r="V333" s="15">
        <f>IFERROR(__xludf.DUMMYFUNCTION("LET(hist, GOOGLEFINANCE(A333,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rs))))))"),66.65580182529341)</f>
        <v>66.65580183</v>
      </c>
      <c r="W333" s="16" t="str">
        <f>IFERROR(__xludf.DUMMYFUNCTION("IFERROR(GOOGLEFINANCE(A333, ""volume"") / GOOGLEFINANCE(A333, ""volumeavg""), )"),"")</f>
        <v/>
      </c>
      <c r="X333" s="9">
        <f>IFERROR(__xludf.DUMMYFUNCTION("B333 * GOOGLEFINANCE(A333, ""volume"")"),6.0621078E7)</f>
        <v>60621078</v>
      </c>
      <c r="Y333" s="9">
        <f>IFERROR(__xludf.DUMMYFUNCTION("IFERROR(((B333 - GOOGLEFINANCE(A333, ""priceopen"")) / GOOGLEFINANCE(A333, ""priceopen"")) * GOOGLEFINANCE(A333, ""volume""), 0)"),332.7676767676768)</f>
        <v>332.7676768</v>
      </c>
    </row>
    <row r="334">
      <c r="A334" s="4" t="s">
        <v>2127</v>
      </c>
      <c r="B334" s="7">
        <f>IFERROR(__xludf.DUMMYFUNCTION("GOOGLEFINANCE(A334, ""price"")"),262.05)</f>
        <v>262.05</v>
      </c>
      <c r="C334" s="7">
        <f>IFERROR(__xludf.DUMMYFUNCTION("GOOGLEFINANCE(A334, ""changepct"")"),-1.19)</f>
        <v>-1.19</v>
      </c>
      <c r="D334" s="9">
        <f>IFERROR(__xludf.DUMMYFUNCTION("GOOGLEFINANCE(A334, ""priceopen"")"),266.9)</f>
        <v>266.9</v>
      </c>
      <c r="E334" s="9">
        <f>IFERROR(__xludf.DUMMYFUNCTION("GOOGLEFINANCE(A334, ""high"")"),266.9)</f>
        <v>266.9</v>
      </c>
      <c r="F334" s="9">
        <f>IFERROR(__xludf.DUMMYFUNCTION("GOOGLEFINANCE(A334, ""low"")"),260.35)</f>
        <v>260.35</v>
      </c>
      <c r="G334" s="9">
        <f>IFERROR(__xludf.DUMMYFUNCTION("GOOGLEFINANCE(A334, ""price"")"),262.05)</f>
        <v>262.05</v>
      </c>
      <c r="H334" s="9">
        <f>IFERROR(__xludf.DUMMYFUNCTION("MAX(INDEX(GOOGLEFINANCE(A334, ""high"", TODAY()-30, TODAY()), 0, 2))"),311.85)</f>
        <v>311.85</v>
      </c>
      <c r="I334" s="9">
        <f>IFERROR(__xludf.DUMMYFUNCTION("MIN(INDEX(GOOGLEFINANCE(A334, ""low"", TODAY()-30, TODAY()), 0, 2))"),244.2)</f>
        <v>244.2</v>
      </c>
      <c r="J334" s="9">
        <f>IFERROR(__xludf.DUMMYFUNCTION("GOOGLEFINANCE(A334, ""high52"")"),381.4)</f>
        <v>381.4</v>
      </c>
      <c r="K334" s="9">
        <f>IFERROR(__xludf.DUMMYFUNCTION("GOOGLEFINANCE(A334, ""low52"")"),244.2)</f>
        <v>244.2</v>
      </c>
      <c r="L334" s="9">
        <f t="shared" si="1"/>
        <v>0.3129260619</v>
      </c>
      <c r="M334" s="9">
        <f t="shared" si="2"/>
        <v>0.0730958231</v>
      </c>
      <c r="N334" s="9">
        <f t="shared" si="3"/>
        <v>0.02515844056</v>
      </c>
      <c r="O334" s="9">
        <f t="shared" si="4"/>
        <v>0.2638580931</v>
      </c>
      <c r="P334" s="9">
        <f>IFERROR(__xludf.DUMMYFUNCTION("GOOGLEFINANCE(A334, ""pe"")"),49.36)</f>
        <v>49.36</v>
      </c>
      <c r="Q334" s="9">
        <f>IFERROR(__xludf.DUMMYFUNCTION("IFERROR(GOOGLEFINANCE(A334, ""volume"") / GOOGLEFINANCE(A334, ""volumeavg""), 0)"),0.0)</f>
        <v>0</v>
      </c>
      <c r="R334" s="9">
        <f>IFERROR(__xludf.DUMMYFUNCTION("AVERAGE(INDEX(GOOGLEFINANCE(A334, ""price"", TODAY()-30, TODAY()), 0, 2))"),272.6347826086956)</f>
        <v>272.6347826</v>
      </c>
      <c r="S334" s="9">
        <f>IFERROR(__xludf.DUMMYFUNCTION("AVERAGE(INDEX(GOOGLEFINANCE(A334, ""price"", TODAY()-75, TODAY()), 0, 2))"),292.12735849056594)</f>
        <v>292.1273585</v>
      </c>
      <c r="T334" s="9">
        <f>IFERROR(__xludf.DUMMYFUNCTION("AVERAGE(INDEX(GOOGLEFINANCE(A334, ""price"", TODAY()-300, TODAY()), 0, 2))"),322.7299504950495)</f>
        <v>322.7299505</v>
      </c>
      <c r="U334" s="9">
        <f t="shared" si="5"/>
        <v>-0.03882403598</v>
      </c>
      <c r="V334" s="15">
        <f>IFERROR(__xludf.DUMMYFUNCTION("LET(hist, GOOGLEFINANCE(A334,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rs))))))"),40.31132581857218)</f>
        <v>40.31132582</v>
      </c>
      <c r="W334" s="16" t="str">
        <f>IFERROR(__xludf.DUMMYFUNCTION("IFERROR(GOOGLEFINANCE(A334, ""volume"") / GOOGLEFINANCE(A334, ""volumeavg""), )"),"")</f>
        <v/>
      </c>
      <c r="X334" s="9">
        <f>IFERROR(__xludf.DUMMYFUNCTION("B334 * GOOGLEFINANCE(A334, ""volume"")"),5.80204905E7)</f>
        <v>58020490.5</v>
      </c>
      <c r="Y334" s="9">
        <f>IFERROR(__xludf.DUMMYFUNCTION("IFERROR(((B334 - GOOGLEFINANCE(A334, ""priceopen"")) / GOOGLEFINANCE(A334, ""priceopen"")) * GOOGLEFINANCE(A334, ""volume""), 0)"),-4023.3739228175064)</f>
        <v>-4023.373923</v>
      </c>
    </row>
    <row r="335">
      <c r="A335" s="4" t="s">
        <v>2128</v>
      </c>
      <c r="B335" s="7">
        <f>IFERROR(__xludf.DUMMYFUNCTION("GOOGLEFINANCE(A335, ""price"")"),262.2)</f>
        <v>262.2</v>
      </c>
      <c r="C335" s="7">
        <f>IFERROR(__xludf.DUMMYFUNCTION("GOOGLEFINANCE(A335, ""changepct"")"),3.24)</f>
        <v>3.24</v>
      </c>
      <c r="D335" s="9">
        <f>IFERROR(__xludf.DUMMYFUNCTION("GOOGLEFINANCE(A335, ""priceopen"")"),255.0)</f>
        <v>255</v>
      </c>
      <c r="E335" s="9">
        <f>IFERROR(__xludf.DUMMYFUNCTION("GOOGLEFINANCE(A335, ""high"")"),268.2)</f>
        <v>268.2</v>
      </c>
      <c r="F335" s="9">
        <f>IFERROR(__xludf.DUMMYFUNCTION("GOOGLEFINANCE(A335, ""low"")"),253.61)</f>
        <v>253.61</v>
      </c>
      <c r="G335" s="9">
        <f>IFERROR(__xludf.DUMMYFUNCTION("GOOGLEFINANCE(A335, ""price"")"),262.2)</f>
        <v>262.2</v>
      </c>
      <c r="H335" s="9">
        <f>IFERROR(__xludf.DUMMYFUNCTION("MAX(INDEX(GOOGLEFINANCE(A335, ""high"", TODAY()-30, TODAY()), 0, 2))"),268.2)</f>
        <v>268.2</v>
      </c>
      <c r="I335" s="9">
        <f>IFERROR(__xludf.DUMMYFUNCTION("MIN(INDEX(GOOGLEFINANCE(A335, ""low"", TODAY()-30, TODAY()), 0, 2))"),224.0)</f>
        <v>224</v>
      </c>
      <c r="J335" s="9">
        <f>IFERROR(__xludf.DUMMYFUNCTION("GOOGLEFINANCE(A335, ""high52"")"),268.2)</f>
        <v>268.2</v>
      </c>
      <c r="K335" s="9">
        <f>IFERROR(__xludf.DUMMYFUNCTION("GOOGLEFINANCE(A335, ""low52"")"),133.46)</f>
        <v>133.46</v>
      </c>
      <c r="L335" s="9">
        <f t="shared" si="1"/>
        <v>0.02237136465</v>
      </c>
      <c r="M335" s="9">
        <f t="shared" si="2"/>
        <v>0.9646335981</v>
      </c>
      <c r="N335" s="9">
        <f t="shared" si="3"/>
        <v>0.05752927724</v>
      </c>
      <c r="O335" s="9">
        <f t="shared" si="4"/>
        <v>0.8642533937</v>
      </c>
      <c r="P335" s="9">
        <f>IFERROR(__xludf.DUMMYFUNCTION("GOOGLEFINANCE(A335, ""pe"")"),54.12)</f>
        <v>54.12</v>
      </c>
      <c r="Q335" s="9">
        <f>IFERROR(__xludf.DUMMYFUNCTION("IFERROR(GOOGLEFINANCE(A335, ""volume"") / GOOGLEFINANCE(A335, ""volumeavg""), 0)"),0.0)</f>
        <v>0</v>
      </c>
      <c r="R335" s="9">
        <f>IFERROR(__xludf.DUMMYFUNCTION("AVERAGE(INDEX(GOOGLEFINANCE(A335, ""price"", TODAY()-30, TODAY()), 0, 2))"),237.7634782608696)</f>
        <v>237.7634783</v>
      </c>
      <c r="S335" s="9">
        <f>IFERROR(__xludf.DUMMYFUNCTION("AVERAGE(INDEX(GOOGLEFINANCE(A335, ""price"", TODAY()-75, TODAY()), 0, 2))"),233.8464150943396)</f>
        <v>233.8464151</v>
      </c>
      <c r="T335" s="9">
        <f>IFERROR(__xludf.DUMMYFUNCTION("AVERAGE(INDEX(GOOGLEFINANCE(A335, ""price"", TODAY()-300, TODAY()), 0, 2))"),194.92396039603946)</f>
        <v>194.9239604</v>
      </c>
      <c r="U335" s="9">
        <f t="shared" si="5"/>
        <v>0.1027765993</v>
      </c>
      <c r="V335" s="15">
        <f>IFERROR(__xludf.DUMMYFUNCTION("LET(hist, GOOGLEFINANCE(A335,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rs))))))"),86.04860486048602)</f>
        <v>86.04860486</v>
      </c>
      <c r="W335" s="16" t="str">
        <f>IFERROR(__xludf.DUMMYFUNCTION("IFERROR(GOOGLEFINANCE(A335, ""volume"") / GOOGLEFINANCE(A335, ""volumeavg""), )"),"")</f>
        <v/>
      </c>
      <c r="X335" s="9">
        <f>IFERROR(__xludf.DUMMYFUNCTION("B335 * GOOGLEFINANCE(A335, ""volume"")"),2.470530993E9)</f>
        <v>2470530993</v>
      </c>
      <c r="Y335" s="9">
        <f>IFERROR(__xludf.DUMMYFUNCTION("IFERROR(((B335 - GOOGLEFINANCE(A335, ""priceopen"")) / GOOGLEFINANCE(A335, ""priceopen"")) * GOOGLEFINANCE(A335, ""volume""), 0)"),266041.8352941172)</f>
        <v>266041.8353</v>
      </c>
    </row>
    <row r="336">
      <c r="A336" s="4" t="s">
        <v>2129</v>
      </c>
      <c r="B336" s="7">
        <f>IFERROR(__xludf.DUMMYFUNCTION("GOOGLEFINANCE(A336, ""price"")"),3722.0)</f>
        <v>3722</v>
      </c>
      <c r="C336" s="7">
        <f>IFERROR(__xludf.DUMMYFUNCTION("GOOGLEFINANCE(A336, ""changepct"")"),-1.92)</f>
        <v>-1.92</v>
      </c>
      <c r="D336" s="9">
        <f>IFERROR(__xludf.DUMMYFUNCTION("GOOGLEFINANCE(A336, ""priceopen"")"),3799.9)</f>
        <v>3799.9</v>
      </c>
      <c r="E336" s="9">
        <f>IFERROR(__xludf.DUMMYFUNCTION("GOOGLEFINANCE(A336, ""high"")"),3799.9)</f>
        <v>3799.9</v>
      </c>
      <c r="F336" s="9">
        <f>IFERROR(__xludf.DUMMYFUNCTION("GOOGLEFINANCE(A336, ""low"")"),3685.0)</f>
        <v>3685</v>
      </c>
      <c r="G336" s="9">
        <f>IFERROR(__xludf.DUMMYFUNCTION("GOOGLEFINANCE(A336, ""price"")"),3722.0)</f>
        <v>3722</v>
      </c>
      <c r="H336" s="9">
        <f>IFERROR(__xludf.DUMMYFUNCTION("MAX(INDEX(GOOGLEFINANCE(A336, ""high"", TODAY()-30, TODAY()), 0, 2))"),3857.0)</f>
        <v>3857</v>
      </c>
      <c r="I336" s="9">
        <f>IFERROR(__xludf.DUMMYFUNCTION("MIN(INDEX(GOOGLEFINANCE(A336, ""low"", TODAY()-30, TODAY()), 0, 2))"),3353.9)</f>
        <v>3353.9</v>
      </c>
      <c r="J336" s="9">
        <f>IFERROR(__xludf.DUMMYFUNCTION("GOOGLEFINANCE(A336, ""high52"")"),5950.0)</f>
        <v>5950</v>
      </c>
      <c r="K336" s="9">
        <f>IFERROR(__xludf.DUMMYFUNCTION("GOOGLEFINANCE(A336, ""low52"")"),3353.9)</f>
        <v>3353.9</v>
      </c>
      <c r="L336" s="9">
        <f t="shared" si="1"/>
        <v>0.3744537815</v>
      </c>
      <c r="M336" s="9">
        <f t="shared" si="2"/>
        <v>0.1097528251</v>
      </c>
      <c r="N336" s="9">
        <f t="shared" si="3"/>
        <v>0.03118046133</v>
      </c>
      <c r="O336" s="9">
        <f t="shared" si="4"/>
        <v>0.7316636852</v>
      </c>
      <c r="P336" s="9">
        <f>IFERROR(__xludf.DUMMYFUNCTION("GOOGLEFINANCE(A336, ""pe"")"),35.42)</f>
        <v>35.42</v>
      </c>
      <c r="Q336" s="9">
        <f>IFERROR(__xludf.DUMMYFUNCTION("IFERROR(GOOGLEFINANCE(A336, ""volume"") / GOOGLEFINANCE(A336, ""volumeavg""), 0)"),0.0)</f>
        <v>0</v>
      </c>
      <c r="R336" s="9">
        <f>IFERROR(__xludf.DUMMYFUNCTION("AVERAGE(INDEX(GOOGLEFINANCE(A336, ""price"", TODAY()-30, TODAY()), 0, 2))"),3635.356521739131)</f>
        <v>3635.356522</v>
      </c>
      <c r="S336" s="9">
        <f>IFERROR(__xludf.DUMMYFUNCTION("AVERAGE(INDEX(GOOGLEFINANCE(A336, ""price"", TODAY()-75, TODAY()), 0, 2))"),3851.1584905660375)</f>
        <v>3851.158491</v>
      </c>
      <c r="T336" s="9">
        <f>IFERROR(__xludf.DUMMYFUNCTION("AVERAGE(INDEX(GOOGLEFINANCE(A336, ""price"", TODAY()-300, TODAY()), 0, 2))"),4610.154950495048)</f>
        <v>4610.15495</v>
      </c>
      <c r="U336" s="9">
        <f t="shared" si="5"/>
        <v>0.02383355738</v>
      </c>
      <c r="V336" s="15">
        <f>IFERROR(__xludf.DUMMYFUNCTION("LET(hist, GOOGLEFINANCE(A336,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rs))))))"),74.34319171295601)</f>
        <v>74.34319171</v>
      </c>
      <c r="W336" s="16" t="str">
        <f>IFERROR(__xludf.DUMMYFUNCTION("IFERROR(GOOGLEFINANCE(A336, ""volume"") / GOOGLEFINANCE(A336, ""volumeavg""), )"),"")</f>
        <v/>
      </c>
      <c r="X336" s="9">
        <f>IFERROR(__xludf.DUMMYFUNCTION("B336 * GOOGLEFINANCE(A336, ""volume"")"),6.9755863E8)</f>
        <v>697558630</v>
      </c>
      <c r="Y336" s="9">
        <f>IFERROR(__xludf.DUMMYFUNCTION("IFERROR(((B336 - GOOGLEFINANCE(A336, ""priceopen"")) / GOOGLEFINANCE(A336, ""priceopen"")) * GOOGLEFINANCE(A336, ""volume""), 0)"),-3842.1086081212707)</f>
        <v>-3842.108608</v>
      </c>
    </row>
    <row r="337">
      <c r="A337" s="4" t="s">
        <v>2130</v>
      </c>
      <c r="B337" s="7">
        <f>IFERROR(__xludf.DUMMYFUNCTION("GOOGLEFINANCE(A337, ""price"")"),1713.0)</f>
        <v>1713</v>
      </c>
      <c r="C337" s="7">
        <f>IFERROR(__xludf.DUMMYFUNCTION("GOOGLEFINANCE(A337, ""changepct"")"),-4.02)</f>
        <v>-4.02</v>
      </c>
      <c r="D337" s="9">
        <f>IFERROR(__xludf.DUMMYFUNCTION("GOOGLEFINANCE(A337, ""priceopen"")"),1779.8)</f>
        <v>1779.8</v>
      </c>
      <c r="E337" s="9">
        <f>IFERROR(__xludf.DUMMYFUNCTION("GOOGLEFINANCE(A337, ""high"")"),1781.0)</f>
        <v>1781</v>
      </c>
      <c r="F337" s="9">
        <f>IFERROR(__xludf.DUMMYFUNCTION("GOOGLEFINANCE(A337, ""low"")"),1711.0)</f>
        <v>1711</v>
      </c>
      <c r="G337" s="9">
        <f>IFERROR(__xludf.DUMMYFUNCTION("GOOGLEFINANCE(A337, ""price"")"),1713.0)</f>
        <v>1713</v>
      </c>
      <c r="H337" s="9">
        <f>IFERROR(__xludf.DUMMYFUNCTION("MAX(INDEX(GOOGLEFINANCE(A337, ""high"", TODAY()-30, TODAY()), 0, 2))"),1851.0)</f>
        <v>1851</v>
      </c>
      <c r="I337" s="9">
        <f>IFERROR(__xludf.DUMMYFUNCTION("MIN(INDEX(GOOGLEFINANCE(A337, ""low"", TODAY()-30, TODAY()), 0, 2))"),1613.3)</f>
        <v>1613.3</v>
      </c>
      <c r="J337" s="9">
        <f>IFERROR(__xludf.DUMMYFUNCTION("GOOGLEFINANCE(A337, ""high52"")"),1904.4)</f>
        <v>1904.4</v>
      </c>
      <c r="K337" s="9">
        <f>IFERROR(__xludf.DUMMYFUNCTION("GOOGLEFINANCE(A337, ""low52"")"),1280.0)</f>
        <v>1280</v>
      </c>
      <c r="L337" s="9">
        <f t="shared" si="1"/>
        <v>0.1005040958</v>
      </c>
      <c r="M337" s="9">
        <f t="shared" si="2"/>
        <v>0.33828125</v>
      </c>
      <c r="N337" s="9">
        <f t="shared" si="3"/>
        <v>0.04091174752</v>
      </c>
      <c r="O337" s="9">
        <f t="shared" si="4"/>
        <v>0.4194362642</v>
      </c>
      <c r="P337" s="9">
        <f>IFERROR(__xludf.DUMMYFUNCTION("GOOGLEFINANCE(A337, ""pe"")"),29.82)</f>
        <v>29.82</v>
      </c>
      <c r="Q337" s="9">
        <f>IFERROR(__xludf.DUMMYFUNCTION("IFERROR(GOOGLEFINANCE(A337, ""volume"") / GOOGLEFINANCE(A337, ""volumeavg""), 0)"),0.0)</f>
        <v>0</v>
      </c>
      <c r="R337" s="9">
        <f>IFERROR(__xludf.DUMMYFUNCTION("AVERAGE(INDEX(GOOGLEFINANCE(A337, ""price"", TODAY()-30, TODAY()), 0, 2))"),1703.8739130434783)</f>
        <v>1703.873913</v>
      </c>
      <c r="S337" s="9">
        <f>IFERROR(__xludf.DUMMYFUNCTION("AVERAGE(INDEX(GOOGLEFINANCE(A337, ""price"", TODAY()-75, TODAY()), 0, 2))"),1664.4830188679243)</f>
        <v>1664.483019</v>
      </c>
      <c r="T337" s="9">
        <f>IFERROR(__xludf.DUMMYFUNCTION("AVERAGE(INDEX(GOOGLEFINANCE(A337, ""price"", TODAY()-300, TODAY()), 0, 2))"),1634.8980198019804)</f>
        <v>1634.89802</v>
      </c>
      <c r="U337" s="9">
        <f t="shared" si="5"/>
        <v>0.005356081155</v>
      </c>
      <c r="V337" s="15">
        <f>IFERROR(__xludf.DUMMYFUNCTION("LET(hist, GOOGLEFINANCE(A337,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rs))))))"),59.047619047619065)</f>
        <v>59.04761905</v>
      </c>
      <c r="W337" s="16" t="str">
        <f>IFERROR(__xludf.DUMMYFUNCTION("IFERROR(GOOGLEFINANCE(A337, ""volume"") / GOOGLEFINANCE(A337, ""volumeavg""), )"),"")</f>
        <v/>
      </c>
      <c r="X337" s="9">
        <f>IFERROR(__xludf.DUMMYFUNCTION("B337 * GOOGLEFINANCE(A337, ""volume"")"),5.78265975E8)</f>
        <v>578265975</v>
      </c>
      <c r="Y337" s="9">
        <f>IFERROR(__xludf.DUMMYFUNCTION("IFERROR(((B337 - GOOGLEFINANCE(A337, ""priceopen"")) / GOOGLEFINANCE(A337, ""priceopen"")) * GOOGLEFINANCE(A337, ""volume""), 0)"),-12669.96853579053)</f>
        <v>-12669.96854</v>
      </c>
    </row>
    <row r="338">
      <c r="A338" s="4" t="s">
        <v>2131</v>
      </c>
      <c r="B338" s="7">
        <f>IFERROR(__xludf.DUMMYFUNCTION("GOOGLEFINANCE(A338, ""price"")"),613.25)</f>
        <v>613.25</v>
      </c>
      <c r="C338" s="7">
        <f>IFERROR(__xludf.DUMMYFUNCTION("GOOGLEFINANCE(A338, ""changepct"")"),1.15)</f>
        <v>1.15</v>
      </c>
      <c r="D338" s="9">
        <f>IFERROR(__xludf.DUMMYFUNCTION("GOOGLEFINANCE(A338, ""priceopen"")"),609.0)</f>
        <v>609</v>
      </c>
      <c r="E338" s="9">
        <f>IFERROR(__xludf.DUMMYFUNCTION("GOOGLEFINANCE(A338, ""high"")"),620.2)</f>
        <v>620.2</v>
      </c>
      <c r="F338" s="9">
        <f>IFERROR(__xludf.DUMMYFUNCTION("GOOGLEFINANCE(A338, ""low"")"),600.15)</f>
        <v>600.15</v>
      </c>
      <c r="G338" s="9">
        <f>IFERROR(__xludf.DUMMYFUNCTION("GOOGLEFINANCE(A338, ""price"")"),613.25)</f>
        <v>613.25</v>
      </c>
      <c r="H338" s="9">
        <f>IFERROR(__xludf.DUMMYFUNCTION("MAX(INDEX(GOOGLEFINANCE(A338, ""high"", TODAY()-30, TODAY()), 0, 2))"),641.7)</f>
        <v>641.7</v>
      </c>
      <c r="I338" s="9">
        <f>IFERROR(__xludf.DUMMYFUNCTION("MIN(INDEX(GOOGLEFINANCE(A338, ""low"", TODAY()-30, TODAY()), 0, 2))"),561.0)</f>
        <v>561</v>
      </c>
      <c r="J338" s="9">
        <f>IFERROR(__xludf.DUMMYFUNCTION("GOOGLEFINANCE(A338, ""high52"")"),743.65)</f>
        <v>743.65</v>
      </c>
      <c r="K338" s="9">
        <f>IFERROR(__xludf.DUMMYFUNCTION("GOOGLEFINANCE(A338, ""low52"")"),403.0)</f>
        <v>403</v>
      </c>
      <c r="L338" s="9">
        <f t="shared" si="1"/>
        <v>0.1753513077</v>
      </c>
      <c r="M338" s="9">
        <f t="shared" si="2"/>
        <v>0.5217121588</v>
      </c>
      <c r="N338" s="9">
        <f t="shared" si="3"/>
        <v>0.03340831459</v>
      </c>
      <c r="O338" s="9">
        <f t="shared" si="4"/>
        <v>0.6474597274</v>
      </c>
      <c r="P338" s="9">
        <f>IFERROR(__xludf.DUMMYFUNCTION("GOOGLEFINANCE(A338, ""pe"")"),37.27)</f>
        <v>37.27</v>
      </c>
      <c r="Q338" s="9">
        <f>IFERROR(__xludf.DUMMYFUNCTION("IFERROR(GOOGLEFINANCE(A338, ""volume"") / GOOGLEFINANCE(A338, ""volumeavg""), 0)"),0.0)</f>
        <v>0</v>
      </c>
      <c r="R338" s="9">
        <f>IFERROR(__xludf.DUMMYFUNCTION("AVERAGE(INDEX(GOOGLEFINANCE(A338, ""price"", TODAY()-30, TODAY()), 0, 2))"),605.186956521739)</f>
        <v>605.1869565</v>
      </c>
      <c r="S338" s="9">
        <f>IFERROR(__xludf.DUMMYFUNCTION("AVERAGE(INDEX(GOOGLEFINANCE(A338, ""price"", TODAY()-75, TODAY()), 0, 2))"),567.4433962264152)</f>
        <v>567.4433962</v>
      </c>
      <c r="T338" s="9">
        <f>IFERROR(__xludf.DUMMYFUNCTION("AVERAGE(INDEX(GOOGLEFINANCE(A338, ""price"", TODAY()-300, TODAY()), 0, 2))"),545.5101485148513)</f>
        <v>545.5101485</v>
      </c>
      <c r="U338" s="9">
        <f t="shared" si="5"/>
        <v>0.01332322746</v>
      </c>
      <c r="V338" s="15">
        <f>IFERROR(__xludf.DUMMYFUNCTION("LET(hist, GOOGLEFINANCE(A338,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rs))))))"),63.41463414634149)</f>
        <v>63.41463415</v>
      </c>
      <c r="W338" s="16" t="str">
        <f>IFERROR(__xludf.DUMMYFUNCTION("IFERROR(GOOGLEFINANCE(A338, ""volume"") / GOOGLEFINANCE(A338, ""volumeavg""), )"),"")</f>
        <v/>
      </c>
      <c r="X338" s="9">
        <f>IFERROR(__xludf.DUMMYFUNCTION("B338 * GOOGLEFINANCE(A338, ""volume"")"),1.042561795E9)</f>
        <v>1042561795</v>
      </c>
      <c r="Y338" s="9">
        <f>IFERROR(__xludf.DUMMYFUNCTION("IFERROR(((B338 - GOOGLEFINANCE(A338, ""priceopen"")) / GOOGLEFINANCE(A338, ""priceopen"")) * GOOGLEFINANCE(A338, ""volume""), 0)"),11864.12972085386)</f>
        <v>11864.12972</v>
      </c>
    </row>
    <row r="339">
      <c r="A339" s="4" t="s">
        <v>2132</v>
      </c>
      <c r="B339" s="7">
        <f>IFERROR(__xludf.DUMMYFUNCTION("GOOGLEFINANCE(A339, ""price"")"),229.0)</f>
        <v>229</v>
      </c>
      <c r="C339" s="7">
        <f>IFERROR(__xludf.DUMMYFUNCTION("GOOGLEFINANCE(A339, ""changepct"")"),-2.74)</f>
        <v>-2.74</v>
      </c>
      <c r="D339" s="9">
        <f>IFERROR(__xludf.DUMMYFUNCTION("GOOGLEFINANCE(A339, ""priceopen"")"),235.85)</f>
        <v>235.85</v>
      </c>
      <c r="E339" s="9">
        <f>IFERROR(__xludf.DUMMYFUNCTION("GOOGLEFINANCE(A339, ""high"")"),237.7)</f>
        <v>237.7</v>
      </c>
      <c r="F339" s="9">
        <f>IFERROR(__xludf.DUMMYFUNCTION("GOOGLEFINANCE(A339, ""low"")"),226.18)</f>
        <v>226.18</v>
      </c>
      <c r="G339" s="9">
        <f>IFERROR(__xludf.DUMMYFUNCTION("GOOGLEFINANCE(A339, ""price"")"),229.0)</f>
        <v>229</v>
      </c>
      <c r="H339" s="9">
        <f>IFERROR(__xludf.DUMMYFUNCTION("MAX(INDEX(GOOGLEFINANCE(A339, ""high"", TODAY()-30, TODAY()), 0, 2))"),262.0)</f>
        <v>262</v>
      </c>
      <c r="I339" s="9">
        <f>IFERROR(__xludf.DUMMYFUNCTION("MIN(INDEX(GOOGLEFINANCE(A339, ""low"", TODAY()-30, TODAY()), 0, 2))"),218.59)</f>
        <v>218.59</v>
      </c>
      <c r="J339" s="9">
        <f>IFERROR(__xludf.DUMMYFUNCTION("GOOGLEFINANCE(A339, ""high52"")"),264.53)</f>
        <v>264.53</v>
      </c>
      <c r="K339" s="9">
        <f>IFERROR(__xludf.DUMMYFUNCTION("GOOGLEFINANCE(A339, ""low52"")"),151.1)</f>
        <v>151.1</v>
      </c>
      <c r="L339" s="9">
        <f t="shared" si="1"/>
        <v>0.1343136884</v>
      </c>
      <c r="M339" s="9">
        <f t="shared" si="2"/>
        <v>0.5155526142</v>
      </c>
      <c r="N339" s="9">
        <f t="shared" si="3"/>
        <v>0.05093288531</v>
      </c>
      <c r="O339" s="9">
        <f t="shared" si="4"/>
        <v>0.2398064962</v>
      </c>
      <c r="P339" s="9">
        <f>IFERROR(__xludf.DUMMYFUNCTION("GOOGLEFINANCE(A339, ""pe"")"),19.61)</f>
        <v>19.61</v>
      </c>
      <c r="Q339" s="9">
        <f>IFERROR(__xludf.DUMMYFUNCTION("IFERROR(GOOGLEFINANCE(A339, ""volume"") / GOOGLEFINANCE(A339, ""volumeavg""), 0)"),0.0)</f>
        <v>0</v>
      </c>
      <c r="R339" s="9">
        <f>IFERROR(__xludf.DUMMYFUNCTION("AVERAGE(INDEX(GOOGLEFINANCE(A339, ""price"", TODAY()-30, TODAY()), 0, 2))"),240.3321739130435)</f>
        <v>240.3321739</v>
      </c>
      <c r="S339" s="9">
        <f>IFERROR(__xludf.DUMMYFUNCTION("AVERAGE(INDEX(GOOGLEFINANCE(A339, ""price"", TODAY()-75, TODAY()), 0, 2))"),227.47245283018856)</f>
        <v>227.4724528</v>
      </c>
      <c r="T339" s="9">
        <f>IFERROR(__xludf.DUMMYFUNCTION("AVERAGE(INDEX(GOOGLEFINANCE(A339, ""price"", TODAY()-300, TODAY()), 0, 2))"),194.01574257425747)</f>
        <v>194.0157426</v>
      </c>
      <c r="U339" s="9">
        <f t="shared" si="5"/>
        <v>-0.04715213002</v>
      </c>
      <c r="V339" s="15">
        <f>IFERROR(__xludf.DUMMYFUNCTION("LET(hist, GOOGLEFINANCE(A339,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rs))))))"),41.482578000455476)</f>
        <v>41.482578</v>
      </c>
      <c r="W339" s="16" t="str">
        <f>IFERROR(__xludf.DUMMYFUNCTION("IFERROR(GOOGLEFINANCE(A339, ""volume"") / GOOGLEFINANCE(A339, ""volumeavg""), )"),"")</f>
        <v/>
      </c>
      <c r="X339" s="9">
        <f>IFERROR(__xludf.DUMMYFUNCTION("B339 * GOOGLEFINANCE(A339, ""volume"")"),5.93605098E8)</f>
        <v>593605098</v>
      </c>
      <c r="Y339" s="9">
        <f>IFERROR(__xludf.DUMMYFUNCTION("IFERROR(((B339 - GOOGLEFINANCE(A339, ""priceopen"")) / GOOGLEFINANCE(A339, ""priceopen"")) * GOOGLEFINANCE(A339, ""volume""), 0)"),-75286.45198219201)</f>
        <v>-75286.45198</v>
      </c>
    </row>
    <row r="340">
      <c r="A340" s="4" t="s">
        <v>2133</v>
      </c>
      <c r="B340" s="7">
        <f>IFERROR(__xludf.DUMMYFUNCTION("GOOGLEFINANCE(A340, ""price"")"),890.0)</f>
        <v>890</v>
      </c>
      <c r="C340" s="7">
        <f>IFERROR(__xludf.DUMMYFUNCTION("GOOGLEFINANCE(A340, ""changepct"")"),-1.29)</f>
        <v>-1.29</v>
      </c>
      <c r="D340" s="9">
        <f>IFERROR(__xludf.DUMMYFUNCTION("GOOGLEFINANCE(A340, ""priceopen"")"),903.15)</f>
        <v>903.15</v>
      </c>
      <c r="E340" s="9">
        <f>IFERROR(__xludf.DUMMYFUNCTION("GOOGLEFINANCE(A340, ""high"")"),906.9)</f>
        <v>906.9</v>
      </c>
      <c r="F340" s="9">
        <f>IFERROR(__xludf.DUMMYFUNCTION("GOOGLEFINANCE(A340, ""low"")"),879.1)</f>
        <v>879.1</v>
      </c>
      <c r="G340" s="9">
        <f>IFERROR(__xludf.DUMMYFUNCTION("GOOGLEFINANCE(A340, ""price"")"),890.0)</f>
        <v>890</v>
      </c>
      <c r="H340" s="9">
        <f>IFERROR(__xludf.DUMMYFUNCTION("MAX(INDEX(GOOGLEFINANCE(A340, ""high"", TODAY()-30, TODAY()), 0, 2))"),940.1)</f>
        <v>940.1</v>
      </c>
      <c r="I340" s="9">
        <f>IFERROR(__xludf.DUMMYFUNCTION("MIN(INDEX(GOOGLEFINANCE(A340, ""low"", TODAY()-30, TODAY()), 0, 2))"),862.5)</f>
        <v>862.5</v>
      </c>
      <c r="J340" s="9">
        <f>IFERROR(__xludf.DUMMYFUNCTION("GOOGLEFINANCE(A340, ""high52"")"),1074.0)</f>
        <v>1074</v>
      </c>
      <c r="K340" s="9">
        <f>IFERROR(__xludf.DUMMYFUNCTION("GOOGLEFINANCE(A340, ""low52"")"),775.1)</f>
        <v>775.1</v>
      </c>
      <c r="L340" s="9">
        <f t="shared" si="1"/>
        <v>0.1713221601</v>
      </c>
      <c r="M340" s="9">
        <f t="shared" si="2"/>
        <v>0.1482389369</v>
      </c>
      <c r="N340" s="9">
        <f t="shared" si="3"/>
        <v>0.03162325105</v>
      </c>
      <c r="O340" s="9">
        <f t="shared" si="4"/>
        <v>0.3543814433</v>
      </c>
      <c r="P340" s="9">
        <f>IFERROR(__xludf.DUMMYFUNCTION("GOOGLEFINANCE(A340, ""pe"")"),51.83)</f>
        <v>51.83</v>
      </c>
      <c r="Q340" s="9">
        <f>IFERROR(__xludf.DUMMYFUNCTION("IFERROR(GOOGLEFINANCE(A340, ""volume"") / GOOGLEFINANCE(A340, ""volumeavg""), 0)"),0.0)</f>
        <v>0</v>
      </c>
      <c r="R340" s="9">
        <f>IFERROR(__xludf.DUMMYFUNCTION("AVERAGE(INDEX(GOOGLEFINANCE(A340, ""price"", TODAY()-30, TODAY()), 0, 2))"),894.7152173913043)</f>
        <v>894.7152174</v>
      </c>
      <c r="S340" s="9">
        <f>IFERROR(__xludf.DUMMYFUNCTION("AVERAGE(INDEX(GOOGLEFINANCE(A340, ""price"", TODAY()-75, TODAY()), 0, 2))"),885.6688679245283)</f>
        <v>885.6688679</v>
      </c>
      <c r="T340" s="9">
        <f>IFERROR(__xludf.DUMMYFUNCTION("AVERAGE(INDEX(GOOGLEFINANCE(A340, ""price"", TODAY()-300, TODAY()), 0, 2))"),913.2542079207915)</f>
        <v>913.2542079</v>
      </c>
      <c r="U340" s="9">
        <f t="shared" si="5"/>
        <v>-0.005270076221</v>
      </c>
      <c r="V340" s="15">
        <f>IFERROR(__xludf.DUMMYFUNCTION("LET(hist, GOOGLEFINANCE(A340,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rs))))))"),56.260269470916846)</f>
        <v>56.26026947</v>
      </c>
      <c r="W340" s="16" t="str">
        <f>IFERROR(__xludf.DUMMYFUNCTION("IFERROR(GOOGLEFINANCE(A340, ""volume"") / GOOGLEFINANCE(A340, ""volumeavg""), )"),"")</f>
        <v/>
      </c>
      <c r="X340" s="9">
        <f>IFERROR(__xludf.DUMMYFUNCTION("B340 * GOOGLEFINANCE(A340, ""volume"")"),1.1910959E8)</f>
        <v>119109590</v>
      </c>
      <c r="Y340" s="9">
        <f>IFERROR(__xludf.DUMMYFUNCTION("IFERROR(((B340 - GOOGLEFINANCE(A340, ""priceopen"")) / GOOGLEFINANCE(A340, ""priceopen"")) * GOOGLEFINANCE(A340, ""volume""), 0)"),-1948.599512816251)</f>
        <v>-1948.599513</v>
      </c>
    </row>
    <row r="341">
      <c r="A341" s="4" t="s">
        <v>2134</v>
      </c>
      <c r="B341" s="7">
        <f>IFERROR(__xludf.DUMMYFUNCTION("GOOGLEFINANCE(A341, ""price"")"),1666.1)</f>
        <v>1666.1</v>
      </c>
      <c r="C341" s="7">
        <f>IFERROR(__xludf.DUMMYFUNCTION("GOOGLEFINANCE(A341, ""changepct"")"),-0.67)</f>
        <v>-0.67</v>
      </c>
      <c r="D341" s="9">
        <f>IFERROR(__xludf.DUMMYFUNCTION("GOOGLEFINANCE(A341, ""priceopen"")"),1690.0)</f>
        <v>1690</v>
      </c>
      <c r="E341" s="9">
        <f>IFERROR(__xludf.DUMMYFUNCTION("GOOGLEFINANCE(A341, ""high"")"),1690.0)</f>
        <v>1690</v>
      </c>
      <c r="F341" s="9">
        <f>IFERROR(__xludf.DUMMYFUNCTION("GOOGLEFINANCE(A341, ""low"")"),1656.9)</f>
        <v>1656.9</v>
      </c>
      <c r="G341" s="9">
        <f>IFERROR(__xludf.DUMMYFUNCTION("GOOGLEFINANCE(A341, ""price"")"),1666.1)</f>
        <v>1666.1</v>
      </c>
      <c r="H341" s="9">
        <f>IFERROR(__xludf.DUMMYFUNCTION("MAX(INDEX(GOOGLEFINANCE(A341, ""high"", TODAY()-30, TODAY()), 0, 2))"),1720.1)</f>
        <v>1720.1</v>
      </c>
      <c r="I341" s="9">
        <f>IFERROR(__xludf.DUMMYFUNCTION("MIN(INDEX(GOOGLEFINANCE(A341, ""low"", TODAY()-30, TODAY()), 0, 2))"),1419.1)</f>
        <v>1419.1</v>
      </c>
      <c r="J341" s="9">
        <f>IFERROR(__xludf.DUMMYFUNCTION("GOOGLEFINANCE(A341, ""high52"")"),2185.9)</f>
        <v>2185.9</v>
      </c>
      <c r="K341" s="9">
        <f>IFERROR(__xludf.DUMMYFUNCTION("GOOGLEFINANCE(A341, ""low52"")"),1251.3)</f>
        <v>1251.3</v>
      </c>
      <c r="L341" s="9">
        <f t="shared" si="1"/>
        <v>0.2377967885</v>
      </c>
      <c r="M341" s="9">
        <f t="shared" si="2"/>
        <v>0.3314952449</v>
      </c>
      <c r="N341" s="9">
        <f t="shared" si="3"/>
        <v>0.0199770656</v>
      </c>
      <c r="O341" s="9">
        <f t="shared" si="4"/>
        <v>0.8205980066</v>
      </c>
      <c r="P341" s="9">
        <f>IFERROR(__xludf.DUMMYFUNCTION("GOOGLEFINANCE(A341, ""pe"")"),49.18)</f>
        <v>49.18</v>
      </c>
      <c r="Q341" s="9">
        <f>IFERROR(__xludf.DUMMYFUNCTION("IFERROR(GOOGLEFINANCE(A341, ""volume"") / GOOGLEFINANCE(A341, ""volumeavg""), 0)"),0.0)</f>
        <v>0</v>
      </c>
      <c r="R341" s="9">
        <f>IFERROR(__xludf.DUMMYFUNCTION("AVERAGE(INDEX(GOOGLEFINANCE(A341, ""price"", TODAY()-30, TODAY()), 0, 2))"),1580.7739130434782)</f>
        <v>1580.773913</v>
      </c>
      <c r="S341" s="9">
        <f>IFERROR(__xludf.DUMMYFUNCTION("AVERAGE(INDEX(GOOGLEFINANCE(A341, ""price"", TODAY()-75, TODAY()), 0, 2))"),1514.649056603774)</f>
        <v>1514.649057</v>
      </c>
      <c r="T341" s="9">
        <f>IFERROR(__xludf.DUMMYFUNCTION("AVERAGE(INDEX(GOOGLEFINANCE(A341, ""price"", TODAY()-300, TODAY()), 0, 2))"),1571.2712871287138)</f>
        <v>1571.271287</v>
      </c>
      <c r="U341" s="9">
        <f t="shared" si="5"/>
        <v>0.05397741337</v>
      </c>
      <c r="V341" s="15">
        <f>IFERROR(__xludf.DUMMYFUNCTION("LET(hist, GOOGLEFINANCE(A341,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rs))))))"),67.13015359741311)</f>
        <v>67.1301536</v>
      </c>
      <c r="W341" s="16" t="str">
        <f>IFERROR(__xludf.DUMMYFUNCTION("IFERROR(GOOGLEFINANCE(A341, ""volume"") / GOOGLEFINANCE(A341, ""volumeavg""), )"),"")</f>
        <v/>
      </c>
      <c r="X341" s="9">
        <f>IFERROR(__xludf.DUMMYFUNCTION("B341 * GOOGLEFINANCE(A341, ""volume"")"),3.142714447E8)</f>
        <v>314271444.7</v>
      </c>
      <c r="Y341" s="9">
        <f>IFERROR(__xludf.DUMMYFUNCTION("IFERROR(((B341 - GOOGLEFINANCE(A341, ""priceopen"")) / GOOGLEFINANCE(A341, ""priceopen"")) * GOOGLEFINANCE(A341, ""volume""), 0)"),-2667.5652662721996)</f>
        <v>-2667.565266</v>
      </c>
    </row>
    <row r="342">
      <c r="A342" s="4" t="s">
        <v>2135</v>
      </c>
      <c r="B342" s="7">
        <f>IFERROR(__xludf.DUMMYFUNCTION("GOOGLEFINANCE(A342, ""price"")"),269.4)</f>
        <v>269.4</v>
      </c>
      <c r="C342" s="7">
        <f>IFERROR(__xludf.DUMMYFUNCTION("GOOGLEFINANCE(A342, ""changepct"")"),-4.32)</f>
        <v>-4.32</v>
      </c>
      <c r="D342" s="9">
        <f>IFERROR(__xludf.DUMMYFUNCTION("GOOGLEFINANCE(A342, ""priceopen"")"),282.5)</f>
        <v>282.5</v>
      </c>
      <c r="E342" s="9">
        <f>IFERROR(__xludf.DUMMYFUNCTION("GOOGLEFINANCE(A342, ""high"")"),285.3)</f>
        <v>285.3</v>
      </c>
      <c r="F342" s="9">
        <f>IFERROR(__xludf.DUMMYFUNCTION("GOOGLEFINANCE(A342, ""low"")"),265.4)</f>
        <v>265.4</v>
      </c>
      <c r="G342" s="9">
        <f>IFERROR(__xludf.DUMMYFUNCTION("GOOGLEFINANCE(A342, ""price"")"),269.4)</f>
        <v>269.4</v>
      </c>
      <c r="H342" s="9">
        <f>IFERROR(__xludf.DUMMYFUNCTION("MAX(INDEX(GOOGLEFINANCE(A342, ""high"", TODAY()-30, TODAY()), 0, 2))"),311.0)</f>
        <v>311</v>
      </c>
      <c r="I342" s="9">
        <f>IFERROR(__xludf.DUMMYFUNCTION("MIN(INDEX(GOOGLEFINANCE(A342, ""low"", TODAY()-30, TODAY()), 0, 2))"),261.6)</f>
        <v>261.6</v>
      </c>
      <c r="J342" s="9">
        <f>IFERROR(__xludf.DUMMYFUNCTION("GOOGLEFINANCE(A342, ""high52"")"),367.0)</f>
        <v>367</v>
      </c>
      <c r="K342" s="9">
        <f>IFERROR(__xludf.DUMMYFUNCTION("GOOGLEFINANCE(A342, ""low52"")"),139.04)</f>
        <v>139.04</v>
      </c>
      <c r="L342" s="9">
        <f t="shared" si="1"/>
        <v>0.2659400545</v>
      </c>
      <c r="M342" s="9">
        <f t="shared" si="2"/>
        <v>0.9375719217</v>
      </c>
      <c r="N342" s="9">
        <f t="shared" si="3"/>
        <v>0.07498116051</v>
      </c>
      <c r="O342" s="9">
        <f t="shared" si="4"/>
        <v>0.1578947368</v>
      </c>
      <c r="P342" s="9">
        <f>IFERROR(__xludf.DUMMYFUNCTION("GOOGLEFINANCE(A342, ""pe"")"),174.94)</f>
        <v>174.94</v>
      </c>
      <c r="Q342" s="9">
        <f>IFERROR(__xludf.DUMMYFUNCTION("IFERROR(GOOGLEFINANCE(A342, ""volume"") / GOOGLEFINANCE(A342, ""volumeavg""), 0)"),0.0)</f>
        <v>0</v>
      </c>
      <c r="R342" s="9">
        <f>IFERROR(__xludf.DUMMYFUNCTION("AVERAGE(INDEX(GOOGLEFINANCE(A342, ""price"", TODAY()-30, TODAY()), 0, 2))"),286.9482608695652)</f>
        <v>286.9482609</v>
      </c>
      <c r="S342" s="9">
        <f>IFERROR(__xludf.DUMMYFUNCTION("AVERAGE(INDEX(GOOGLEFINANCE(A342, ""price"", TODAY()-75, TODAY()), 0, 2))"),255.92396226415096)</f>
        <v>255.9239623</v>
      </c>
      <c r="T342" s="9">
        <f>IFERROR(__xludf.DUMMYFUNCTION("AVERAGE(INDEX(GOOGLEFINANCE(A342, ""price"", TODAY()-300, TODAY()), 0, 2))"),247.7563366336633)</f>
        <v>247.7563366</v>
      </c>
      <c r="U342" s="9">
        <f t="shared" si="5"/>
        <v>-0.06115479082</v>
      </c>
      <c r="V342" s="15">
        <f>IFERROR(__xludf.DUMMYFUNCTION("LET(hist, GOOGLEFINANCE(A342,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rs))))))"),40.490860546313435)</f>
        <v>40.49086055</v>
      </c>
      <c r="W342" s="16" t="str">
        <f>IFERROR(__xludf.DUMMYFUNCTION("IFERROR(GOOGLEFINANCE(A342, ""volume"") / GOOGLEFINANCE(A342, ""volumeavg""), )"),"")</f>
        <v/>
      </c>
      <c r="X342" s="9">
        <f>IFERROR(__xludf.DUMMYFUNCTION("B342 * GOOGLEFINANCE(A342, ""volume"")"),2.3369156879999998E8)</f>
        <v>233691568.8</v>
      </c>
      <c r="Y342" s="9">
        <f>IFERROR(__xludf.DUMMYFUNCTION("IFERROR(((B342 - GOOGLEFINANCE(A342, ""priceopen"")) / GOOGLEFINANCE(A342, ""priceopen"")) * GOOGLEFINANCE(A342, ""volume""), 0)"),-40225.207787610685)</f>
        <v>-40225.20779</v>
      </c>
    </row>
    <row r="343">
      <c r="A343" s="4" t="s">
        <v>2136</v>
      </c>
      <c r="B343" s="7">
        <f>IFERROR(__xludf.DUMMYFUNCTION("GOOGLEFINANCE(A343, ""price"")"),393.5)</f>
        <v>393.5</v>
      </c>
      <c r="C343" s="7">
        <f>IFERROR(__xludf.DUMMYFUNCTION("GOOGLEFINANCE(A343, ""changepct"")"),0.67)</f>
        <v>0.67</v>
      </c>
      <c r="D343" s="9">
        <f>IFERROR(__xludf.DUMMYFUNCTION("GOOGLEFINANCE(A343, ""priceopen"")"),390.9)</f>
        <v>390.9</v>
      </c>
      <c r="E343" s="9">
        <f>IFERROR(__xludf.DUMMYFUNCTION("GOOGLEFINANCE(A343, ""high"")"),407.05)</f>
        <v>407.05</v>
      </c>
      <c r="F343" s="9">
        <f>IFERROR(__xludf.DUMMYFUNCTION("GOOGLEFINANCE(A343, ""low"")"),390.0)</f>
        <v>390</v>
      </c>
      <c r="G343" s="9">
        <f>IFERROR(__xludf.DUMMYFUNCTION("GOOGLEFINANCE(A343, ""price"")"),393.5)</f>
        <v>393.5</v>
      </c>
      <c r="H343" s="9">
        <f>IFERROR(__xludf.DUMMYFUNCTION("MAX(INDEX(GOOGLEFINANCE(A343, ""high"", TODAY()-30, TODAY()), 0, 2))"),410.7)</f>
        <v>410.7</v>
      </c>
      <c r="I343" s="9">
        <f>IFERROR(__xludf.DUMMYFUNCTION("MIN(INDEX(GOOGLEFINANCE(A343, ""low"", TODAY()-30, TODAY()), 0, 2))"),341.25)</f>
        <v>341.25</v>
      </c>
      <c r="J343" s="9">
        <f>IFERROR(__xludf.DUMMYFUNCTION("GOOGLEFINANCE(A343, ""high52"")"),634.55)</f>
        <v>634.55</v>
      </c>
      <c r="K343" s="9">
        <f>IFERROR(__xludf.DUMMYFUNCTION("GOOGLEFINANCE(A343, ""low52"")"),290.65)</f>
        <v>290.65</v>
      </c>
      <c r="L343" s="9">
        <f t="shared" si="1"/>
        <v>0.3798755023</v>
      </c>
      <c r="M343" s="9">
        <f t="shared" si="2"/>
        <v>0.3538620334</v>
      </c>
      <c r="N343" s="9">
        <f t="shared" si="3"/>
        <v>0.04371794872</v>
      </c>
      <c r="O343" s="9">
        <f t="shared" si="4"/>
        <v>0.7523398128</v>
      </c>
      <c r="P343" s="9">
        <f>IFERROR(__xludf.DUMMYFUNCTION("GOOGLEFINANCE(A343, ""pe"")"),1457.41)</f>
        <v>1457.41</v>
      </c>
      <c r="Q343" s="9">
        <f>IFERROR(__xludf.DUMMYFUNCTION("IFERROR(GOOGLEFINANCE(A343, ""volume"") / GOOGLEFINANCE(A343, ""volumeavg""), 0)"),0.0)</f>
        <v>0</v>
      </c>
      <c r="R343" s="9">
        <f>IFERROR(__xludf.DUMMYFUNCTION("AVERAGE(INDEX(GOOGLEFINANCE(A343, ""price"", TODAY()-30, TODAY()), 0, 2))"),374.75)</f>
        <v>374.75</v>
      </c>
      <c r="S343" s="9">
        <f>IFERROR(__xludf.DUMMYFUNCTION("AVERAGE(INDEX(GOOGLEFINANCE(A343, ""price"", TODAY()-75, TODAY()), 0, 2))"),385.66037735849056)</f>
        <v>385.6603774</v>
      </c>
      <c r="T343" s="9">
        <f>IFERROR(__xludf.DUMMYFUNCTION("AVERAGE(INDEX(GOOGLEFINANCE(A343, ""price"", TODAY()-300, TODAY()), 0, 2))"),373.7462871287127)</f>
        <v>373.7462871</v>
      </c>
      <c r="U343" s="9">
        <f t="shared" si="5"/>
        <v>0.05003335557</v>
      </c>
      <c r="V343" s="15">
        <f>IFERROR(__xludf.DUMMYFUNCTION("LET(hist, GOOGLEFINANCE(A343,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rs))))))"),74.67930842163969)</f>
        <v>74.67930842</v>
      </c>
      <c r="W343" s="16" t="str">
        <f>IFERROR(__xludf.DUMMYFUNCTION("IFERROR(GOOGLEFINANCE(A343, ""volume"") / GOOGLEFINANCE(A343, ""volumeavg""), )"),"")</f>
        <v/>
      </c>
      <c r="X343" s="9">
        <f>IFERROR(__xludf.DUMMYFUNCTION("B343 * GOOGLEFINANCE(A343, ""volume"")"),1.216524925E8)</f>
        <v>121652492.5</v>
      </c>
      <c r="Y343" s="9">
        <f>IFERROR(__xludf.DUMMYFUNCTION("IFERROR(((B343 - GOOGLEFINANCE(A343, ""priceopen"")) / GOOGLEFINANCE(A343, ""priceopen"")) * GOOGLEFINANCE(A343, ""volume""), 0)"),2056.288053210558)</f>
        <v>2056.288053</v>
      </c>
    </row>
    <row r="344">
      <c r="A344" s="4" t="s">
        <v>2137</v>
      </c>
      <c r="B344" s="7">
        <f>IFERROR(__xludf.DUMMYFUNCTION("GOOGLEFINANCE(A344, ""price"")"),5010.0)</f>
        <v>5010</v>
      </c>
      <c r="C344" s="7">
        <f>IFERROR(__xludf.DUMMYFUNCTION("GOOGLEFINANCE(A344, ""changepct"")"),2.28)</f>
        <v>2.28</v>
      </c>
      <c r="D344" s="9">
        <f>IFERROR(__xludf.DUMMYFUNCTION("GOOGLEFINANCE(A344, ""priceopen"")"),4892.0)</f>
        <v>4892</v>
      </c>
      <c r="E344" s="9">
        <f>IFERROR(__xludf.DUMMYFUNCTION("GOOGLEFINANCE(A344, ""high"")"),5149.0)</f>
        <v>5149</v>
      </c>
      <c r="F344" s="9">
        <f>IFERROR(__xludf.DUMMYFUNCTION("GOOGLEFINANCE(A344, ""low"")"),4891.7)</f>
        <v>4891.7</v>
      </c>
      <c r="G344" s="9">
        <f>IFERROR(__xludf.DUMMYFUNCTION("GOOGLEFINANCE(A344, ""price"")"),5010.0)</f>
        <v>5010</v>
      </c>
      <c r="H344" s="9">
        <f>IFERROR(__xludf.DUMMYFUNCTION("MAX(INDEX(GOOGLEFINANCE(A344, ""high"", TODAY()-30, TODAY()), 0, 2))"),5149.0)</f>
        <v>5149</v>
      </c>
      <c r="I344" s="9">
        <f>IFERROR(__xludf.DUMMYFUNCTION("MIN(INDEX(GOOGLEFINANCE(A344, ""low"", TODAY()-30, TODAY()), 0, 2))"),4502.6)</f>
        <v>4502.6</v>
      </c>
      <c r="J344" s="9">
        <f>IFERROR(__xludf.DUMMYFUNCTION("GOOGLEFINANCE(A344, ""high52"")"),5873.5)</f>
        <v>5873.5</v>
      </c>
      <c r="K344" s="9">
        <f>IFERROR(__xludf.DUMMYFUNCTION("GOOGLEFINANCE(A344, ""low52"")"),4360.1)</f>
        <v>4360.1</v>
      </c>
      <c r="L344" s="9">
        <f t="shared" si="1"/>
        <v>0.1470162595</v>
      </c>
      <c r="M344" s="9">
        <f t="shared" si="2"/>
        <v>0.1490562143</v>
      </c>
      <c r="N344" s="9">
        <f t="shared" si="3"/>
        <v>0.05259930086</v>
      </c>
      <c r="O344" s="9">
        <f t="shared" si="4"/>
        <v>0.7849628713</v>
      </c>
      <c r="P344" s="9">
        <f>IFERROR(__xludf.DUMMYFUNCTION("GOOGLEFINANCE(A344, ""pe"")"),31.18)</f>
        <v>31.18</v>
      </c>
      <c r="Q344" s="9">
        <f>IFERROR(__xludf.DUMMYFUNCTION("IFERROR(GOOGLEFINANCE(A344, ""volume"") / GOOGLEFINANCE(A344, ""volumeavg""), 0)"),0.0)</f>
        <v>0</v>
      </c>
      <c r="R344" s="9">
        <f>IFERROR(__xludf.DUMMYFUNCTION("AVERAGE(INDEX(GOOGLEFINANCE(A344, ""price"", TODAY()-30, TODAY()), 0, 2))"),4761.065217391306)</f>
        <v>4761.065217</v>
      </c>
      <c r="S344" s="9">
        <f>IFERROR(__xludf.DUMMYFUNCTION("AVERAGE(INDEX(GOOGLEFINANCE(A344, ""price"", TODAY()-75, TODAY()), 0, 2))"),4623.188679245283)</f>
        <v>4623.188679</v>
      </c>
      <c r="T344" s="9">
        <f>IFERROR(__xludf.DUMMYFUNCTION("AVERAGE(INDEX(GOOGLEFINANCE(A344, ""price"", TODAY()-300, TODAY()), 0, 2))"),4828.746534653464)</f>
        <v>4828.746535</v>
      </c>
      <c r="U344" s="9">
        <f t="shared" si="5"/>
        <v>0.05228552251</v>
      </c>
      <c r="V344" s="15">
        <f>IFERROR(__xludf.DUMMYFUNCTION("LET(hist, GOOGLEFINANCE(A344,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rs))))))"),81.02276588515134)</f>
        <v>81.02276589</v>
      </c>
      <c r="W344" s="16" t="str">
        <f>IFERROR(__xludf.DUMMYFUNCTION("IFERROR(GOOGLEFINANCE(A344, ""volume"") / GOOGLEFINANCE(A344, ""volumeavg""), )"),"")</f>
        <v/>
      </c>
      <c r="X344" s="9">
        <f>IFERROR(__xludf.DUMMYFUNCTION("B344 * GOOGLEFINANCE(A344, ""volume"")"),7.4566335E8)</f>
        <v>745663350</v>
      </c>
      <c r="Y344" s="9">
        <f>IFERROR(__xludf.DUMMYFUNCTION("IFERROR(((B344 - GOOGLEFINANCE(A344, ""priceopen"")) / GOOGLEFINANCE(A344, ""priceopen"")) * GOOGLEFINANCE(A344, ""volume""), 0)"),3590.051103843009)</f>
        <v>3590.051104</v>
      </c>
    </row>
    <row r="345">
      <c r="A345" s="4" t="s">
        <v>2138</v>
      </c>
      <c r="B345" s="7">
        <f>IFERROR(__xludf.DUMMYFUNCTION("GOOGLEFINANCE(A345, ""price"")"),1399.0)</f>
        <v>1399</v>
      </c>
      <c r="C345" s="7">
        <f>IFERROR(__xludf.DUMMYFUNCTION("GOOGLEFINANCE(A345, ""changepct"")"),3.81)</f>
        <v>3.81</v>
      </c>
      <c r="D345" s="9">
        <f>IFERROR(__xludf.DUMMYFUNCTION("GOOGLEFINANCE(A345, ""priceopen"")"),1348.3)</f>
        <v>1348.3</v>
      </c>
      <c r="E345" s="9">
        <f>IFERROR(__xludf.DUMMYFUNCTION("GOOGLEFINANCE(A345, ""high"")"),1468.0)</f>
        <v>1468</v>
      </c>
      <c r="F345" s="9">
        <f>IFERROR(__xludf.DUMMYFUNCTION("GOOGLEFINANCE(A345, ""low"")"),1348.3)</f>
        <v>1348.3</v>
      </c>
      <c r="G345" s="9">
        <f>IFERROR(__xludf.DUMMYFUNCTION("GOOGLEFINANCE(A345, ""price"")"),1399.0)</f>
        <v>1399</v>
      </c>
      <c r="H345" s="9">
        <f>IFERROR(__xludf.DUMMYFUNCTION("MAX(INDEX(GOOGLEFINANCE(A345, ""high"", TODAY()-30, TODAY()), 0, 2))"),1468.0)</f>
        <v>1468</v>
      </c>
      <c r="I345" s="9">
        <f>IFERROR(__xludf.DUMMYFUNCTION("MIN(INDEX(GOOGLEFINANCE(A345, ""low"", TODAY()-30, TODAY()), 0, 2))"),1258.2)</f>
        <v>1258.2</v>
      </c>
      <c r="J345" s="9">
        <f>IFERROR(__xludf.DUMMYFUNCTION("GOOGLEFINANCE(A345, ""high52"")"),1479.6)</f>
        <v>1479.6</v>
      </c>
      <c r="K345" s="9">
        <f>IFERROR(__xludf.DUMMYFUNCTION("GOOGLEFINANCE(A345, ""low52"")"),1007.1)</f>
        <v>1007.1</v>
      </c>
      <c r="L345" s="9">
        <f t="shared" si="1"/>
        <v>0.05447418221</v>
      </c>
      <c r="M345" s="9">
        <f t="shared" si="2"/>
        <v>0.3891371264</v>
      </c>
      <c r="N345" s="9">
        <f t="shared" si="3"/>
        <v>0.08877846177</v>
      </c>
      <c r="O345" s="9">
        <f t="shared" si="4"/>
        <v>0.671115348</v>
      </c>
      <c r="P345" s="9" t="str">
        <f>IFERROR(__xludf.DUMMYFUNCTION("GOOGLEFINANCE(A345, ""pe"")"),"#N/A")</f>
        <v>#N/A</v>
      </c>
      <c r="Q345" s="9">
        <f>IFERROR(__xludf.DUMMYFUNCTION("IFERROR(GOOGLEFINANCE(A345, ""volume"") / GOOGLEFINANCE(A345, ""volumeavg""), 0)"),0.0)</f>
        <v>0</v>
      </c>
      <c r="R345" s="9">
        <f>IFERROR(__xludf.DUMMYFUNCTION("AVERAGE(INDEX(GOOGLEFINANCE(A345, ""price"", TODAY()-30, TODAY()), 0, 2))"),1309.0782608695652)</f>
        <v>1309.078261</v>
      </c>
      <c r="S345" s="9">
        <f>IFERROR(__xludf.DUMMYFUNCTION("AVERAGE(INDEX(GOOGLEFINANCE(A345, ""price"", TODAY()-75, TODAY()), 0, 2))"),1327.122641509434)</f>
        <v>1327.122642</v>
      </c>
      <c r="T345" s="9">
        <f>IFERROR(__xludf.DUMMYFUNCTION("AVERAGE(INDEX(GOOGLEFINANCE(A345, ""price"", TODAY()-300, TODAY()), 0, 2))"),1221.3876237623767)</f>
        <v>1221.387624</v>
      </c>
      <c r="U345" s="9">
        <f t="shared" si="5"/>
        <v>0.06869088107</v>
      </c>
      <c r="V345" s="15">
        <f>IFERROR(__xludf.DUMMYFUNCTION("LET(hist, GOOGLEFINANCE(A345,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rs))))))"),71.26881720430107)</f>
        <v>71.2688172</v>
      </c>
      <c r="W345" s="16" t="str">
        <f>IFERROR(__xludf.DUMMYFUNCTION("IFERROR(GOOGLEFINANCE(A345, ""volume"") / GOOGLEFINANCE(A345, ""volumeavg""), )"),"")</f>
        <v/>
      </c>
      <c r="X345" s="9">
        <f>IFERROR(__xludf.DUMMYFUNCTION("B345 * GOOGLEFINANCE(A345, ""volume"")"),5.197448683E9)</f>
        <v>5197448683</v>
      </c>
      <c r="Y345" s="9">
        <f>IFERROR(__xludf.DUMMYFUNCTION("IFERROR(((B345 - GOOGLEFINANCE(A345, ""priceopen"")) / GOOGLEFINANCE(A345, ""priceopen"")) * GOOGLEFINANCE(A345, ""volume""), 0)"),139699.2004005045)</f>
        <v>139699.2004</v>
      </c>
    </row>
    <row r="346">
      <c r="A346" s="4" t="s">
        <v>2139</v>
      </c>
      <c r="B346" s="7">
        <f>IFERROR(__xludf.DUMMYFUNCTION("GOOGLEFINANCE(A346, ""price"")"),318.05)</f>
        <v>318.05</v>
      </c>
      <c r="C346" s="7">
        <f>IFERROR(__xludf.DUMMYFUNCTION("GOOGLEFINANCE(A346, ""changepct"")"),-0.11)</f>
        <v>-0.11</v>
      </c>
      <c r="D346" s="9">
        <f>IFERROR(__xludf.DUMMYFUNCTION("GOOGLEFINANCE(A346, ""priceopen"")"),319.0)</f>
        <v>319</v>
      </c>
      <c r="E346" s="9">
        <f>IFERROR(__xludf.DUMMYFUNCTION("GOOGLEFINANCE(A346, ""high"")"),319.55)</f>
        <v>319.55</v>
      </c>
      <c r="F346" s="9">
        <f>IFERROR(__xludf.DUMMYFUNCTION("GOOGLEFINANCE(A346, ""low"")"),313.45)</f>
        <v>313.45</v>
      </c>
      <c r="G346" s="9">
        <f>IFERROR(__xludf.DUMMYFUNCTION("GOOGLEFINANCE(A346, ""price"")"),318.05)</f>
        <v>318.05</v>
      </c>
      <c r="H346" s="9">
        <f>IFERROR(__xludf.DUMMYFUNCTION("MAX(INDEX(GOOGLEFINANCE(A346, ""high"", TODAY()-30, TODAY()), 0, 2))"),371.55)</f>
        <v>371.55</v>
      </c>
      <c r="I346" s="9">
        <f>IFERROR(__xludf.DUMMYFUNCTION("MIN(INDEX(GOOGLEFINANCE(A346, ""low"", TODAY()-30, TODAY()), 0, 2))"),306.0)</f>
        <v>306</v>
      </c>
      <c r="J346" s="9">
        <f>IFERROR(__xludf.DUMMYFUNCTION("GOOGLEFINANCE(A346, ""high52"")"),371.55)</f>
        <v>371.55</v>
      </c>
      <c r="K346" s="9">
        <f>IFERROR(__xludf.DUMMYFUNCTION("GOOGLEFINANCE(A346, ""low52"")"),171.51)</f>
        <v>171.51</v>
      </c>
      <c r="L346" s="9">
        <f t="shared" si="1"/>
        <v>0.1439913874</v>
      </c>
      <c r="M346" s="9">
        <f t="shared" si="2"/>
        <v>0.8544108215</v>
      </c>
      <c r="N346" s="9">
        <f t="shared" si="3"/>
        <v>0.01946083905</v>
      </c>
      <c r="O346" s="9">
        <f t="shared" si="4"/>
        <v>0.1838291381</v>
      </c>
      <c r="P346" s="9">
        <f>IFERROR(__xludf.DUMMYFUNCTION("GOOGLEFINANCE(A346, ""pe"")"),16.5)</f>
        <v>16.5</v>
      </c>
      <c r="Q346" s="9">
        <f>IFERROR(__xludf.DUMMYFUNCTION("IFERROR(GOOGLEFINANCE(A346, ""volume"") / GOOGLEFINANCE(A346, ""volumeavg""), 0)"),0.0)</f>
        <v>0</v>
      </c>
      <c r="R346" s="9">
        <f>IFERROR(__xludf.DUMMYFUNCTION("AVERAGE(INDEX(GOOGLEFINANCE(A346, ""price"", TODAY()-30, TODAY()), 0, 2))"),327.6565217391304)</f>
        <v>327.6565217</v>
      </c>
      <c r="S346" s="9">
        <f>IFERROR(__xludf.DUMMYFUNCTION("AVERAGE(INDEX(GOOGLEFINANCE(A346, ""price"", TODAY()-75, TODAY()), 0, 2))"),331.40754716981144)</f>
        <v>331.4075472</v>
      </c>
      <c r="T346" s="9">
        <f>IFERROR(__xludf.DUMMYFUNCTION("AVERAGE(INDEX(GOOGLEFINANCE(A346, ""price"", TODAY()-300, TODAY()), 0, 2))"),254.04188888888885)</f>
        <v>254.0418889</v>
      </c>
      <c r="U346" s="9">
        <f t="shared" si="5"/>
        <v>-0.02931887846</v>
      </c>
      <c r="V346" s="15">
        <f>IFERROR(__xludf.DUMMYFUNCTION("LET(hist, GOOGLEFINANCE(A346,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rs))))))"),48.43462246777163)</f>
        <v>48.43462247</v>
      </c>
      <c r="W346" s="16" t="str">
        <f>IFERROR(__xludf.DUMMYFUNCTION("IFERROR(GOOGLEFINANCE(A346, ""volume"") / GOOGLEFINANCE(A346, ""volumeavg""), )"),"")</f>
        <v/>
      </c>
      <c r="X346" s="9">
        <f>IFERROR(__xludf.DUMMYFUNCTION("B346 * GOOGLEFINANCE(A346, ""volume"")"),2.8493049935E8)</f>
        <v>284930499.4</v>
      </c>
      <c r="Y346" s="9">
        <f>IFERROR(__xludf.DUMMYFUNCTION("IFERROR(((B346 - GOOGLEFINANCE(A346, ""priceopen"")) / GOOGLEFINANCE(A346, ""priceopen"")) * GOOGLEFINANCE(A346, ""volume""), 0)"),-2667.9424764889964)</f>
        <v>-2667.942476</v>
      </c>
    </row>
    <row r="347">
      <c r="A347" s="4" t="s">
        <v>2140</v>
      </c>
      <c r="B347" s="7">
        <f>IFERROR(__xludf.DUMMYFUNCTION("GOOGLEFINANCE(A347, ""price"")"),162.21)</f>
        <v>162.21</v>
      </c>
      <c r="C347" s="7">
        <f>IFERROR(__xludf.DUMMYFUNCTION("GOOGLEFINANCE(A347, ""changepct"")"),0.75)</f>
        <v>0.75</v>
      </c>
      <c r="D347" s="9">
        <f>IFERROR(__xludf.DUMMYFUNCTION("GOOGLEFINANCE(A347, ""priceopen"")"),160.96)</f>
        <v>160.96</v>
      </c>
      <c r="E347" s="9">
        <f>IFERROR(__xludf.DUMMYFUNCTION("GOOGLEFINANCE(A347, ""high"")"),162.84)</f>
        <v>162.84</v>
      </c>
      <c r="F347" s="9">
        <f>IFERROR(__xludf.DUMMYFUNCTION("GOOGLEFINANCE(A347, ""low"")"),160.4)</f>
        <v>160.4</v>
      </c>
      <c r="G347" s="9">
        <f>IFERROR(__xludf.DUMMYFUNCTION("GOOGLEFINANCE(A347, ""price"")"),162.21)</f>
        <v>162.21</v>
      </c>
      <c r="H347" s="9">
        <f>IFERROR(__xludf.DUMMYFUNCTION("MAX(INDEX(GOOGLEFINANCE(A347, ""high"", TODAY()-30, TODAY()), 0, 2))"),169.1)</f>
        <v>169.1</v>
      </c>
      <c r="I347" s="9">
        <f>IFERROR(__xludf.DUMMYFUNCTION("MIN(INDEX(GOOGLEFINANCE(A347, ""low"", TODAY()-30, TODAY()), 0, 2))"),158.93)</f>
        <v>158.93</v>
      </c>
      <c r="J347" s="9">
        <f>IFERROR(__xludf.DUMMYFUNCTION("GOOGLEFINANCE(A347, ""high52"")"),204.5)</f>
        <v>204.5</v>
      </c>
      <c r="K347" s="9">
        <f>IFERROR(__xludf.DUMMYFUNCTION("GOOGLEFINANCE(A347, ""low52"")"),138.12)</f>
        <v>138.12</v>
      </c>
      <c r="L347" s="9">
        <f t="shared" si="1"/>
        <v>0.206797066</v>
      </c>
      <c r="M347" s="9">
        <f t="shared" si="2"/>
        <v>0.1744135534</v>
      </c>
      <c r="N347" s="9">
        <f t="shared" si="3"/>
        <v>0.01521197007</v>
      </c>
      <c r="O347" s="9">
        <f t="shared" si="4"/>
        <v>0.3225172075</v>
      </c>
      <c r="P347" s="9">
        <f>IFERROR(__xludf.DUMMYFUNCTION("GOOGLEFINANCE(A347, ""pe"")"),13.95)</f>
        <v>13.95</v>
      </c>
      <c r="Q347" s="9">
        <f>IFERROR(__xludf.DUMMYFUNCTION("IFERROR(GOOGLEFINANCE(A347, ""volume"") / GOOGLEFINANCE(A347, ""volumeavg""), 0)"),0.0)</f>
        <v>0</v>
      </c>
      <c r="R347" s="9">
        <f>IFERROR(__xludf.DUMMYFUNCTION("AVERAGE(INDEX(GOOGLEFINANCE(A347, ""price"", TODAY()-30, TODAY()), 0, 2))"),163.7486956521739)</f>
        <v>163.7486957</v>
      </c>
      <c r="S347" s="9">
        <f>IFERROR(__xludf.DUMMYFUNCTION("AVERAGE(INDEX(GOOGLEFINANCE(A347, ""price"", TODAY()-75, TODAY()), 0, 2))"),167.84547169811324)</f>
        <v>167.8454717</v>
      </c>
      <c r="T347" s="9">
        <f>IFERROR(__xludf.DUMMYFUNCTION("AVERAGE(INDEX(GOOGLEFINANCE(A347, ""price"", TODAY()-300, TODAY()), 0, 2))"),166.90757425742584)</f>
        <v>166.9075743</v>
      </c>
      <c r="U347" s="9">
        <f t="shared" si="5"/>
        <v>-0.009396689519</v>
      </c>
      <c r="V347" s="15">
        <f>IFERROR(__xludf.DUMMYFUNCTION("LET(hist, GOOGLEFINANCE(A347,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rs))))))"),49.19923126201154)</f>
        <v>49.19923126</v>
      </c>
      <c r="W347" s="16" t="str">
        <f>IFERROR(__xludf.DUMMYFUNCTION("IFERROR(GOOGLEFINANCE(A347, ""volume"") / GOOGLEFINANCE(A347, ""volumeavg""), )"),"")</f>
        <v/>
      </c>
      <c r="X347" s="9">
        <f>IFERROR(__xludf.DUMMYFUNCTION("B347 * GOOGLEFINANCE(A347, ""volume"")"),1.1687749572E8)</f>
        <v>116877495.7</v>
      </c>
      <c r="Y347" s="9">
        <f>IFERROR(__xludf.DUMMYFUNCTION("IFERROR(((B347 - GOOGLEFINANCE(A347, ""priceopen"")) / GOOGLEFINANCE(A347, ""priceopen"")) * GOOGLEFINANCE(A347, ""volume""), 0)"),5595.582753479125)</f>
        <v>5595.582753</v>
      </c>
    </row>
    <row r="348">
      <c r="A348" s="4" t="s">
        <v>2141</v>
      </c>
      <c r="B348" s="7">
        <f>IFERROR(__xludf.DUMMYFUNCTION("GOOGLEFINANCE(A348, ""price"")"),497.0)</f>
        <v>497</v>
      </c>
      <c r="C348" s="7">
        <f>IFERROR(__xludf.DUMMYFUNCTION("GOOGLEFINANCE(A348, ""changepct"")"),-0.91)</f>
        <v>-0.91</v>
      </c>
      <c r="D348" s="9">
        <f>IFERROR(__xludf.DUMMYFUNCTION("GOOGLEFINANCE(A348, ""priceopen"")"),498.2)</f>
        <v>498.2</v>
      </c>
      <c r="E348" s="9">
        <f>IFERROR(__xludf.DUMMYFUNCTION("GOOGLEFINANCE(A348, ""high"")"),506.0)</f>
        <v>506</v>
      </c>
      <c r="F348" s="9">
        <f>IFERROR(__xludf.DUMMYFUNCTION("GOOGLEFINANCE(A348, ""low"")"),496.1)</f>
        <v>496.1</v>
      </c>
      <c r="G348" s="9">
        <f>IFERROR(__xludf.DUMMYFUNCTION("GOOGLEFINANCE(A348, ""price"")"),497.0)</f>
        <v>497</v>
      </c>
      <c r="H348" s="9">
        <f>IFERROR(__xludf.DUMMYFUNCTION("MAX(INDEX(GOOGLEFINANCE(A348, ""high"", TODAY()-30, TODAY()), 0, 2))"),545.2)</f>
        <v>545.2</v>
      </c>
      <c r="I348" s="9">
        <f>IFERROR(__xludf.DUMMYFUNCTION("MIN(INDEX(GOOGLEFINANCE(A348, ""low"", TODAY()-30, TODAY()), 0, 2))"),487.1)</f>
        <v>487.1</v>
      </c>
      <c r="J348" s="9">
        <f>IFERROR(__xludf.DUMMYFUNCTION("GOOGLEFINANCE(A348, ""high52"")"),563.0)</f>
        <v>563</v>
      </c>
      <c r="K348" s="9">
        <f>IFERROR(__xludf.DUMMYFUNCTION("GOOGLEFINANCE(A348, ""low52"")"),430.15)</f>
        <v>430.15</v>
      </c>
      <c r="L348" s="9">
        <f t="shared" si="1"/>
        <v>0.1172291297</v>
      </c>
      <c r="M348" s="9">
        <f t="shared" si="2"/>
        <v>0.1554109032</v>
      </c>
      <c r="N348" s="9">
        <f t="shared" si="3"/>
        <v>0.0199556541</v>
      </c>
      <c r="O348" s="9">
        <f t="shared" si="4"/>
        <v>0.1703958692</v>
      </c>
      <c r="P348" s="9">
        <f>IFERROR(__xludf.DUMMYFUNCTION("GOOGLEFINANCE(A348, ""pe"")"),19.29)</f>
        <v>19.29</v>
      </c>
      <c r="Q348" s="9">
        <f>IFERROR(__xludf.DUMMYFUNCTION("IFERROR(GOOGLEFINANCE(A348, ""volume"") / GOOGLEFINANCE(A348, ""volumeavg""), 0)"),0.0)</f>
        <v>0</v>
      </c>
      <c r="R348" s="9">
        <f>IFERROR(__xludf.DUMMYFUNCTION("AVERAGE(INDEX(GOOGLEFINANCE(A348, ""price"", TODAY()-30, TODAY()), 0, 2))"),506.1478260869565)</f>
        <v>506.1478261</v>
      </c>
      <c r="S348" s="9">
        <f>IFERROR(__xludf.DUMMYFUNCTION("AVERAGE(INDEX(GOOGLEFINANCE(A348, ""price"", TODAY()-75, TODAY()), 0, 2))"),501.7320754716982)</f>
        <v>501.7320755</v>
      </c>
      <c r="T348" s="9">
        <f>IFERROR(__xludf.DUMMYFUNCTION("AVERAGE(INDEX(GOOGLEFINANCE(A348, ""price"", TODAY()-300, TODAY()), 0, 2))"),487.133910891089)</f>
        <v>487.1339109</v>
      </c>
      <c r="U348" s="9">
        <f t="shared" si="5"/>
        <v>-0.01807342759</v>
      </c>
      <c r="V348" s="15">
        <f>IFERROR(__xludf.DUMMYFUNCTION("LET(hist, GOOGLEFINANCE(A348,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rs))))))"),50.70838252656434)</f>
        <v>50.70838253</v>
      </c>
      <c r="W348" s="16" t="str">
        <f>IFERROR(__xludf.DUMMYFUNCTION("IFERROR(GOOGLEFINANCE(A348, ""volume"") / GOOGLEFINANCE(A348, ""volumeavg""), )"),"")</f>
        <v/>
      </c>
      <c r="X348" s="9">
        <f>IFERROR(__xludf.DUMMYFUNCTION("B348 * GOOGLEFINANCE(A348, ""volume"")"),1.19436555E8)</f>
        <v>119436555</v>
      </c>
      <c r="Y348" s="9">
        <f>IFERROR(__xludf.DUMMYFUNCTION("IFERROR(((B348 - GOOGLEFINANCE(A348, ""priceopen"")) / GOOGLEFINANCE(A348, ""priceopen"")) * GOOGLEFINANCE(A348, ""volume""), 0)"),-578.8398233641053)</f>
        <v>-578.8398234</v>
      </c>
    </row>
    <row r="349">
      <c r="A349" s="4" t="s">
        <v>2142</v>
      </c>
      <c r="B349" s="7">
        <f>IFERROR(__xludf.DUMMYFUNCTION("GOOGLEFINANCE(A349, ""price"")"),539.0)</f>
        <v>539</v>
      </c>
      <c r="C349" s="7">
        <f>IFERROR(__xludf.DUMMYFUNCTION("GOOGLEFINANCE(A349, ""changepct"")"),-2.11)</f>
        <v>-2.11</v>
      </c>
      <c r="D349" s="9">
        <f>IFERROR(__xludf.DUMMYFUNCTION("GOOGLEFINANCE(A349, ""priceopen"")"),542.0)</f>
        <v>542</v>
      </c>
      <c r="E349" s="9">
        <f>IFERROR(__xludf.DUMMYFUNCTION("GOOGLEFINANCE(A349, ""high"")"),551.0)</f>
        <v>551</v>
      </c>
      <c r="F349" s="9">
        <f>IFERROR(__xludf.DUMMYFUNCTION("GOOGLEFINANCE(A349, ""low"")"),525.0)</f>
        <v>525</v>
      </c>
      <c r="G349" s="9">
        <f>IFERROR(__xludf.DUMMYFUNCTION("GOOGLEFINANCE(A349, ""price"")"),539.0)</f>
        <v>539</v>
      </c>
      <c r="H349" s="9">
        <f>IFERROR(__xludf.DUMMYFUNCTION("MAX(INDEX(GOOGLEFINANCE(A349, ""high"", TODAY()-30, TODAY()), 0, 2))"),592.0)</f>
        <v>592</v>
      </c>
      <c r="I349" s="9">
        <f>IFERROR(__xludf.DUMMYFUNCTION("MIN(INDEX(GOOGLEFINANCE(A349, ""low"", TODAY()-30, TODAY()), 0, 2))"),525.0)</f>
        <v>525</v>
      </c>
      <c r="J349" s="9">
        <f>IFERROR(__xludf.DUMMYFUNCTION("GOOGLEFINANCE(A349, ""high52"")"),657.0)</f>
        <v>657</v>
      </c>
      <c r="K349" s="9">
        <f>IFERROR(__xludf.DUMMYFUNCTION("GOOGLEFINANCE(A349, ""low52"")"),438.05)</f>
        <v>438.05</v>
      </c>
      <c r="L349" s="9">
        <f t="shared" si="1"/>
        <v>0.1796042618</v>
      </c>
      <c r="M349" s="9">
        <f t="shared" si="2"/>
        <v>0.2304531446</v>
      </c>
      <c r="N349" s="9">
        <f t="shared" si="3"/>
        <v>0.04952380952</v>
      </c>
      <c r="O349" s="9">
        <f t="shared" si="4"/>
        <v>0.2089552239</v>
      </c>
      <c r="P349" s="9">
        <f>IFERROR(__xludf.DUMMYFUNCTION("GOOGLEFINANCE(A349, ""pe"")"),36.21)</f>
        <v>36.21</v>
      </c>
      <c r="Q349" s="9">
        <f>IFERROR(__xludf.DUMMYFUNCTION("IFERROR(GOOGLEFINANCE(A349, ""volume"") / GOOGLEFINANCE(A349, ""volumeavg""), 0)"),0.0)</f>
        <v>0</v>
      </c>
      <c r="R349" s="9">
        <f>IFERROR(__xludf.DUMMYFUNCTION("AVERAGE(INDEX(GOOGLEFINANCE(A349, ""price"", TODAY()-30, TODAY()), 0, 2))"),553.7521739130434)</f>
        <v>553.7521739</v>
      </c>
      <c r="S349" s="9">
        <f>IFERROR(__xludf.DUMMYFUNCTION("AVERAGE(INDEX(GOOGLEFINANCE(A349, ""price"", TODAY()-75, TODAY()), 0, 2))"),569.8537735849058)</f>
        <v>569.8537736</v>
      </c>
      <c r="T349" s="9">
        <f>IFERROR(__xludf.DUMMYFUNCTION("AVERAGE(INDEX(GOOGLEFINANCE(A349, ""price"", TODAY()-300, TODAY()), 0, 2))"),550.1594444444444)</f>
        <v>550.1594444</v>
      </c>
      <c r="U349" s="9">
        <f t="shared" si="5"/>
        <v>-0.02664039007</v>
      </c>
      <c r="V349" s="15">
        <f>IFERROR(__xludf.DUMMYFUNCTION("LET(hist, GOOGLEFINANCE(A349,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rs))))))"),48.785871964679906)</f>
        <v>48.78587196</v>
      </c>
      <c r="W349" s="16" t="str">
        <f>IFERROR(__xludf.DUMMYFUNCTION("IFERROR(GOOGLEFINANCE(A349, ""volume"") / GOOGLEFINANCE(A349, ""volumeavg""), )"),"")</f>
        <v/>
      </c>
      <c r="X349" s="9">
        <f>IFERROR(__xludf.DUMMYFUNCTION("B349 * GOOGLEFINANCE(A349, ""volume"")"),3.1519750878E10)</f>
        <v>31519750878</v>
      </c>
      <c r="Y349" s="9">
        <f>IFERROR(__xludf.DUMMYFUNCTION("IFERROR(((B349 - GOOGLEFINANCE(A349, ""priceopen"")) / GOOGLEFINANCE(A349, ""priceopen"")) * GOOGLEFINANCE(A349, ""volume""), 0)"),-323680.0848708487)</f>
        <v>-323680.0849</v>
      </c>
    </row>
    <row r="350">
      <c r="A350" s="4" t="s">
        <v>2143</v>
      </c>
      <c r="B350" s="7">
        <f>IFERROR(__xludf.DUMMYFUNCTION("GOOGLEFINANCE(A350, ""price"")"),919.0)</f>
        <v>919</v>
      </c>
      <c r="C350" s="7">
        <f>IFERROR(__xludf.DUMMYFUNCTION("GOOGLEFINANCE(A350, ""changepct"")"),-1.61)</f>
        <v>-1.61</v>
      </c>
      <c r="D350" s="9">
        <f>IFERROR(__xludf.DUMMYFUNCTION("GOOGLEFINANCE(A350, ""priceopen"")"),938.4)</f>
        <v>938.4</v>
      </c>
      <c r="E350" s="9">
        <f>IFERROR(__xludf.DUMMYFUNCTION("GOOGLEFINANCE(A350, ""high"")"),940.0)</f>
        <v>940</v>
      </c>
      <c r="F350" s="9">
        <f>IFERROR(__xludf.DUMMYFUNCTION("GOOGLEFINANCE(A350, ""low"")"),914.0)</f>
        <v>914</v>
      </c>
      <c r="G350" s="9">
        <f>IFERROR(__xludf.DUMMYFUNCTION("GOOGLEFINANCE(A350, ""price"")"),919.0)</f>
        <v>919</v>
      </c>
      <c r="H350" s="9">
        <f>IFERROR(__xludf.DUMMYFUNCTION("MAX(INDEX(GOOGLEFINANCE(A350, ""high"", TODAY()-30, TODAY()), 0, 2))"),989.3)</f>
        <v>989.3</v>
      </c>
      <c r="I350" s="9">
        <f>IFERROR(__xludf.DUMMYFUNCTION("MIN(INDEX(GOOGLEFINANCE(A350, ""low"", TODAY()-30, TODAY()), 0, 2))"),901.65)</f>
        <v>901.65</v>
      </c>
      <c r="J350" s="9">
        <f>IFERROR(__xludf.DUMMYFUNCTION("GOOGLEFINANCE(A350, ""high52"")"),1214.5)</f>
        <v>1214.5</v>
      </c>
      <c r="K350" s="9">
        <f>IFERROR(__xludf.DUMMYFUNCTION("GOOGLEFINANCE(A350, ""low52"")"),838.3)</f>
        <v>838.3</v>
      </c>
      <c r="L350" s="9">
        <f t="shared" si="1"/>
        <v>0.2433100041</v>
      </c>
      <c r="M350" s="9">
        <f t="shared" si="2"/>
        <v>0.09626625313</v>
      </c>
      <c r="N350" s="9">
        <f t="shared" si="3"/>
        <v>0.0284463895</v>
      </c>
      <c r="O350" s="9">
        <f t="shared" si="4"/>
        <v>0.1979463776</v>
      </c>
      <c r="P350" s="9">
        <f>IFERROR(__xludf.DUMMYFUNCTION("GOOGLEFINANCE(A350, ""pe"")"),33.69)</f>
        <v>33.69</v>
      </c>
      <c r="Q350" s="9">
        <f>IFERROR(__xludf.DUMMYFUNCTION("IFERROR(GOOGLEFINANCE(A350, ""volume"") / GOOGLEFINANCE(A350, ""volumeavg""), 0)"),0.0)</f>
        <v>0</v>
      </c>
      <c r="R350" s="9">
        <f>IFERROR(__xludf.DUMMYFUNCTION("AVERAGE(INDEX(GOOGLEFINANCE(A350, ""price"", TODAY()-30, TODAY()), 0, 2))"),926.3978260869562)</f>
        <v>926.3978261</v>
      </c>
      <c r="S350" s="9">
        <f>IFERROR(__xludf.DUMMYFUNCTION("AVERAGE(INDEX(GOOGLEFINANCE(A350, ""price"", TODAY()-75, TODAY()), 0, 2))"),909.6415094339624)</f>
        <v>909.6415094</v>
      </c>
      <c r="T350" s="9">
        <f>IFERROR(__xludf.DUMMYFUNCTION("AVERAGE(INDEX(GOOGLEFINANCE(A350, ""price"", TODAY()-300, TODAY()), 0, 2))"),994.9029702970294)</f>
        <v>994.9029703</v>
      </c>
      <c r="U350" s="9">
        <f t="shared" si="5"/>
        <v>-0.007985582305</v>
      </c>
      <c r="V350" s="15">
        <f>IFERROR(__xludf.DUMMYFUNCTION("LET(hist, GOOGLEFINANCE(A350,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rs))))))"),51.05150868637608)</f>
        <v>51.05150869</v>
      </c>
      <c r="W350" s="16" t="str">
        <f>IFERROR(__xludf.DUMMYFUNCTION("IFERROR(GOOGLEFINANCE(A350, ""volume"") / GOOGLEFINANCE(A350, ""volumeavg""), )"),"")</f>
        <v/>
      </c>
      <c r="X350" s="9">
        <f>IFERROR(__xludf.DUMMYFUNCTION("B350 * GOOGLEFINANCE(A350, ""volume"")"),1.93397117E8)</f>
        <v>193397117</v>
      </c>
      <c r="Y350" s="9">
        <f>IFERROR(__xludf.DUMMYFUNCTION("IFERROR(((B350 - GOOGLEFINANCE(A350, ""priceopen"")) / GOOGLEFINANCE(A350, ""priceopen"")) * GOOGLEFINANCE(A350, ""volume""), 0)"),-4350.5905797101395)</f>
        <v>-4350.59058</v>
      </c>
    </row>
    <row r="351">
      <c r="A351" s="4" t="s">
        <v>2144</v>
      </c>
      <c r="B351" s="7">
        <f>IFERROR(__xludf.DUMMYFUNCTION("GOOGLEFINANCE(A351, ""price"")"),154.85)</f>
        <v>154.85</v>
      </c>
      <c r="C351" s="7">
        <f>IFERROR(__xludf.DUMMYFUNCTION("GOOGLEFINANCE(A351, ""changepct"")"),1.16)</f>
        <v>1.16</v>
      </c>
      <c r="D351" s="9">
        <f>IFERROR(__xludf.DUMMYFUNCTION("GOOGLEFINANCE(A351, ""priceopen"")"),154.0)</f>
        <v>154</v>
      </c>
      <c r="E351" s="9">
        <f>IFERROR(__xludf.DUMMYFUNCTION("GOOGLEFINANCE(A351, ""high"")"),155.0)</f>
        <v>155</v>
      </c>
      <c r="F351" s="9">
        <f>IFERROR(__xludf.DUMMYFUNCTION("GOOGLEFINANCE(A351, ""low"")"),152.53)</f>
        <v>152.53</v>
      </c>
      <c r="G351" s="9">
        <f>IFERROR(__xludf.DUMMYFUNCTION("GOOGLEFINANCE(A351, ""price"")"),154.85)</f>
        <v>154.85</v>
      </c>
      <c r="H351" s="9">
        <f>IFERROR(__xludf.DUMMYFUNCTION("MAX(INDEX(GOOGLEFINANCE(A351, ""high"", TODAY()-30, TODAY()), 0, 2))"),158.7)</f>
        <v>158.7</v>
      </c>
      <c r="I351" s="9">
        <f>IFERROR(__xludf.DUMMYFUNCTION("MIN(INDEX(GOOGLEFINANCE(A351, ""low"", TODAY()-30, TODAY()), 0, 2))"),147.2)</f>
        <v>147.2</v>
      </c>
      <c r="J351" s="9">
        <f>IFERROR(__xludf.DUMMYFUNCTION("GOOGLEFINANCE(A351, ""high52"")"),223.5)</f>
        <v>223.5</v>
      </c>
      <c r="K351" s="9">
        <f>IFERROR(__xludf.DUMMYFUNCTION("GOOGLEFINANCE(A351, ""low52"")"),141.74)</f>
        <v>141.74</v>
      </c>
      <c r="L351" s="9">
        <f t="shared" si="1"/>
        <v>0.3071588367</v>
      </c>
      <c r="M351" s="9">
        <f t="shared" si="2"/>
        <v>0.09249329759</v>
      </c>
      <c r="N351" s="9">
        <f t="shared" si="3"/>
        <v>0.0161935357</v>
      </c>
      <c r="O351" s="9">
        <f t="shared" si="4"/>
        <v>0.6652173913</v>
      </c>
      <c r="P351" s="9">
        <f>IFERROR(__xludf.DUMMYFUNCTION("GOOGLEFINANCE(A351, ""pe"")"),13.99)</f>
        <v>13.99</v>
      </c>
      <c r="Q351" s="9">
        <f>IFERROR(__xludf.DUMMYFUNCTION("IFERROR(GOOGLEFINANCE(A351, ""volume"") / GOOGLEFINANCE(A351, ""volumeavg""), 0)"),0.0)</f>
        <v>0</v>
      </c>
      <c r="R351" s="9">
        <f>IFERROR(__xludf.DUMMYFUNCTION("AVERAGE(INDEX(GOOGLEFINANCE(A351, ""price"", TODAY()-30, TODAY()), 0, 2))"),152.6208695652174)</f>
        <v>152.6208696</v>
      </c>
      <c r="S351" s="9">
        <f>IFERROR(__xludf.DUMMYFUNCTION("AVERAGE(INDEX(GOOGLEFINANCE(A351, ""price"", TODAY()-75, TODAY()), 0, 2))"),158.07566037735853)</f>
        <v>158.0756604</v>
      </c>
      <c r="T351" s="9">
        <f>IFERROR(__xludf.DUMMYFUNCTION("AVERAGE(INDEX(GOOGLEFINANCE(A351, ""price"", TODAY()-300, TODAY()), 0, 2))"),173.24589108910894)</f>
        <v>173.2458911</v>
      </c>
      <c r="U351" s="9">
        <f t="shared" si="5"/>
        <v>0.01460567248</v>
      </c>
      <c r="V351" s="15">
        <f>IFERROR(__xludf.DUMMYFUNCTION("LET(hist, GOOGLEFINANCE(A351,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rs))))))"),63.348676639815885)</f>
        <v>63.34867664</v>
      </c>
      <c r="W351" s="16" t="str">
        <f>IFERROR(__xludf.DUMMYFUNCTION("IFERROR(GOOGLEFINANCE(A351, ""volume"") / GOOGLEFINANCE(A351, ""volumeavg""), )"),"")</f>
        <v/>
      </c>
      <c r="X351" s="9">
        <f>IFERROR(__xludf.DUMMYFUNCTION("B351 * GOOGLEFINANCE(A351, ""volume"")"),1.53233366E8)</f>
        <v>153233366</v>
      </c>
      <c r="Y351" s="9">
        <f>IFERROR(__xludf.DUMMYFUNCTION("IFERROR(((B351 - GOOGLEFINANCE(A351, ""priceopen"")) / GOOGLEFINANCE(A351, ""priceopen"")) * GOOGLEFINANCE(A351, ""volume""), 0)"),5461.857142857106)</f>
        <v>5461.857143</v>
      </c>
    </row>
    <row r="352">
      <c r="A352" s="4" t="s">
        <v>2145</v>
      </c>
      <c r="B352" s="7">
        <f>IFERROR(__xludf.DUMMYFUNCTION("GOOGLEFINANCE(A352, ""price"")"),274.4)</f>
        <v>274.4</v>
      </c>
      <c r="C352" s="7">
        <f>IFERROR(__xludf.DUMMYFUNCTION("GOOGLEFINANCE(A352, ""changepct"")"),-1.86)</f>
        <v>-1.86</v>
      </c>
      <c r="D352" s="9">
        <f>IFERROR(__xludf.DUMMYFUNCTION("GOOGLEFINANCE(A352, ""priceopen"")"),280.65)</f>
        <v>280.65</v>
      </c>
      <c r="E352" s="9">
        <f>IFERROR(__xludf.DUMMYFUNCTION("GOOGLEFINANCE(A352, ""high"")"),280.65)</f>
        <v>280.65</v>
      </c>
      <c r="F352" s="9">
        <f>IFERROR(__xludf.DUMMYFUNCTION("GOOGLEFINANCE(A352, ""low"")"),272.25)</f>
        <v>272.25</v>
      </c>
      <c r="G352" s="9">
        <f>IFERROR(__xludf.DUMMYFUNCTION("GOOGLEFINANCE(A352, ""price"")"),274.4)</f>
        <v>274.4</v>
      </c>
      <c r="H352" s="9">
        <f>IFERROR(__xludf.DUMMYFUNCTION("MAX(INDEX(GOOGLEFINANCE(A352, ""high"", TODAY()-30, TODAY()), 0, 2))"),341.9)</f>
        <v>341.9</v>
      </c>
      <c r="I352" s="9">
        <f>IFERROR(__xludf.DUMMYFUNCTION("MIN(INDEX(GOOGLEFINANCE(A352, ""low"", TODAY()-30, TODAY()), 0, 2))"),251.1)</f>
        <v>251.1</v>
      </c>
      <c r="J352" s="9">
        <f>IFERROR(__xludf.DUMMYFUNCTION("GOOGLEFINANCE(A352, ""high52"")"),381.4)</f>
        <v>381.4</v>
      </c>
      <c r="K352" s="9">
        <f>IFERROR(__xludf.DUMMYFUNCTION("GOOGLEFINANCE(A352, ""low52"")"),202.0)</f>
        <v>202</v>
      </c>
      <c r="L352" s="9">
        <f t="shared" si="1"/>
        <v>0.2805453592</v>
      </c>
      <c r="M352" s="9">
        <f t="shared" si="2"/>
        <v>0.3584158416</v>
      </c>
      <c r="N352" s="9">
        <f t="shared" si="3"/>
        <v>0.03085399449</v>
      </c>
      <c r="O352" s="9">
        <f t="shared" si="4"/>
        <v>0.2566079295</v>
      </c>
      <c r="P352" s="9">
        <f>IFERROR(__xludf.DUMMYFUNCTION("GOOGLEFINANCE(A352, ""pe"")"),28.81)</f>
        <v>28.81</v>
      </c>
      <c r="Q352" s="9">
        <f>IFERROR(__xludf.DUMMYFUNCTION("IFERROR(GOOGLEFINANCE(A352, ""volume"") / GOOGLEFINANCE(A352, ""volumeavg""), 0)"),0.0)</f>
        <v>0</v>
      </c>
      <c r="R352" s="9">
        <f>IFERROR(__xludf.DUMMYFUNCTION("AVERAGE(INDEX(GOOGLEFINANCE(A352, ""price"", TODAY()-30, TODAY()), 0, 2))"),280.51565217391305)</f>
        <v>280.5156522</v>
      </c>
      <c r="S352" s="9">
        <f>IFERROR(__xludf.DUMMYFUNCTION("AVERAGE(INDEX(GOOGLEFINANCE(A352, ""price"", TODAY()-75, TODAY()), 0, 2))"),262.24754716981136)</f>
        <v>262.2475472</v>
      </c>
      <c r="T352" s="9">
        <f>IFERROR(__xludf.DUMMYFUNCTION("AVERAGE(INDEX(GOOGLEFINANCE(A352, ""price"", TODAY()-300, TODAY()), 0, 2))"),280.6596534653466)</f>
        <v>280.6596535</v>
      </c>
      <c r="U352" s="9">
        <f t="shared" si="5"/>
        <v>-0.021801465</v>
      </c>
      <c r="V352" s="15">
        <f>IFERROR(__xludf.DUMMYFUNCTION("LET(hist, GOOGLEFINANCE(A352,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rs))))))"),56.05823214518867)</f>
        <v>56.05823215</v>
      </c>
      <c r="W352" s="16" t="str">
        <f>IFERROR(__xludf.DUMMYFUNCTION("IFERROR(GOOGLEFINANCE(A352, ""volume"") / GOOGLEFINANCE(A352, ""volumeavg""), )"),"")</f>
        <v/>
      </c>
      <c r="X352" s="9">
        <f>IFERROR(__xludf.DUMMYFUNCTION("B352 * GOOGLEFINANCE(A352, ""volume"")"),5.1084060159999996E8)</f>
        <v>510840601.6</v>
      </c>
      <c r="Y352" s="9">
        <f>IFERROR(__xludf.DUMMYFUNCTION("IFERROR(((B352 - GOOGLEFINANCE(A352, ""priceopen"")) / GOOGLEFINANCE(A352, ""priceopen"")) * GOOGLEFINANCE(A352, ""volume""), 0)"),-41458.756458221986)</f>
        <v>-41458.75646</v>
      </c>
    </row>
    <row r="353">
      <c r="A353" s="4" t="s">
        <v>2146</v>
      </c>
      <c r="B353" s="7">
        <f>IFERROR(__xludf.DUMMYFUNCTION("GOOGLEFINANCE(A353, ""price"")"),3931.0)</f>
        <v>3931</v>
      </c>
      <c r="C353" s="7">
        <f>IFERROR(__xludf.DUMMYFUNCTION("GOOGLEFINANCE(A353, ""changepct"")"),6.67)</f>
        <v>6.67</v>
      </c>
      <c r="D353" s="9">
        <f>IFERROR(__xludf.DUMMYFUNCTION("GOOGLEFINANCE(A353, ""priceopen"")"),3685.1)</f>
        <v>3685.1</v>
      </c>
      <c r="E353" s="9">
        <f>IFERROR(__xludf.DUMMYFUNCTION("GOOGLEFINANCE(A353, ""high"")"),3933.0)</f>
        <v>3933</v>
      </c>
      <c r="F353" s="9">
        <f>IFERROR(__xludf.DUMMYFUNCTION("GOOGLEFINANCE(A353, ""low"")"),3665.3)</f>
        <v>3665.3</v>
      </c>
      <c r="G353" s="9">
        <f>IFERROR(__xludf.DUMMYFUNCTION("GOOGLEFINANCE(A353, ""price"")"),3931.0)</f>
        <v>3931</v>
      </c>
      <c r="H353" s="9">
        <f>IFERROR(__xludf.DUMMYFUNCTION("MAX(INDEX(GOOGLEFINANCE(A353, ""high"", TODAY()-30, TODAY()), 0, 2))"),3938.0)</f>
        <v>3938</v>
      </c>
      <c r="I353" s="9">
        <f>IFERROR(__xludf.DUMMYFUNCTION("MIN(INDEX(GOOGLEFINANCE(A353, ""low"", TODAY()-30, TODAY()), 0, 2))"),3100.9)</f>
        <v>3100.9</v>
      </c>
      <c r="J353" s="9">
        <f>IFERROR(__xludf.DUMMYFUNCTION("GOOGLEFINANCE(A353, ""high52"")"),3938.0)</f>
        <v>3938</v>
      </c>
      <c r="K353" s="9">
        <f>IFERROR(__xludf.DUMMYFUNCTION("GOOGLEFINANCE(A353, ""low52"")"),1241.3)</f>
        <v>1241.3</v>
      </c>
      <c r="L353" s="9">
        <f t="shared" si="1"/>
        <v>0.001777552057</v>
      </c>
      <c r="M353" s="9">
        <f t="shared" si="2"/>
        <v>2.166841215</v>
      </c>
      <c r="N353" s="9">
        <f t="shared" si="3"/>
        <v>0.07303631354</v>
      </c>
      <c r="O353" s="9">
        <f t="shared" si="4"/>
        <v>0.9916377972</v>
      </c>
      <c r="P353" s="9">
        <f>IFERROR(__xludf.DUMMYFUNCTION("GOOGLEFINANCE(A353, ""pe"")"),75.73)</f>
        <v>75.73</v>
      </c>
      <c r="Q353" s="9">
        <f>IFERROR(__xludf.DUMMYFUNCTION("IFERROR(GOOGLEFINANCE(A353, ""volume"") / GOOGLEFINANCE(A353, ""volumeavg""), 0)"),0.0)</f>
        <v>0</v>
      </c>
      <c r="R353" s="9">
        <f>IFERROR(__xludf.DUMMYFUNCTION("AVERAGE(INDEX(GOOGLEFINANCE(A353, ""price"", TODAY()-30, TODAY()), 0, 2))"),3413.0782608695654)</f>
        <v>3413.078261</v>
      </c>
      <c r="S353" s="9">
        <f>IFERROR(__xludf.DUMMYFUNCTION("AVERAGE(INDEX(GOOGLEFINANCE(A353, ""price"", TODAY()-75, TODAY()), 0, 2))"),3192.162264150943)</f>
        <v>3192.162264</v>
      </c>
      <c r="T353" s="9">
        <f>IFERROR(__xludf.DUMMYFUNCTION("AVERAGE(INDEX(GOOGLEFINANCE(A353, ""price"", TODAY()-300, TODAY()), 0, 2))"),2304.90099009901)</f>
        <v>2304.90099</v>
      </c>
      <c r="U353" s="9">
        <f t="shared" si="5"/>
        <v>0.1517462242</v>
      </c>
      <c r="V353" s="15">
        <f>IFERROR(__xludf.DUMMYFUNCTION("LET(hist, GOOGLEFINANCE(A353,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rs))))))"),77.65923311407026)</f>
        <v>77.65923311</v>
      </c>
      <c r="W353" s="16" t="str">
        <f>IFERROR(__xludf.DUMMYFUNCTION("IFERROR(GOOGLEFINANCE(A353, ""volume"") / GOOGLEFINANCE(A353, ""volumeavg""), )"),"")</f>
        <v/>
      </c>
      <c r="X353" s="9">
        <f>IFERROR(__xludf.DUMMYFUNCTION("B353 * GOOGLEFINANCE(A353, ""volume"")"),1.290920745E9)</f>
        <v>1290920745</v>
      </c>
      <c r="Y353" s="9">
        <f>IFERROR(__xludf.DUMMYFUNCTION("IFERROR(((B353 - GOOGLEFINANCE(A353, ""priceopen"")) / GOOGLEFINANCE(A353, ""priceopen"")) * GOOGLEFINANCE(A353, ""volume""), 0)"),21913.19923475619)</f>
        <v>21913.19923</v>
      </c>
    </row>
    <row r="354">
      <c r="A354" s="4" t="s">
        <v>2147</v>
      </c>
      <c r="B354" s="7">
        <f>IFERROR(__xludf.DUMMYFUNCTION("GOOGLEFINANCE(A354, ""price"")"),73.47)</f>
        <v>73.47</v>
      </c>
      <c r="C354" s="7">
        <f>IFERROR(__xludf.DUMMYFUNCTION("GOOGLEFINANCE(A354, ""changepct"")"),-2.95)</f>
        <v>-2.95</v>
      </c>
      <c r="D354" s="9">
        <f>IFERROR(__xludf.DUMMYFUNCTION("GOOGLEFINANCE(A354, ""priceopen"")"),75.0)</f>
        <v>75</v>
      </c>
      <c r="E354" s="9">
        <f>IFERROR(__xludf.DUMMYFUNCTION("GOOGLEFINANCE(A354, ""high"")"),75.29)</f>
        <v>75.29</v>
      </c>
      <c r="F354" s="9">
        <f>IFERROR(__xludf.DUMMYFUNCTION("GOOGLEFINANCE(A354, ""low"")"),72.71)</f>
        <v>72.71</v>
      </c>
      <c r="G354" s="9">
        <f>IFERROR(__xludf.DUMMYFUNCTION("GOOGLEFINANCE(A354, ""price"")"),73.47)</f>
        <v>73.47</v>
      </c>
      <c r="H354" s="9">
        <f>IFERROR(__xludf.DUMMYFUNCTION("MAX(INDEX(GOOGLEFINANCE(A354, ""high"", TODAY()-30, TODAY()), 0, 2))"),79.2)</f>
        <v>79.2</v>
      </c>
      <c r="I354" s="9">
        <f>IFERROR(__xludf.DUMMYFUNCTION("MIN(INDEX(GOOGLEFINANCE(A354, ""low"", TODAY()-30, TODAY()), 0, 2))"),68.15)</f>
        <v>68.15</v>
      </c>
      <c r="J354" s="9">
        <f>IFERROR(__xludf.DUMMYFUNCTION("GOOGLEFINANCE(A354, ""high52"")"),95.8)</f>
        <v>95.8</v>
      </c>
      <c r="K354" s="9">
        <f>IFERROR(__xludf.DUMMYFUNCTION("GOOGLEFINANCE(A354, ""low52"")"),46.23)</f>
        <v>46.23</v>
      </c>
      <c r="L354" s="9">
        <f t="shared" si="1"/>
        <v>0.2330897704</v>
      </c>
      <c r="M354" s="9">
        <f t="shared" si="2"/>
        <v>0.5892277742</v>
      </c>
      <c r="N354" s="9">
        <f t="shared" si="3"/>
        <v>0.03548342731</v>
      </c>
      <c r="O354" s="9">
        <f t="shared" si="4"/>
        <v>0.4814479638</v>
      </c>
      <c r="P354" s="9">
        <f>IFERROR(__xludf.DUMMYFUNCTION("GOOGLEFINANCE(A354, ""pe"")"),106.48)</f>
        <v>106.48</v>
      </c>
      <c r="Q354" s="9">
        <f>IFERROR(__xludf.DUMMYFUNCTION("IFERROR(GOOGLEFINANCE(A354, ""volume"") / GOOGLEFINANCE(A354, ""volumeavg""), 0)"),0.0)</f>
        <v>0</v>
      </c>
      <c r="R354" s="9">
        <f>IFERROR(__xludf.DUMMYFUNCTION("AVERAGE(INDEX(GOOGLEFINANCE(A354, ""price"", TODAY()-30, TODAY()), 0, 2))"),73.6004347826087)</f>
        <v>73.60043478</v>
      </c>
      <c r="S354" s="9">
        <f>IFERROR(__xludf.DUMMYFUNCTION("AVERAGE(INDEX(GOOGLEFINANCE(A354, ""price"", TODAY()-75, TODAY()), 0, 2))"),76.17188679245281)</f>
        <v>76.17188679</v>
      </c>
      <c r="T354" s="9">
        <f>IFERROR(__xludf.DUMMYFUNCTION("AVERAGE(INDEX(GOOGLEFINANCE(A354, ""price"", TODAY()-300, TODAY()), 0, 2))"),61.374999999999936)</f>
        <v>61.375</v>
      </c>
      <c r="U354" s="9">
        <f t="shared" si="5"/>
        <v>-0.001772201251</v>
      </c>
      <c r="V354" s="15">
        <f>IFERROR(__xludf.DUMMYFUNCTION("LET(hist, GOOGLEFINANCE(A354,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rs))))))"),55.97579425113466)</f>
        <v>55.97579425</v>
      </c>
      <c r="W354" s="16" t="str">
        <f>IFERROR(__xludf.DUMMYFUNCTION("IFERROR(GOOGLEFINANCE(A354, ""volume"") / GOOGLEFINANCE(A354, ""volumeavg""), )"),"")</f>
        <v/>
      </c>
      <c r="X354" s="9">
        <f>IFERROR(__xludf.DUMMYFUNCTION("B354 * GOOGLEFINANCE(A354, ""volume"")"),1.04910538737E9)</f>
        <v>1049105387</v>
      </c>
      <c r="Y354" s="9">
        <f>IFERROR(__xludf.DUMMYFUNCTION("IFERROR(((B354 - GOOGLEFINANCE(A354, ""priceopen"")) / GOOGLEFINANCE(A354, ""priceopen"")) * GOOGLEFINANCE(A354, ""volume""), 0)"),-291299.1684000002)</f>
        <v>-291299.1684</v>
      </c>
    </row>
    <row r="355">
      <c r="A355" s="4" t="s">
        <v>2148</v>
      </c>
      <c r="B355" s="7">
        <f>IFERROR(__xludf.DUMMYFUNCTION("GOOGLEFINANCE(A355, ""price"")"),1217.0)</f>
        <v>1217</v>
      </c>
      <c r="C355" s="7">
        <f>IFERROR(__xludf.DUMMYFUNCTION("GOOGLEFINANCE(A355, ""changepct"")"),0.57)</f>
        <v>0.57</v>
      </c>
      <c r="D355" s="9">
        <f>IFERROR(__xludf.DUMMYFUNCTION("GOOGLEFINANCE(A355, ""priceopen"")"),1210.0)</f>
        <v>1210</v>
      </c>
      <c r="E355" s="9">
        <f>IFERROR(__xludf.DUMMYFUNCTION("GOOGLEFINANCE(A355, ""high"")"),1224.4)</f>
        <v>1224.4</v>
      </c>
      <c r="F355" s="9">
        <f>IFERROR(__xludf.DUMMYFUNCTION("GOOGLEFINANCE(A355, ""low"")"),1199.15)</f>
        <v>1199.15</v>
      </c>
      <c r="G355" s="9">
        <f>IFERROR(__xludf.DUMMYFUNCTION("GOOGLEFINANCE(A355, ""price"")"),1217.0)</f>
        <v>1217</v>
      </c>
      <c r="H355" s="9">
        <f>IFERROR(__xludf.DUMMYFUNCTION("MAX(INDEX(GOOGLEFINANCE(A355, ""high"", TODAY()-30, TODAY()), 0, 2))"),1226.0)</f>
        <v>1226</v>
      </c>
      <c r="I355" s="9">
        <f>IFERROR(__xludf.DUMMYFUNCTION("MIN(INDEX(GOOGLEFINANCE(A355, ""low"", TODAY()-30, TODAY()), 0, 2))"),927.6)</f>
        <v>927.6</v>
      </c>
      <c r="J355" s="9">
        <f>IFERROR(__xludf.DUMMYFUNCTION("GOOGLEFINANCE(A355, ""high52"")"),1226.0)</f>
        <v>1226</v>
      </c>
      <c r="K355" s="9">
        <f>IFERROR(__xludf.DUMMYFUNCTION("GOOGLEFINANCE(A355, ""low52"")"),730.1)</f>
        <v>730.1</v>
      </c>
      <c r="L355" s="9">
        <f t="shared" si="1"/>
        <v>0.007340946166</v>
      </c>
      <c r="M355" s="9">
        <f t="shared" si="2"/>
        <v>0.6668949459</v>
      </c>
      <c r="N355" s="9">
        <f t="shared" si="3"/>
        <v>0.02105658175</v>
      </c>
      <c r="O355" s="9">
        <f t="shared" si="4"/>
        <v>0.9698391421</v>
      </c>
      <c r="P355" s="9">
        <f>IFERROR(__xludf.DUMMYFUNCTION("GOOGLEFINANCE(A355, ""pe"")"),41.84)</f>
        <v>41.84</v>
      </c>
      <c r="Q355" s="9">
        <f>IFERROR(__xludf.DUMMYFUNCTION("IFERROR(GOOGLEFINANCE(A355, ""volume"") / GOOGLEFINANCE(A355, ""volumeavg""), 0)"),0.0)</f>
        <v>0</v>
      </c>
      <c r="R355" s="9">
        <f>IFERROR(__xludf.DUMMYFUNCTION("AVERAGE(INDEX(GOOGLEFINANCE(A355, ""price"", TODAY()-30, TODAY()), 0, 2))"),1005.5043478260869)</f>
        <v>1005.504348</v>
      </c>
      <c r="S355" s="9">
        <f>IFERROR(__xludf.DUMMYFUNCTION("AVERAGE(INDEX(GOOGLEFINANCE(A355, ""price"", TODAY()-75, TODAY()), 0, 2))"),935.5924528301886)</f>
        <v>935.5924528</v>
      </c>
      <c r="T355" s="9">
        <f>IFERROR(__xludf.DUMMYFUNCTION("AVERAGE(INDEX(GOOGLEFINANCE(A355, ""price"", TODAY()-300, TODAY()), 0, 2))"),906.7732673267325)</f>
        <v>906.7732673</v>
      </c>
      <c r="U355" s="9">
        <f t="shared" si="5"/>
        <v>0.2103378793</v>
      </c>
      <c r="V355" s="15">
        <f>IFERROR(__xludf.DUMMYFUNCTION("LET(hist, GOOGLEFINANCE(A355,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rs))))))"),96.19631901840494)</f>
        <v>96.19631902</v>
      </c>
      <c r="W355" s="16" t="str">
        <f>IFERROR(__xludf.DUMMYFUNCTION("IFERROR(GOOGLEFINANCE(A355, ""volume"") / GOOGLEFINANCE(A355, ""volumeavg""), )"),"")</f>
        <v/>
      </c>
      <c r="X355" s="9">
        <f>IFERROR(__xludf.DUMMYFUNCTION("B355 * GOOGLEFINANCE(A355, ""volume"")"),2.31604836E8)</f>
        <v>231604836</v>
      </c>
      <c r="Y355" s="9">
        <f>IFERROR(__xludf.DUMMYFUNCTION("IFERROR(((B355 - GOOGLEFINANCE(A355, ""priceopen"")) / GOOGLEFINANCE(A355, ""priceopen"")) * GOOGLEFINANCE(A355, ""volume""), 0)"),1100.9553719008263)</f>
        <v>1100.955372</v>
      </c>
    </row>
    <row r="356">
      <c r="A356" s="4" t="s">
        <v>2149</v>
      </c>
      <c r="B356" s="7">
        <f>IFERROR(__xludf.DUMMYFUNCTION("GOOGLEFINANCE(A356, ""price"")"),214.75)</f>
        <v>214.75</v>
      </c>
      <c r="C356" s="7">
        <f>IFERROR(__xludf.DUMMYFUNCTION("GOOGLEFINANCE(A356, ""changepct"")"),0.5)</f>
        <v>0.5</v>
      </c>
      <c r="D356" s="9">
        <f>IFERROR(__xludf.DUMMYFUNCTION("GOOGLEFINANCE(A356, ""priceopen"")"),214.0)</f>
        <v>214</v>
      </c>
      <c r="E356" s="9">
        <f>IFERROR(__xludf.DUMMYFUNCTION("GOOGLEFINANCE(A356, ""high"")"),218.6)</f>
        <v>218.6</v>
      </c>
      <c r="F356" s="9">
        <f>IFERROR(__xludf.DUMMYFUNCTION("GOOGLEFINANCE(A356, ""low"")"),212.38)</f>
        <v>212.38</v>
      </c>
      <c r="G356" s="9">
        <f>IFERROR(__xludf.DUMMYFUNCTION("GOOGLEFINANCE(A356, ""price"")"),214.75)</f>
        <v>214.75</v>
      </c>
      <c r="H356" s="9">
        <f>IFERROR(__xludf.DUMMYFUNCTION("MAX(INDEX(GOOGLEFINANCE(A356, ""high"", TODAY()-30, TODAY()), 0, 2))"),245.38)</f>
        <v>245.38</v>
      </c>
      <c r="I356" s="9">
        <f>IFERROR(__xludf.DUMMYFUNCTION("MIN(INDEX(GOOGLEFINANCE(A356, ""low"", TODAY()-30, TODAY()), 0, 2))"),200.74)</f>
        <v>200.74</v>
      </c>
      <c r="J356" s="9">
        <f>IFERROR(__xludf.DUMMYFUNCTION("GOOGLEFINANCE(A356, ""high52"")"),245.38)</f>
        <v>245.38</v>
      </c>
      <c r="K356" s="9">
        <f>IFERROR(__xludf.DUMMYFUNCTION("GOOGLEFINANCE(A356, ""low52"")"),145.13)</f>
        <v>145.13</v>
      </c>
      <c r="L356" s="9">
        <f t="shared" si="1"/>
        <v>0.1248267993</v>
      </c>
      <c r="M356" s="9">
        <f t="shared" si="2"/>
        <v>0.4797078481</v>
      </c>
      <c r="N356" s="9">
        <f t="shared" si="3"/>
        <v>0.02928712685</v>
      </c>
      <c r="O356" s="9">
        <f t="shared" si="4"/>
        <v>0.313844086</v>
      </c>
      <c r="P356" s="9">
        <f>IFERROR(__xludf.DUMMYFUNCTION("GOOGLEFINANCE(A356, ""pe"")"),14.01)</f>
        <v>14.01</v>
      </c>
      <c r="Q356" s="9">
        <f>IFERROR(__xludf.DUMMYFUNCTION("IFERROR(GOOGLEFINANCE(A356, ""volume"") / GOOGLEFINANCE(A356, ""volumeavg""), 0)"),0.0)</f>
        <v>0</v>
      </c>
      <c r="R356" s="9">
        <f>IFERROR(__xludf.DUMMYFUNCTION("AVERAGE(INDEX(GOOGLEFINANCE(A356, ""price"", TODAY()-30, TODAY()), 0, 2))"),218.15608695652173)</f>
        <v>218.156087</v>
      </c>
      <c r="S356" s="9">
        <f>IFERROR(__xludf.DUMMYFUNCTION("AVERAGE(INDEX(GOOGLEFINANCE(A356, ""price"", TODAY()-75, TODAY()), 0, 2))"),209.35245283018864)</f>
        <v>209.3524528</v>
      </c>
      <c r="T356" s="9">
        <f>IFERROR(__xludf.DUMMYFUNCTION("AVERAGE(INDEX(GOOGLEFINANCE(A356, ""price"", TODAY()-300, TODAY()), 0, 2))"),201.84495049504955)</f>
        <v>201.8449505</v>
      </c>
      <c r="U356" s="9">
        <f t="shared" si="5"/>
        <v>-0.01561307321</v>
      </c>
      <c r="V356" s="15">
        <f>IFERROR(__xludf.DUMMYFUNCTION("LET(hist, GOOGLEFINANCE(A356,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rs))))))"),47.30810234541578)</f>
        <v>47.30810235</v>
      </c>
      <c r="W356" s="16" t="str">
        <f>IFERROR(__xludf.DUMMYFUNCTION("IFERROR(GOOGLEFINANCE(A356, ""volume"") / GOOGLEFINANCE(A356, ""volumeavg""), )"),"")</f>
        <v/>
      </c>
      <c r="X356" s="9">
        <f>IFERROR(__xludf.DUMMYFUNCTION("B356 * GOOGLEFINANCE(A356, ""volume"")"),4.01068818E8)</f>
        <v>401068818</v>
      </c>
      <c r="Y356" s="9">
        <f>IFERROR(__xludf.DUMMYFUNCTION("IFERROR(((B356 - GOOGLEFINANCE(A356, ""priceopen"")) / GOOGLEFINANCE(A356, ""priceopen"")) * GOOGLEFINANCE(A356, ""volume""), 0)"),6545.355140186915)</f>
        <v>6545.35514</v>
      </c>
    </row>
    <row r="357">
      <c r="A357" s="4" t="s">
        <v>2150</v>
      </c>
      <c r="B357" s="7">
        <f>IFERROR(__xludf.DUMMYFUNCTION("GOOGLEFINANCE(A357, ""price"")"),298.05)</f>
        <v>298.05</v>
      </c>
      <c r="C357" s="7">
        <f>IFERROR(__xludf.DUMMYFUNCTION("GOOGLEFINANCE(A357, ""changepct"")"),-1.42)</f>
        <v>-1.42</v>
      </c>
      <c r="D357" s="9">
        <f>IFERROR(__xludf.DUMMYFUNCTION("GOOGLEFINANCE(A357, ""priceopen"")"),300.35)</f>
        <v>300.35</v>
      </c>
      <c r="E357" s="9">
        <f>IFERROR(__xludf.DUMMYFUNCTION("GOOGLEFINANCE(A357, ""high"")"),302.5)</f>
        <v>302.5</v>
      </c>
      <c r="F357" s="9">
        <f>IFERROR(__xludf.DUMMYFUNCTION("GOOGLEFINANCE(A357, ""low"")"),297.7)</f>
        <v>297.7</v>
      </c>
      <c r="G357" s="9">
        <f>IFERROR(__xludf.DUMMYFUNCTION("GOOGLEFINANCE(A357, ""price"")"),298.05)</f>
        <v>298.05</v>
      </c>
      <c r="H357" s="9">
        <f>IFERROR(__xludf.DUMMYFUNCTION("MAX(INDEX(GOOGLEFINANCE(A357, ""high"", TODAY()-30, TODAY()), 0, 2))"),342.0)</f>
        <v>342</v>
      </c>
      <c r="I357" s="9">
        <f>IFERROR(__xludf.DUMMYFUNCTION("MIN(INDEX(GOOGLEFINANCE(A357, ""low"", TODAY()-30, TODAY()), 0, 2))"),297.7)</f>
        <v>297.7</v>
      </c>
      <c r="J357" s="9">
        <f>IFERROR(__xludf.DUMMYFUNCTION("GOOGLEFINANCE(A357, ""high52"")"),434.8)</f>
        <v>434.8</v>
      </c>
      <c r="K357" s="9">
        <f>IFERROR(__xludf.DUMMYFUNCTION("GOOGLEFINANCE(A357, ""low52"")"),271.15)</f>
        <v>271.15</v>
      </c>
      <c r="L357" s="9">
        <f t="shared" si="1"/>
        <v>0.3145124195</v>
      </c>
      <c r="M357" s="9">
        <f t="shared" si="2"/>
        <v>0.09920708095</v>
      </c>
      <c r="N357" s="9">
        <f t="shared" si="3"/>
        <v>0.01612361438</v>
      </c>
      <c r="O357" s="9">
        <f t="shared" si="4"/>
        <v>0.007900677201</v>
      </c>
      <c r="P357" s="9">
        <f>IFERROR(__xludf.DUMMYFUNCTION("GOOGLEFINANCE(A357, ""pe"")"),26.19)</f>
        <v>26.19</v>
      </c>
      <c r="Q357" s="9">
        <f>IFERROR(__xludf.DUMMYFUNCTION("IFERROR(GOOGLEFINANCE(A357, ""volume"") / GOOGLEFINANCE(A357, ""volumeavg""), 0)"),0.0)</f>
        <v>0</v>
      </c>
      <c r="R357" s="9">
        <f>IFERROR(__xludf.DUMMYFUNCTION("AVERAGE(INDEX(GOOGLEFINANCE(A357, ""price"", TODAY()-30, TODAY()), 0, 2))"),326.72826086956525)</f>
        <v>326.7282609</v>
      </c>
      <c r="S357" s="9">
        <f>IFERROR(__xludf.DUMMYFUNCTION("AVERAGE(INDEX(GOOGLEFINANCE(A357, ""price"", TODAY()-75, TODAY()), 0, 2))"),318.28773584905656)</f>
        <v>318.2877358</v>
      </c>
      <c r="T357" s="9">
        <f>IFERROR(__xludf.DUMMYFUNCTION("AVERAGE(INDEX(GOOGLEFINANCE(A357, ""price"", TODAY()-300, TODAY()), 0, 2))"),336.8156716417912)</f>
        <v>336.8156716</v>
      </c>
      <c r="U357" s="9">
        <f t="shared" si="5"/>
        <v>-0.08777404438</v>
      </c>
      <c r="V357" s="15">
        <f>IFERROR(__xludf.DUMMYFUNCTION("LET(hist, GOOGLEFINANCE(A357,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rs))))))"),33.666904932094326)</f>
        <v>33.66690493</v>
      </c>
      <c r="W357" s="16" t="str">
        <f>IFERROR(__xludf.DUMMYFUNCTION("IFERROR(GOOGLEFINANCE(A357, ""volume"") / GOOGLEFINANCE(A357, ""volumeavg""), )"),"")</f>
        <v/>
      </c>
      <c r="X357" s="9">
        <f>IFERROR(__xludf.DUMMYFUNCTION("B357 * GOOGLEFINANCE(A357, ""volume"")"),4.2375556800000004E7)</f>
        <v>42375556.8</v>
      </c>
      <c r="Y357" s="9">
        <f>IFERROR(__xludf.DUMMYFUNCTION("IFERROR(((B357 - GOOGLEFINANCE(A357, ""priceopen"")) / GOOGLEFINANCE(A357, ""priceopen"")) * GOOGLEFINANCE(A357, ""volume""), 0)"),-1088.7457965706728)</f>
        <v>-1088.745797</v>
      </c>
    </row>
    <row r="358">
      <c r="A358" s="4" t="s">
        <v>2151</v>
      </c>
      <c r="B358" s="7">
        <f>IFERROR(__xludf.DUMMYFUNCTION("GOOGLEFINANCE(A358, ""price"")"),862.5)</f>
        <v>862.5</v>
      </c>
      <c r="C358" s="7">
        <f>IFERROR(__xludf.DUMMYFUNCTION("GOOGLEFINANCE(A358, ""changepct"")"),0.17)</f>
        <v>0.17</v>
      </c>
      <c r="D358" s="9">
        <f>IFERROR(__xludf.DUMMYFUNCTION("GOOGLEFINANCE(A358, ""priceopen"")"),857.5)</f>
        <v>857.5</v>
      </c>
      <c r="E358" s="9">
        <f>IFERROR(__xludf.DUMMYFUNCTION("GOOGLEFINANCE(A358, ""high"")"),870.0)</f>
        <v>870</v>
      </c>
      <c r="F358" s="9">
        <f>IFERROR(__xludf.DUMMYFUNCTION("GOOGLEFINANCE(A358, ""low"")"),854.4)</f>
        <v>854.4</v>
      </c>
      <c r="G358" s="9">
        <f>IFERROR(__xludf.DUMMYFUNCTION("GOOGLEFINANCE(A358, ""price"")"),862.5)</f>
        <v>862.5</v>
      </c>
      <c r="H358" s="9">
        <f>IFERROR(__xludf.DUMMYFUNCTION("MAX(INDEX(GOOGLEFINANCE(A358, ""high"", TODAY()-30, TODAY()), 0, 2))"),910.0)</f>
        <v>910</v>
      </c>
      <c r="I358" s="9">
        <f>IFERROR(__xludf.DUMMYFUNCTION("MIN(INDEX(GOOGLEFINANCE(A358, ""low"", TODAY()-30, TODAY()), 0, 2))"),814.2)</f>
        <v>814.2</v>
      </c>
      <c r="J358" s="9">
        <f>IFERROR(__xludf.DUMMYFUNCTION("GOOGLEFINANCE(A358, ""high52"")"),910.0)</f>
        <v>910</v>
      </c>
      <c r="K358" s="9">
        <f>IFERROR(__xludf.DUMMYFUNCTION("GOOGLEFINANCE(A358, ""low52"")"),440.0)</f>
        <v>440</v>
      </c>
      <c r="L358" s="9">
        <f t="shared" si="1"/>
        <v>0.0521978022</v>
      </c>
      <c r="M358" s="9">
        <f t="shared" si="2"/>
        <v>0.9602272727</v>
      </c>
      <c r="N358" s="9">
        <f t="shared" si="3"/>
        <v>0.01825842697</v>
      </c>
      <c r="O358" s="9">
        <f t="shared" si="4"/>
        <v>0.5041753653</v>
      </c>
      <c r="P358" s="9">
        <f>IFERROR(__xludf.DUMMYFUNCTION("GOOGLEFINANCE(A358, ""pe"")"),32.06)</f>
        <v>32.06</v>
      </c>
      <c r="Q358" s="9">
        <f>IFERROR(__xludf.DUMMYFUNCTION("IFERROR(GOOGLEFINANCE(A358, ""volume"") / GOOGLEFINANCE(A358, ""volumeavg""), 0)"),0.0)</f>
        <v>0</v>
      </c>
      <c r="R358" s="9">
        <f>IFERROR(__xludf.DUMMYFUNCTION("AVERAGE(INDEX(GOOGLEFINANCE(A358, ""price"", TODAY()-30, TODAY()), 0, 2))"),859.2456521739131)</f>
        <v>859.2456522</v>
      </c>
      <c r="S358" s="9">
        <f>IFERROR(__xludf.DUMMYFUNCTION("AVERAGE(INDEX(GOOGLEFINANCE(A358, ""price"", TODAY()-75, TODAY()), 0, 2))"),823.1452830188678)</f>
        <v>823.145283</v>
      </c>
      <c r="T358" s="9">
        <f>IFERROR(__xludf.DUMMYFUNCTION("AVERAGE(INDEX(GOOGLEFINANCE(A358, ""price"", TODAY()-300, TODAY()), 0, 2))"),664.158910891089)</f>
        <v>664.1589109</v>
      </c>
      <c r="U358" s="9">
        <f t="shared" si="5"/>
        <v>0.003787447534</v>
      </c>
      <c r="V358" s="15">
        <f>IFERROR(__xludf.DUMMYFUNCTION("LET(hist, GOOGLEFINANCE(A358,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rs))))))"),53.45947472465405)</f>
        <v>53.45947472</v>
      </c>
      <c r="W358" s="16" t="str">
        <f>IFERROR(__xludf.DUMMYFUNCTION("IFERROR(GOOGLEFINANCE(A358, ""volume"") / GOOGLEFINANCE(A358, ""volumeavg""), )"),"")</f>
        <v/>
      </c>
      <c r="X358" s="9">
        <f>IFERROR(__xludf.DUMMYFUNCTION("B358 * GOOGLEFINANCE(A358, ""volume"")"),2.441297625E8)</f>
        <v>244129762.5</v>
      </c>
      <c r="Y358" s="9">
        <f>IFERROR(__xludf.DUMMYFUNCTION("IFERROR(((B358 - GOOGLEFINANCE(A358, ""priceopen"")) / GOOGLEFINANCE(A358, ""priceopen"")) * GOOGLEFINANCE(A358, ""volume""), 0)"),1650.4314868804665)</f>
        <v>1650.431487</v>
      </c>
    </row>
    <row r="359">
      <c r="A359" s="4" t="s">
        <v>2152</v>
      </c>
      <c r="B359" s="7">
        <f>IFERROR(__xludf.DUMMYFUNCTION("GOOGLEFINANCE(A359, ""price"")"),1621.0)</f>
        <v>1621</v>
      </c>
      <c r="C359" s="7">
        <f>IFERROR(__xludf.DUMMYFUNCTION("GOOGLEFINANCE(A359, ""changepct"")"),-0.81)</f>
        <v>-0.81</v>
      </c>
      <c r="D359" s="9">
        <f>IFERROR(__xludf.DUMMYFUNCTION("GOOGLEFINANCE(A359, ""priceopen"")"),1642.3)</f>
        <v>1642.3</v>
      </c>
      <c r="E359" s="9">
        <f>IFERROR(__xludf.DUMMYFUNCTION("GOOGLEFINANCE(A359, ""high"")"),1644.6)</f>
        <v>1644.6</v>
      </c>
      <c r="F359" s="9">
        <f>IFERROR(__xludf.DUMMYFUNCTION("GOOGLEFINANCE(A359, ""low"")"),1606.0)</f>
        <v>1606</v>
      </c>
      <c r="G359" s="9">
        <f>IFERROR(__xludf.DUMMYFUNCTION("GOOGLEFINANCE(A359, ""price"")"),1621.0)</f>
        <v>1621</v>
      </c>
      <c r="H359" s="9">
        <f>IFERROR(__xludf.DUMMYFUNCTION("MAX(INDEX(GOOGLEFINANCE(A359, ""high"", TODAY()-30, TODAY()), 0, 2))"),1645.0)</f>
        <v>1645</v>
      </c>
      <c r="I359" s="9">
        <f>IFERROR(__xludf.DUMMYFUNCTION("MIN(INDEX(GOOGLEFINANCE(A359, ""low"", TODAY()-30, TODAY()), 0, 2))"),1400.2)</f>
        <v>1400.2</v>
      </c>
      <c r="J359" s="9">
        <f>IFERROR(__xludf.DUMMYFUNCTION("GOOGLEFINANCE(A359, ""high52"")"),1645.0)</f>
        <v>1645</v>
      </c>
      <c r="K359" s="9">
        <f>IFERROR(__xludf.DUMMYFUNCTION("GOOGLEFINANCE(A359, ""low52"")"),726.45)</f>
        <v>726.45</v>
      </c>
      <c r="L359" s="9">
        <f t="shared" si="1"/>
        <v>0.01458966565</v>
      </c>
      <c r="M359" s="9">
        <f t="shared" si="2"/>
        <v>1.23139927</v>
      </c>
      <c r="N359" s="9">
        <f t="shared" si="3"/>
        <v>0.02403486924</v>
      </c>
      <c r="O359" s="9">
        <f t="shared" si="4"/>
        <v>0.9019607843</v>
      </c>
      <c r="P359" s="9">
        <f>IFERROR(__xludf.DUMMYFUNCTION("GOOGLEFINANCE(A359, ""pe"")"),91.27)</f>
        <v>91.27</v>
      </c>
      <c r="Q359" s="9">
        <f>IFERROR(__xludf.DUMMYFUNCTION("IFERROR(GOOGLEFINANCE(A359, ""volume"") / GOOGLEFINANCE(A359, ""volumeavg""), 0)"),0.0)</f>
        <v>0</v>
      </c>
      <c r="R359" s="9">
        <f>IFERROR(__xludf.DUMMYFUNCTION("AVERAGE(INDEX(GOOGLEFINANCE(A359, ""price"", TODAY()-30, TODAY()), 0, 2))"),1510.173913043478)</f>
        <v>1510.173913</v>
      </c>
      <c r="S359" s="9">
        <f>IFERROR(__xludf.DUMMYFUNCTION("AVERAGE(INDEX(GOOGLEFINANCE(A359, ""price"", TODAY()-75, TODAY()), 0, 2))"),1357.7924528301887)</f>
        <v>1357.792453</v>
      </c>
      <c r="T359" s="9">
        <f>IFERROR(__xludf.DUMMYFUNCTION("AVERAGE(INDEX(GOOGLEFINANCE(A359, ""price"", TODAY()-300, TODAY()), 0, 2))"),1077.2586633663368)</f>
        <v>1077.258663</v>
      </c>
      <c r="U359" s="9">
        <f t="shared" si="5"/>
        <v>0.07338630736</v>
      </c>
      <c r="V359" s="15">
        <f>IFERROR(__xludf.DUMMYFUNCTION("LET(hist, GOOGLEFINANCE(A359,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rs))))))"),76.27520759193361)</f>
        <v>76.27520759</v>
      </c>
      <c r="W359" s="16" t="str">
        <f>IFERROR(__xludf.DUMMYFUNCTION("IFERROR(GOOGLEFINANCE(A359, ""volume"") / GOOGLEFINANCE(A359, ""volumeavg""), )"),"")</f>
        <v/>
      </c>
      <c r="X359" s="9">
        <f>IFERROR(__xludf.DUMMYFUNCTION("B359 * GOOGLEFINANCE(A359, ""volume"")"),1.73051476E8)</f>
        <v>173051476</v>
      </c>
      <c r="Y359" s="9">
        <f>IFERROR(__xludf.DUMMYFUNCTION("IFERROR(((B359 - GOOGLEFINANCE(A359, ""priceopen"")) / GOOGLEFINANCE(A359, ""priceopen"")) * GOOGLEFINANCE(A359, ""volume""), 0)"),-1384.584302502585)</f>
        <v>-1384.584303</v>
      </c>
    </row>
    <row r="360">
      <c r="A360" s="4" t="s">
        <v>2153</v>
      </c>
      <c r="B360" s="7">
        <f>IFERROR(__xludf.DUMMYFUNCTION("GOOGLEFINANCE(A360, ""price"")"),43.48)</f>
        <v>43.48</v>
      </c>
      <c r="C360" s="7">
        <f>IFERROR(__xludf.DUMMYFUNCTION("GOOGLEFINANCE(A360, ""changepct"")"),1.07)</f>
        <v>1.07</v>
      </c>
      <c r="D360" s="9">
        <f>IFERROR(__xludf.DUMMYFUNCTION("GOOGLEFINANCE(A360, ""priceopen"")"),43.02)</f>
        <v>43.02</v>
      </c>
      <c r="E360" s="9">
        <f>IFERROR(__xludf.DUMMYFUNCTION("GOOGLEFINANCE(A360, ""high"")"),43.5)</f>
        <v>43.5</v>
      </c>
      <c r="F360" s="9">
        <f>IFERROR(__xludf.DUMMYFUNCTION("GOOGLEFINANCE(A360, ""low"")"),42.69)</f>
        <v>42.69</v>
      </c>
      <c r="G360" s="9">
        <f>IFERROR(__xludf.DUMMYFUNCTION("GOOGLEFINANCE(A360, ""price"")"),43.48)</f>
        <v>43.48</v>
      </c>
      <c r="H360" s="9">
        <f>IFERROR(__xludf.DUMMYFUNCTION("MAX(INDEX(GOOGLEFINANCE(A360, ""high"", TODAY()-30, TODAY()), 0, 2))"),46.24)</f>
        <v>46.24</v>
      </c>
      <c r="I360" s="9">
        <f>IFERROR(__xludf.DUMMYFUNCTION("MIN(INDEX(GOOGLEFINANCE(A360, ""low"", TODAY()-30, TODAY()), 0, 2))"),40.28)</f>
        <v>40.28</v>
      </c>
      <c r="J360" s="9">
        <f>IFERROR(__xludf.DUMMYFUNCTION("GOOGLEFINANCE(A360, ""high52"")"),57.89)</f>
        <v>57.89</v>
      </c>
      <c r="K360" s="9">
        <f>IFERROR(__xludf.DUMMYFUNCTION("GOOGLEFINANCE(A360, ""low52"")"),35.83)</f>
        <v>35.83</v>
      </c>
      <c r="L360" s="9">
        <f t="shared" si="1"/>
        <v>0.2489203662</v>
      </c>
      <c r="M360" s="9">
        <f t="shared" si="2"/>
        <v>0.2135082333</v>
      </c>
      <c r="N360" s="9">
        <f t="shared" si="3"/>
        <v>0.01897399859</v>
      </c>
      <c r="O360" s="9">
        <f t="shared" si="4"/>
        <v>0.5369127517</v>
      </c>
      <c r="P360" s="9">
        <f>IFERROR(__xludf.DUMMYFUNCTION("GOOGLEFINANCE(A360, ""pe"")"),20.55)</f>
        <v>20.55</v>
      </c>
      <c r="Q360" s="9">
        <f>IFERROR(__xludf.DUMMYFUNCTION("IFERROR(GOOGLEFINANCE(A360, ""volume"") / GOOGLEFINANCE(A360, ""volumeavg""), 0)"),0.0)</f>
        <v>0</v>
      </c>
      <c r="R360" s="9">
        <f>IFERROR(__xludf.DUMMYFUNCTION("AVERAGE(INDEX(GOOGLEFINANCE(A360, ""price"", TODAY()-30, TODAY()), 0, 2))"),42.81869565217391)</f>
        <v>42.81869565</v>
      </c>
      <c r="S360" s="9">
        <f>IFERROR(__xludf.DUMMYFUNCTION("AVERAGE(INDEX(GOOGLEFINANCE(A360, ""price"", TODAY()-75, TODAY()), 0, 2))"),41.373207547169805)</f>
        <v>41.37320755</v>
      </c>
      <c r="T360" s="9">
        <f>IFERROR(__xludf.DUMMYFUNCTION("AVERAGE(INDEX(GOOGLEFINANCE(A360, ""price"", TODAY()-300, TODAY()), 0, 2))"),45.06762376237626)</f>
        <v>45.06762376</v>
      </c>
      <c r="U360" s="9">
        <f t="shared" si="5"/>
        <v>0.01544428988</v>
      </c>
      <c r="V360" s="15">
        <f>IFERROR(__xludf.DUMMYFUNCTION("LET(hist, GOOGLEFINANCE(A360,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rs))))))"),58.76651982378855)</f>
        <v>58.76651982</v>
      </c>
      <c r="W360" s="16" t="str">
        <f>IFERROR(__xludf.DUMMYFUNCTION("IFERROR(GOOGLEFINANCE(A360, ""volume"") / GOOGLEFINANCE(A360, ""volumeavg""), )"),"")</f>
        <v/>
      </c>
      <c r="X360" s="9">
        <f>IFERROR(__xludf.DUMMYFUNCTION("B360 * GOOGLEFINANCE(A360, ""volume"")"),5.2529761976E8)</f>
        <v>525297619.8</v>
      </c>
      <c r="Y360" s="9">
        <f>IFERROR(__xludf.DUMMYFUNCTION("IFERROR(((B360 - GOOGLEFINANCE(A360, ""priceopen"")) / GOOGLEFINANCE(A360, ""priceopen"")) * GOOGLEFINANCE(A360, ""volume""), 0)"),129182.39237563747)</f>
        <v>129182.3924</v>
      </c>
    </row>
    <row r="361">
      <c r="A361" s="4" t="s">
        <v>2154</v>
      </c>
      <c r="B361" s="7">
        <f>IFERROR(__xludf.DUMMYFUNCTION("GOOGLEFINANCE(A361, ""price"")"),1156.4)</f>
        <v>1156.4</v>
      </c>
      <c r="C361" s="7">
        <f>IFERROR(__xludf.DUMMYFUNCTION("GOOGLEFINANCE(A361, ""changepct"")"),-1.48)</f>
        <v>-1.48</v>
      </c>
      <c r="D361" s="9">
        <f>IFERROR(__xludf.DUMMYFUNCTION("GOOGLEFINANCE(A361, ""priceopen"")"),1180.0)</f>
        <v>1180</v>
      </c>
      <c r="E361" s="9">
        <f>IFERROR(__xludf.DUMMYFUNCTION("GOOGLEFINANCE(A361, ""high"")"),1196.0)</f>
        <v>1196</v>
      </c>
      <c r="F361" s="9">
        <f>IFERROR(__xludf.DUMMYFUNCTION("GOOGLEFINANCE(A361, ""low"")"),1146.6)</f>
        <v>1146.6</v>
      </c>
      <c r="G361" s="9">
        <f>IFERROR(__xludf.DUMMYFUNCTION("GOOGLEFINANCE(A361, ""price"")"),1156.4)</f>
        <v>1156.4</v>
      </c>
      <c r="H361" s="9">
        <f>IFERROR(__xludf.DUMMYFUNCTION("MAX(INDEX(GOOGLEFINANCE(A361, ""high"", TODAY()-30, TODAY()), 0, 2))"),1196.0)</f>
        <v>1196</v>
      </c>
      <c r="I361" s="9">
        <f>IFERROR(__xludf.DUMMYFUNCTION("MIN(INDEX(GOOGLEFINANCE(A361, ""low"", TODAY()-30, TODAY()), 0, 2))"),1035.5)</f>
        <v>1035.5</v>
      </c>
      <c r="J361" s="9">
        <f>IFERROR(__xludf.DUMMYFUNCTION("GOOGLEFINANCE(A361, ""high52"")"),1306.9)</f>
        <v>1306.9</v>
      </c>
      <c r="K361" s="9">
        <f>IFERROR(__xludf.DUMMYFUNCTION("GOOGLEFINANCE(A361, ""low52"")"),735.2)</f>
        <v>735.2</v>
      </c>
      <c r="L361" s="9">
        <f t="shared" si="1"/>
        <v>0.1151580075</v>
      </c>
      <c r="M361" s="9">
        <f t="shared" si="2"/>
        <v>0.5729053319</v>
      </c>
      <c r="N361" s="9">
        <f t="shared" si="3"/>
        <v>0.04308390023</v>
      </c>
      <c r="O361" s="9">
        <f t="shared" si="4"/>
        <v>0.753271028</v>
      </c>
      <c r="P361" s="9">
        <f>IFERROR(__xludf.DUMMYFUNCTION("GOOGLEFINANCE(A361, ""pe"")"),104.58)</f>
        <v>104.58</v>
      </c>
      <c r="Q361" s="9">
        <f>IFERROR(__xludf.DUMMYFUNCTION("IFERROR(GOOGLEFINANCE(A361, ""volume"") / GOOGLEFINANCE(A361, ""volumeavg""), 0)"),0.0)</f>
        <v>0</v>
      </c>
      <c r="R361" s="9">
        <f>IFERROR(__xludf.DUMMYFUNCTION("AVERAGE(INDEX(GOOGLEFINANCE(A361, ""price"", TODAY()-30, TODAY()), 0, 2))"),1082.7391304347825)</f>
        <v>1082.73913</v>
      </c>
      <c r="S361" s="9">
        <f>IFERROR(__xludf.DUMMYFUNCTION("AVERAGE(INDEX(GOOGLEFINANCE(A361, ""price"", TODAY()-75, TODAY()), 0, 2))"),1093.9669811320755)</f>
        <v>1093.966981</v>
      </c>
      <c r="T361" s="9">
        <f>IFERROR(__xludf.DUMMYFUNCTION("AVERAGE(INDEX(GOOGLEFINANCE(A361, ""price"", TODAY()-300, TODAY()), 0, 2))"),929.9725247524751)</f>
        <v>929.9725248</v>
      </c>
      <c r="U361" s="9">
        <f t="shared" si="5"/>
        <v>0.06803196402</v>
      </c>
      <c r="V361" s="15">
        <f>IFERROR(__xludf.DUMMYFUNCTION("LET(hist, GOOGLEFINANCE(A361,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rs))))))"),70.37806398005819)</f>
        <v>70.37806398</v>
      </c>
      <c r="W361" s="16" t="str">
        <f>IFERROR(__xludf.DUMMYFUNCTION("IFERROR(GOOGLEFINANCE(A361, ""volume"") / GOOGLEFINANCE(A361, ""volumeavg""), )"),"")</f>
        <v/>
      </c>
      <c r="X361" s="9">
        <f>IFERROR(__xludf.DUMMYFUNCTION("B361 * GOOGLEFINANCE(A361, ""volume"")"),3.264621276E8)</f>
        <v>326462127.6</v>
      </c>
      <c r="Y361" s="9">
        <f>IFERROR(__xludf.DUMMYFUNCTION("IFERROR(((B361 - GOOGLEFINANCE(A361, ""priceopen"")) / GOOGLEFINANCE(A361, ""priceopen"")) * GOOGLEFINANCE(A361, ""volume""), 0)"),-5646.1799999999785)</f>
        <v>-5646.18</v>
      </c>
    </row>
    <row r="362">
      <c r="A362" s="4" t="s">
        <v>2155</v>
      </c>
      <c r="B362" s="7">
        <f>IFERROR(__xludf.DUMMYFUNCTION("GOOGLEFINANCE(A362, ""price"")"),7882.0)</f>
        <v>7882</v>
      </c>
      <c r="C362" s="7">
        <f>IFERROR(__xludf.DUMMYFUNCTION("GOOGLEFINANCE(A362, ""changepct"")"),-0.81)</f>
        <v>-0.81</v>
      </c>
      <c r="D362" s="9">
        <f>IFERROR(__xludf.DUMMYFUNCTION("GOOGLEFINANCE(A362, ""priceopen"")"),7982.0)</f>
        <v>7982</v>
      </c>
      <c r="E362" s="9">
        <f>IFERROR(__xludf.DUMMYFUNCTION("GOOGLEFINANCE(A362, ""high"")"),7999.0)</f>
        <v>7999</v>
      </c>
      <c r="F362" s="9">
        <f>IFERROR(__xludf.DUMMYFUNCTION("GOOGLEFINANCE(A362, ""low"")"),7870.0)</f>
        <v>7870</v>
      </c>
      <c r="G362" s="9">
        <f>IFERROR(__xludf.DUMMYFUNCTION("GOOGLEFINANCE(A362, ""price"")"),7882.0)</f>
        <v>7882</v>
      </c>
      <c r="H362" s="9">
        <f>IFERROR(__xludf.DUMMYFUNCTION("MAX(INDEX(GOOGLEFINANCE(A362, ""high"", TODAY()-30, TODAY()), 0, 2))"),8510.0)</f>
        <v>8510</v>
      </c>
      <c r="I362" s="9">
        <f>IFERROR(__xludf.DUMMYFUNCTION("MIN(INDEX(GOOGLEFINANCE(A362, ""low"", TODAY()-30, TODAY()), 0, 2))"),7722.0)</f>
        <v>7722</v>
      </c>
      <c r="J362" s="9">
        <f>IFERROR(__xludf.DUMMYFUNCTION("GOOGLEFINANCE(A362, ""high52"")"),9849.5)</f>
        <v>9849.5</v>
      </c>
      <c r="K362" s="9">
        <f>IFERROR(__xludf.DUMMYFUNCTION("GOOGLEFINANCE(A362, ""low52"")"),7551.5)</f>
        <v>7551.5</v>
      </c>
      <c r="L362" s="9">
        <f t="shared" si="1"/>
        <v>0.1997563328</v>
      </c>
      <c r="M362" s="9">
        <f t="shared" si="2"/>
        <v>0.04376613918</v>
      </c>
      <c r="N362" s="9">
        <f t="shared" si="3"/>
        <v>0.01639135959</v>
      </c>
      <c r="O362" s="9">
        <f t="shared" si="4"/>
        <v>0.2030456853</v>
      </c>
      <c r="P362" s="9">
        <f>IFERROR(__xludf.DUMMYFUNCTION("GOOGLEFINANCE(A362, ""pe"")"),116.17)</f>
        <v>116.17</v>
      </c>
      <c r="Q362" s="9">
        <f>IFERROR(__xludf.DUMMYFUNCTION("IFERROR(GOOGLEFINANCE(A362, ""volume"") / GOOGLEFINANCE(A362, ""volumeavg""), 0)"),0.0)</f>
        <v>0</v>
      </c>
      <c r="R362" s="9">
        <f>IFERROR(__xludf.DUMMYFUNCTION("AVERAGE(INDEX(GOOGLEFINANCE(A362, ""price"", TODAY()-30, TODAY()), 0, 2))"),8101.130434782609)</f>
        <v>8101.130435</v>
      </c>
      <c r="S362" s="9">
        <f>IFERROR(__xludf.DUMMYFUNCTION("AVERAGE(INDEX(GOOGLEFINANCE(A362, ""price"", TODAY()-75, TODAY()), 0, 2))"),8259.896226415094)</f>
        <v>8259.896226</v>
      </c>
      <c r="T362" s="9">
        <f>IFERROR(__xludf.DUMMYFUNCTION("AVERAGE(INDEX(GOOGLEFINANCE(A362, ""price"", TODAY()-300, TODAY()), 0, 2))"),8603.094059405941)</f>
        <v>8603.094059</v>
      </c>
      <c r="U362" s="9">
        <f t="shared" si="5"/>
        <v>-0.02704936509</v>
      </c>
      <c r="V362" s="15">
        <f>IFERROR(__xludf.DUMMYFUNCTION("LET(hist, GOOGLEFINANCE(A362,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rs))))))"),51.210101718695185)</f>
        <v>51.21010172</v>
      </c>
      <c r="W362" s="16" t="str">
        <f>IFERROR(__xludf.DUMMYFUNCTION("IFERROR(GOOGLEFINANCE(A362, ""volume"") / GOOGLEFINANCE(A362, ""volumeavg""), )"),"")</f>
        <v/>
      </c>
      <c r="X362" s="9">
        <f>IFERROR(__xludf.DUMMYFUNCTION("B362 * GOOGLEFINANCE(A362, ""volume"")"),3.9063192E7)</f>
        <v>39063192</v>
      </c>
      <c r="Y362" s="9">
        <f>IFERROR(__xludf.DUMMYFUNCTION("IFERROR(((B362 - GOOGLEFINANCE(A362, ""priceopen"")) / GOOGLEFINANCE(A362, ""priceopen"")) * GOOGLEFINANCE(A362, ""volume""), 0)"),-62.089701829115505)</f>
        <v>-62.08970183</v>
      </c>
    </row>
    <row r="363">
      <c r="A363" s="4" t="s">
        <v>2156</v>
      </c>
      <c r="B363" s="7">
        <f>IFERROR(__xludf.DUMMYFUNCTION("GOOGLEFINANCE(A363, ""price"")"),477.0)</f>
        <v>477</v>
      </c>
      <c r="C363" s="7">
        <f>IFERROR(__xludf.DUMMYFUNCTION("GOOGLEFINANCE(A363, ""changepct"")"),-1.39)</f>
        <v>-1.39</v>
      </c>
      <c r="D363" s="9">
        <f>IFERROR(__xludf.DUMMYFUNCTION("GOOGLEFINANCE(A363, ""priceopen"")"),485.0)</f>
        <v>485</v>
      </c>
      <c r="E363" s="9">
        <f>IFERROR(__xludf.DUMMYFUNCTION("GOOGLEFINANCE(A363, ""high"")"),487.8)</f>
        <v>487.8</v>
      </c>
      <c r="F363" s="9">
        <f>IFERROR(__xludf.DUMMYFUNCTION("GOOGLEFINANCE(A363, ""low"")"),475.85)</f>
        <v>475.85</v>
      </c>
      <c r="G363" s="9">
        <f>IFERROR(__xludf.DUMMYFUNCTION("GOOGLEFINANCE(A363, ""price"")"),477.0)</f>
        <v>477</v>
      </c>
      <c r="H363" s="9">
        <f>IFERROR(__xludf.DUMMYFUNCTION("MAX(INDEX(GOOGLEFINANCE(A363, ""high"", TODAY()-30, TODAY()), 0, 2))"),519.8)</f>
        <v>519.8</v>
      </c>
      <c r="I363" s="9">
        <f>IFERROR(__xludf.DUMMYFUNCTION("MIN(INDEX(GOOGLEFINANCE(A363, ""low"", TODAY()-30, TODAY()), 0, 2))"),475.85)</f>
        <v>475.85</v>
      </c>
      <c r="J363" s="9">
        <f>IFERROR(__xludf.DUMMYFUNCTION("GOOGLEFINANCE(A363, ""high52"")"),660.7)</f>
        <v>660.7</v>
      </c>
      <c r="K363" s="9">
        <f>IFERROR(__xludf.DUMMYFUNCTION("GOOGLEFINANCE(A363, ""low52"")"),475.85)</f>
        <v>475.85</v>
      </c>
      <c r="L363" s="9">
        <f t="shared" si="1"/>
        <v>0.2780384441</v>
      </c>
      <c r="M363" s="9">
        <f t="shared" si="2"/>
        <v>0.00241672796</v>
      </c>
      <c r="N363" s="9">
        <f t="shared" si="3"/>
        <v>0.02511295576</v>
      </c>
      <c r="O363" s="9">
        <f t="shared" si="4"/>
        <v>0.02616609784</v>
      </c>
      <c r="P363" s="9">
        <f>IFERROR(__xludf.DUMMYFUNCTION("GOOGLEFINANCE(A363, ""pe"")"),13.05)</f>
        <v>13.05</v>
      </c>
      <c r="Q363" s="9">
        <f>IFERROR(__xludf.DUMMYFUNCTION("IFERROR(GOOGLEFINANCE(A363, ""volume"") / GOOGLEFINANCE(A363, ""volumeavg""), 0)"),0.0)</f>
        <v>0</v>
      </c>
      <c r="R363" s="9">
        <f>IFERROR(__xludf.DUMMYFUNCTION("AVERAGE(INDEX(GOOGLEFINANCE(A363, ""price"", TODAY()-30, TODAY()), 0, 2))"),494.604347826087)</f>
        <v>494.6043478</v>
      </c>
      <c r="S363" s="9">
        <f>IFERROR(__xludf.DUMMYFUNCTION("AVERAGE(INDEX(GOOGLEFINANCE(A363, ""price"", TODAY()-75, TODAY()), 0, 2))"),504.8905660377359)</f>
        <v>504.890566</v>
      </c>
      <c r="T363" s="9">
        <f>IFERROR(__xludf.DUMMYFUNCTION("AVERAGE(INDEX(GOOGLEFINANCE(A363, ""price"", TODAY()-300, TODAY()), 0, 2))"),553.2532178217821)</f>
        <v>553.2532178</v>
      </c>
      <c r="U363" s="9">
        <f t="shared" si="5"/>
        <v>-0.03559278826</v>
      </c>
      <c r="V363" s="15">
        <f>IFERROR(__xludf.DUMMYFUNCTION("LET(hist, GOOGLEFINANCE(A363,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rs))))))"),41.91802010827536)</f>
        <v>41.91802011</v>
      </c>
      <c r="W363" s="16" t="str">
        <f>IFERROR(__xludf.DUMMYFUNCTION("IFERROR(GOOGLEFINANCE(A363, ""volume"") / GOOGLEFINANCE(A363, ""volumeavg""), )"),"")</f>
        <v/>
      </c>
      <c r="X363" s="9">
        <f>IFERROR(__xludf.DUMMYFUNCTION("B363 * GOOGLEFINANCE(A363, ""volume"")"),1.15499349E8)</f>
        <v>115499349</v>
      </c>
      <c r="Y363" s="9">
        <f>IFERROR(__xludf.DUMMYFUNCTION("IFERROR(((B363 - GOOGLEFINANCE(A363, ""priceopen"")) / GOOGLEFINANCE(A363, ""priceopen"")) * GOOGLEFINANCE(A363, ""volume""), 0)"),-3994.0123711340207)</f>
        <v>-3994.012371</v>
      </c>
    </row>
    <row r="364">
      <c r="A364" s="4" t="s">
        <v>2157</v>
      </c>
      <c r="B364" s="7">
        <f>IFERROR(__xludf.DUMMYFUNCTION("GOOGLEFINANCE(A364, ""price"")"),140.0)</f>
        <v>140</v>
      </c>
      <c r="C364" s="7">
        <f>IFERROR(__xludf.DUMMYFUNCTION("GOOGLEFINANCE(A364, ""changepct"")"),0.18)</f>
        <v>0.18</v>
      </c>
      <c r="D364" s="9">
        <f>IFERROR(__xludf.DUMMYFUNCTION("GOOGLEFINANCE(A364, ""priceopen"")"),139.01)</f>
        <v>139.01</v>
      </c>
      <c r="E364" s="9">
        <f>IFERROR(__xludf.DUMMYFUNCTION("GOOGLEFINANCE(A364, ""high"")"),141.28)</f>
        <v>141.28</v>
      </c>
      <c r="F364" s="9">
        <f>IFERROR(__xludf.DUMMYFUNCTION("GOOGLEFINANCE(A364, ""low"")"),137.39)</f>
        <v>137.39</v>
      </c>
      <c r="G364" s="9">
        <f>IFERROR(__xludf.DUMMYFUNCTION("GOOGLEFINANCE(A364, ""price"")"),140.0)</f>
        <v>140</v>
      </c>
      <c r="H364" s="9">
        <f>IFERROR(__xludf.DUMMYFUNCTION("MAX(INDEX(GOOGLEFINANCE(A364, ""high"", TODAY()-30, TODAY()), 0, 2))"),152.21)</f>
        <v>152.21</v>
      </c>
      <c r="I364" s="9">
        <f>IFERROR(__xludf.DUMMYFUNCTION("MIN(INDEX(GOOGLEFINANCE(A364, ""low"", TODAY()-30, TODAY()), 0, 2))"),126.8)</f>
        <v>126.8</v>
      </c>
      <c r="J364" s="9">
        <f>IFERROR(__xludf.DUMMYFUNCTION("GOOGLEFINANCE(A364, ""high52"")"),201.18)</f>
        <v>201.18</v>
      </c>
      <c r="K364" s="9">
        <f>IFERROR(__xludf.DUMMYFUNCTION("GOOGLEFINANCE(A364, ""low52"")"),100.7)</f>
        <v>100.7</v>
      </c>
      <c r="L364" s="9">
        <f t="shared" si="1"/>
        <v>0.3041057759</v>
      </c>
      <c r="M364" s="9">
        <f t="shared" si="2"/>
        <v>0.3902681231</v>
      </c>
      <c r="N364" s="9">
        <f t="shared" si="3"/>
        <v>0.02831355994</v>
      </c>
      <c r="O364" s="9">
        <f t="shared" si="4"/>
        <v>0.5194805195</v>
      </c>
      <c r="P364" s="9" t="str">
        <f>IFERROR(__xludf.DUMMYFUNCTION("GOOGLEFINANCE(A364, ""pe"")"),"#N/A")</f>
        <v>#N/A</v>
      </c>
      <c r="Q364" s="9">
        <f>IFERROR(__xludf.DUMMYFUNCTION("IFERROR(GOOGLEFINANCE(A364, ""volume"") / GOOGLEFINANCE(A364, ""volumeavg""), 0)"),0.0)</f>
        <v>0</v>
      </c>
      <c r="R364" s="9">
        <f>IFERROR(__xludf.DUMMYFUNCTION("AVERAGE(INDEX(GOOGLEFINANCE(A364, ""price"", TODAY()-30, TODAY()), 0, 2))"),135.1404347826087)</f>
        <v>135.1404348</v>
      </c>
      <c r="S364" s="9">
        <f>IFERROR(__xludf.DUMMYFUNCTION("AVERAGE(INDEX(GOOGLEFINANCE(A364, ""price"", TODAY()-75, TODAY()), 0, 2))"),131.51207547169815)</f>
        <v>131.5120755</v>
      </c>
      <c r="T364" s="9">
        <f>IFERROR(__xludf.DUMMYFUNCTION("AVERAGE(INDEX(GOOGLEFINANCE(A364, ""price"", TODAY()-300, TODAY()), 0, 2))"),130.24514851485142)</f>
        <v>130.2451485</v>
      </c>
      <c r="U364" s="9">
        <f t="shared" si="5"/>
        <v>0.03595937238</v>
      </c>
      <c r="V364" s="15">
        <f>IFERROR(__xludf.DUMMYFUNCTION("LET(hist, GOOGLEFINANCE(A364,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rs))))))"),62.85280728376327)</f>
        <v>62.85280728</v>
      </c>
      <c r="W364" s="16" t="str">
        <f>IFERROR(__xludf.DUMMYFUNCTION("IFERROR(GOOGLEFINANCE(A364, ""volume"") / GOOGLEFINANCE(A364, ""volumeavg""), )"),"")</f>
        <v/>
      </c>
      <c r="X364" s="9">
        <f>IFERROR(__xludf.DUMMYFUNCTION("B364 * GOOGLEFINANCE(A364, ""volume"")"),2.356529E8)</f>
        <v>235652900</v>
      </c>
      <c r="Y364" s="9">
        <f>IFERROR(__xludf.DUMMYFUNCTION("IFERROR(((B364 - GOOGLEFINANCE(A364, ""priceopen"")) / GOOGLEFINANCE(A364, ""priceopen"")) * GOOGLEFINANCE(A364, ""volume""), 0)"),11987.645852816455)</f>
        <v>11987.64585</v>
      </c>
    </row>
    <row r="365">
      <c r="A365" s="4" t="s">
        <v>2158</v>
      </c>
      <c r="B365" s="7">
        <f>IFERROR(__xludf.DUMMYFUNCTION("GOOGLEFINANCE(A365, ""price"")"),690.0)</f>
        <v>690</v>
      </c>
      <c r="C365" s="7">
        <f>IFERROR(__xludf.DUMMYFUNCTION("GOOGLEFINANCE(A365, ""changepct"")"),-0.76)</f>
        <v>-0.76</v>
      </c>
      <c r="D365" s="9">
        <f>IFERROR(__xludf.DUMMYFUNCTION("GOOGLEFINANCE(A365, ""priceopen"")"),695.25)</f>
        <v>695.25</v>
      </c>
      <c r="E365" s="9">
        <f>IFERROR(__xludf.DUMMYFUNCTION("GOOGLEFINANCE(A365, ""high"")"),702.6)</f>
        <v>702.6</v>
      </c>
      <c r="F365" s="9">
        <f>IFERROR(__xludf.DUMMYFUNCTION("GOOGLEFINANCE(A365, ""low"")"),688.0)</f>
        <v>688</v>
      </c>
      <c r="G365" s="9">
        <f>IFERROR(__xludf.DUMMYFUNCTION("GOOGLEFINANCE(A365, ""price"")"),690.0)</f>
        <v>690</v>
      </c>
      <c r="H365" s="9">
        <f>IFERROR(__xludf.DUMMYFUNCTION("MAX(INDEX(GOOGLEFINANCE(A365, ""high"", TODAY()-30, TODAY()), 0, 2))"),770.95)</f>
        <v>770.95</v>
      </c>
      <c r="I365" s="9">
        <f>IFERROR(__xludf.DUMMYFUNCTION("MIN(INDEX(GOOGLEFINANCE(A365, ""low"", TODAY()-30, TODAY()), 0, 2))"),685.2)</f>
        <v>685.2</v>
      </c>
      <c r="J365" s="9">
        <f>IFERROR(__xludf.DUMMYFUNCTION("GOOGLEFINANCE(A365, ""high52"")"),1122.0)</f>
        <v>1122</v>
      </c>
      <c r="K365" s="9">
        <f>IFERROR(__xludf.DUMMYFUNCTION("GOOGLEFINANCE(A365, ""low52"")"),613.0)</f>
        <v>613</v>
      </c>
      <c r="L365" s="9">
        <f t="shared" si="1"/>
        <v>0.385026738</v>
      </c>
      <c r="M365" s="9">
        <f t="shared" si="2"/>
        <v>0.1256117455</v>
      </c>
      <c r="N365" s="9">
        <f t="shared" si="3"/>
        <v>0.02122093023</v>
      </c>
      <c r="O365" s="9">
        <f t="shared" si="4"/>
        <v>0.05597667638</v>
      </c>
      <c r="P365" s="9">
        <f>IFERROR(__xludf.DUMMYFUNCTION("GOOGLEFINANCE(A365, ""pe"")"),24.49)</f>
        <v>24.49</v>
      </c>
      <c r="Q365" s="9">
        <f>IFERROR(__xludf.DUMMYFUNCTION("IFERROR(GOOGLEFINANCE(A365, ""volume"") / GOOGLEFINANCE(A365, ""volumeavg""), 0)"),0.0)</f>
        <v>0</v>
      </c>
      <c r="R365" s="9">
        <f>IFERROR(__xludf.DUMMYFUNCTION("AVERAGE(INDEX(GOOGLEFINANCE(A365, ""price"", TODAY()-30, TODAY()), 0, 2))"),722.0739130434783)</f>
        <v>722.073913</v>
      </c>
      <c r="S365" s="9">
        <f>IFERROR(__xludf.DUMMYFUNCTION("AVERAGE(INDEX(GOOGLEFINANCE(A365, ""price"", TODAY()-75, TODAY()), 0, 2))"),763.5622641509433)</f>
        <v>763.5622642</v>
      </c>
      <c r="T365" s="9">
        <f>IFERROR(__xludf.DUMMYFUNCTION("AVERAGE(INDEX(GOOGLEFINANCE(A365, ""price"", TODAY()-300, TODAY()), 0, 2))"),798.6804455445542)</f>
        <v>798.6804455</v>
      </c>
      <c r="U365" s="9">
        <f t="shared" si="5"/>
        <v>-0.04441915497</v>
      </c>
      <c r="V365" s="15">
        <f>IFERROR(__xludf.DUMMYFUNCTION("LET(hist, GOOGLEFINANCE(A365,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rs))))))"),45.942684766214164)</f>
        <v>45.94268477</v>
      </c>
      <c r="W365" s="16" t="str">
        <f>IFERROR(__xludf.DUMMYFUNCTION("IFERROR(GOOGLEFINANCE(A365, ""volume"") / GOOGLEFINANCE(A365, ""volumeavg""), )"),"")</f>
        <v/>
      </c>
      <c r="X365" s="9">
        <f>IFERROR(__xludf.DUMMYFUNCTION("B365 * GOOGLEFINANCE(A365, ""volume"")"),4.240809E8)</f>
        <v>424080900</v>
      </c>
      <c r="Y365" s="9">
        <f>IFERROR(__xludf.DUMMYFUNCTION("IFERROR(((B365 - GOOGLEFINANCE(A365, ""priceopen"")) / GOOGLEFINANCE(A365, ""priceopen"")) * GOOGLEFINANCE(A365, ""volume""), 0)"),-4641.0679611650485)</f>
        <v>-4641.067961</v>
      </c>
    </row>
    <row r="366">
      <c r="A366" s="4" t="s">
        <v>2159</v>
      </c>
      <c r="B366" s="7">
        <f>IFERROR(__xludf.DUMMYFUNCTION("GOOGLEFINANCE(A366, ""price"")"),6879.0)</f>
        <v>6879</v>
      </c>
      <c r="C366" s="7">
        <f>IFERROR(__xludf.DUMMYFUNCTION("GOOGLEFINANCE(A366, ""changepct"")"),0.42)</f>
        <v>0.42</v>
      </c>
      <c r="D366" s="9">
        <f>IFERROR(__xludf.DUMMYFUNCTION("GOOGLEFINANCE(A366, ""priceopen"")"),6851.0)</f>
        <v>6851</v>
      </c>
      <c r="E366" s="9">
        <f>IFERROR(__xludf.DUMMYFUNCTION("GOOGLEFINANCE(A366, ""high"")"),6940.0)</f>
        <v>6940</v>
      </c>
      <c r="F366" s="9">
        <f>IFERROR(__xludf.DUMMYFUNCTION("GOOGLEFINANCE(A366, ""low"")"),6785.0)</f>
        <v>6785</v>
      </c>
      <c r="G366" s="9">
        <f>IFERROR(__xludf.DUMMYFUNCTION("GOOGLEFINANCE(A366, ""price"")"),6879.0)</f>
        <v>6879</v>
      </c>
      <c r="H366" s="9">
        <f>IFERROR(__xludf.DUMMYFUNCTION("MAX(INDEX(GOOGLEFINANCE(A366, ""high"", TODAY()-30, TODAY()), 0, 2))"),7007.0)</f>
        <v>7007</v>
      </c>
      <c r="I366" s="9">
        <f>IFERROR(__xludf.DUMMYFUNCTION("MIN(INDEX(GOOGLEFINANCE(A366, ""low"", TODAY()-30, TODAY()), 0, 2))"),5992.0)</f>
        <v>5992</v>
      </c>
      <c r="J366" s="9">
        <f>IFERROR(__xludf.DUMMYFUNCTION("GOOGLEFINANCE(A366, ""high52"")"),7180.0)</f>
        <v>7180</v>
      </c>
      <c r="K366" s="9">
        <f>IFERROR(__xludf.DUMMYFUNCTION("GOOGLEFINANCE(A366, ""low52"")"),5560.5)</f>
        <v>5560.5</v>
      </c>
      <c r="L366" s="9">
        <f t="shared" si="1"/>
        <v>0.04192200557</v>
      </c>
      <c r="M366" s="9">
        <f t="shared" si="2"/>
        <v>0.2371189641</v>
      </c>
      <c r="N366" s="9">
        <f t="shared" si="3"/>
        <v>0.02284450995</v>
      </c>
      <c r="O366" s="9">
        <f t="shared" si="4"/>
        <v>0.8738916256</v>
      </c>
      <c r="P366" s="9">
        <f>IFERROR(__xludf.DUMMYFUNCTION("GOOGLEFINANCE(A366, ""pe"")"),25.46)</f>
        <v>25.46</v>
      </c>
      <c r="Q366" s="9">
        <f>IFERROR(__xludf.DUMMYFUNCTION("IFERROR(GOOGLEFINANCE(A366, ""volume"") / GOOGLEFINANCE(A366, ""volumeavg""), 0)"),0.0)</f>
        <v>0</v>
      </c>
      <c r="R366" s="9">
        <f>IFERROR(__xludf.DUMMYFUNCTION("AVERAGE(INDEX(GOOGLEFINANCE(A366, ""price"", TODAY()-30, TODAY()), 0, 2))"),6520.891304347826)</f>
        <v>6520.891304</v>
      </c>
      <c r="S366" s="9">
        <f>IFERROR(__xludf.DUMMYFUNCTION("AVERAGE(INDEX(GOOGLEFINANCE(A366, ""price"", TODAY()-75, TODAY()), 0, 2))"),6534.367924528302)</f>
        <v>6534.367925</v>
      </c>
      <c r="T366" s="9">
        <f>IFERROR(__xludf.DUMMYFUNCTION("AVERAGE(INDEX(GOOGLEFINANCE(A366, ""price"", TODAY()-300, TODAY()), 0, 2))"),6339.702970297029)</f>
        <v>6339.70297</v>
      </c>
      <c r="U366" s="9">
        <f t="shared" si="5"/>
        <v>0.05491713923</v>
      </c>
      <c r="V366" s="15">
        <f>IFERROR(__xludf.DUMMYFUNCTION("LET(hist, GOOGLEFINANCE(A366,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rs))))))"),81.12058465286236)</f>
        <v>81.12058465</v>
      </c>
      <c r="W366" s="16" t="str">
        <f>IFERROR(__xludf.DUMMYFUNCTION("IFERROR(GOOGLEFINANCE(A366, ""volume"") / GOOGLEFINANCE(A366, ""volumeavg""), )"),"")</f>
        <v/>
      </c>
      <c r="X366" s="9">
        <f>IFERROR(__xludf.DUMMYFUNCTION("B366 * GOOGLEFINANCE(A366, ""volume"")"),3.73144476E8)</f>
        <v>373144476</v>
      </c>
      <c r="Y366" s="9">
        <f>IFERROR(__xludf.DUMMYFUNCTION("IFERROR(((B366 - GOOGLEFINANCE(A366, ""priceopen"")) / GOOGLEFINANCE(A366, ""priceopen"")) * GOOGLEFINANCE(A366, ""volume""), 0)"),221.6949350459787)</f>
        <v>221.694935</v>
      </c>
    </row>
    <row r="367">
      <c r="A367" s="4" t="s">
        <v>2160</v>
      </c>
      <c r="B367" s="7">
        <f>IFERROR(__xludf.DUMMYFUNCTION("GOOGLEFINANCE(A367, ""price"")"),775.85)</f>
        <v>775.85</v>
      </c>
      <c r="C367" s="7">
        <f>IFERROR(__xludf.DUMMYFUNCTION("GOOGLEFINANCE(A367, ""changepct"")"),-1.54)</f>
        <v>-1.54</v>
      </c>
      <c r="D367" s="9">
        <f>IFERROR(__xludf.DUMMYFUNCTION("GOOGLEFINANCE(A367, ""priceopen"")"),787.0)</f>
        <v>787</v>
      </c>
      <c r="E367" s="9">
        <f>IFERROR(__xludf.DUMMYFUNCTION("GOOGLEFINANCE(A367, ""high"")"),788.5)</f>
        <v>788.5</v>
      </c>
      <c r="F367" s="9">
        <f>IFERROR(__xludf.DUMMYFUNCTION("GOOGLEFINANCE(A367, ""low"")"),771.0)</f>
        <v>771</v>
      </c>
      <c r="G367" s="9">
        <f>IFERROR(__xludf.DUMMYFUNCTION("GOOGLEFINANCE(A367, ""price"")"),775.85)</f>
        <v>775.85</v>
      </c>
      <c r="H367" s="9">
        <f>IFERROR(__xludf.DUMMYFUNCTION("MAX(INDEX(GOOGLEFINANCE(A367, ""high"", TODAY()-30, TODAY()), 0, 2))"),830.5)</f>
        <v>830.5</v>
      </c>
      <c r="I367" s="9">
        <f>IFERROR(__xludf.DUMMYFUNCTION("MIN(INDEX(GOOGLEFINANCE(A367, ""low"", TODAY()-30, TODAY()), 0, 2))"),739.0)</f>
        <v>739</v>
      </c>
      <c r="J367" s="9">
        <f>IFERROR(__xludf.DUMMYFUNCTION("GOOGLEFINANCE(A367, ""high52"")"),844.9)</f>
        <v>844.9</v>
      </c>
      <c r="K367" s="9">
        <f>IFERROR(__xludf.DUMMYFUNCTION("GOOGLEFINANCE(A367, ""low52"")"),611.4)</f>
        <v>611.4</v>
      </c>
      <c r="L367" s="9">
        <f t="shared" si="1"/>
        <v>0.08172564801</v>
      </c>
      <c r="M367" s="9">
        <f t="shared" si="2"/>
        <v>0.2689728492</v>
      </c>
      <c r="N367" s="9">
        <f t="shared" si="3"/>
        <v>0.02269779507</v>
      </c>
      <c r="O367" s="9">
        <f t="shared" si="4"/>
        <v>0.4027322404</v>
      </c>
      <c r="P367" s="9">
        <f>IFERROR(__xludf.DUMMYFUNCTION("GOOGLEFINANCE(A367, ""pe"")"),39.03)</f>
        <v>39.03</v>
      </c>
      <c r="Q367" s="9">
        <f>IFERROR(__xludf.DUMMYFUNCTION("IFERROR(GOOGLEFINANCE(A367, ""volume"") / GOOGLEFINANCE(A367, ""volumeavg""), 0)"),0.0)</f>
        <v>0</v>
      </c>
      <c r="R367" s="9">
        <f>IFERROR(__xludf.DUMMYFUNCTION("AVERAGE(INDEX(GOOGLEFINANCE(A367, ""price"", TODAY()-30, TODAY()), 0, 2))"),781.3391304347825)</f>
        <v>781.3391304</v>
      </c>
      <c r="S367" s="9">
        <f>IFERROR(__xludf.DUMMYFUNCTION("AVERAGE(INDEX(GOOGLEFINANCE(A367, ""price"", TODAY()-75, TODAY()), 0, 2))"),781.1839622641508)</f>
        <v>781.1839623</v>
      </c>
      <c r="T367" s="9">
        <f>IFERROR(__xludf.DUMMYFUNCTION("AVERAGE(INDEX(GOOGLEFINANCE(A367, ""price"", TODAY()-300, TODAY()), 0, 2))"),748.614306930693)</f>
        <v>748.6143069</v>
      </c>
      <c r="U367" s="9">
        <f t="shared" si="5"/>
        <v>-0.007025285463</v>
      </c>
      <c r="V367" s="15">
        <f>IFERROR(__xludf.DUMMYFUNCTION("LET(hist, GOOGLEFINANCE(A367,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rs))))))"),58.14642403724079)</f>
        <v>58.14642404</v>
      </c>
      <c r="W367" s="16" t="str">
        <f>IFERROR(__xludf.DUMMYFUNCTION("IFERROR(GOOGLEFINANCE(A367, ""volume"") / GOOGLEFINANCE(A367, ""volumeavg""), )"),"")</f>
        <v/>
      </c>
      <c r="X367" s="9">
        <f>IFERROR(__xludf.DUMMYFUNCTION("B367 * GOOGLEFINANCE(A367, ""volume"")"),8.97379144E8)</f>
        <v>897379144</v>
      </c>
      <c r="Y367" s="9">
        <f>IFERROR(__xludf.DUMMYFUNCTION("IFERROR(((B367 - GOOGLEFINANCE(A367, ""priceopen"")) / GOOGLEFINANCE(A367, ""priceopen"")) * GOOGLEFINANCE(A367, ""volume""), 0)"),-16386.95806861496)</f>
        <v>-16386.95807</v>
      </c>
    </row>
    <row r="368">
      <c r="A368" s="4" t="s">
        <v>2161</v>
      </c>
      <c r="B368" s="7">
        <f>IFERROR(__xludf.DUMMYFUNCTION("GOOGLEFINANCE(A368, ""price"")"),950.0)</f>
        <v>950</v>
      </c>
      <c r="C368" s="7">
        <f>IFERROR(__xludf.DUMMYFUNCTION("GOOGLEFINANCE(A368, ""changepct"")"),0.8)</f>
        <v>0.8</v>
      </c>
      <c r="D368" s="9">
        <f>IFERROR(__xludf.DUMMYFUNCTION("GOOGLEFINANCE(A368, ""priceopen"")"),949.3)</f>
        <v>949.3</v>
      </c>
      <c r="E368" s="9">
        <f>IFERROR(__xludf.DUMMYFUNCTION("GOOGLEFINANCE(A368, ""high"")"),955.0)</f>
        <v>955</v>
      </c>
      <c r="F368" s="9">
        <f>IFERROR(__xludf.DUMMYFUNCTION("GOOGLEFINANCE(A368, ""low"")"),940.0)</f>
        <v>940</v>
      </c>
      <c r="G368" s="9">
        <f>IFERROR(__xludf.DUMMYFUNCTION("GOOGLEFINANCE(A368, ""price"")"),950.0)</f>
        <v>950</v>
      </c>
      <c r="H368" s="9">
        <f>IFERROR(__xludf.DUMMYFUNCTION("MAX(INDEX(GOOGLEFINANCE(A368, ""high"", TODAY()-30, TODAY()), 0, 2))"),957.05)</f>
        <v>957.05</v>
      </c>
      <c r="I368" s="9">
        <f>IFERROR(__xludf.DUMMYFUNCTION("MIN(INDEX(GOOGLEFINANCE(A368, ""low"", TODAY()-30, TODAY()), 0, 2))"),864.5)</f>
        <v>864.5</v>
      </c>
      <c r="J368" s="9">
        <f>IFERROR(__xludf.DUMMYFUNCTION("GOOGLEFINANCE(A368, ""high52"")"),1179.0)</f>
        <v>1179</v>
      </c>
      <c r="K368" s="9">
        <f>IFERROR(__xludf.DUMMYFUNCTION("GOOGLEFINANCE(A368, ""low52"")"),855.3)</f>
        <v>855.3</v>
      </c>
      <c r="L368" s="9">
        <f t="shared" si="1"/>
        <v>0.1942324003</v>
      </c>
      <c r="M368" s="9">
        <f t="shared" si="2"/>
        <v>0.1107213843</v>
      </c>
      <c r="N368" s="9">
        <f t="shared" si="3"/>
        <v>0.01595744681</v>
      </c>
      <c r="O368" s="9">
        <f t="shared" si="4"/>
        <v>0.9238249595</v>
      </c>
      <c r="P368" s="9">
        <f>IFERROR(__xludf.DUMMYFUNCTION("GOOGLEFINANCE(A368, ""pe"")"),59.67)</f>
        <v>59.67</v>
      </c>
      <c r="Q368" s="9">
        <f>IFERROR(__xludf.DUMMYFUNCTION("IFERROR(GOOGLEFINANCE(A368, ""volume"") / GOOGLEFINANCE(A368, ""volumeavg""), 0)"),0.0)</f>
        <v>0</v>
      </c>
      <c r="R368" s="9">
        <f>IFERROR(__xludf.DUMMYFUNCTION("AVERAGE(INDEX(GOOGLEFINANCE(A368, ""price"", TODAY()-30, TODAY()), 0, 2))"),910.0282608695651)</f>
        <v>910.0282609</v>
      </c>
      <c r="S368" s="9">
        <f>IFERROR(__xludf.DUMMYFUNCTION("AVERAGE(INDEX(GOOGLEFINANCE(A368, ""price"", TODAY()-75, TODAY()), 0, 2))"),910.3773584905662)</f>
        <v>910.3773585</v>
      </c>
      <c r="T368" s="9">
        <f>IFERROR(__xludf.DUMMYFUNCTION("AVERAGE(INDEX(GOOGLEFINANCE(A368, ""price"", TODAY()-300, TODAY()), 0, 2))"),949.5037128712871)</f>
        <v>949.5037129</v>
      </c>
      <c r="U368" s="9">
        <f t="shared" si="5"/>
        <v>0.04392362397</v>
      </c>
      <c r="V368" s="15">
        <f>IFERROR(__xludf.DUMMYFUNCTION("LET(hist, GOOGLEFINANCE(A368,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rs))))))"),75.54869684499312)</f>
        <v>75.54869684</v>
      </c>
      <c r="W368" s="16" t="str">
        <f>IFERROR(__xludf.DUMMYFUNCTION("IFERROR(GOOGLEFINANCE(A368, ""volume"") / GOOGLEFINANCE(A368, ""volumeavg""), )"),"")</f>
        <v/>
      </c>
      <c r="X368" s="9">
        <f>IFERROR(__xludf.DUMMYFUNCTION("B368 * GOOGLEFINANCE(A368, ""volume"")"),5.48872E7)</f>
        <v>54887200</v>
      </c>
      <c r="Y368" s="9">
        <f>IFERROR(__xludf.DUMMYFUNCTION("IFERROR(((B368 - GOOGLEFINANCE(A368, ""priceopen"")) / GOOGLEFINANCE(A368, ""priceopen"")) * GOOGLEFINANCE(A368, ""volume""), 0)"),42.6031812914807)</f>
        <v>42.60318129</v>
      </c>
    </row>
    <row r="369">
      <c r="A369" s="4" t="s">
        <v>2162</v>
      </c>
      <c r="B369" s="7">
        <f>IFERROR(__xludf.DUMMYFUNCTION("GOOGLEFINANCE(A369, ""price"")"),1452.5)</f>
        <v>1452.5</v>
      </c>
      <c r="C369" s="7">
        <f>IFERROR(__xludf.DUMMYFUNCTION("GOOGLEFINANCE(A369, ""changepct"")"),-3.04)</f>
        <v>-3.04</v>
      </c>
      <c r="D369" s="9">
        <f>IFERROR(__xludf.DUMMYFUNCTION("GOOGLEFINANCE(A369, ""priceopen"")"),1503.0)</f>
        <v>1503</v>
      </c>
      <c r="E369" s="9">
        <f>IFERROR(__xludf.DUMMYFUNCTION("GOOGLEFINANCE(A369, ""high"")"),1504.0)</f>
        <v>1504</v>
      </c>
      <c r="F369" s="9">
        <f>IFERROR(__xludf.DUMMYFUNCTION("GOOGLEFINANCE(A369, ""low"")"),1450.6)</f>
        <v>1450.6</v>
      </c>
      <c r="G369" s="9">
        <f>IFERROR(__xludf.DUMMYFUNCTION("GOOGLEFINANCE(A369, ""price"")"),1452.5)</f>
        <v>1452.5</v>
      </c>
      <c r="H369" s="9">
        <f>IFERROR(__xludf.DUMMYFUNCTION("MAX(INDEX(GOOGLEFINANCE(A369, ""high"", TODAY()-30, TODAY()), 0, 2))"),1681.0)</f>
        <v>1681</v>
      </c>
      <c r="I369" s="9">
        <f>IFERROR(__xludf.DUMMYFUNCTION("MIN(INDEX(GOOGLEFINANCE(A369, ""low"", TODAY()-30, TODAY()), 0, 2))"),1450.6)</f>
        <v>1450.6</v>
      </c>
      <c r="J369" s="9">
        <f>IFERROR(__xludf.DUMMYFUNCTION("GOOGLEFINANCE(A369, ""high52"")"),1681.0)</f>
        <v>1681</v>
      </c>
      <c r="K369" s="9">
        <f>IFERROR(__xludf.DUMMYFUNCTION("GOOGLEFINANCE(A369, ""low52"")"),866.4)</f>
        <v>866.4</v>
      </c>
      <c r="L369" s="9">
        <f t="shared" si="1"/>
        <v>0.1359309935</v>
      </c>
      <c r="M369" s="9">
        <f t="shared" si="2"/>
        <v>0.6764773777</v>
      </c>
      <c r="N369" s="9">
        <f t="shared" si="3"/>
        <v>0.03681235351</v>
      </c>
      <c r="O369" s="9">
        <f t="shared" si="4"/>
        <v>0.008246527778</v>
      </c>
      <c r="P369" s="9">
        <f>IFERROR(__xludf.DUMMYFUNCTION("GOOGLEFINANCE(A369, ""pe"")"),18.63)</f>
        <v>18.63</v>
      </c>
      <c r="Q369" s="9">
        <f>IFERROR(__xludf.DUMMYFUNCTION("IFERROR(GOOGLEFINANCE(A369, ""volume"") / GOOGLEFINANCE(A369, ""volumeavg""), 0)"),0.0)</f>
        <v>0</v>
      </c>
      <c r="R369" s="9">
        <f>IFERROR(__xludf.DUMMYFUNCTION("AVERAGE(INDEX(GOOGLEFINANCE(A369, ""price"", TODAY()-30, TODAY()), 0, 2))"),1569.882608695652)</f>
        <v>1569.882609</v>
      </c>
      <c r="S369" s="9">
        <f>IFERROR(__xludf.DUMMYFUNCTION("AVERAGE(INDEX(GOOGLEFINANCE(A369, ""price"", TODAY()-75, TODAY()), 0, 2))"),1546.062264150943)</f>
        <v>1546.062264</v>
      </c>
      <c r="T369" s="9">
        <f>IFERROR(__xludf.DUMMYFUNCTION("AVERAGE(INDEX(GOOGLEFINANCE(A369, ""price"", TODAY()-300, TODAY()), 0, 2))"),1296.0188118811877)</f>
        <v>1296.018812</v>
      </c>
      <c r="U369" s="9">
        <f t="shared" si="5"/>
        <v>-0.07477158359</v>
      </c>
      <c r="V369" s="15">
        <f>IFERROR(__xludf.DUMMYFUNCTION("LET(hist, GOOGLEFINANCE(A369,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rs))))))"),34.67027559055117)</f>
        <v>34.67027559</v>
      </c>
      <c r="W369" s="16" t="str">
        <f>IFERROR(__xludf.DUMMYFUNCTION("IFERROR(GOOGLEFINANCE(A369, ""volume"") / GOOGLEFINANCE(A369, ""volumeavg""), )"),"")</f>
        <v/>
      </c>
      <c r="X369" s="9">
        <f>IFERROR(__xludf.DUMMYFUNCTION("B369 * GOOGLEFINANCE(A369, ""volume"")"),4.836171375E8)</f>
        <v>483617137.5</v>
      </c>
      <c r="Y369" s="9">
        <f>IFERROR(__xludf.DUMMYFUNCTION("IFERROR(((B369 - GOOGLEFINANCE(A369, ""priceopen"")) / GOOGLEFINANCE(A369, ""priceopen"")) * GOOGLEFINANCE(A369, ""volume""), 0)"),-11187.110778443113)</f>
        <v>-11187.11078</v>
      </c>
    </row>
    <row r="370">
      <c r="A370" s="4" t="s">
        <v>2163</v>
      </c>
      <c r="B370" s="7">
        <f>IFERROR(__xludf.DUMMYFUNCTION("GOOGLEFINANCE(A370, ""price"")"),368.0)</f>
        <v>368</v>
      </c>
      <c r="C370" s="7">
        <f>IFERROR(__xludf.DUMMYFUNCTION("GOOGLEFINANCE(A370, ""changepct"")"),1.66)</f>
        <v>1.66</v>
      </c>
      <c r="D370" s="9">
        <f>IFERROR(__xludf.DUMMYFUNCTION("GOOGLEFINANCE(A370, ""priceopen"")"),367.0)</f>
        <v>367</v>
      </c>
      <c r="E370" s="9">
        <f>IFERROR(__xludf.DUMMYFUNCTION("GOOGLEFINANCE(A370, ""high"")"),379.0)</f>
        <v>379</v>
      </c>
      <c r="F370" s="9">
        <f>IFERROR(__xludf.DUMMYFUNCTION("GOOGLEFINANCE(A370, ""low"")"),362.0)</f>
        <v>362</v>
      </c>
      <c r="G370" s="9">
        <f>IFERROR(__xludf.DUMMYFUNCTION("GOOGLEFINANCE(A370, ""price"")"),368.0)</f>
        <v>368</v>
      </c>
      <c r="H370" s="9">
        <f>IFERROR(__xludf.DUMMYFUNCTION("MAX(INDEX(GOOGLEFINANCE(A370, ""high"", TODAY()-30, TODAY()), 0, 2))"),379.0)</f>
        <v>379</v>
      </c>
      <c r="I370" s="9">
        <f>IFERROR(__xludf.DUMMYFUNCTION("MIN(INDEX(GOOGLEFINANCE(A370, ""low"", TODAY()-30, TODAY()), 0, 2))"),216.8)</f>
        <v>216.8</v>
      </c>
      <c r="J370" s="9">
        <f>IFERROR(__xludf.DUMMYFUNCTION("GOOGLEFINANCE(A370, ""high52"")"),379.0)</f>
        <v>379</v>
      </c>
      <c r="K370" s="9">
        <f>IFERROR(__xludf.DUMMYFUNCTION("GOOGLEFINANCE(A370, ""low52"")"),115.57)</f>
        <v>115.57</v>
      </c>
      <c r="L370" s="9">
        <f t="shared" si="1"/>
        <v>0.0290237467</v>
      </c>
      <c r="M370" s="9">
        <f t="shared" si="2"/>
        <v>2.184217357</v>
      </c>
      <c r="N370" s="9">
        <f t="shared" si="3"/>
        <v>0.04696132597</v>
      </c>
      <c r="O370" s="9">
        <f t="shared" si="4"/>
        <v>0.9321824908</v>
      </c>
      <c r="P370" s="9">
        <f>IFERROR(__xludf.DUMMYFUNCTION("GOOGLEFINANCE(A370, ""pe"")"),122.67)</f>
        <v>122.67</v>
      </c>
      <c r="Q370" s="9">
        <f>IFERROR(__xludf.DUMMYFUNCTION("IFERROR(GOOGLEFINANCE(A370, ""volume"") / GOOGLEFINANCE(A370, ""volumeavg""), 0)"),0.0)</f>
        <v>0</v>
      </c>
      <c r="R370" s="9">
        <f>IFERROR(__xludf.DUMMYFUNCTION("AVERAGE(INDEX(GOOGLEFINANCE(A370, ""price"", TODAY()-30, TODAY()), 0, 2))"),298.7547826086956)</f>
        <v>298.7547826</v>
      </c>
      <c r="S370" s="9">
        <f>IFERROR(__xludf.DUMMYFUNCTION("AVERAGE(INDEX(GOOGLEFINANCE(A370, ""price"", TODAY()-75, TODAY()), 0, 2))"),246.39962264150944)</f>
        <v>246.3996226</v>
      </c>
      <c r="T370" s="9">
        <f>IFERROR(__xludf.DUMMYFUNCTION("AVERAGE(INDEX(GOOGLEFINANCE(A370, ""price"", TODAY()-300, TODAY()), 0, 2))"),171.4579702970298)</f>
        <v>171.4579703</v>
      </c>
      <c r="U370" s="9">
        <f t="shared" si="5"/>
        <v>0.231779444</v>
      </c>
      <c r="V370" s="15">
        <f>IFERROR(__xludf.DUMMYFUNCTION("LET(hist, GOOGLEFINANCE(A370,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rs))))))"),82.82362798491829)</f>
        <v>82.82362798</v>
      </c>
      <c r="W370" s="16" t="str">
        <f>IFERROR(__xludf.DUMMYFUNCTION("IFERROR(GOOGLEFINANCE(A370, ""volume"") / GOOGLEFINANCE(A370, ""volumeavg""), )"),"")</f>
        <v/>
      </c>
      <c r="X370" s="9">
        <f>IFERROR(__xludf.DUMMYFUNCTION("B370 * GOOGLEFINANCE(A370, ""volume"")"),4.988424E8)</f>
        <v>498842400</v>
      </c>
      <c r="Y370" s="9">
        <f>IFERROR(__xludf.DUMMYFUNCTION("IFERROR(((B370 - GOOGLEFINANCE(A370, ""priceopen"")) / GOOGLEFINANCE(A370, ""priceopen"")) * GOOGLEFINANCE(A370, ""volume""), 0)"),3693.5967302452314)</f>
        <v>3693.59673</v>
      </c>
    </row>
    <row r="371">
      <c r="A371" s="4" t="s">
        <v>2164</v>
      </c>
      <c r="B371" s="7">
        <f>IFERROR(__xludf.DUMMYFUNCTION("GOOGLEFINANCE(A371, ""price"")"),4460.5)</f>
        <v>4460.5</v>
      </c>
      <c r="C371" s="7">
        <f>IFERROR(__xludf.DUMMYFUNCTION("GOOGLEFINANCE(A371, ""changepct"")"),0.94)</f>
        <v>0.94</v>
      </c>
      <c r="D371" s="9">
        <f>IFERROR(__xludf.DUMMYFUNCTION("GOOGLEFINANCE(A371, ""priceopen"")"),4419.1)</f>
        <v>4419.1</v>
      </c>
      <c r="E371" s="9">
        <f>IFERROR(__xludf.DUMMYFUNCTION("GOOGLEFINANCE(A371, ""high"")"),4588.0)</f>
        <v>4588</v>
      </c>
      <c r="F371" s="9">
        <f>IFERROR(__xludf.DUMMYFUNCTION("GOOGLEFINANCE(A371, ""low"")"),4400.0)</f>
        <v>4400</v>
      </c>
      <c r="G371" s="9">
        <f>IFERROR(__xludf.DUMMYFUNCTION("GOOGLEFINANCE(A371, ""price"")"),4460.5)</f>
        <v>4460.5</v>
      </c>
      <c r="H371" s="9">
        <f>IFERROR(__xludf.DUMMYFUNCTION("MAX(INDEX(GOOGLEFINANCE(A371, ""high"", TODAY()-30, TODAY()), 0, 2))"),4588.0)</f>
        <v>4588</v>
      </c>
      <c r="I371" s="9">
        <f>IFERROR(__xludf.DUMMYFUNCTION("MIN(INDEX(GOOGLEFINANCE(A371, ""low"", TODAY()-30, TODAY()), 0, 2))"),4090.0)</f>
        <v>4090</v>
      </c>
      <c r="J371" s="9">
        <f>IFERROR(__xludf.DUMMYFUNCTION("GOOGLEFINANCE(A371, ""high52"")"),4588.0)</f>
        <v>4588</v>
      </c>
      <c r="K371" s="9">
        <f>IFERROR(__xludf.DUMMYFUNCTION("GOOGLEFINANCE(A371, ""low52"")"),2391.3)</f>
        <v>2391.3</v>
      </c>
      <c r="L371" s="9">
        <f t="shared" si="1"/>
        <v>0.02778988666</v>
      </c>
      <c r="M371" s="9">
        <f t="shared" si="2"/>
        <v>0.8653033915</v>
      </c>
      <c r="N371" s="9">
        <f t="shared" si="3"/>
        <v>0.04272727273</v>
      </c>
      <c r="O371" s="9">
        <f t="shared" si="4"/>
        <v>0.7439759036</v>
      </c>
      <c r="P371" s="9">
        <f>IFERROR(__xludf.DUMMYFUNCTION("GOOGLEFINANCE(A371, ""pe"")"),34.88)</f>
        <v>34.88</v>
      </c>
      <c r="Q371" s="9">
        <f>IFERROR(__xludf.DUMMYFUNCTION("IFERROR(GOOGLEFINANCE(A371, ""volume"") / GOOGLEFINANCE(A371, ""volumeavg""), 0)"),0.0)</f>
        <v>0</v>
      </c>
      <c r="R371" s="9">
        <f>IFERROR(__xludf.DUMMYFUNCTION("AVERAGE(INDEX(GOOGLEFINANCE(A371, ""price"", TODAY()-30, TODAY()), 0, 2))"),4322.3)</f>
        <v>4322.3</v>
      </c>
      <c r="S371" s="9">
        <f>IFERROR(__xludf.DUMMYFUNCTION("AVERAGE(INDEX(GOOGLEFINANCE(A371, ""price"", TODAY()-75, TODAY()), 0, 2))"),4025.1905660377356)</f>
        <v>4025.190566</v>
      </c>
      <c r="T371" s="9">
        <f>IFERROR(__xludf.DUMMYFUNCTION("AVERAGE(INDEX(GOOGLEFINANCE(A371, ""price"", TODAY()-300, TODAY()), 0, 2))"),3302.9420792079222)</f>
        <v>3302.942079</v>
      </c>
      <c r="U371" s="9">
        <f t="shared" si="5"/>
        <v>0.0319737177</v>
      </c>
      <c r="V371" s="15">
        <f>IFERROR(__xludf.DUMMYFUNCTION("LET(hist, GOOGLEFINANCE(A371,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rs))))))"),61.02085620197585)</f>
        <v>61.0208562</v>
      </c>
      <c r="W371" s="16" t="str">
        <f>IFERROR(__xludf.DUMMYFUNCTION("IFERROR(GOOGLEFINANCE(A371, ""volume"") / GOOGLEFINANCE(A371, ""volumeavg""), )"),"")</f>
        <v/>
      </c>
      <c r="X371" s="9">
        <f>IFERROR(__xludf.DUMMYFUNCTION("B371 * GOOGLEFINANCE(A371, ""volume"")"),3.69052849E8)</f>
        <v>369052849</v>
      </c>
      <c r="Y371" s="9">
        <f>IFERROR(__xludf.DUMMYFUNCTION("IFERROR(((B371 - GOOGLEFINANCE(A371, ""priceopen"")) / GOOGLEFINANCE(A371, ""priceopen"")) * GOOGLEFINANCE(A371, ""volume""), 0)"),775.1246181349075)</f>
        <v>775.1246181</v>
      </c>
    </row>
    <row r="372">
      <c r="A372" s="4" t="s">
        <v>2165</v>
      </c>
      <c r="B372" s="7">
        <f>IFERROR(__xludf.DUMMYFUNCTION("GOOGLEFINANCE(A372, ""price"")"),1280.5)</f>
        <v>1280.5</v>
      </c>
      <c r="C372" s="7">
        <f>IFERROR(__xludf.DUMMYFUNCTION("GOOGLEFINANCE(A372, ""changepct"")"),-0.94)</f>
        <v>-0.94</v>
      </c>
      <c r="D372" s="9">
        <f>IFERROR(__xludf.DUMMYFUNCTION("GOOGLEFINANCE(A372, ""priceopen"")"),1292.0)</f>
        <v>1292</v>
      </c>
      <c r="E372" s="9">
        <f>IFERROR(__xludf.DUMMYFUNCTION("GOOGLEFINANCE(A372, ""high"")"),1297.7)</f>
        <v>1297.7</v>
      </c>
      <c r="F372" s="9">
        <f>IFERROR(__xludf.DUMMYFUNCTION("GOOGLEFINANCE(A372, ""low"")"),1276.3)</f>
        <v>1276.3</v>
      </c>
      <c r="G372" s="9">
        <f>IFERROR(__xludf.DUMMYFUNCTION("GOOGLEFINANCE(A372, ""price"")"),1280.5)</f>
        <v>1280.5</v>
      </c>
      <c r="H372" s="9">
        <f>IFERROR(__xludf.DUMMYFUNCTION("MAX(INDEX(GOOGLEFINANCE(A372, ""high"", TODAY()-30, TODAY()), 0, 2))"),1598.9)</f>
        <v>1598.9</v>
      </c>
      <c r="I372" s="9">
        <f>IFERROR(__xludf.DUMMYFUNCTION("MIN(INDEX(GOOGLEFINANCE(A372, ""low"", TODAY()-30, TODAY()), 0, 2))"),1276.3)</f>
        <v>1276.3</v>
      </c>
      <c r="J372" s="9">
        <f>IFERROR(__xludf.DUMMYFUNCTION("GOOGLEFINANCE(A372, ""high52"")"),1798.0)</f>
        <v>1798</v>
      </c>
      <c r="K372" s="9">
        <f>IFERROR(__xludf.DUMMYFUNCTION("GOOGLEFINANCE(A372, ""low52"")"),922.5)</f>
        <v>922.5</v>
      </c>
      <c r="L372" s="9">
        <f t="shared" si="1"/>
        <v>0.2878197998</v>
      </c>
      <c r="M372" s="9">
        <f t="shared" si="2"/>
        <v>0.3880758808</v>
      </c>
      <c r="N372" s="9">
        <f t="shared" si="3"/>
        <v>0.01676721774</v>
      </c>
      <c r="O372" s="9">
        <f t="shared" si="4"/>
        <v>0.01301921885</v>
      </c>
      <c r="P372" s="9">
        <f>IFERROR(__xludf.DUMMYFUNCTION("GOOGLEFINANCE(A372, ""pe"")"),4.89)</f>
        <v>4.89</v>
      </c>
      <c r="Q372" s="9">
        <f>IFERROR(__xludf.DUMMYFUNCTION("IFERROR(GOOGLEFINANCE(A372, ""volume"") / GOOGLEFINANCE(A372, ""volumeavg""), 0)"),0.0)</f>
        <v>0</v>
      </c>
      <c r="R372" s="9">
        <f>IFERROR(__xludf.DUMMYFUNCTION("AVERAGE(INDEX(GOOGLEFINANCE(A372, ""price"", TODAY()-30, TODAY()), 0, 2))"),1380.5652173913045)</f>
        <v>1380.565217</v>
      </c>
      <c r="S372" s="9">
        <f>IFERROR(__xludf.DUMMYFUNCTION("AVERAGE(INDEX(GOOGLEFINANCE(A372, ""price"", TODAY()-75, TODAY()), 0, 2))"),1413.3150943396226)</f>
        <v>1413.315094</v>
      </c>
      <c r="T372" s="9">
        <f>IFERROR(__xludf.DUMMYFUNCTION("AVERAGE(INDEX(GOOGLEFINANCE(A372, ""price"", TODAY()-300, TODAY()), 0, 2))"),1307.0661691542289)</f>
        <v>1307.066169</v>
      </c>
      <c r="U372" s="9">
        <f t="shared" si="5"/>
        <v>-0.07248134035</v>
      </c>
      <c r="V372" s="15">
        <f>IFERROR(__xludf.DUMMYFUNCTION("LET(hist, GOOGLEFINANCE(A372,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rs))))))"),25.77225923682616)</f>
        <v>25.77225924</v>
      </c>
      <c r="W372" s="16" t="str">
        <f>IFERROR(__xludf.DUMMYFUNCTION("IFERROR(GOOGLEFINANCE(A372, ""volume"") / GOOGLEFINANCE(A372, ""volumeavg""), )"),"")</f>
        <v/>
      </c>
      <c r="X372" s="9">
        <f>IFERROR(__xludf.DUMMYFUNCTION("B372 * GOOGLEFINANCE(A372, ""volume"")"),6.6967589E8)</f>
        <v>669675890</v>
      </c>
      <c r="Y372" s="9">
        <f>IFERROR(__xludf.DUMMYFUNCTION("IFERROR(((B372 - GOOGLEFINANCE(A372, ""priceopen"")) / GOOGLEFINANCE(A372, ""priceopen"")) * GOOGLEFINANCE(A372, ""volume""), 0)"),-4655.007739938081)</f>
        <v>-4655.00774</v>
      </c>
    </row>
    <row r="373">
      <c r="A373" s="4" t="s">
        <v>2166</v>
      </c>
      <c r="B373" s="7">
        <f>IFERROR(__xludf.DUMMYFUNCTION("GOOGLEFINANCE(A373, ""price"")"),2460.0)</f>
        <v>2460</v>
      </c>
      <c r="C373" s="7">
        <f>IFERROR(__xludf.DUMMYFUNCTION("GOOGLEFINANCE(A373, ""changepct"")"),-6.45)</f>
        <v>-6.45</v>
      </c>
      <c r="D373" s="9">
        <f>IFERROR(__xludf.DUMMYFUNCTION("GOOGLEFINANCE(A373, ""priceopen"")"),2629.6)</f>
        <v>2629.6</v>
      </c>
      <c r="E373" s="9">
        <f>IFERROR(__xludf.DUMMYFUNCTION("GOOGLEFINANCE(A373, ""high"")"),2672.1)</f>
        <v>2672.1</v>
      </c>
      <c r="F373" s="9">
        <f>IFERROR(__xludf.DUMMYFUNCTION("GOOGLEFINANCE(A373, ""low"")"),2452.0)</f>
        <v>2452</v>
      </c>
      <c r="G373" s="9">
        <f>IFERROR(__xludf.DUMMYFUNCTION("GOOGLEFINANCE(A373, ""price"")"),2460.0)</f>
        <v>2460</v>
      </c>
      <c r="H373" s="9">
        <f>IFERROR(__xludf.DUMMYFUNCTION("MAX(INDEX(GOOGLEFINANCE(A373, ""high"", TODAY()-30, TODAY()), 0, 2))"),2699.0)</f>
        <v>2699</v>
      </c>
      <c r="I373" s="9">
        <f>IFERROR(__xludf.DUMMYFUNCTION("MIN(INDEX(GOOGLEFINANCE(A373, ""low"", TODAY()-30, TODAY()), 0, 2))"),2435.4)</f>
        <v>2435.4</v>
      </c>
      <c r="J373" s="9">
        <f>IFERROR(__xludf.DUMMYFUNCTION("GOOGLEFINANCE(A373, ""high52"")"),2699.0)</f>
        <v>2699</v>
      </c>
      <c r="K373" s="9">
        <f>IFERROR(__xludf.DUMMYFUNCTION("GOOGLEFINANCE(A373, ""low52"")"),1500.3)</f>
        <v>1500.3</v>
      </c>
      <c r="L373" s="9">
        <f t="shared" si="1"/>
        <v>0.0885513153</v>
      </c>
      <c r="M373" s="9">
        <f t="shared" si="2"/>
        <v>0.6396720656</v>
      </c>
      <c r="N373" s="9">
        <f t="shared" si="3"/>
        <v>0.0897634584</v>
      </c>
      <c r="O373" s="9">
        <f t="shared" si="4"/>
        <v>0.093323217</v>
      </c>
      <c r="P373" s="9">
        <f>IFERROR(__xludf.DUMMYFUNCTION("GOOGLEFINANCE(A373, ""pe"")"),29.25)</f>
        <v>29.25</v>
      </c>
      <c r="Q373" s="9">
        <f>IFERROR(__xludf.DUMMYFUNCTION("IFERROR(GOOGLEFINANCE(A373, ""volume"") / GOOGLEFINANCE(A373, ""volumeavg""), 0)"),0.0)</f>
        <v>0</v>
      </c>
      <c r="R373" s="9">
        <f>IFERROR(__xludf.DUMMYFUNCTION("AVERAGE(INDEX(GOOGLEFINANCE(A373, ""price"", TODAY()-30, TODAY()), 0, 2))"),2580.056521739131)</f>
        <v>2580.056522</v>
      </c>
      <c r="S373" s="9">
        <f>IFERROR(__xludf.DUMMYFUNCTION("AVERAGE(INDEX(GOOGLEFINANCE(A373, ""price"", TODAY()-75, TODAY()), 0, 2))"),2462.9320754716987)</f>
        <v>2462.932075</v>
      </c>
      <c r="T373" s="9">
        <f>IFERROR(__xludf.DUMMYFUNCTION("AVERAGE(INDEX(GOOGLEFINANCE(A373, ""price"", TODAY()-300, TODAY()), 0, 2))"),1993.4282178217823)</f>
        <v>1993.428218</v>
      </c>
      <c r="U373" s="9">
        <f t="shared" si="5"/>
        <v>-0.04653251614</v>
      </c>
      <c r="V373" s="15">
        <f>IFERROR(__xludf.DUMMYFUNCTION("LET(hist, GOOGLEFINANCE(A373,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rs))))))"),48.95863889703726)</f>
        <v>48.9586389</v>
      </c>
      <c r="W373" s="16" t="str">
        <f>IFERROR(__xludf.DUMMYFUNCTION("IFERROR(GOOGLEFINANCE(A373, ""volume"") / GOOGLEFINANCE(A373, ""volumeavg""), )"),"")</f>
        <v/>
      </c>
      <c r="X373" s="9">
        <f>IFERROR(__xludf.DUMMYFUNCTION("B373 * GOOGLEFINANCE(A373, ""volume"")"),1.05243966E9)</f>
        <v>1052439660</v>
      </c>
      <c r="Y373" s="9">
        <f>IFERROR(__xludf.DUMMYFUNCTION("IFERROR(((B373 - GOOGLEFINANCE(A373, ""priceopen"")) / GOOGLEFINANCE(A373, ""priceopen"")) * GOOGLEFINANCE(A373, ""volume""), 0)"),-27592.957712199557)</f>
        <v>-27592.95771</v>
      </c>
    </row>
    <row r="374">
      <c r="A374" s="4" t="s">
        <v>2167</v>
      </c>
      <c r="B374" s="7">
        <f>IFERROR(__xludf.DUMMYFUNCTION("GOOGLEFINANCE(A374, ""price"")"),584.0)</f>
        <v>584</v>
      </c>
      <c r="C374" s="7">
        <f>IFERROR(__xludf.DUMMYFUNCTION("GOOGLEFINANCE(A374, ""changepct"")"),-2.72)</f>
        <v>-2.72</v>
      </c>
      <c r="D374" s="9">
        <f>IFERROR(__xludf.DUMMYFUNCTION("GOOGLEFINANCE(A374, ""priceopen"")"),600.0)</f>
        <v>600</v>
      </c>
      <c r="E374" s="9">
        <f>IFERROR(__xludf.DUMMYFUNCTION("GOOGLEFINANCE(A374, ""high"")"),601.45)</f>
        <v>601.45</v>
      </c>
      <c r="F374" s="9">
        <f>IFERROR(__xludf.DUMMYFUNCTION("GOOGLEFINANCE(A374, ""low"")"),581.0)</f>
        <v>581</v>
      </c>
      <c r="G374" s="9">
        <f>IFERROR(__xludf.DUMMYFUNCTION("GOOGLEFINANCE(A374, ""price"")"),584.0)</f>
        <v>584</v>
      </c>
      <c r="H374" s="9">
        <f>IFERROR(__xludf.DUMMYFUNCTION("MAX(INDEX(GOOGLEFINANCE(A374, ""high"", TODAY()-30, TODAY()), 0, 2))"),654.15)</f>
        <v>654.15</v>
      </c>
      <c r="I374" s="9">
        <f>IFERROR(__xludf.DUMMYFUNCTION("MIN(INDEX(GOOGLEFINANCE(A374, ""low"", TODAY()-30, TODAY()), 0, 2))"),581.0)</f>
        <v>581</v>
      </c>
      <c r="J374" s="9">
        <f>IFERROR(__xludf.DUMMYFUNCTION("GOOGLEFINANCE(A374, ""high52"")"),787.6)</f>
        <v>787.6</v>
      </c>
      <c r="K374" s="9">
        <f>IFERROR(__xludf.DUMMYFUNCTION("GOOGLEFINANCE(A374, ""low52"")"),428.35)</f>
        <v>428.35</v>
      </c>
      <c r="L374" s="9">
        <f t="shared" si="1"/>
        <v>0.2585068563</v>
      </c>
      <c r="M374" s="9">
        <f t="shared" si="2"/>
        <v>0.3633710751</v>
      </c>
      <c r="N374" s="9">
        <f t="shared" si="3"/>
        <v>0.0351979346</v>
      </c>
      <c r="O374" s="9">
        <f t="shared" si="4"/>
        <v>0.04101161996</v>
      </c>
      <c r="P374" s="9">
        <f>IFERROR(__xludf.DUMMYFUNCTION("GOOGLEFINANCE(A374, ""pe"")"),53.09)</f>
        <v>53.09</v>
      </c>
      <c r="Q374" s="9">
        <f>IFERROR(__xludf.DUMMYFUNCTION("IFERROR(GOOGLEFINANCE(A374, ""volume"") / GOOGLEFINANCE(A374, ""volumeavg""), 0)"),0.0)</f>
        <v>0</v>
      </c>
      <c r="R374" s="9">
        <f>IFERROR(__xludf.DUMMYFUNCTION("AVERAGE(INDEX(GOOGLEFINANCE(A374, ""price"", TODAY()-30, TODAY()), 0, 2))"),616.9826086956524)</f>
        <v>616.9826087</v>
      </c>
      <c r="S374" s="9">
        <f>IFERROR(__xludf.DUMMYFUNCTION("AVERAGE(INDEX(GOOGLEFINANCE(A374, ""price"", TODAY()-75, TODAY()), 0, 2))"),647.3433962264149)</f>
        <v>647.3433962</v>
      </c>
      <c r="T374" s="9">
        <f>IFERROR(__xludf.DUMMYFUNCTION("AVERAGE(INDEX(GOOGLEFINANCE(A374, ""price"", TODAY()-300, TODAY()), 0, 2))"),556.0024752475248)</f>
        <v>556.0024752</v>
      </c>
      <c r="U374" s="9">
        <f t="shared" si="5"/>
        <v>-0.05345792285</v>
      </c>
      <c r="V374" s="15">
        <f>IFERROR(__xludf.DUMMYFUNCTION("LET(hist, GOOGLEFINANCE(A374,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rs))))))"),42.57328990228013)</f>
        <v>42.5732899</v>
      </c>
      <c r="W374" s="16" t="str">
        <f>IFERROR(__xludf.DUMMYFUNCTION("IFERROR(GOOGLEFINANCE(A374, ""volume"") / GOOGLEFINANCE(A374, ""volumeavg""), )"),"")</f>
        <v/>
      </c>
      <c r="X374" s="9">
        <f>IFERROR(__xludf.DUMMYFUNCTION("B374 * GOOGLEFINANCE(A374, ""volume"")"),3.0708472E8)</f>
        <v>307084720</v>
      </c>
      <c r="Y374" s="9">
        <f>IFERROR(__xludf.DUMMYFUNCTION("IFERROR(((B374 - GOOGLEFINANCE(A374, ""priceopen"")) / GOOGLEFINANCE(A374, ""priceopen"")) * GOOGLEFINANCE(A374, ""volume""), 0)"),-14022.133333333335)</f>
        <v>-14022.13333</v>
      </c>
    </row>
    <row r="375">
      <c r="A375" s="4" t="s">
        <v>2168</v>
      </c>
      <c r="B375" s="7">
        <f>IFERROR(__xludf.DUMMYFUNCTION("GOOGLEFINANCE(A375, ""price"")"),1258.3)</f>
        <v>1258.3</v>
      </c>
      <c r="C375" s="7">
        <f>IFERROR(__xludf.DUMMYFUNCTION("GOOGLEFINANCE(A375, ""changepct"")"),2.67)</f>
        <v>2.67</v>
      </c>
      <c r="D375" s="9">
        <f>IFERROR(__xludf.DUMMYFUNCTION("GOOGLEFINANCE(A375, ""priceopen"")"),1230.0)</f>
        <v>1230</v>
      </c>
      <c r="E375" s="9">
        <f>IFERROR(__xludf.DUMMYFUNCTION("GOOGLEFINANCE(A375, ""high"")"),1259.0)</f>
        <v>1259</v>
      </c>
      <c r="F375" s="9">
        <f>IFERROR(__xludf.DUMMYFUNCTION("GOOGLEFINANCE(A375, ""low"")"),1211.9)</f>
        <v>1211.9</v>
      </c>
      <c r="G375" s="9">
        <f>IFERROR(__xludf.DUMMYFUNCTION("GOOGLEFINANCE(A375, ""price"")"),1258.3)</f>
        <v>1258.3</v>
      </c>
      <c r="H375" s="9">
        <f>IFERROR(__xludf.DUMMYFUNCTION("MAX(INDEX(GOOGLEFINANCE(A375, ""high"", TODAY()-30, TODAY()), 0, 2))"),1271.5)</f>
        <v>1271.5</v>
      </c>
      <c r="I375" s="9">
        <f>IFERROR(__xludf.DUMMYFUNCTION("MIN(INDEX(GOOGLEFINANCE(A375, ""low"", TODAY()-30, TODAY()), 0, 2))"),1158.4)</f>
        <v>1158.4</v>
      </c>
      <c r="J375" s="9">
        <f>IFERROR(__xludf.DUMMYFUNCTION("GOOGLEFINANCE(A375, ""high52"")"),1311.4)</f>
        <v>1311.4</v>
      </c>
      <c r="K375" s="9">
        <f>IFERROR(__xludf.DUMMYFUNCTION("GOOGLEFINANCE(A375, ""low52"")"),869.6)</f>
        <v>869.6</v>
      </c>
      <c r="L375" s="9">
        <f t="shared" si="1"/>
        <v>0.04049107824</v>
      </c>
      <c r="M375" s="9">
        <f t="shared" si="2"/>
        <v>0.4469871205</v>
      </c>
      <c r="N375" s="9">
        <f t="shared" si="3"/>
        <v>0.03886459279</v>
      </c>
      <c r="O375" s="9">
        <f t="shared" si="4"/>
        <v>0.8832891247</v>
      </c>
      <c r="P375" s="9">
        <f>IFERROR(__xludf.DUMMYFUNCTION("GOOGLEFINANCE(A375, ""pe"")"),36.74)</f>
        <v>36.74</v>
      </c>
      <c r="Q375" s="9">
        <f>IFERROR(__xludf.DUMMYFUNCTION("IFERROR(GOOGLEFINANCE(A375, ""volume"") / GOOGLEFINANCE(A375, ""volumeavg""), 0)"),0.0)</f>
        <v>0</v>
      </c>
      <c r="R375" s="9">
        <f>IFERROR(__xludf.DUMMYFUNCTION("AVERAGE(INDEX(GOOGLEFINANCE(A375, ""price"", TODAY()-30, TODAY()), 0, 2))"),1215.108695652174)</f>
        <v>1215.108696</v>
      </c>
      <c r="S375" s="9">
        <f>IFERROR(__xludf.DUMMYFUNCTION("AVERAGE(INDEX(GOOGLEFINANCE(A375, ""price"", TODAY()-75, TODAY()), 0, 2))"),1179.0094339622642)</f>
        <v>1179.009434</v>
      </c>
      <c r="T375" s="9">
        <f>IFERROR(__xludf.DUMMYFUNCTION("AVERAGE(INDEX(GOOGLEFINANCE(A375, ""price"", TODAY()-300, TODAY()), 0, 2))"),1079.4351485148513)</f>
        <v>1079.435149</v>
      </c>
      <c r="U375" s="9">
        <f t="shared" si="5"/>
        <v>0.03554521871</v>
      </c>
      <c r="V375" s="15">
        <f>IFERROR(__xludf.DUMMYFUNCTION("LET(hist, GOOGLEFINANCE(A375,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rs))))))"),60.94552929085304)</f>
        <v>60.94552929</v>
      </c>
      <c r="W375" s="16" t="str">
        <f>IFERROR(__xludf.DUMMYFUNCTION("IFERROR(GOOGLEFINANCE(A375, ""volume"") / GOOGLEFINANCE(A375, ""volumeavg""), )"),"")</f>
        <v/>
      </c>
      <c r="X375" s="9">
        <f>IFERROR(__xludf.DUMMYFUNCTION("B375 * GOOGLEFINANCE(A375, ""volume"")"),6.814474646E8)</f>
        <v>681447464.6</v>
      </c>
      <c r="Y375" s="9">
        <f>IFERROR(__xludf.DUMMYFUNCTION("IFERROR(((B375 - GOOGLEFINANCE(A375, ""priceopen"")) / GOOGLEFINANCE(A375, ""priceopen"")) * GOOGLEFINANCE(A375, ""volume""), 0)"),12460.328943089411)</f>
        <v>12460.32894</v>
      </c>
    </row>
    <row r="376">
      <c r="A376" s="4" t="s">
        <v>2169</v>
      </c>
      <c r="B376" s="7">
        <f>IFERROR(__xludf.DUMMYFUNCTION("GOOGLEFINANCE(A376, ""price"")"),4107.7)</f>
        <v>4107.7</v>
      </c>
      <c r="C376" s="7">
        <f>IFERROR(__xludf.DUMMYFUNCTION("GOOGLEFINANCE(A376, ""changepct"")"),-0.2)</f>
        <v>-0.2</v>
      </c>
      <c r="D376" s="9">
        <f>IFERROR(__xludf.DUMMYFUNCTION("GOOGLEFINANCE(A376, ""priceopen"")"),4112.5)</f>
        <v>4112.5</v>
      </c>
      <c r="E376" s="9">
        <f>IFERROR(__xludf.DUMMYFUNCTION("GOOGLEFINANCE(A376, ""high"")"),4127.5)</f>
        <v>4127.5</v>
      </c>
      <c r="F376" s="9">
        <f>IFERROR(__xludf.DUMMYFUNCTION("GOOGLEFINANCE(A376, ""low"")"),4050.1)</f>
        <v>4050.1</v>
      </c>
      <c r="G376" s="9">
        <f>IFERROR(__xludf.DUMMYFUNCTION("GOOGLEFINANCE(A376, ""price"")"),4107.7)</f>
        <v>4107.7</v>
      </c>
      <c r="H376" s="9">
        <f>IFERROR(__xludf.DUMMYFUNCTION("MAX(INDEX(GOOGLEFINANCE(A376, ""high"", TODAY()-30, TODAY()), 0, 2))"),4555.0)</f>
        <v>4555</v>
      </c>
      <c r="I376" s="9">
        <f>IFERROR(__xludf.DUMMYFUNCTION("MIN(INDEX(GOOGLEFINANCE(A376, ""low"", TODAY()-30, TODAY()), 0, 2))"),4050.1)</f>
        <v>4050.1</v>
      </c>
      <c r="J376" s="9">
        <f>IFERROR(__xludf.DUMMYFUNCTION("GOOGLEFINANCE(A376, ""high52"")"),5706.0)</f>
        <v>5706</v>
      </c>
      <c r="K376" s="9">
        <f>IFERROR(__xludf.DUMMYFUNCTION("GOOGLEFINANCE(A376, ""low52"")"),4030.0)</f>
        <v>4030</v>
      </c>
      <c r="L376" s="9">
        <f t="shared" si="1"/>
        <v>0.2801086576</v>
      </c>
      <c r="M376" s="9">
        <f t="shared" si="2"/>
        <v>0.01928039702</v>
      </c>
      <c r="N376" s="9">
        <f t="shared" si="3"/>
        <v>0.01911063924</v>
      </c>
      <c r="O376" s="9">
        <f t="shared" si="4"/>
        <v>0.1140819964</v>
      </c>
      <c r="P376" s="9">
        <f>IFERROR(__xludf.DUMMYFUNCTION("GOOGLEFINANCE(A376, ""pe"")"),26.79)</f>
        <v>26.79</v>
      </c>
      <c r="Q376" s="9">
        <f>IFERROR(__xludf.DUMMYFUNCTION("IFERROR(GOOGLEFINANCE(A376, ""volume"") / GOOGLEFINANCE(A376, ""volumeavg""), 0)"),0.0)</f>
        <v>0</v>
      </c>
      <c r="R376" s="9">
        <f>IFERROR(__xludf.DUMMYFUNCTION("AVERAGE(INDEX(GOOGLEFINANCE(A376, ""price"", TODAY()-30, TODAY()), 0, 2))"),4218.256521739131)</f>
        <v>4218.256522</v>
      </c>
      <c r="S376" s="9">
        <f>IFERROR(__xludf.DUMMYFUNCTION("AVERAGE(INDEX(GOOGLEFINANCE(A376, ""price"", TODAY()-75, TODAY()), 0, 2))"),4233.392452830189)</f>
        <v>4233.392453</v>
      </c>
      <c r="T376" s="9">
        <f>IFERROR(__xludf.DUMMYFUNCTION("AVERAGE(INDEX(GOOGLEFINANCE(A376, ""price"", TODAY()-300, TODAY()), 0, 2))"),4500.27574257426)</f>
        <v>4500.275743</v>
      </c>
      <c r="U376" s="9">
        <f t="shared" si="5"/>
        <v>-0.02620905608</v>
      </c>
      <c r="V376" s="15">
        <f>IFERROR(__xludf.DUMMYFUNCTION("LET(hist, GOOGLEFINANCE(A376,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rs))))))"),32.86504895700301)</f>
        <v>32.86504896</v>
      </c>
      <c r="W376" s="16" t="str">
        <f>IFERROR(__xludf.DUMMYFUNCTION("IFERROR(GOOGLEFINANCE(A376, ""volume"") / GOOGLEFINANCE(A376, ""volumeavg""), )"),"")</f>
        <v/>
      </c>
      <c r="X376" s="9">
        <f>IFERROR(__xludf.DUMMYFUNCTION("B376 * GOOGLEFINANCE(A376, ""volume"")"),1.380721201E8)</f>
        <v>138072120.1</v>
      </c>
      <c r="Y376" s="9">
        <f>IFERROR(__xludf.DUMMYFUNCTION("IFERROR(((B376 - GOOGLEFINANCE(A376, ""priceopen"")) / GOOGLEFINANCE(A376, ""priceopen"")) * GOOGLEFINANCE(A376, ""volume""), 0)"),-39.23219452887687)</f>
        <v>-39.23219453</v>
      </c>
    </row>
    <row r="377">
      <c r="A377" s="4" t="s">
        <v>2170</v>
      </c>
      <c r="B377" s="7">
        <f>IFERROR(__xludf.DUMMYFUNCTION("GOOGLEFINANCE(A377, ""price"")"),592.0)</f>
        <v>592</v>
      </c>
      <c r="C377" s="7">
        <f>IFERROR(__xludf.DUMMYFUNCTION("GOOGLEFINANCE(A377, ""changepct"")"),-2.16)</f>
        <v>-2.16</v>
      </c>
      <c r="D377" s="9">
        <f>IFERROR(__xludf.DUMMYFUNCTION("GOOGLEFINANCE(A377, ""priceopen"")"),605.5)</f>
        <v>605.5</v>
      </c>
      <c r="E377" s="9">
        <f>IFERROR(__xludf.DUMMYFUNCTION("GOOGLEFINANCE(A377, ""high"")"),607.65)</f>
        <v>607.65</v>
      </c>
      <c r="F377" s="9">
        <f>IFERROR(__xludf.DUMMYFUNCTION("GOOGLEFINANCE(A377, ""low"")"),585.45)</f>
        <v>585.45</v>
      </c>
      <c r="G377" s="9">
        <f>IFERROR(__xludf.DUMMYFUNCTION("GOOGLEFINANCE(A377, ""price"")"),592.0)</f>
        <v>592</v>
      </c>
      <c r="H377" s="9">
        <f>IFERROR(__xludf.DUMMYFUNCTION("MAX(INDEX(GOOGLEFINANCE(A377, ""high"", TODAY()-30, TODAY()), 0, 2))"),619.45)</f>
        <v>619.45</v>
      </c>
      <c r="I377" s="9">
        <f>IFERROR(__xludf.DUMMYFUNCTION("MIN(INDEX(GOOGLEFINANCE(A377, ""low"", TODAY()-30, TODAY()), 0, 2))"),515.6)</f>
        <v>515.6</v>
      </c>
      <c r="J377" s="9">
        <f>IFERROR(__xludf.DUMMYFUNCTION("GOOGLEFINANCE(A377, ""high52"")"),802.01)</f>
        <v>802.01</v>
      </c>
      <c r="K377" s="9">
        <f>IFERROR(__xludf.DUMMYFUNCTION("GOOGLEFINANCE(A377, ""low52"")"),450.75)</f>
        <v>450.75</v>
      </c>
      <c r="L377" s="9">
        <f t="shared" si="1"/>
        <v>0.2618545903</v>
      </c>
      <c r="M377" s="9">
        <f t="shared" si="2"/>
        <v>0.3133666112</v>
      </c>
      <c r="N377" s="9">
        <f t="shared" si="3"/>
        <v>0.03791954906</v>
      </c>
      <c r="O377" s="9">
        <f t="shared" si="4"/>
        <v>0.7356764564</v>
      </c>
      <c r="P377" s="9">
        <f>IFERROR(__xludf.DUMMYFUNCTION("GOOGLEFINANCE(A377, ""pe"")"),30.0)</f>
        <v>30</v>
      </c>
      <c r="Q377" s="9">
        <f>IFERROR(__xludf.DUMMYFUNCTION("IFERROR(GOOGLEFINANCE(A377, ""volume"") / GOOGLEFINANCE(A377, ""volumeavg""), 0)"),0.0)</f>
        <v>0</v>
      </c>
      <c r="R377" s="9">
        <f>IFERROR(__xludf.DUMMYFUNCTION("AVERAGE(INDEX(GOOGLEFINANCE(A377, ""price"", TODAY()-30, TODAY()), 0, 2))"),567.1608695652175)</f>
        <v>567.1608696</v>
      </c>
      <c r="S377" s="9">
        <f>IFERROR(__xludf.DUMMYFUNCTION("AVERAGE(INDEX(GOOGLEFINANCE(A377, ""price"", TODAY()-75, TODAY()), 0, 2))"),537.1009433962266)</f>
        <v>537.1009434</v>
      </c>
      <c r="T377" s="9">
        <f>IFERROR(__xludf.DUMMYFUNCTION("AVERAGE(INDEX(GOOGLEFINANCE(A377, ""price"", TODAY()-300, TODAY()), 0, 2))"),587.4179207920791)</f>
        <v>587.4179208</v>
      </c>
      <c r="U377" s="9">
        <f t="shared" si="5"/>
        <v>0.04379556448</v>
      </c>
      <c r="V377" s="15">
        <f>IFERROR(__xludf.DUMMYFUNCTION("LET(hist, GOOGLEFINANCE(A377,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rs))))))"),76.44942023190728)</f>
        <v>76.44942023</v>
      </c>
      <c r="W377" s="16" t="str">
        <f>IFERROR(__xludf.DUMMYFUNCTION("IFERROR(GOOGLEFINANCE(A377, ""volume"") / GOOGLEFINANCE(A377, ""volumeavg""), )"),"")</f>
        <v/>
      </c>
      <c r="X377" s="9">
        <f>IFERROR(__xludf.DUMMYFUNCTION("B377 * GOOGLEFINANCE(A377, ""volume"")"),1.82780592E8)</f>
        <v>182780592</v>
      </c>
      <c r="Y377" s="9">
        <f>IFERROR(__xludf.DUMMYFUNCTION("IFERROR(((B377 - GOOGLEFINANCE(A377, ""priceopen"")) / GOOGLEFINANCE(A377, ""priceopen"")) * GOOGLEFINANCE(A377, ""volume""), 0)"),-6883.796036333609)</f>
        <v>-6883.796036</v>
      </c>
    </row>
    <row r="378">
      <c r="A378" s="4" t="s">
        <v>2171</v>
      </c>
      <c r="B378" s="7">
        <f>IFERROR(__xludf.DUMMYFUNCTION("GOOGLEFINANCE(A378, ""price"")"),160.4)</f>
        <v>160.4</v>
      </c>
      <c r="C378" s="7">
        <f>IFERROR(__xludf.DUMMYFUNCTION("GOOGLEFINANCE(A378, ""changepct"")"),-1.84)</f>
        <v>-1.84</v>
      </c>
      <c r="D378" s="9">
        <f>IFERROR(__xludf.DUMMYFUNCTION("GOOGLEFINANCE(A378, ""priceopen"")"),164.8)</f>
        <v>164.8</v>
      </c>
      <c r="E378" s="9">
        <f>IFERROR(__xludf.DUMMYFUNCTION("GOOGLEFINANCE(A378, ""high"")"),164.8)</f>
        <v>164.8</v>
      </c>
      <c r="F378" s="9">
        <f>IFERROR(__xludf.DUMMYFUNCTION("GOOGLEFINANCE(A378, ""low"")"),158.66)</f>
        <v>158.66</v>
      </c>
      <c r="G378" s="9">
        <f>IFERROR(__xludf.DUMMYFUNCTION("GOOGLEFINANCE(A378, ""price"")"),160.4)</f>
        <v>160.4</v>
      </c>
      <c r="H378" s="9">
        <f>IFERROR(__xludf.DUMMYFUNCTION("MAX(INDEX(GOOGLEFINANCE(A378, ""high"", TODAY()-30, TODAY()), 0, 2))"),169.36)</f>
        <v>169.36</v>
      </c>
      <c r="I378" s="9">
        <f>IFERROR(__xludf.DUMMYFUNCTION("MIN(INDEX(GOOGLEFINANCE(A378, ""low"", TODAY()-30, TODAY()), 0, 2))"),154.49)</f>
        <v>154.49</v>
      </c>
      <c r="J378" s="9">
        <f>IFERROR(__xludf.DUMMYFUNCTION("GOOGLEFINANCE(A378, ""high52"")"),192.95)</f>
        <v>192.95</v>
      </c>
      <c r="K378" s="9">
        <f>IFERROR(__xludf.DUMMYFUNCTION("GOOGLEFINANCE(A378, ""low52"")"),115.51)</f>
        <v>115.51</v>
      </c>
      <c r="L378" s="9">
        <f t="shared" si="1"/>
        <v>0.1686965535</v>
      </c>
      <c r="M378" s="9">
        <f t="shared" si="2"/>
        <v>0.3886243615</v>
      </c>
      <c r="N378" s="9">
        <f t="shared" si="3"/>
        <v>0.038699105</v>
      </c>
      <c r="O378" s="9">
        <f t="shared" si="4"/>
        <v>0.3974445192</v>
      </c>
      <c r="P378" s="9" t="str">
        <f>IFERROR(__xludf.DUMMYFUNCTION("GOOGLEFINANCE(A378, ""pe"")"),"#N/A")</f>
        <v>#N/A</v>
      </c>
      <c r="Q378" s="9">
        <f>IFERROR(__xludf.DUMMYFUNCTION("IFERROR(GOOGLEFINANCE(A378, ""volume"") / GOOGLEFINANCE(A378, ""volumeavg""), 0)"),0.0)</f>
        <v>0</v>
      </c>
      <c r="R378" s="9">
        <f>IFERROR(__xludf.DUMMYFUNCTION("AVERAGE(INDEX(GOOGLEFINANCE(A378, ""price"", TODAY()-30, TODAY()), 0, 2))"),162.5086956521739)</f>
        <v>162.5086957</v>
      </c>
      <c r="S378" s="9">
        <f>IFERROR(__xludf.DUMMYFUNCTION("AVERAGE(INDEX(GOOGLEFINANCE(A378, ""price"", TODAY()-75, TODAY()), 0, 2))"),169.28018867924524)</f>
        <v>169.2801887</v>
      </c>
      <c r="T378" s="9">
        <f>IFERROR(__xludf.DUMMYFUNCTION("AVERAGE(INDEX(GOOGLEFINANCE(A378, ""price"", TODAY()-300, TODAY()), 0, 2))"),156.57603960396023)</f>
        <v>156.5760396</v>
      </c>
      <c r="U378" s="9">
        <f t="shared" si="5"/>
        <v>-0.01297589427</v>
      </c>
      <c r="V378" s="15">
        <f>IFERROR(__xludf.DUMMYFUNCTION("LET(hist, GOOGLEFINANCE(A378,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rs))))))"),54.43510737628384)</f>
        <v>54.43510738</v>
      </c>
      <c r="W378" s="16" t="str">
        <f>IFERROR(__xludf.DUMMYFUNCTION("IFERROR(GOOGLEFINANCE(A378, ""volume"") / GOOGLEFINANCE(A378, ""volumeavg""), )"),"")</f>
        <v/>
      </c>
      <c r="X378" s="9">
        <f>IFERROR(__xludf.DUMMYFUNCTION("B378 * GOOGLEFINANCE(A378, ""volume"")"),1.0744158212E9)</f>
        <v>1074415821</v>
      </c>
      <c r="Y378" s="9">
        <f>IFERROR(__xludf.DUMMYFUNCTION("IFERROR(((B378 - GOOGLEFINANCE(A378, ""priceopen"")) / GOOGLEFINANCE(A378, ""priceopen"")) * GOOGLEFINANCE(A378, ""volume""), 0)"),-178839.52184466043)</f>
        <v>-178839.5218</v>
      </c>
    </row>
    <row r="379">
      <c r="A379" s="4" t="s">
        <v>2172</v>
      </c>
      <c r="B379" s="7">
        <f>IFERROR(__xludf.DUMMYFUNCTION("GOOGLEFINANCE(A379, ""price"")"),1350.9)</f>
        <v>1350.9</v>
      </c>
      <c r="C379" s="7">
        <f>IFERROR(__xludf.DUMMYFUNCTION("GOOGLEFINANCE(A379, ""changepct"")"),-2.83)</f>
        <v>-2.83</v>
      </c>
      <c r="D379" s="9">
        <f>IFERROR(__xludf.DUMMYFUNCTION("GOOGLEFINANCE(A379, ""priceopen"")"),1395.0)</f>
        <v>1395</v>
      </c>
      <c r="E379" s="9">
        <f>IFERROR(__xludf.DUMMYFUNCTION("GOOGLEFINANCE(A379, ""high"")"),1395.0)</f>
        <v>1395</v>
      </c>
      <c r="F379" s="9">
        <f>IFERROR(__xludf.DUMMYFUNCTION("GOOGLEFINANCE(A379, ""low"")"),1341.3)</f>
        <v>1341.3</v>
      </c>
      <c r="G379" s="9">
        <f>IFERROR(__xludf.DUMMYFUNCTION("GOOGLEFINANCE(A379, ""price"")"),1350.9)</f>
        <v>1350.9</v>
      </c>
      <c r="H379" s="9">
        <f>IFERROR(__xludf.DUMMYFUNCTION("MAX(INDEX(GOOGLEFINANCE(A379, ""high"", TODAY()-30, TODAY()), 0, 2))"),1499.0)</f>
        <v>1499</v>
      </c>
      <c r="I379" s="9">
        <f>IFERROR(__xludf.DUMMYFUNCTION("MIN(INDEX(GOOGLEFINANCE(A379, ""low"", TODAY()-30, TODAY()), 0, 2))"),1341.3)</f>
        <v>1341.3</v>
      </c>
      <c r="J379" s="9">
        <f>IFERROR(__xludf.DUMMYFUNCTION("GOOGLEFINANCE(A379, ""high52"")"),1820.0)</f>
        <v>1820</v>
      </c>
      <c r="K379" s="9">
        <f>IFERROR(__xludf.DUMMYFUNCTION("GOOGLEFINANCE(A379, ""low52"")"),1200.0)</f>
        <v>1200</v>
      </c>
      <c r="L379" s="9">
        <f t="shared" si="1"/>
        <v>0.2577472527</v>
      </c>
      <c r="M379" s="9">
        <f t="shared" si="2"/>
        <v>0.12575</v>
      </c>
      <c r="N379" s="9">
        <f t="shared" si="3"/>
        <v>0.04003578618</v>
      </c>
      <c r="O379" s="9">
        <f t="shared" si="4"/>
        <v>0.06087507926</v>
      </c>
      <c r="P379" s="9">
        <f>IFERROR(__xludf.DUMMYFUNCTION("GOOGLEFINANCE(A379, ""pe"")"),28.77)</f>
        <v>28.77</v>
      </c>
      <c r="Q379" s="9">
        <f>IFERROR(__xludf.DUMMYFUNCTION("IFERROR(GOOGLEFINANCE(A379, ""volume"") / GOOGLEFINANCE(A379, ""volumeavg""), 0)"),0.0)</f>
        <v>0</v>
      </c>
      <c r="R379" s="9">
        <f>IFERROR(__xludf.DUMMYFUNCTION("AVERAGE(INDEX(GOOGLEFINANCE(A379, ""price"", TODAY()-30, TODAY()), 0, 2))"),1411.2739130434786)</f>
        <v>1411.273913</v>
      </c>
      <c r="S379" s="9">
        <f>IFERROR(__xludf.DUMMYFUNCTION("AVERAGE(INDEX(GOOGLEFINANCE(A379, ""price"", TODAY()-75, TODAY()), 0, 2))"),1411.4226415094336)</f>
        <v>1411.422642</v>
      </c>
      <c r="T379" s="9">
        <f>IFERROR(__xludf.DUMMYFUNCTION("AVERAGE(INDEX(GOOGLEFINANCE(A379, ""price"", TODAY()-300, TODAY()), 0, 2))"),1442.8202970297034)</f>
        <v>1442.820297</v>
      </c>
      <c r="U379" s="9">
        <f t="shared" si="5"/>
        <v>-0.04277972723</v>
      </c>
      <c r="V379" s="15">
        <f>IFERROR(__xludf.DUMMYFUNCTION("LET(hist, GOOGLEFINANCE(A379,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rs))))))"),40.452370595911304)</f>
        <v>40.4523706</v>
      </c>
      <c r="W379" s="16" t="str">
        <f>IFERROR(__xludf.DUMMYFUNCTION("IFERROR(GOOGLEFINANCE(A379, ""volume"") / GOOGLEFINANCE(A379, ""volumeavg""), )"),"")</f>
        <v/>
      </c>
      <c r="X379" s="9">
        <f>IFERROR(__xludf.DUMMYFUNCTION("B379 * GOOGLEFINANCE(A379, ""volume"")"),9.175853160000001E7)</f>
        <v>91758531.6</v>
      </c>
      <c r="Y379" s="9">
        <f>IFERROR(__xludf.DUMMYFUNCTION("IFERROR(((B379 - GOOGLEFINANCE(A379, ""priceopen"")) / GOOGLEFINANCE(A379, ""priceopen"")) * GOOGLEFINANCE(A379, ""volume""), 0)"),-2147.274838709673)</f>
        <v>-2147.274839</v>
      </c>
    </row>
    <row r="380">
      <c r="A380" s="4" t="s">
        <v>2173</v>
      </c>
      <c r="B380" s="7">
        <f>IFERROR(__xludf.DUMMYFUNCTION("GOOGLEFINANCE(A380, ""price"")"),1377.0)</f>
        <v>1377</v>
      </c>
      <c r="C380" s="7">
        <f>IFERROR(__xludf.DUMMYFUNCTION("GOOGLEFINANCE(A380, ""changepct"")"),-3.44)</f>
        <v>-3.44</v>
      </c>
      <c r="D380" s="9">
        <f>IFERROR(__xludf.DUMMYFUNCTION("GOOGLEFINANCE(A380, ""priceopen"")"),1418.0)</f>
        <v>1418</v>
      </c>
      <c r="E380" s="9">
        <f>IFERROR(__xludf.DUMMYFUNCTION("GOOGLEFINANCE(A380, ""high"")"),1444.0)</f>
        <v>1444</v>
      </c>
      <c r="F380" s="9">
        <f>IFERROR(__xludf.DUMMYFUNCTION("GOOGLEFINANCE(A380, ""low"")"),1370.1)</f>
        <v>1370.1</v>
      </c>
      <c r="G380" s="9">
        <f>IFERROR(__xludf.DUMMYFUNCTION("GOOGLEFINANCE(A380, ""price"")"),1377.0)</f>
        <v>1377</v>
      </c>
      <c r="H380" s="9">
        <f>IFERROR(__xludf.DUMMYFUNCTION("MAX(INDEX(GOOGLEFINANCE(A380, ""high"", TODAY()-30, TODAY()), 0, 2))"),1449.0)</f>
        <v>1449</v>
      </c>
      <c r="I380" s="9">
        <f>IFERROR(__xludf.DUMMYFUNCTION("MIN(INDEX(GOOGLEFINANCE(A380, ""low"", TODAY()-30, TODAY()), 0, 2))"),1099.0)</f>
        <v>1099</v>
      </c>
      <c r="J380" s="9">
        <f>IFERROR(__xludf.DUMMYFUNCTION("GOOGLEFINANCE(A380, ""high52"")"),1449.0)</f>
        <v>1449</v>
      </c>
      <c r="K380" s="9">
        <f>IFERROR(__xludf.DUMMYFUNCTION("GOOGLEFINANCE(A380, ""low52"")"),620.85)</f>
        <v>620.85</v>
      </c>
      <c r="L380" s="9">
        <f t="shared" si="1"/>
        <v>0.04968944099</v>
      </c>
      <c r="M380" s="9">
        <f t="shared" si="2"/>
        <v>1.217927036</v>
      </c>
      <c r="N380" s="9">
        <f t="shared" si="3"/>
        <v>0.05393766878</v>
      </c>
      <c r="O380" s="9">
        <f t="shared" si="4"/>
        <v>0.7942857143</v>
      </c>
      <c r="P380" s="9">
        <f>IFERROR(__xludf.DUMMYFUNCTION("GOOGLEFINANCE(A380, ""pe"")"),4.91)</f>
        <v>4.91</v>
      </c>
      <c r="Q380" s="9">
        <f>IFERROR(__xludf.DUMMYFUNCTION("IFERROR(GOOGLEFINANCE(A380, ""volume"") / GOOGLEFINANCE(A380, ""volumeavg""), 0)"),0.0)</f>
        <v>0</v>
      </c>
      <c r="R380" s="9">
        <f>IFERROR(__xludf.DUMMYFUNCTION("AVERAGE(INDEX(GOOGLEFINANCE(A380, ""price"", TODAY()-30, TODAY()), 0, 2))"),1250.460869565217)</f>
        <v>1250.46087</v>
      </c>
      <c r="S380" s="9">
        <f>IFERROR(__xludf.DUMMYFUNCTION("AVERAGE(INDEX(GOOGLEFINANCE(A380, ""price"", TODAY()-75, TODAY()), 0, 2))"),1189.790566037736)</f>
        <v>1189.790566</v>
      </c>
      <c r="T380" s="9">
        <f>IFERROR(__xludf.DUMMYFUNCTION("AVERAGE(INDEX(GOOGLEFINANCE(A380, ""price"", TODAY()-300, TODAY()), 0, 2))"),1005.3274752475247)</f>
        <v>1005.327475</v>
      </c>
      <c r="U380" s="9">
        <f t="shared" si="5"/>
        <v>0.1011939946</v>
      </c>
      <c r="V380" s="15">
        <f>IFERROR(__xludf.DUMMYFUNCTION("LET(hist, GOOGLEFINANCE(A380,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rs))))))"),59.541587081090476)</f>
        <v>59.54158708</v>
      </c>
      <c r="W380" s="16" t="str">
        <f>IFERROR(__xludf.DUMMYFUNCTION("IFERROR(GOOGLEFINANCE(A380, ""volume"") / GOOGLEFINANCE(A380, ""volumeavg""), )"),"")</f>
        <v/>
      </c>
      <c r="X380" s="9">
        <f>IFERROR(__xludf.DUMMYFUNCTION("B380 * GOOGLEFINANCE(A380, ""volume"")"),3.88901979E9)</f>
        <v>3889019790</v>
      </c>
      <c r="Y380" s="9">
        <f>IFERROR(__xludf.DUMMYFUNCTION("IFERROR(((B380 - GOOGLEFINANCE(A380, ""priceopen"")) / GOOGLEFINANCE(A380, ""priceopen"")) * GOOGLEFINANCE(A380, ""volume""), 0)"),-81660.83921015514)</f>
        <v>-81660.83921</v>
      </c>
    </row>
    <row r="381">
      <c r="A381" s="4" t="s">
        <v>2174</v>
      </c>
      <c r="B381" s="7">
        <f>IFERROR(__xludf.DUMMYFUNCTION("GOOGLEFINANCE(A381, ""price"")"),1533.0)</f>
        <v>1533</v>
      </c>
      <c r="C381" s="7">
        <f>IFERROR(__xludf.DUMMYFUNCTION("GOOGLEFINANCE(A381, ""changepct"")"),-4.12)</f>
        <v>-4.12</v>
      </c>
      <c r="D381" s="9">
        <f>IFERROR(__xludf.DUMMYFUNCTION("GOOGLEFINANCE(A381, ""priceopen"")"),1598.9)</f>
        <v>1598.9</v>
      </c>
      <c r="E381" s="9">
        <f>IFERROR(__xludf.DUMMYFUNCTION("GOOGLEFINANCE(A381, ""high"")"),1609.9)</f>
        <v>1609.9</v>
      </c>
      <c r="F381" s="9">
        <f>IFERROR(__xludf.DUMMYFUNCTION("GOOGLEFINANCE(A381, ""low"")"),1530.1)</f>
        <v>1530.1</v>
      </c>
      <c r="G381" s="9">
        <f>IFERROR(__xludf.DUMMYFUNCTION("GOOGLEFINANCE(A381, ""price"")"),1533.0)</f>
        <v>1533</v>
      </c>
      <c r="H381" s="9">
        <f>IFERROR(__xludf.DUMMYFUNCTION("MAX(INDEX(GOOGLEFINANCE(A381, ""high"", TODAY()-30, TODAY()), 0, 2))"),1755.2)</f>
        <v>1755.2</v>
      </c>
      <c r="I381" s="9">
        <f>IFERROR(__xludf.DUMMYFUNCTION("MIN(INDEX(GOOGLEFINANCE(A381, ""low"", TODAY()-30, TODAY()), 0, 2))"),1506.7)</f>
        <v>1506.7</v>
      </c>
      <c r="J381" s="9">
        <f>IFERROR(__xludf.DUMMYFUNCTION("GOOGLEFINANCE(A381, ""high52"")"),1925.0)</f>
        <v>1925</v>
      </c>
      <c r="K381" s="9">
        <f>IFERROR(__xludf.DUMMYFUNCTION("GOOGLEFINANCE(A381, ""low52"")"),1057.0)</f>
        <v>1057</v>
      </c>
      <c r="L381" s="9">
        <f t="shared" si="1"/>
        <v>0.2036363636</v>
      </c>
      <c r="M381" s="9">
        <f t="shared" si="2"/>
        <v>0.4503311258</v>
      </c>
      <c r="N381" s="9">
        <f t="shared" si="3"/>
        <v>0.05215345402</v>
      </c>
      <c r="O381" s="9">
        <f t="shared" si="4"/>
        <v>0.1058350101</v>
      </c>
      <c r="P381" s="9" t="str">
        <f>IFERROR(__xludf.DUMMYFUNCTION("GOOGLEFINANCE(A381, ""pe"")"),"#N/A")</f>
        <v>#N/A</v>
      </c>
      <c r="Q381" s="9">
        <f>IFERROR(__xludf.DUMMYFUNCTION("IFERROR(GOOGLEFINANCE(A381, ""volume"") / GOOGLEFINANCE(A381, ""volumeavg""), 0)"),0.0)</f>
        <v>0</v>
      </c>
      <c r="R381" s="9">
        <f>IFERROR(__xludf.DUMMYFUNCTION("AVERAGE(INDEX(GOOGLEFINANCE(A381, ""price"", TODAY()-30, TODAY()), 0, 2))"),1632.9391304347826)</f>
        <v>1632.93913</v>
      </c>
      <c r="S381" s="9">
        <f>IFERROR(__xludf.DUMMYFUNCTION("AVERAGE(INDEX(GOOGLEFINANCE(A381, ""price"", TODAY()-75, TODAY()), 0, 2))"),1654.9792452830184)</f>
        <v>1654.979245</v>
      </c>
      <c r="T381" s="9">
        <f>IFERROR(__xludf.DUMMYFUNCTION("AVERAGE(INDEX(GOOGLEFINANCE(A381, ""price"", TODAY()-300, TODAY()), 0, 2))"),1612.4277227722773)</f>
        <v>1612.427723</v>
      </c>
      <c r="U381" s="9">
        <f t="shared" si="5"/>
        <v>-0.06120199374</v>
      </c>
      <c r="V381" s="15">
        <f>IFERROR(__xludf.DUMMYFUNCTION("LET(hist, GOOGLEFINANCE(A381,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rs))))))"),37.05286839145108)</f>
        <v>37.05286839</v>
      </c>
      <c r="W381" s="16" t="str">
        <f>IFERROR(__xludf.DUMMYFUNCTION("IFERROR(GOOGLEFINANCE(A381, ""volume"") / GOOGLEFINANCE(A381, ""volumeavg""), )"),"")</f>
        <v/>
      </c>
      <c r="X381" s="9">
        <f>IFERROR(__xludf.DUMMYFUNCTION("B381 * GOOGLEFINANCE(A381, ""volume"")"),2.07834942E8)</f>
        <v>207834942</v>
      </c>
      <c r="Y381" s="9">
        <f>IFERROR(__xludf.DUMMYFUNCTION("IFERROR(((B381 - GOOGLEFINANCE(A381, ""priceopen"")) / GOOGLEFINANCE(A381, ""priceopen"")) * GOOGLEFINANCE(A381, ""volume""), 0)"),-5587.795734567523)</f>
        <v>-5587.795735</v>
      </c>
    </row>
    <row r="382">
      <c r="A382" s="4" t="s">
        <v>2175</v>
      </c>
      <c r="B382" s="7">
        <f>IFERROR(__xludf.DUMMYFUNCTION("GOOGLEFINANCE(A382, ""price"")"),819.0)</f>
        <v>819</v>
      </c>
      <c r="C382" s="7">
        <f>IFERROR(__xludf.DUMMYFUNCTION("GOOGLEFINANCE(A382, ""changepct"")"),1.74)</f>
        <v>1.74</v>
      </c>
      <c r="D382" s="9">
        <f>IFERROR(__xludf.DUMMYFUNCTION("GOOGLEFINANCE(A382, ""priceopen"")"),804.95)</f>
        <v>804.95</v>
      </c>
      <c r="E382" s="9">
        <f>IFERROR(__xludf.DUMMYFUNCTION("GOOGLEFINANCE(A382, ""high"")"),832.35)</f>
        <v>832.35</v>
      </c>
      <c r="F382" s="9">
        <f>IFERROR(__xludf.DUMMYFUNCTION("GOOGLEFINANCE(A382, ""low"")"),802.6)</f>
        <v>802.6</v>
      </c>
      <c r="G382" s="9">
        <f>IFERROR(__xludf.DUMMYFUNCTION("GOOGLEFINANCE(A382, ""price"")"),819.0)</f>
        <v>819</v>
      </c>
      <c r="H382" s="9">
        <f>IFERROR(__xludf.DUMMYFUNCTION("MAX(INDEX(GOOGLEFINANCE(A382, ""high"", TODAY()-30, TODAY()), 0, 2))"),874.75)</f>
        <v>874.75</v>
      </c>
      <c r="I382" s="9">
        <f>IFERROR(__xludf.DUMMYFUNCTION("MIN(INDEX(GOOGLEFINANCE(A382, ""low"", TODAY()-30, TODAY()), 0, 2))"),738.9)</f>
        <v>738.9</v>
      </c>
      <c r="J382" s="9">
        <f>IFERROR(__xludf.DUMMYFUNCTION("GOOGLEFINANCE(A382, ""high52"")"),1055.9)</f>
        <v>1055.9</v>
      </c>
      <c r="K382" s="9">
        <f>IFERROR(__xludf.DUMMYFUNCTION("GOOGLEFINANCE(A382, ""low52"")"),580.1)</f>
        <v>580.1</v>
      </c>
      <c r="L382" s="9">
        <f t="shared" si="1"/>
        <v>0.2243583673</v>
      </c>
      <c r="M382" s="9">
        <f t="shared" si="2"/>
        <v>0.4118255473</v>
      </c>
      <c r="N382" s="9">
        <f t="shared" si="3"/>
        <v>0.03706703215</v>
      </c>
      <c r="O382" s="9">
        <f t="shared" si="4"/>
        <v>0.5896209054</v>
      </c>
      <c r="P382" s="9">
        <f>IFERROR(__xludf.DUMMYFUNCTION("GOOGLEFINANCE(A382, ""pe"")"),57.92)</f>
        <v>57.92</v>
      </c>
      <c r="Q382" s="9">
        <f>IFERROR(__xludf.DUMMYFUNCTION("IFERROR(GOOGLEFINANCE(A382, ""volume"") / GOOGLEFINANCE(A382, ""volumeavg""), 0)"),0.0)</f>
        <v>0</v>
      </c>
      <c r="R382" s="9">
        <f>IFERROR(__xludf.DUMMYFUNCTION("AVERAGE(INDEX(GOOGLEFINANCE(A382, ""price"", TODAY()-30, TODAY()), 0, 2))"),810.0173913043476)</f>
        <v>810.0173913</v>
      </c>
      <c r="S382" s="9">
        <f>IFERROR(__xludf.DUMMYFUNCTION("AVERAGE(INDEX(GOOGLEFINANCE(A382, ""price"", TODAY()-75, TODAY()), 0, 2))"),749.8075471698114)</f>
        <v>749.8075472</v>
      </c>
      <c r="T382" s="9">
        <f>IFERROR(__xludf.DUMMYFUNCTION("AVERAGE(INDEX(GOOGLEFINANCE(A382, ""price"", TODAY()-300, TODAY()), 0, 2))"),822.9400990099008)</f>
        <v>822.940099</v>
      </c>
      <c r="U382" s="9">
        <f t="shared" si="5"/>
        <v>0.01108940227</v>
      </c>
      <c r="V382" s="15">
        <f>IFERROR(__xludf.DUMMYFUNCTION("LET(hist, GOOGLEFINANCE(A382,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rs))))))"),56.35233160621761)</f>
        <v>56.35233161</v>
      </c>
      <c r="W382" s="16" t="str">
        <f>IFERROR(__xludf.DUMMYFUNCTION("IFERROR(GOOGLEFINANCE(A382, ""volume"") / GOOGLEFINANCE(A382, ""volumeavg""), )"),"")</f>
        <v/>
      </c>
      <c r="X382" s="9">
        <f>IFERROR(__xludf.DUMMYFUNCTION("B382 * GOOGLEFINANCE(A382, ""volume"")"),6.19990371E8)</f>
        <v>619990371</v>
      </c>
      <c r="Y382" s="9">
        <f>IFERROR(__xludf.DUMMYFUNCTION("IFERROR(((B382 - GOOGLEFINANCE(A382, ""priceopen"")) / GOOGLEFINANCE(A382, ""priceopen"")) * GOOGLEFINANCE(A382, ""volume""), 0)"),13213.213802099464)</f>
        <v>13213.2138</v>
      </c>
    </row>
    <row r="383">
      <c r="A383" s="4" t="s">
        <v>2176</v>
      </c>
      <c r="B383" s="7">
        <f>IFERROR(__xludf.DUMMYFUNCTION("GOOGLEFINANCE(A383, ""price"")"),506.0)</f>
        <v>506</v>
      </c>
      <c r="C383" s="7">
        <f>IFERROR(__xludf.DUMMYFUNCTION("GOOGLEFINANCE(A383, ""changepct"")"),-0.02)</f>
        <v>-0.02</v>
      </c>
      <c r="D383" s="9">
        <f>IFERROR(__xludf.DUMMYFUNCTION("GOOGLEFINANCE(A383, ""priceopen"")"),507.95)</f>
        <v>507.95</v>
      </c>
      <c r="E383" s="9">
        <f>IFERROR(__xludf.DUMMYFUNCTION("GOOGLEFINANCE(A383, ""high"")"),512.0)</f>
        <v>512</v>
      </c>
      <c r="F383" s="9">
        <f>IFERROR(__xludf.DUMMYFUNCTION("GOOGLEFINANCE(A383, ""low"")"),501.95)</f>
        <v>501.95</v>
      </c>
      <c r="G383" s="9">
        <f>IFERROR(__xludf.DUMMYFUNCTION("GOOGLEFINANCE(A383, ""price"")"),506.0)</f>
        <v>506</v>
      </c>
      <c r="H383" s="9">
        <f>IFERROR(__xludf.DUMMYFUNCTION("MAX(INDEX(GOOGLEFINANCE(A383, ""high"", TODAY()-30, TODAY()), 0, 2))"),611.85)</f>
        <v>611.85</v>
      </c>
      <c r="I383" s="9">
        <f>IFERROR(__xludf.DUMMYFUNCTION("MIN(INDEX(GOOGLEFINANCE(A383, ""low"", TODAY()-30, TODAY()), 0, 2))"),501.95)</f>
        <v>501.95</v>
      </c>
      <c r="J383" s="9">
        <f>IFERROR(__xludf.DUMMYFUNCTION("GOOGLEFINANCE(A383, ""high52"")"),611.85)</f>
        <v>611.85</v>
      </c>
      <c r="K383" s="9">
        <f>IFERROR(__xludf.DUMMYFUNCTION("GOOGLEFINANCE(A383, ""low52"")"),367.55)</f>
        <v>367.55</v>
      </c>
      <c r="L383" s="9">
        <f t="shared" si="1"/>
        <v>0.1729999183</v>
      </c>
      <c r="M383" s="9">
        <f t="shared" si="2"/>
        <v>0.3766834444</v>
      </c>
      <c r="N383" s="9">
        <f t="shared" si="3"/>
        <v>0.02002191453</v>
      </c>
      <c r="O383" s="9">
        <f t="shared" si="4"/>
        <v>0.03685168335</v>
      </c>
      <c r="P383" s="9">
        <f>IFERROR(__xludf.DUMMYFUNCTION("GOOGLEFINANCE(A383, ""pe"")"),86.17)</f>
        <v>86.17</v>
      </c>
      <c r="Q383" s="9">
        <f>IFERROR(__xludf.DUMMYFUNCTION("IFERROR(GOOGLEFINANCE(A383, ""volume"") / GOOGLEFINANCE(A383, ""volumeavg""), 0)"),0.0)</f>
        <v>0</v>
      </c>
      <c r="R383" s="9">
        <f>IFERROR(__xludf.DUMMYFUNCTION("AVERAGE(INDEX(GOOGLEFINANCE(A383, ""price"", TODAY()-30, TODAY()), 0, 2))"),560.0347826086957)</f>
        <v>560.0347826</v>
      </c>
      <c r="S383" s="9">
        <f>IFERROR(__xludf.DUMMYFUNCTION("AVERAGE(INDEX(GOOGLEFINANCE(A383, ""price"", TODAY()-75, TODAY()), 0, 2))"),544.4641509433962)</f>
        <v>544.4641509</v>
      </c>
      <c r="T383" s="9">
        <f>IFERROR(__xludf.DUMMYFUNCTION("AVERAGE(INDEX(GOOGLEFINANCE(A383, ""price"", TODAY()-300, TODAY()), 0, 2))"),473.7512376237624)</f>
        <v>473.7512376</v>
      </c>
      <c r="U383" s="9">
        <f t="shared" si="5"/>
        <v>-0.09648469039</v>
      </c>
      <c r="V383" s="15">
        <f>IFERROR(__xludf.DUMMYFUNCTION("LET(hist, GOOGLEFINANCE(A383,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rs))))))"),36.49953285580817)</f>
        <v>36.49953286</v>
      </c>
      <c r="W383" s="16" t="str">
        <f>IFERROR(__xludf.DUMMYFUNCTION("IFERROR(GOOGLEFINANCE(A383, ""volume"") / GOOGLEFINANCE(A383, ""volumeavg""), )"),"")</f>
        <v/>
      </c>
      <c r="X383" s="9">
        <f>IFERROR(__xludf.DUMMYFUNCTION("B383 * GOOGLEFINANCE(A383, ""volume"")"),1.1025487E8)</f>
        <v>110254870</v>
      </c>
      <c r="Y383" s="9">
        <f>IFERROR(__xludf.DUMMYFUNCTION("IFERROR(((B383 - GOOGLEFINANCE(A383, ""priceopen"")) / GOOGLEFINANCE(A383, ""priceopen"")) * GOOGLEFINANCE(A383, ""volume""), 0)"),-836.4903041637908)</f>
        <v>-836.4903042</v>
      </c>
    </row>
    <row r="384">
      <c r="A384" s="4" t="s">
        <v>2177</v>
      </c>
      <c r="B384" s="7">
        <f>IFERROR(__xludf.DUMMYFUNCTION("GOOGLEFINANCE(A384, ""price"")"),814.0)</f>
        <v>814</v>
      </c>
      <c r="C384" s="7">
        <f>IFERROR(__xludf.DUMMYFUNCTION("GOOGLEFINANCE(A384, ""changepct"")"),-1.02)</f>
        <v>-1.02</v>
      </c>
      <c r="D384" s="9">
        <f>IFERROR(__xludf.DUMMYFUNCTION("GOOGLEFINANCE(A384, ""priceopen"")"),822.8)</f>
        <v>822.8</v>
      </c>
      <c r="E384" s="9">
        <f>IFERROR(__xludf.DUMMYFUNCTION("GOOGLEFINANCE(A384, ""high"")"),827.9)</f>
        <v>827.9</v>
      </c>
      <c r="F384" s="9">
        <f>IFERROR(__xludf.DUMMYFUNCTION("GOOGLEFINANCE(A384, ""low"")"),810.55)</f>
        <v>810.55</v>
      </c>
      <c r="G384" s="9">
        <f>IFERROR(__xludf.DUMMYFUNCTION("GOOGLEFINANCE(A384, ""price"")"),814.0)</f>
        <v>814</v>
      </c>
      <c r="H384" s="9">
        <f>IFERROR(__xludf.DUMMYFUNCTION("MAX(INDEX(GOOGLEFINANCE(A384, ""high"", TODAY()-30, TODAY()), 0, 2))"),854.3)</f>
        <v>854.3</v>
      </c>
      <c r="I384" s="9">
        <f>IFERROR(__xludf.DUMMYFUNCTION("MIN(INDEX(GOOGLEFINANCE(A384, ""low"", TODAY()-30, TODAY()), 0, 2))"),788.4)</f>
        <v>788.4</v>
      </c>
      <c r="J384" s="9">
        <f>IFERROR(__xludf.DUMMYFUNCTION("GOOGLEFINANCE(A384, ""high52"")"),860.5)</f>
        <v>860.5</v>
      </c>
      <c r="K384" s="9">
        <f>IFERROR(__xludf.DUMMYFUNCTION("GOOGLEFINANCE(A384, ""low52"")"),568.7)</f>
        <v>568.7</v>
      </c>
      <c r="L384" s="9">
        <f t="shared" si="1"/>
        <v>0.0540383498</v>
      </c>
      <c r="M384" s="9">
        <f t="shared" si="2"/>
        <v>0.4313346228</v>
      </c>
      <c r="N384" s="9">
        <f t="shared" si="3"/>
        <v>0.02140521868</v>
      </c>
      <c r="O384" s="9">
        <f t="shared" si="4"/>
        <v>0.3884673748</v>
      </c>
      <c r="P384" s="9">
        <f>IFERROR(__xludf.DUMMYFUNCTION("GOOGLEFINANCE(A384, ""pe"")"),72.48)</f>
        <v>72.48</v>
      </c>
      <c r="Q384" s="9">
        <f>IFERROR(__xludf.DUMMYFUNCTION("IFERROR(GOOGLEFINANCE(A384, ""volume"") / GOOGLEFINANCE(A384, ""volumeavg""), 0)"),0.0)</f>
        <v>0</v>
      </c>
      <c r="R384" s="9">
        <f>IFERROR(__xludf.DUMMYFUNCTION("AVERAGE(INDEX(GOOGLEFINANCE(A384, ""price"", TODAY()-30, TODAY()), 0, 2))"),815.6130434782609)</f>
        <v>815.6130435</v>
      </c>
      <c r="S384" s="9">
        <f>IFERROR(__xludf.DUMMYFUNCTION("AVERAGE(INDEX(GOOGLEFINANCE(A384, ""price"", TODAY()-75, TODAY()), 0, 2))"),760.7915094339622)</f>
        <v>760.7915094</v>
      </c>
      <c r="T384" s="9">
        <f>IFERROR(__xludf.DUMMYFUNCTION("AVERAGE(INDEX(GOOGLEFINANCE(A384, ""price"", TODAY()-300, TODAY()), 0, 2))"),748.5896039603964)</f>
        <v>748.589604</v>
      </c>
      <c r="U384" s="9">
        <f t="shared" si="5"/>
        <v>-0.00197770682</v>
      </c>
      <c r="V384" s="15">
        <f>IFERROR(__xludf.DUMMYFUNCTION("LET(hist, GOOGLEFINANCE(A384,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rs))))))"),54.48376151236064)</f>
        <v>54.48376151</v>
      </c>
      <c r="W384" s="16" t="str">
        <f>IFERROR(__xludf.DUMMYFUNCTION("IFERROR(GOOGLEFINANCE(A384, ""volume"") / GOOGLEFINANCE(A384, ""volumeavg""), )"),"")</f>
        <v/>
      </c>
      <c r="X384" s="9">
        <f>IFERROR(__xludf.DUMMYFUNCTION("B384 * GOOGLEFINANCE(A384, ""volume"")"),2.22800754E8)</f>
        <v>222800754</v>
      </c>
      <c r="Y384" s="9">
        <f>IFERROR(__xludf.DUMMYFUNCTION("IFERROR(((B384 - GOOGLEFINANCE(A384, ""priceopen"")) / GOOGLEFINANCE(A384, ""priceopen"")) * GOOGLEFINANCE(A384, ""volume""), 0)"),-2927.390374331536)</f>
        <v>-2927.390374</v>
      </c>
    </row>
    <row r="385">
      <c r="A385" s="4" t="s">
        <v>2178</v>
      </c>
      <c r="B385" s="7">
        <f>IFERROR(__xludf.DUMMYFUNCTION("GOOGLEFINANCE(A385, ""price"")"),188.45)</f>
        <v>188.45</v>
      </c>
      <c r="C385" s="7">
        <f>IFERROR(__xludf.DUMMYFUNCTION("GOOGLEFINANCE(A385, ""changepct"")"),0.87)</f>
        <v>0.87</v>
      </c>
      <c r="D385" s="9">
        <f>IFERROR(__xludf.DUMMYFUNCTION("GOOGLEFINANCE(A385, ""priceopen"")"),186.5)</f>
        <v>186.5</v>
      </c>
      <c r="E385" s="9">
        <f>IFERROR(__xludf.DUMMYFUNCTION("GOOGLEFINANCE(A385, ""high"")"),190.45)</f>
        <v>190.45</v>
      </c>
      <c r="F385" s="9">
        <f>IFERROR(__xludf.DUMMYFUNCTION("GOOGLEFINANCE(A385, ""low"")"),186.11)</f>
        <v>186.11</v>
      </c>
      <c r="G385" s="9">
        <f>IFERROR(__xludf.DUMMYFUNCTION("GOOGLEFINANCE(A385, ""price"")"),188.45)</f>
        <v>188.45</v>
      </c>
      <c r="H385" s="9">
        <f>IFERROR(__xludf.DUMMYFUNCTION("MAX(INDEX(GOOGLEFINANCE(A385, ""high"", TODAY()-30, TODAY()), 0, 2))"),195.0)</f>
        <v>195</v>
      </c>
      <c r="I385" s="9">
        <f>IFERROR(__xludf.DUMMYFUNCTION("MIN(INDEX(GOOGLEFINANCE(A385, ""low"", TODAY()-30, TODAY()), 0, 2))"),183.05)</f>
        <v>183.05</v>
      </c>
      <c r="J385" s="9">
        <f>IFERROR(__xludf.DUMMYFUNCTION("GOOGLEFINANCE(A385, ""high52"")"),212.4)</f>
        <v>212.4</v>
      </c>
      <c r="K385" s="9">
        <f>IFERROR(__xludf.DUMMYFUNCTION("GOOGLEFINANCE(A385, ""low52"")"),170.1)</f>
        <v>170.1</v>
      </c>
      <c r="L385" s="9">
        <f t="shared" si="1"/>
        <v>0.1127589454</v>
      </c>
      <c r="M385" s="9">
        <f t="shared" si="2"/>
        <v>0.107877719</v>
      </c>
      <c r="N385" s="9">
        <f t="shared" si="3"/>
        <v>0.02331954221</v>
      </c>
      <c r="O385" s="9">
        <f t="shared" si="4"/>
        <v>0.4518828452</v>
      </c>
      <c r="P385" s="9">
        <f>IFERROR(__xludf.DUMMYFUNCTION("GOOGLEFINANCE(A385, ""pe"")"),17.56)</f>
        <v>17.56</v>
      </c>
      <c r="Q385" s="9">
        <f>IFERROR(__xludf.DUMMYFUNCTION("IFERROR(GOOGLEFINANCE(A385, ""volume"") / GOOGLEFINANCE(A385, ""volumeavg""), 0)"),0.0)</f>
        <v>0</v>
      </c>
      <c r="R385" s="9">
        <f>IFERROR(__xludf.DUMMYFUNCTION("AVERAGE(INDEX(GOOGLEFINANCE(A385, ""price"", TODAY()-30, TODAY()), 0, 2))"),186.4186956521739)</f>
        <v>186.4186957</v>
      </c>
      <c r="S385" s="9">
        <f>IFERROR(__xludf.DUMMYFUNCTION("AVERAGE(INDEX(GOOGLEFINANCE(A385, ""price"", TODAY()-75, TODAY()), 0, 2))"),185.18886792452824)</f>
        <v>185.1888679</v>
      </c>
      <c r="T385" s="9">
        <f>IFERROR(__xludf.DUMMYFUNCTION("AVERAGE(INDEX(GOOGLEFINANCE(A385, ""price"", TODAY()-300, TODAY()), 0, 2))"),186.42514851485132)</f>
        <v>186.4251485</v>
      </c>
      <c r="U385" s="9">
        <f t="shared" si="5"/>
        <v>0.01089646261</v>
      </c>
      <c r="V385" s="15">
        <f>IFERROR(__xludf.DUMMYFUNCTION("LET(hist, GOOGLEFINANCE(A385,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rs))))))"),56.656613528651455)</f>
        <v>56.65661353</v>
      </c>
      <c r="W385" s="16" t="str">
        <f>IFERROR(__xludf.DUMMYFUNCTION("IFERROR(GOOGLEFINANCE(A385, ""volume"") / GOOGLEFINANCE(A385, ""volumeavg""), )"),"")</f>
        <v/>
      </c>
      <c r="X385" s="9">
        <f>IFERROR(__xludf.DUMMYFUNCTION("B385 * GOOGLEFINANCE(A385, ""volume"")"),9.627804968E8)</f>
        <v>962780496.8</v>
      </c>
      <c r="Y385" s="9">
        <f>IFERROR(__xludf.DUMMYFUNCTION("IFERROR(((B385 - GOOGLEFINANCE(A385, ""priceopen"")) / GOOGLEFINANCE(A385, ""priceopen"")) * GOOGLEFINANCE(A385, ""volume""), 0)"),53417.91313672891)</f>
        <v>53417.91314</v>
      </c>
    </row>
    <row r="386">
      <c r="A386" s="4" t="s">
        <v>2179</v>
      </c>
      <c r="B386" s="7">
        <f>IFERROR(__xludf.DUMMYFUNCTION("GOOGLEFINANCE(A386, ""price"")"),490.0)</f>
        <v>490</v>
      </c>
      <c r="C386" s="7">
        <f>IFERROR(__xludf.DUMMYFUNCTION("GOOGLEFINANCE(A386, ""changepct"")"),-1.18)</f>
        <v>-1.18</v>
      </c>
      <c r="D386" s="9">
        <f>IFERROR(__xludf.DUMMYFUNCTION("GOOGLEFINANCE(A386, ""priceopen"")"),497.35)</f>
        <v>497.35</v>
      </c>
      <c r="E386" s="9">
        <f>IFERROR(__xludf.DUMMYFUNCTION("GOOGLEFINANCE(A386, ""high"")"),499.75)</f>
        <v>499.75</v>
      </c>
      <c r="F386" s="9">
        <f>IFERROR(__xludf.DUMMYFUNCTION("GOOGLEFINANCE(A386, ""low"")"),487.9)</f>
        <v>487.9</v>
      </c>
      <c r="G386" s="9">
        <f>IFERROR(__xludf.DUMMYFUNCTION("GOOGLEFINANCE(A386, ""price"")"),490.0)</f>
        <v>490</v>
      </c>
      <c r="H386" s="9">
        <f>IFERROR(__xludf.DUMMYFUNCTION("MAX(INDEX(GOOGLEFINANCE(A386, ""high"", TODAY()-30, TODAY()), 0, 2))"),538.0)</f>
        <v>538</v>
      </c>
      <c r="I386" s="9">
        <f>IFERROR(__xludf.DUMMYFUNCTION("MIN(INDEX(GOOGLEFINANCE(A386, ""low"", TODAY()-30, TODAY()), 0, 2))"),487.9)</f>
        <v>487.9</v>
      </c>
      <c r="J386" s="9">
        <f>IFERROR(__xludf.DUMMYFUNCTION("GOOGLEFINANCE(A386, ""high52"")"),639.75)</f>
        <v>639.75</v>
      </c>
      <c r="K386" s="9">
        <f>IFERROR(__xludf.DUMMYFUNCTION("GOOGLEFINANCE(A386, ""low52"")"),453.1)</f>
        <v>453.1</v>
      </c>
      <c r="L386" s="9">
        <f t="shared" si="1"/>
        <v>0.2340758109</v>
      </c>
      <c r="M386" s="9">
        <f t="shared" si="2"/>
        <v>0.08143897594</v>
      </c>
      <c r="N386" s="9">
        <f t="shared" si="3"/>
        <v>0.02428776389</v>
      </c>
      <c r="O386" s="9">
        <f t="shared" si="4"/>
        <v>0.04191616766</v>
      </c>
      <c r="P386" s="9">
        <f>IFERROR(__xludf.DUMMYFUNCTION("GOOGLEFINANCE(A386, ""pe"")"),15.29)</f>
        <v>15.29</v>
      </c>
      <c r="Q386" s="9">
        <f>IFERROR(__xludf.DUMMYFUNCTION("IFERROR(GOOGLEFINANCE(A386, ""volume"") / GOOGLEFINANCE(A386, ""volumeavg""), 0)"),0.0)</f>
        <v>0</v>
      </c>
      <c r="R386" s="9">
        <f>IFERROR(__xludf.DUMMYFUNCTION("AVERAGE(INDEX(GOOGLEFINANCE(A386, ""price"", TODAY()-30, TODAY()), 0, 2))"),503.5239130434784)</f>
        <v>503.523913</v>
      </c>
      <c r="S386" s="9">
        <f>IFERROR(__xludf.DUMMYFUNCTION("AVERAGE(INDEX(GOOGLEFINANCE(A386, ""price"", TODAY()-75, TODAY()), 0, 2))"),510.6198113207547)</f>
        <v>510.6198113</v>
      </c>
      <c r="T386" s="9">
        <f>IFERROR(__xludf.DUMMYFUNCTION("AVERAGE(INDEX(GOOGLEFINANCE(A386, ""price"", TODAY()-300, TODAY()), 0, 2))"),521.6690594059405)</f>
        <v>521.6690594</v>
      </c>
      <c r="U386" s="9">
        <f t="shared" si="5"/>
        <v>-0.02685853183</v>
      </c>
      <c r="V386" s="15">
        <f>IFERROR(__xludf.DUMMYFUNCTION("LET(hist, GOOGLEFINANCE(A386,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rs))))))"),41.634491634491624)</f>
        <v>41.63449163</v>
      </c>
      <c r="W386" s="16" t="str">
        <f>IFERROR(__xludf.DUMMYFUNCTION("IFERROR(GOOGLEFINANCE(A386, ""volume"") / GOOGLEFINANCE(A386, ""volumeavg""), )"),"")</f>
        <v/>
      </c>
      <c r="X386" s="9">
        <f>IFERROR(__xludf.DUMMYFUNCTION("B386 * GOOGLEFINANCE(A386, ""volume"")"),8.360331E7)</f>
        <v>83603310</v>
      </c>
      <c r="Y386" s="9">
        <f>IFERROR(__xludf.DUMMYFUNCTION("IFERROR(((B386 - GOOGLEFINANCE(A386, ""priceopen"")) / GOOGLEFINANCE(A386, ""priceopen"")) * GOOGLEFINANCE(A386, ""volume""), 0)"),-2521.4630541871998)</f>
        <v>-2521.463054</v>
      </c>
    </row>
    <row r="387">
      <c r="A387" s="4" t="s">
        <v>2180</v>
      </c>
      <c r="B387" s="7">
        <f>IFERROR(__xludf.DUMMYFUNCTION("GOOGLEFINANCE(A387, ""price"")"),130.58)</f>
        <v>130.58</v>
      </c>
      <c r="C387" s="7">
        <f>IFERROR(__xludf.DUMMYFUNCTION("GOOGLEFINANCE(A387, ""changepct"")"),-0.71)</f>
        <v>-0.71</v>
      </c>
      <c r="D387" s="9">
        <f>IFERROR(__xludf.DUMMYFUNCTION("GOOGLEFINANCE(A387, ""priceopen"")"),131.52)</f>
        <v>131.52</v>
      </c>
      <c r="E387" s="9">
        <f>IFERROR(__xludf.DUMMYFUNCTION("GOOGLEFINANCE(A387, ""high"")"),132.45)</f>
        <v>132.45</v>
      </c>
      <c r="F387" s="9">
        <f>IFERROR(__xludf.DUMMYFUNCTION("GOOGLEFINANCE(A387, ""low"")"),130.2)</f>
        <v>130.2</v>
      </c>
      <c r="G387" s="9">
        <f>IFERROR(__xludf.DUMMYFUNCTION("GOOGLEFINANCE(A387, ""price"")"),130.58)</f>
        <v>130.58</v>
      </c>
      <c r="H387" s="9">
        <f>IFERROR(__xludf.DUMMYFUNCTION("MAX(INDEX(GOOGLEFINANCE(A387, ""high"", TODAY()-30, TODAY()), 0, 2))"),143.4)</f>
        <v>143.4</v>
      </c>
      <c r="I387" s="9">
        <f>IFERROR(__xludf.DUMMYFUNCTION("MIN(INDEX(GOOGLEFINANCE(A387, ""low"", TODAY()-30, TODAY()), 0, 2))"),129.88)</f>
        <v>129.88</v>
      </c>
      <c r="J387" s="9">
        <f>IFERROR(__xludf.DUMMYFUNCTION("GOOGLEFINANCE(A387, ""high52"")"),162.15)</f>
        <v>162.15</v>
      </c>
      <c r="K387" s="9">
        <f>IFERROR(__xludf.DUMMYFUNCTION("GOOGLEFINANCE(A387, ""low52"")"),106.65)</f>
        <v>106.65</v>
      </c>
      <c r="L387" s="9">
        <f t="shared" si="1"/>
        <v>0.1946962689</v>
      </c>
      <c r="M387" s="9">
        <f t="shared" si="2"/>
        <v>0.2243788092</v>
      </c>
      <c r="N387" s="9">
        <f t="shared" si="3"/>
        <v>0.01728110599</v>
      </c>
      <c r="O387" s="9">
        <f t="shared" si="4"/>
        <v>0.05177514793</v>
      </c>
      <c r="P387" s="9" t="str">
        <f>IFERROR(__xludf.DUMMYFUNCTION("GOOGLEFINANCE(A387, ""pe"")"),"#N/A")</f>
        <v>#N/A</v>
      </c>
      <c r="Q387" s="9">
        <f>IFERROR(__xludf.DUMMYFUNCTION("IFERROR(GOOGLEFINANCE(A387, ""volume"") / GOOGLEFINANCE(A387, ""volumeavg""), 0)"),0.0)</f>
        <v>0</v>
      </c>
      <c r="R387" s="9">
        <f>IFERROR(__xludf.DUMMYFUNCTION("AVERAGE(INDEX(GOOGLEFINANCE(A387, ""price"", TODAY()-30, TODAY()), 0, 2))"),135.02913043478262)</f>
        <v>135.0291304</v>
      </c>
      <c r="S387" s="9">
        <f>IFERROR(__xludf.DUMMYFUNCTION("AVERAGE(INDEX(GOOGLEFINANCE(A387, ""price"", TODAY()-75, TODAY()), 0, 2))"),132.8422641509434)</f>
        <v>132.8422642</v>
      </c>
      <c r="T387" s="9">
        <f>IFERROR(__xludf.DUMMYFUNCTION("AVERAGE(INDEX(GOOGLEFINANCE(A387, ""price"", TODAY()-300, TODAY()), 0, 2))"),125.11321782178221)</f>
        <v>125.1132178</v>
      </c>
      <c r="U387" s="9">
        <f t="shared" si="5"/>
        <v>-0.03294941188</v>
      </c>
      <c r="V387" s="15">
        <f>IFERROR(__xludf.DUMMYFUNCTION("LET(hist, GOOGLEFINANCE(A387,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rs))))))"),39.876923076923084)</f>
        <v>39.87692308</v>
      </c>
      <c r="W387" s="16" t="str">
        <f>IFERROR(__xludf.DUMMYFUNCTION("IFERROR(GOOGLEFINANCE(A387, ""volume"") / GOOGLEFINANCE(A387, ""volumeavg""), )"),"")</f>
        <v/>
      </c>
      <c r="X387" s="9">
        <f>IFERROR(__xludf.DUMMYFUNCTION("B387 * GOOGLEFINANCE(A387, ""volume"")"),1.0922768898E8)</f>
        <v>109227689</v>
      </c>
      <c r="Y387" s="9">
        <f>IFERROR(__xludf.DUMMYFUNCTION("IFERROR(((B387 - GOOGLEFINANCE(A387, ""priceopen"")) / GOOGLEFINANCE(A387, ""priceopen"")) * GOOGLEFINANCE(A387, ""volume""), 0)"),-5978.498631386846)</f>
        <v>-5978.498631</v>
      </c>
    </row>
    <row r="388">
      <c r="A388" s="4" t="s">
        <v>2181</v>
      </c>
      <c r="B388" s="7">
        <f>IFERROR(__xludf.DUMMYFUNCTION("GOOGLEFINANCE(A388, ""price"")"),572.5)</f>
        <v>572.5</v>
      </c>
      <c r="C388" s="7">
        <f>IFERROR(__xludf.DUMMYFUNCTION("GOOGLEFINANCE(A388, ""changepct"")"),-0.24)</f>
        <v>-0.24</v>
      </c>
      <c r="D388" s="9">
        <f>IFERROR(__xludf.DUMMYFUNCTION("GOOGLEFINANCE(A388, ""priceopen"")"),572.0)</f>
        <v>572</v>
      </c>
      <c r="E388" s="9">
        <f>IFERROR(__xludf.DUMMYFUNCTION("GOOGLEFINANCE(A388, ""high"")"),583.2)</f>
        <v>583.2</v>
      </c>
      <c r="F388" s="9">
        <f>IFERROR(__xludf.DUMMYFUNCTION("GOOGLEFINANCE(A388, ""low"")"),572.0)</f>
        <v>572</v>
      </c>
      <c r="G388" s="9">
        <f>IFERROR(__xludf.DUMMYFUNCTION("GOOGLEFINANCE(A388, ""price"")"),572.5)</f>
        <v>572.5</v>
      </c>
      <c r="H388" s="9">
        <f>IFERROR(__xludf.DUMMYFUNCTION("MAX(INDEX(GOOGLEFINANCE(A388, ""high"", TODAY()-30, TODAY()), 0, 2))"),607.0)</f>
        <v>607</v>
      </c>
      <c r="I388" s="9">
        <f>IFERROR(__xludf.DUMMYFUNCTION("MIN(INDEX(GOOGLEFINANCE(A388, ""low"", TODAY()-30, TODAY()), 0, 2))"),565.4)</f>
        <v>565.4</v>
      </c>
      <c r="J388" s="9">
        <f>IFERROR(__xludf.DUMMYFUNCTION("GOOGLEFINANCE(A388, ""high52"")"),633.85)</f>
        <v>633.85</v>
      </c>
      <c r="K388" s="9">
        <f>IFERROR(__xludf.DUMMYFUNCTION("GOOGLEFINANCE(A388, ""low52"")"),408.25)</f>
        <v>408.25</v>
      </c>
      <c r="L388" s="9">
        <f t="shared" si="1"/>
        <v>0.09678946123</v>
      </c>
      <c r="M388" s="9">
        <f t="shared" si="2"/>
        <v>0.4023270055</v>
      </c>
      <c r="N388" s="9">
        <f t="shared" si="3"/>
        <v>0.01958041958</v>
      </c>
      <c r="O388" s="9">
        <f t="shared" si="4"/>
        <v>0.1706730769</v>
      </c>
      <c r="P388" s="9">
        <f>IFERROR(__xludf.DUMMYFUNCTION("GOOGLEFINANCE(A388, ""pe"")"),42.07)</f>
        <v>42.07</v>
      </c>
      <c r="Q388" s="9">
        <f>IFERROR(__xludf.DUMMYFUNCTION("IFERROR(GOOGLEFINANCE(A388, ""volume"") / GOOGLEFINANCE(A388, ""volumeavg""), 0)"),0.0)</f>
        <v>0</v>
      </c>
      <c r="R388" s="9">
        <f>IFERROR(__xludf.DUMMYFUNCTION("AVERAGE(INDEX(GOOGLEFINANCE(A388, ""price"", TODAY()-30, TODAY()), 0, 2))"),580.5)</f>
        <v>580.5</v>
      </c>
      <c r="S388" s="9">
        <f>IFERROR(__xludf.DUMMYFUNCTION("AVERAGE(INDEX(GOOGLEFINANCE(A388, ""price"", TODAY()-75, TODAY()), 0, 2))"),590.7349056603774)</f>
        <v>590.7349057</v>
      </c>
      <c r="T388" s="9">
        <f>IFERROR(__xludf.DUMMYFUNCTION("AVERAGE(INDEX(GOOGLEFINANCE(A388, ""price"", TODAY()-300, TODAY()), 0, 2))"),521.9693069306933)</f>
        <v>521.9693069</v>
      </c>
      <c r="U388" s="9">
        <f t="shared" si="5"/>
        <v>-0.01378122308</v>
      </c>
      <c r="V388" s="15">
        <f>IFERROR(__xludf.DUMMYFUNCTION("LET(hist, GOOGLEFINANCE(A388,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rs))))))"),43.95161290322581)</f>
        <v>43.9516129</v>
      </c>
      <c r="W388" s="16" t="str">
        <f>IFERROR(__xludf.DUMMYFUNCTION("IFERROR(GOOGLEFINANCE(A388, ""volume"") / GOOGLEFINANCE(A388, ""volumeavg""), )"),"")</f>
        <v/>
      </c>
      <c r="X388" s="9">
        <f>IFERROR(__xludf.DUMMYFUNCTION("B388 * GOOGLEFINANCE(A388, ""volume"")"),2.01031085E8)</f>
        <v>201031085</v>
      </c>
      <c r="Y388" s="9">
        <f>IFERROR(__xludf.DUMMYFUNCTION("IFERROR(((B388 - GOOGLEFINANCE(A388, ""priceopen"")) / GOOGLEFINANCE(A388, ""priceopen"")) * GOOGLEFINANCE(A388, ""volume""), 0)"),306.9458041958042)</f>
        <v>306.9458042</v>
      </c>
    </row>
    <row r="389">
      <c r="A389" s="4" t="s">
        <v>2182</v>
      </c>
      <c r="B389" s="7">
        <f>IFERROR(__xludf.DUMMYFUNCTION("GOOGLEFINANCE(A389, ""price"")"),602.45)</f>
        <v>602.45</v>
      </c>
      <c r="C389" s="7">
        <f>IFERROR(__xludf.DUMMYFUNCTION("GOOGLEFINANCE(A389, ""changepct"")"),-0.09)</f>
        <v>-0.09</v>
      </c>
      <c r="D389" s="9">
        <f>IFERROR(__xludf.DUMMYFUNCTION("GOOGLEFINANCE(A389, ""priceopen"")"),602.9)</f>
        <v>602.9</v>
      </c>
      <c r="E389" s="9">
        <f>IFERROR(__xludf.DUMMYFUNCTION("GOOGLEFINANCE(A389, ""high"")"),617.15)</f>
        <v>617.15</v>
      </c>
      <c r="F389" s="9">
        <f>IFERROR(__xludf.DUMMYFUNCTION("GOOGLEFINANCE(A389, ""low"")"),600.5)</f>
        <v>600.5</v>
      </c>
      <c r="G389" s="9">
        <f>IFERROR(__xludf.DUMMYFUNCTION("GOOGLEFINANCE(A389, ""price"")"),602.45)</f>
        <v>602.45</v>
      </c>
      <c r="H389" s="9">
        <f>IFERROR(__xludf.DUMMYFUNCTION("MAX(INDEX(GOOGLEFINANCE(A389, ""high"", TODAY()-30, TODAY()), 0, 2))"),617.15)</f>
        <v>617.15</v>
      </c>
      <c r="I389" s="9">
        <f>IFERROR(__xludf.DUMMYFUNCTION("MIN(INDEX(GOOGLEFINANCE(A389, ""low"", TODAY()-30, TODAY()), 0, 2))"),548.1)</f>
        <v>548.1</v>
      </c>
      <c r="J389" s="9">
        <f>IFERROR(__xludf.DUMMYFUNCTION("GOOGLEFINANCE(A389, ""high52"")"),771.9)</f>
        <v>771.9</v>
      </c>
      <c r="K389" s="9">
        <f>IFERROR(__xludf.DUMMYFUNCTION("GOOGLEFINANCE(A389, ""low52"")"),400.0)</f>
        <v>400</v>
      </c>
      <c r="L389" s="9">
        <f t="shared" si="1"/>
        <v>0.2195232543</v>
      </c>
      <c r="M389" s="9">
        <f t="shared" si="2"/>
        <v>0.506125</v>
      </c>
      <c r="N389" s="9">
        <f t="shared" si="3"/>
        <v>0.02772689425</v>
      </c>
      <c r="O389" s="9">
        <f t="shared" si="4"/>
        <v>0.7871107893</v>
      </c>
      <c r="P389" s="9">
        <f>IFERROR(__xludf.DUMMYFUNCTION("GOOGLEFINANCE(A389, ""pe"")"),20.03)</f>
        <v>20.03</v>
      </c>
      <c r="Q389" s="9">
        <f>IFERROR(__xludf.DUMMYFUNCTION("IFERROR(GOOGLEFINANCE(A389, ""volume"") / GOOGLEFINANCE(A389, ""volumeavg""), 0)"),0.0)</f>
        <v>0</v>
      </c>
      <c r="R389" s="9">
        <f>IFERROR(__xludf.DUMMYFUNCTION("AVERAGE(INDEX(GOOGLEFINANCE(A389, ""price"", TODAY()-30, TODAY()), 0, 2))"),577.5260869565217)</f>
        <v>577.526087</v>
      </c>
      <c r="S389" s="9">
        <f>IFERROR(__xludf.DUMMYFUNCTION("AVERAGE(INDEX(GOOGLEFINANCE(A389, ""price"", TODAY()-75, TODAY()), 0, 2))"),598.8933962264151)</f>
        <v>598.8933962</v>
      </c>
      <c r="T389" s="9">
        <f>IFERROR(__xludf.DUMMYFUNCTION("AVERAGE(INDEX(GOOGLEFINANCE(A389, ""price"", TODAY()-300, TODAY()), 0, 2))"),589.8702970297032)</f>
        <v>589.870297</v>
      </c>
      <c r="U389" s="9">
        <f t="shared" si="5"/>
        <v>0.04315634152</v>
      </c>
      <c r="V389" s="15">
        <f>IFERROR(__xludf.DUMMYFUNCTION("LET(hist, GOOGLEFINANCE(A389,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rs))))))"),65.19441298603243)</f>
        <v>65.19441299</v>
      </c>
      <c r="W389" s="16" t="str">
        <f>IFERROR(__xludf.DUMMYFUNCTION("IFERROR(GOOGLEFINANCE(A389, ""volume"") / GOOGLEFINANCE(A389, ""volumeavg""), )"),"")</f>
        <v/>
      </c>
      <c r="X389" s="9">
        <f>IFERROR(__xludf.DUMMYFUNCTION("B389 * GOOGLEFINANCE(A389, ""volume"")"),1.5376644624E9)</f>
        <v>1537664462</v>
      </c>
      <c r="Y389" s="9">
        <f>IFERROR(__xludf.DUMMYFUNCTION("IFERROR(((B389 - GOOGLEFINANCE(A389, ""priceopen"")) / GOOGLEFINANCE(A389, ""priceopen"")) * GOOGLEFINANCE(A389, ""volume""), 0)"),-1905.0562282299318)</f>
        <v>-1905.056228</v>
      </c>
    </row>
    <row r="390">
      <c r="A390" s="4" t="s">
        <v>2183</v>
      </c>
      <c r="B390" s="7">
        <f>IFERROR(__xludf.DUMMYFUNCTION("GOOGLEFINANCE(A390, ""price"")"),39.9)</f>
        <v>39.9</v>
      </c>
      <c r="C390" s="7">
        <f>IFERROR(__xludf.DUMMYFUNCTION("GOOGLEFINANCE(A390, ""changepct"")"),0.61)</f>
        <v>0.61</v>
      </c>
      <c r="D390" s="9">
        <f>IFERROR(__xludf.DUMMYFUNCTION("GOOGLEFINANCE(A390, ""priceopen"")"),39.85)</f>
        <v>39.85</v>
      </c>
      <c r="E390" s="9">
        <f>IFERROR(__xludf.DUMMYFUNCTION("GOOGLEFINANCE(A390, ""high"")"),40.81)</f>
        <v>40.81</v>
      </c>
      <c r="F390" s="9">
        <f>IFERROR(__xludf.DUMMYFUNCTION("GOOGLEFINANCE(A390, ""low"")"),39.29)</f>
        <v>39.29</v>
      </c>
      <c r="G390" s="9">
        <f>IFERROR(__xludf.DUMMYFUNCTION("GOOGLEFINANCE(A390, ""price"")"),39.9)</f>
        <v>39.9</v>
      </c>
      <c r="H390" s="9">
        <f>IFERROR(__xludf.DUMMYFUNCTION("MAX(INDEX(GOOGLEFINANCE(A390, ""high"", TODAY()-30, TODAY()), 0, 2))"),42.6)</f>
        <v>42.6</v>
      </c>
      <c r="I390" s="9">
        <f>IFERROR(__xludf.DUMMYFUNCTION("MIN(INDEX(GOOGLEFINANCE(A390, ""low"", TODAY()-30, TODAY()), 0, 2))"),36.16)</f>
        <v>36.16</v>
      </c>
      <c r="J390" s="9">
        <f>IFERROR(__xludf.DUMMYFUNCTION("GOOGLEFINANCE(A390, ""high52"")"),71.25)</f>
        <v>71.25</v>
      </c>
      <c r="K390" s="9">
        <f>IFERROR(__xludf.DUMMYFUNCTION("GOOGLEFINANCE(A390, ""low52"")"),22.25)</f>
        <v>22.25</v>
      </c>
      <c r="L390" s="9">
        <f t="shared" si="1"/>
        <v>0.44</v>
      </c>
      <c r="M390" s="9">
        <f t="shared" si="2"/>
        <v>0.793258427</v>
      </c>
      <c r="N390" s="9">
        <f t="shared" si="3"/>
        <v>0.03868668872</v>
      </c>
      <c r="O390" s="9">
        <f t="shared" si="4"/>
        <v>0.5807453416</v>
      </c>
      <c r="P390" s="9" t="str">
        <f>IFERROR(__xludf.DUMMYFUNCTION("GOOGLEFINANCE(A390, ""pe"")"),"#N/A")</f>
        <v>#N/A</v>
      </c>
      <c r="Q390" s="9">
        <f>IFERROR(__xludf.DUMMYFUNCTION("IFERROR(GOOGLEFINANCE(A390, ""volume"") / GOOGLEFINANCE(A390, ""volumeavg""), 0)"),0.0)</f>
        <v>0</v>
      </c>
      <c r="R390" s="9">
        <f>IFERROR(__xludf.DUMMYFUNCTION("AVERAGE(INDEX(GOOGLEFINANCE(A390, ""price"", TODAY()-30, TODAY()), 0, 2))"),39.06347826086956)</f>
        <v>39.06347826</v>
      </c>
      <c r="S390" s="9">
        <f>IFERROR(__xludf.DUMMYFUNCTION("AVERAGE(INDEX(GOOGLEFINANCE(A390, ""price"", TODAY()-75, TODAY()), 0, 2))"),41.374528301886805)</f>
        <v>41.3745283</v>
      </c>
      <c r="T390" s="9">
        <f>IFERROR(__xludf.DUMMYFUNCTION("AVERAGE(INDEX(GOOGLEFINANCE(A390, ""price"", TODAY()-300, TODAY()), 0, 2))"),37.222772277227726)</f>
        <v>37.22277228</v>
      </c>
      <c r="U390" s="9">
        <f t="shared" si="5"/>
        <v>0.02141442023</v>
      </c>
      <c r="V390" s="15">
        <f>IFERROR(__xludf.DUMMYFUNCTION("LET(hist, GOOGLEFINANCE(A390,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rs))))))"),65.81858407079645)</f>
        <v>65.81858407</v>
      </c>
      <c r="W390" s="16" t="str">
        <f>IFERROR(__xludf.DUMMYFUNCTION("IFERROR(GOOGLEFINANCE(A390, ""volume"") / GOOGLEFINANCE(A390, ""volumeavg""), )"),"")</f>
        <v/>
      </c>
      <c r="X390" s="9">
        <f>IFERROR(__xludf.DUMMYFUNCTION("B390 * GOOGLEFINANCE(A390, ""volume"")"),1.6121440188E9)</f>
        <v>1612144019</v>
      </c>
      <c r="Y390" s="9">
        <f>IFERROR(__xludf.DUMMYFUNCTION("IFERROR(((B390 - GOOGLEFINANCE(A390, ""priceopen"")) / GOOGLEFINANCE(A390, ""priceopen"")) * GOOGLEFINANCE(A390, ""volume""), 0)"),50695.87452948269)</f>
        <v>50695.87453</v>
      </c>
    </row>
    <row r="391">
      <c r="A391" s="4" t="s">
        <v>2184</v>
      </c>
      <c r="B391" s="7">
        <f>IFERROR(__xludf.DUMMYFUNCTION("GOOGLEFINANCE(A391, ""price"")"),824.0)</f>
        <v>824</v>
      </c>
      <c r="C391" s="7">
        <f>IFERROR(__xludf.DUMMYFUNCTION("GOOGLEFINANCE(A391, ""changepct"")"),0.34)</f>
        <v>0.34</v>
      </c>
      <c r="D391" s="9">
        <f>IFERROR(__xludf.DUMMYFUNCTION("GOOGLEFINANCE(A391, ""priceopen"")"),817.2)</f>
        <v>817.2</v>
      </c>
      <c r="E391" s="9">
        <f>IFERROR(__xludf.DUMMYFUNCTION("GOOGLEFINANCE(A391, ""high"")"),827.0)</f>
        <v>827</v>
      </c>
      <c r="F391" s="9">
        <f>IFERROR(__xludf.DUMMYFUNCTION("GOOGLEFINANCE(A391, ""low"")"),811.8)</f>
        <v>811.8</v>
      </c>
      <c r="G391" s="9">
        <f>IFERROR(__xludf.DUMMYFUNCTION("GOOGLEFINANCE(A391, ""price"")"),824.0)</f>
        <v>824</v>
      </c>
      <c r="H391" s="9">
        <f>IFERROR(__xludf.DUMMYFUNCTION("MAX(INDEX(GOOGLEFINANCE(A391, ""high"", TODAY()-30, TODAY()), 0, 2))"),874.9)</f>
        <v>874.9</v>
      </c>
      <c r="I391" s="9">
        <f>IFERROR(__xludf.DUMMYFUNCTION("MIN(INDEX(GOOGLEFINANCE(A391, ""low"", TODAY()-30, TODAY()), 0, 2))"),785.05)</f>
        <v>785.05</v>
      </c>
      <c r="J391" s="9">
        <f>IFERROR(__xludf.DUMMYFUNCTION("GOOGLEFINANCE(A391, ""high52"")"),1070.1)</f>
        <v>1070.1</v>
      </c>
      <c r="K391" s="9">
        <f>IFERROR(__xludf.DUMMYFUNCTION("GOOGLEFINANCE(A391, ""low52"")"),691.35)</f>
        <v>691.35</v>
      </c>
      <c r="L391" s="9">
        <f t="shared" si="1"/>
        <v>0.2299785067</v>
      </c>
      <c r="M391" s="9">
        <f t="shared" si="2"/>
        <v>0.1918709771</v>
      </c>
      <c r="N391" s="9">
        <f t="shared" si="3"/>
        <v>0.0187238236</v>
      </c>
      <c r="O391" s="9">
        <f t="shared" si="4"/>
        <v>0.4335002782</v>
      </c>
      <c r="P391" s="9">
        <f>IFERROR(__xludf.DUMMYFUNCTION("GOOGLEFINANCE(A391, ""pe"")"),34.19)</f>
        <v>34.19</v>
      </c>
      <c r="Q391" s="9">
        <f>IFERROR(__xludf.DUMMYFUNCTION("IFERROR(GOOGLEFINANCE(A391, ""volume"") / GOOGLEFINANCE(A391, ""volumeavg""), 0)"),0.0)</f>
        <v>0</v>
      </c>
      <c r="R391" s="9">
        <f>IFERROR(__xludf.DUMMYFUNCTION("AVERAGE(INDEX(GOOGLEFINANCE(A391, ""price"", TODAY()-30, TODAY()), 0, 2))"),838.4152173913043)</f>
        <v>838.4152174</v>
      </c>
      <c r="S391" s="9">
        <f>IFERROR(__xludf.DUMMYFUNCTION("AVERAGE(INDEX(GOOGLEFINANCE(A391, ""price"", TODAY()-75, TODAY()), 0, 2))"),811.9783018867925)</f>
        <v>811.9783019</v>
      </c>
      <c r="T391" s="9">
        <f>IFERROR(__xludf.DUMMYFUNCTION("AVERAGE(INDEX(GOOGLEFINANCE(A391, ""price"", TODAY()-300, TODAY()), 0, 2))"),831.4888613861391)</f>
        <v>831.4888614</v>
      </c>
      <c r="U391" s="9">
        <f t="shared" si="5"/>
        <v>-0.01719341096</v>
      </c>
      <c r="V391" s="15">
        <f>IFERROR(__xludf.DUMMYFUNCTION("LET(hist, GOOGLEFINANCE(A391,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rs))))))"),50.62447960033305)</f>
        <v>50.6244796</v>
      </c>
      <c r="W391" s="16" t="str">
        <f>IFERROR(__xludf.DUMMYFUNCTION("IFERROR(GOOGLEFINANCE(A391, ""volume"") / GOOGLEFINANCE(A391, ""volumeavg""), )"),"")</f>
        <v/>
      </c>
      <c r="X391" s="9">
        <f>IFERROR(__xludf.DUMMYFUNCTION("B391 * GOOGLEFINANCE(A391, ""volume"")"),6.5325896E7)</f>
        <v>65325896</v>
      </c>
      <c r="Y391" s="9">
        <f>IFERROR(__xludf.DUMMYFUNCTION("IFERROR(((B391 - GOOGLEFINANCE(A391, ""priceopen"")) / GOOGLEFINANCE(A391, ""priceopen"")) * GOOGLEFINANCE(A391, ""volume""), 0)"),659.6882036221199)</f>
        <v>659.6882036</v>
      </c>
    </row>
    <row r="392">
      <c r="A392" s="4" t="s">
        <v>2185</v>
      </c>
      <c r="B392" s="7">
        <f>IFERROR(__xludf.DUMMYFUNCTION("GOOGLEFINANCE(A392, ""price"")"),764.7)</f>
        <v>764.7</v>
      </c>
      <c r="C392" s="7">
        <f>IFERROR(__xludf.DUMMYFUNCTION("GOOGLEFINANCE(A392, ""changepct"")"),-1.51)</f>
        <v>-1.51</v>
      </c>
      <c r="D392" s="9">
        <f>IFERROR(__xludf.DUMMYFUNCTION("GOOGLEFINANCE(A392, ""priceopen"")"),776.4)</f>
        <v>776.4</v>
      </c>
      <c r="E392" s="9">
        <f>IFERROR(__xludf.DUMMYFUNCTION("GOOGLEFINANCE(A392, ""high"")"),776.4)</f>
        <v>776.4</v>
      </c>
      <c r="F392" s="9">
        <f>IFERROR(__xludf.DUMMYFUNCTION("GOOGLEFINANCE(A392, ""low"")"),761.1)</f>
        <v>761.1</v>
      </c>
      <c r="G392" s="9">
        <f>IFERROR(__xludf.DUMMYFUNCTION("GOOGLEFINANCE(A392, ""price"")"),764.7)</f>
        <v>764.7</v>
      </c>
      <c r="H392" s="9">
        <f>IFERROR(__xludf.DUMMYFUNCTION("MAX(INDEX(GOOGLEFINANCE(A392, ""high"", TODAY()-30, TODAY()), 0, 2))"),828.0)</f>
        <v>828</v>
      </c>
      <c r="I392" s="9">
        <f>IFERROR(__xludf.DUMMYFUNCTION("MIN(INDEX(GOOGLEFINANCE(A392, ""low"", TODAY()-30, TODAY()), 0, 2))"),756.2)</f>
        <v>756.2</v>
      </c>
      <c r="J392" s="9">
        <f>IFERROR(__xludf.DUMMYFUNCTION("GOOGLEFINANCE(A392, ""high52"")"),859.0)</f>
        <v>859</v>
      </c>
      <c r="K392" s="9">
        <f>IFERROR(__xludf.DUMMYFUNCTION("GOOGLEFINANCE(A392, ""low52"")"),618.5)</f>
        <v>618.5</v>
      </c>
      <c r="L392" s="9">
        <f t="shared" si="1"/>
        <v>0.1097788126</v>
      </c>
      <c r="M392" s="9">
        <f t="shared" si="2"/>
        <v>0.2363783347</v>
      </c>
      <c r="N392" s="9">
        <f t="shared" si="3"/>
        <v>0.02010248325</v>
      </c>
      <c r="O392" s="9">
        <f t="shared" si="4"/>
        <v>0.1183844011</v>
      </c>
      <c r="P392" s="9">
        <f>IFERROR(__xludf.DUMMYFUNCTION("GOOGLEFINANCE(A392, ""pe"")"),58.42)</f>
        <v>58.42</v>
      </c>
      <c r="Q392" s="9">
        <f>IFERROR(__xludf.DUMMYFUNCTION("IFERROR(GOOGLEFINANCE(A392, ""volume"") / GOOGLEFINANCE(A392, ""volumeavg""), 0)"),0.0)</f>
        <v>0</v>
      </c>
      <c r="R392" s="9">
        <f>IFERROR(__xludf.DUMMYFUNCTION("AVERAGE(INDEX(GOOGLEFINANCE(A392, ""price"", TODAY()-30, TODAY()), 0, 2))"),784.6086956521739)</f>
        <v>784.6086957</v>
      </c>
      <c r="S392" s="9">
        <f>IFERROR(__xludf.DUMMYFUNCTION("AVERAGE(INDEX(GOOGLEFINANCE(A392, ""price"", TODAY()-75, TODAY()), 0, 2))"),769.0971698113209)</f>
        <v>769.0971698</v>
      </c>
      <c r="T392" s="9">
        <f>IFERROR(__xludf.DUMMYFUNCTION("AVERAGE(INDEX(GOOGLEFINANCE(A392, ""price"", TODAY()-300, TODAY()), 0, 2))"),766.6126237623762)</f>
        <v>766.6126238</v>
      </c>
      <c r="U392" s="9">
        <f t="shared" si="5"/>
        <v>-0.02537404411</v>
      </c>
      <c r="V392" s="15">
        <f>IFERROR(__xludf.DUMMYFUNCTION("LET(hist, GOOGLEFINANCE(A392,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rs))))))"),45.605381165919304)</f>
        <v>45.60538117</v>
      </c>
      <c r="W392" s="16" t="str">
        <f>IFERROR(__xludf.DUMMYFUNCTION("IFERROR(GOOGLEFINANCE(A392, ""volume"") / GOOGLEFINANCE(A392, ""volumeavg""), )"),"")</f>
        <v/>
      </c>
      <c r="X392" s="9">
        <f>IFERROR(__xludf.DUMMYFUNCTION("B392 * GOOGLEFINANCE(A392, ""volume"")"),3.8127942E7)</f>
        <v>38127942</v>
      </c>
      <c r="Y392" s="9">
        <f>IFERROR(__xludf.DUMMYFUNCTION("IFERROR(((B392 - GOOGLEFINANCE(A392, ""priceopen"")) / GOOGLEFINANCE(A392, ""priceopen"")) * GOOGLEFINANCE(A392, ""volume""), 0)"),-751.3678516228705)</f>
        <v>-751.3678516</v>
      </c>
    </row>
    <row r="393">
      <c r="A393" s="4" t="s">
        <v>2186</v>
      </c>
      <c r="B393" s="7">
        <f>IFERROR(__xludf.DUMMYFUNCTION("GOOGLEFINANCE(A393, ""price"")"),532.95)</f>
        <v>532.95</v>
      </c>
      <c r="C393" s="7">
        <f>IFERROR(__xludf.DUMMYFUNCTION("GOOGLEFINANCE(A393, ""changepct"")"),5.47)</f>
        <v>5.47</v>
      </c>
      <c r="D393" s="9">
        <f>IFERROR(__xludf.DUMMYFUNCTION("GOOGLEFINANCE(A393, ""priceopen"")"),510.0)</f>
        <v>510</v>
      </c>
      <c r="E393" s="9">
        <f>IFERROR(__xludf.DUMMYFUNCTION("GOOGLEFINANCE(A393, ""high"")"),534.0)</f>
        <v>534</v>
      </c>
      <c r="F393" s="9">
        <f>IFERROR(__xludf.DUMMYFUNCTION("GOOGLEFINANCE(A393, ""low"")"),503.25)</f>
        <v>503.25</v>
      </c>
      <c r="G393" s="9">
        <f>IFERROR(__xludf.DUMMYFUNCTION("GOOGLEFINANCE(A393, ""price"")"),532.95)</f>
        <v>532.95</v>
      </c>
      <c r="H393" s="9">
        <f>IFERROR(__xludf.DUMMYFUNCTION("MAX(INDEX(GOOGLEFINANCE(A393, ""high"", TODAY()-30, TODAY()), 0, 2))"),534.0)</f>
        <v>534</v>
      </c>
      <c r="I393" s="9">
        <f>IFERROR(__xludf.DUMMYFUNCTION("MIN(INDEX(GOOGLEFINANCE(A393, ""low"", TODAY()-30, TODAY()), 0, 2))"),469.0)</f>
        <v>469</v>
      </c>
      <c r="J393" s="9">
        <f>IFERROR(__xludf.DUMMYFUNCTION("GOOGLEFINANCE(A393, ""high52"")"),534.0)</f>
        <v>534</v>
      </c>
      <c r="K393" s="9">
        <f>IFERROR(__xludf.DUMMYFUNCTION("GOOGLEFINANCE(A393, ""low52"")"),338.05)</f>
        <v>338.05</v>
      </c>
      <c r="L393" s="9">
        <f t="shared" si="1"/>
        <v>0.001966292135</v>
      </c>
      <c r="M393" s="9">
        <f t="shared" si="2"/>
        <v>0.5765419317</v>
      </c>
      <c r="N393" s="9">
        <f t="shared" si="3"/>
        <v>0.06110283159</v>
      </c>
      <c r="O393" s="9">
        <f t="shared" si="4"/>
        <v>0.9838461538</v>
      </c>
      <c r="P393" s="9">
        <f>IFERROR(__xludf.DUMMYFUNCTION("GOOGLEFINANCE(A393, ""pe"")"),36.48)</f>
        <v>36.48</v>
      </c>
      <c r="Q393" s="9">
        <f>IFERROR(__xludf.DUMMYFUNCTION("IFERROR(GOOGLEFINANCE(A393, ""volume"") / GOOGLEFINANCE(A393, ""volumeavg""), 0)"),0.0)</f>
        <v>0</v>
      </c>
      <c r="R393" s="9">
        <f>IFERROR(__xludf.DUMMYFUNCTION("AVERAGE(INDEX(GOOGLEFINANCE(A393, ""price"", TODAY()-30, TODAY()), 0, 2))"),492.4260869565218)</f>
        <v>492.426087</v>
      </c>
      <c r="S393" s="9">
        <f>IFERROR(__xludf.DUMMYFUNCTION("AVERAGE(INDEX(GOOGLEFINANCE(A393, ""price"", TODAY()-75, TODAY()), 0, 2))"),478.73962264150947)</f>
        <v>478.7396226</v>
      </c>
      <c r="T393" s="9">
        <f>IFERROR(__xludf.DUMMYFUNCTION("AVERAGE(INDEX(GOOGLEFINANCE(A393, ""price"", TODAY()-300, TODAY()), 0, 2))"),429.85569306930694)</f>
        <v>429.8556931</v>
      </c>
      <c r="U393" s="9">
        <f t="shared" si="5"/>
        <v>0.08229440746</v>
      </c>
      <c r="V393" s="15">
        <f>IFERROR(__xludf.DUMMYFUNCTION("LET(hist, GOOGLEFINANCE(A393,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rs))))))"),76.19284294234589)</f>
        <v>76.19284294</v>
      </c>
      <c r="W393" s="16" t="str">
        <f>IFERROR(__xludf.DUMMYFUNCTION("IFERROR(GOOGLEFINANCE(A393, ""volume"") / GOOGLEFINANCE(A393, ""volumeavg""), )"),"")</f>
        <v/>
      </c>
      <c r="X393" s="9">
        <f>IFERROR(__xludf.DUMMYFUNCTION("B393 * GOOGLEFINANCE(A393, ""volume"")"),2.8667369841000004E9)</f>
        <v>2866736984</v>
      </c>
      <c r="Y393" s="9">
        <f>IFERROR(__xludf.DUMMYFUNCTION("IFERROR(((B393 - GOOGLEFINANCE(A393, ""priceopen"")) / GOOGLEFINANCE(A393, ""priceopen"")) * GOOGLEFINANCE(A393, ""volume""), 0)"),242054.91000000047)</f>
        <v>242054.91</v>
      </c>
    </row>
    <row r="394">
      <c r="A394" s="4" t="s">
        <v>2187</v>
      </c>
      <c r="B394" s="7">
        <f>IFERROR(__xludf.DUMMYFUNCTION("GOOGLEFINANCE(A394, ""price"")"),1673.0)</f>
        <v>1673</v>
      </c>
      <c r="C394" s="7">
        <f>IFERROR(__xludf.DUMMYFUNCTION("GOOGLEFINANCE(A394, ""changepct"")"),-1.8)</f>
        <v>-1.8</v>
      </c>
      <c r="D394" s="9">
        <f>IFERROR(__xludf.DUMMYFUNCTION("GOOGLEFINANCE(A394, ""priceopen"")"),1712.2)</f>
        <v>1712.2</v>
      </c>
      <c r="E394" s="9">
        <f>IFERROR(__xludf.DUMMYFUNCTION("GOOGLEFINANCE(A394, ""high"")"),1749.3)</f>
        <v>1749.3</v>
      </c>
      <c r="F394" s="9">
        <f>IFERROR(__xludf.DUMMYFUNCTION("GOOGLEFINANCE(A394, ""low"")"),1651.2)</f>
        <v>1651.2</v>
      </c>
      <c r="G394" s="9">
        <f>IFERROR(__xludf.DUMMYFUNCTION("GOOGLEFINANCE(A394, ""price"")"),1673.0)</f>
        <v>1673</v>
      </c>
      <c r="H394" s="9">
        <f>IFERROR(__xludf.DUMMYFUNCTION("MAX(INDEX(GOOGLEFINANCE(A394, ""high"", TODAY()-30, TODAY()), 0, 2))"),1960.0)</f>
        <v>1960</v>
      </c>
      <c r="I394" s="9">
        <f>IFERROR(__xludf.DUMMYFUNCTION("MIN(INDEX(GOOGLEFINANCE(A394, ""low"", TODAY()-30, TODAY()), 0, 2))"),1651.2)</f>
        <v>1651.2</v>
      </c>
      <c r="J394" s="9">
        <f>IFERROR(__xludf.DUMMYFUNCTION("GOOGLEFINANCE(A394, ""high52"")"),1960.0)</f>
        <v>1960</v>
      </c>
      <c r="K394" s="9">
        <f>IFERROR(__xludf.DUMMYFUNCTION("GOOGLEFINANCE(A394, ""low52"")"),851.0)</f>
        <v>851</v>
      </c>
      <c r="L394" s="9">
        <f t="shared" si="1"/>
        <v>0.1464285714</v>
      </c>
      <c r="M394" s="9">
        <f t="shared" si="2"/>
        <v>0.9659224442</v>
      </c>
      <c r="N394" s="9">
        <f t="shared" si="3"/>
        <v>0.05941133721</v>
      </c>
      <c r="O394" s="9">
        <f t="shared" si="4"/>
        <v>0.07059585492</v>
      </c>
      <c r="P394" s="9">
        <f>IFERROR(__xludf.DUMMYFUNCTION("GOOGLEFINANCE(A394, ""pe"")"),82.54)</f>
        <v>82.54</v>
      </c>
      <c r="Q394" s="9">
        <f>IFERROR(__xludf.DUMMYFUNCTION("IFERROR(GOOGLEFINANCE(A394, ""volume"") / GOOGLEFINANCE(A394, ""volumeavg""), 0)"),0.0)</f>
        <v>0</v>
      </c>
      <c r="R394" s="9">
        <f>IFERROR(__xludf.DUMMYFUNCTION("AVERAGE(INDEX(GOOGLEFINANCE(A394, ""price"", TODAY()-30, TODAY()), 0, 2))"),1764.8565217391304)</f>
        <v>1764.856522</v>
      </c>
      <c r="S394" s="9">
        <f>IFERROR(__xludf.DUMMYFUNCTION("AVERAGE(INDEX(GOOGLEFINANCE(A394, ""price"", TODAY()-75, TODAY()), 0, 2))"),1669.1999999999996)</f>
        <v>1669.2</v>
      </c>
      <c r="T394" s="9">
        <f>IFERROR(__xludf.DUMMYFUNCTION("AVERAGE(INDEX(GOOGLEFINANCE(A394, ""price"", TODAY()-300, TODAY()), 0, 2))"),1175.0883663366344)</f>
        <v>1175.088366</v>
      </c>
      <c r="U394" s="9">
        <f t="shared" si="5"/>
        <v>-0.05204758608</v>
      </c>
      <c r="V394" s="15">
        <f>IFERROR(__xludf.DUMMYFUNCTION("LET(hist, GOOGLEFINANCE(A394,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rs))))))"),41.14371708051168)</f>
        <v>41.14371708</v>
      </c>
      <c r="W394" s="16" t="str">
        <f>IFERROR(__xludf.DUMMYFUNCTION("IFERROR(GOOGLEFINANCE(A394, ""volume"") / GOOGLEFINANCE(A394, ""volumeavg""), )"),"")</f>
        <v/>
      </c>
      <c r="X394" s="9">
        <f>IFERROR(__xludf.DUMMYFUNCTION("B394 * GOOGLEFINANCE(A394, ""volume"")"),8.88863227E8)</f>
        <v>888863227</v>
      </c>
      <c r="Y394" s="9">
        <f>IFERROR(__xludf.DUMMYFUNCTION("IFERROR(((B394 - GOOGLEFINANCE(A394, ""priceopen"")) / GOOGLEFINANCE(A394, ""priceopen"")) * GOOGLEFINANCE(A394, ""volume""), 0)"),-12163.836467702386)</f>
        <v>-12163.83647</v>
      </c>
    </row>
    <row r="395">
      <c r="A395" s="4" t="s">
        <v>2188</v>
      </c>
      <c r="B395" s="7">
        <f>IFERROR(__xludf.DUMMYFUNCTION("GOOGLEFINANCE(A395, ""price"")"),1484.0)</f>
        <v>1484</v>
      </c>
      <c r="C395" s="7">
        <f>IFERROR(__xludf.DUMMYFUNCTION("GOOGLEFINANCE(A395, ""changepct"")"),16.34)</f>
        <v>16.34</v>
      </c>
      <c r="D395" s="9">
        <f>IFERROR(__xludf.DUMMYFUNCTION("GOOGLEFINANCE(A395, ""priceopen"")"),1395.0)</f>
        <v>1395</v>
      </c>
      <c r="E395" s="9">
        <f>IFERROR(__xludf.DUMMYFUNCTION("GOOGLEFINANCE(A395, ""high"")"),1530.0)</f>
        <v>1530</v>
      </c>
      <c r="F395" s="9">
        <f>IFERROR(__xludf.DUMMYFUNCTION("GOOGLEFINANCE(A395, ""low"")"),1358.4)</f>
        <v>1358.4</v>
      </c>
      <c r="G395" s="9">
        <f>IFERROR(__xludf.DUMMYFUNCTION("GOOGLEFINANCE(A395, ""price"")"),1484.0)</f>
        <v>1484</v>
      </c>
      <c r="H395" s="9">
        <f>IFERROR(__xludf.DUMMYFUNCTION("MAX(INDEX(GOOGLEFINANCE(A395, ""high"", TODAY()-30, TODAY()), 0, 2))"),1530.0)</f>
        <v>1530</v>
      </c>
      <c r="I395" s="9">
        <f>IFERROR(__xludf.DUMMYFUNCTION("MIN(INDEX(GOOGLEFINANCE(A395, ""low"", TODAY()-30, TODAY()), 0, 2))"),930.0)</f>
        <v>930</v>
      </c>
      <c r="J395" s="9">
        <f>IFERROR(__xludf.DUMMYFUNCTION("GOOGLEFINANCE(A395, ""high52"")"),1530.0)</f>
        <v>1530</v>
      </c>
      <c r="K395" s="9">
        <f>IFERROR(__xludf.DUMMYFUNCTION("GOOGLEFINANCE(A395, ""low52"")"),491.0)</f>
        <v>491</v>
      </c>
      <c r="L395" s="9">
        <f t="shared" si="1"/>
        <v>0.03006535948</v>
      </c>
      <c r="M395" s="9">
        <f t="shared" si="2"/>
        <v>2.022403259</v>
      </c>
      <c r="N395" s="9">
        <f t="shared" si="3"/>
        <v>0.1263250883</v>
      </c>
      <c r="O395" s="9">
        <f t="shared" si="4"/>
        <v>0.9233333333</v>
      </c>
      <c r="P395" s="9">
        <f>IFERROR(__xludf.DUMMYFUNCTION("GOOGLEFINANCE(A395, ""pe"")"),97.09)</f>
        <v>97.09</v>
      </c>
      <c r="Q395" s="9">
        <f>IFERROR(__xludf.DUMMYFUNCTION("IFERROR(GOOGLEFINANCE(A395, ""volume"") / GOOGLEFINANCE(A395, ""volumeavg""), 0)"),0.0)</f>
        <v>0</v>
      </c>
      <c r="R395" s="9">
        <f>IFERROR(__xludf.DUMMYFUNCTION("AVERAGE(INDEX(GOOGLEFINANCE(A395, ""price"", TODAY()-30, TODAY()), 0, 2))"),1164.9217391304348)</f>
        <v>1164.921739</v>
      </c>
      <c r="S395" s="9">
        <f>IFERROR(__xludf.DUMMYFUNCTION("AVERAGE(INDEX(GOOGLEFINANCE(A395, ""price"", TODAY()-75, TODAY()), 0, 2))"),1194.9132075471693)</f>
        <v>1194.913208</v>
      </c>
      <c r="T395" s="9">
        <f>IFERROR(__xludf.DUMMYFUNCTION("AVERAGE(INDEX(GOOGLEFINANCE(A395, ""price"", TODAY()-300, TODAY()), 0, 2))"),939.5490099009905)</f>
        <v>939.5490099</v>
      </c>
      <c r="U395" s="9">
        <f t="shared" si="5"/>
        <v>0.2739053193</v>
      </c>
      <c r="V395" s="15">
        <f>IFERROR(__xludf.DUMMYFUNCTION("LET(hist, GOOGLEFINANCE(A395,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rs))))))"),74.70630891950688)</f>
        <v>74.70630892</v>
      </c>
      <c r="W395" s="16" t="str">
        <f>IFERROR(__xludf.DUMMYFUNCTION("IFERROR(GOOGLEFINANCE(A395, ""volume"") / GOOGLEFINANCE(A395, ""volumeavg""), )"),"")</f>
        <v/>
      </c>
      <c r="X395" s="9">
        <f>IFERROR(__xludf.DUMMYFUNCTION("B395 * GOOGLEFINANCE(A395, ""volume"")"),1.6513330204E10)</f>
        <v>16513330204</v>
      </c>
      <c r="Y395" s="9">
        <f>IFERROR(__xludf.DUMMYFUNCTION("IFERROR(((B395 - GOOGLEFINANCE(A395, ""priceopen"")) / GOOGLEFINANCE(A395, ""priceopen"")) * GOOGLEFINANCE(A395, ""volume""), 0)"),709931.6910394266)</f>
        <v>709931.691</v>
      </c>
    </row>
    <row r="396">
      <c r="A396" s="4" t="s">
        <v>2189</v>
      </c>
      <c r="B396" s="7">
        <f>IFERROR(__xludf.DUMMYFUNCTION("GOOGLEFINANCE(A396, ""price"")"),7160.0)</f>
        <v>7160</v>
      </c>
      <c r="C396" s="7">
        <f>IFERROR(__xludf.DUMMYFUNCTION("GOOGLEFINANCE(A396, ""changepct"")"),3.87)</f>
        <v>3.87</v>
      </c>
      <c r="D396" s="9">
        <f>IFERROR(__xludf.DUMMYFUNCTION("GOOGLEFINANCE(A396, ""priceopen"")"),6748.0)</f>
        <v>6748</v>
      </c>
      <c r="E396" s="9">
        <f>IFERROR(__xludf.DUMMYFUNCTION("GOOGLEFINANCE(A396, ""high"")"),7199.0)</f>
        <v>7199</v>
      </c>
      <c r="F396" s="9">
        <f>IFERROR(__xludf.DUMMYFUNCTION("GOOGLEFINANCE(A396, ""low"")"),6733.0)</f>
        <v>6733</v>
      </c>
      <c r="G396" s="9">
        <f>IFERROR(__xludf.DUMMYFUNCTION("GOOGLEFINANCE(A396, ""price"")"),7160.0)</f>
        <v>7160</v>
      </c>
      <c r="H396" s="9">
        <f>IFERROR(__xludf.DUMMYFUNCTION("MAX(INDEX(GOOGLEFINANCE(A396, ""high"", TODAY()-30, TODAY()), 0, 2))"),7199.0)</f>
        <v>7199</v>
      </c>
      <c r="I396" s="9">
        <f>IFERROR(__xludf.DUMMYFUNCTION("MIN(INDEX(GOOGLEFINANCE(A396, ""low"", TODAY()-30, TODAY()), 0, 2))"),5194.0)</f>
        <v>5194</v>
      </c>
      <c r="J396" s="9">
        <f>IFERROR(__xludf.DUMMYFUNCTION("GOOGLEFINANCE(A396, ""high52"")"),8714.0)</f>
        <v>8714</v>
      </c>
      <c r="K396" s="9">
        <f>IFERROR(__xludf.DUMMYFUNCTION("GOOGLEFINANCE(A396, ""low52"")"),1390.5)</f>
        <v>1390.5</v>
      </c>
      <c r="L396" s="9">
        <f t="shared" si="1"/>
        <v>0.1783337159</v>
      </c>
      <c r="M396" s="9">
        <f t="shared" si="2"/>
        <v>4.149226897</v>
      </c>
      <c r="N396" s="9">
        <f t="shared" si="3"/>
        <v>0.0692113471</v>
      </c>
      <c r="O396" s="9">
        <f t="shared" si="4"/>
        <v>0.9805486284</v>
      </c>
      <c r="P396" s="9">
        <f>IFERROR(__xludf.DUMMYFUNCTION("GOOGLEFINANCE(A396, ""pe"")"),165.01)</f>
        <v>165.01</v>
      </c>
      <c r="Q396" s="9">
        <f>IFERROR(__xludf.DUMMYFUNCTION("IFERROR(GOOGLEFINANCE(A396, ""volume"") / GOOGLEFINANCE(A396, ""volumeavg""), 0)"),0.0)</f>
        <v>0</v>
      </c>
      <c r="R396" s="9">
        <f>IFERROR(__xludf.DUMMYFUNCTION("AVERAGE(INDEX(GOOGLEFINANCE(A396, ""price"", TODAY()-30, TODAY()), 0, 2))"),6202.152173913043)</f>
        <v>6202.152174</v>
      </c>
      <c r="S396" s="9">
        <f>IFERROR(__xludf.DUMMYFUNCTION("AVERAGE(INDEX(GOOGLEFINANCE(A396, ""price"", TODAY()-75, TODAY()), 0, 2))"),6928.471698113208)</f>
        <v>6928.471698</v>
      </c>
      <c r="T396" s="9">
        <f>IFERROR(__xludf.DUMMYFUNCTION("AVERAGE(INDEX(GOOGLEFINANCE(A396, ""price"", TODAY()-300, TODAY()), 0, 2))"),4484.021287128712)</f>
        <v>4484.021287</v>
      </c>
      <c r="U396" s="9">
        <f t="shared" si="5"/>
        <v>0.1544379756</v>
      </c>
      <c r="V396" s="15">
        <f>IFERROR(__xludf.DUMMYFUNCTION("LET(hist, GOOGLEFINANCE(A396,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rs))))))"),70.72230601642366)</f>
        <v>70.72230602</v>
      </c>
      <c r="W396" s="16" t="str">
        <f>IFERROR(__xludf.DUMMYFUNCTION("IFERROR(GOOGLEFINANCE(A396, ""volume"") / GOOGLEFINANCE(A396, ""volumeavg""), )"),"")</f>
        <v/>
      </c>
      <c r="X396" s="9">
        <f>IFERROR(__xludf.DUMMYFUNCTION("B396 * GOOGLEFINANCE(A396, ""volume"")"),1.55817352E9)</f>
        <v>1558173520</v>
      </c>
      <c r="Y396" s="9">
        <f>IFERROR(__xludf.DUMMYFUNCTION("IFERROR(((B396 - GOOGLEFINANCE(A396, ""priceopen"")) / GOOGLEFINANCE(A396, ""priceopen"")) * GOOGLEFINANCE(A396, ""volume""), 0)"),13286.938944872554)</f>
        <v>13286.93894</v>
      </c>
    </row>
    <row r="397">
      <c r="A397" s="4" t="s">
        <v>2190</v>
      </c>
      <c r="B397" s="7">
        <f>IFERROR(__xludf.DUMMYFUNCTION("GOOGLEFINANCE(A397, ""price"")"),612.05)</f>
        <v>612.05</v>
      </c>
      <c r="C397" s="7">
        <f>IFERROR(__xludf.DUMMYFUNCTION("GOOGLEFINANCE(A397, ""changepct"")"),-0.64)</f>
        <v>-0.64</v>
      </c>
      <c r="D397" s="9">
        <f>IFERROR(__xludf.DUMMYFUNCTION("GOOGLEFINANCE(A397, ""priceopen"")"),616.0)</f>
        <v>616</v>
      </c>
      <c r="E397" s="9">
        <f>IFERROR(__xludf.DUMMYFUNCTION("GOOGLEFINANCE(A397, ""high"")"),620.8)</f>
        <v>620.8</v>
      </c>
      <c r="F397" s="9">
        <f>IFERROR(__xludf.DUMMYFUNCTION("GOOGLEFINANCE(A397, ""low"")"),604.25)</f>
        <v>604.25</v>
      </c>
      <c r="G397" s="9">
        <f>IFERROR(__xludf.DUMMYFUNCTION("GOOGLEFINANCE(A397, ""price"")"),612.05)</f>
        <v>612.05</v>
      </c>
      <c r="H397" s="9">
        <f>IFERROR(__xludf.DUMMYFUNCTION("MAX(INDEX(GOOGLEFINANCE(A397, ""high"", TODAY()-30, TODAY()), 0, 2))"),643.95)</f>
        <v>643.95</v>
      </c>
      <c r="I397" s="9">
        <f>IFERROR(__xludf.DUMMYFUNCTION("MIN(INDEX(GOOGLEFINANCE(A397, ""low"", TODAY()-30, TODAY()), 0, 2))"),561.4)</f>
        <v>561.4</v>
      </c>
      <c r="J397" s="9">
        <f>IFERROR(__xludf.DUMMYFUNCTION("GOOGLEFINANCE(A397, ""high52"")"),644.4)</f>
        <v>644.4</v>
      </c>
      <c r="K397" s="9">
        <f>IFERROR(__xludf.DUMMYFUNCTION("GOOGLEFINANCE(A397, ""low52"")"),436.55)</f>
        <v>436.55</v>
      </c>
      <c r="L397" s="9">
        <f t="shared" si="1"/>
        <v>0.05020173805</v>
      </c>
      <c r="M397" s="9">
        <f t="shared" si="2"/>
        <v>0.4020158057</v>
      </c>
      <c r="N397" s="9">
        <f t="shared" si="3"/>
        <v>0.02738932561</v>
      </c>
      <c r="O397" s="9">
        <f t="shared" si="4"/>
        <v>0.6135675348</v>
      </c>
      <c r="P397" s="9">
        <f>IFERROR(__xludf.DUMMYFUNCTION("GOOGLEFINANCE(A397, ""pe"")"),85.84)</f>
        <v>85.84</v>
      </c>
      <c r="Q397" s="9">
        <f>IFERROR(__xludf.DUMMYFUNCTION("IFERROR(GOOGLEFINANCE(A397, ""volume"") / GOOGLEFINANCE(A397, ""volumeavg""), 0)"),0.0)</f>
        <v>0</v>
      </c>
      <c r="R397" s="9">
        <f>IFERROR(__xludf.DUMMYFUNCTION("AVERAGE(INDEX(GOOGLEFINANCE(A397, ""price"", TODAY()-30, TODAY()), 0, 2))"),605.245652173913)</f>
        <v>605.2456522</v>
      </c>
      <c r="S397" s="9">
        <f>IFERROR(__xludf.DUMMYFUNCTION("AVERAGE(INDEX(GOOGLEFINANCE(A397, ""price"", TODAY()-75, TODAY()), 0, 2))"),560.474528301887)</f>
        <v>560.4745283</v>
      </c>
      <c r="T397" s="9">
        <f>IFERROR(__xludf.DUMMYFUNCTION("AVERAGE(INDEX(GOOGLEFINANCE(A397, ""price"", TODAY()-300, TODAY()), 0, 2))"),556.3353960396034)</f>
        <v>556.335396</v>
      </c>
      <c r="U397" s="9">
        <f t="shared" si="5"/>
        <v>0.01124229113</v>
      </c>
      <c r="V397" s="15">
        <f>IFERROR(__xludf.DUMMYFUNCTION("LET(hist, GOOGLEFINANCE(A397,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rs))))))"),67.52767527675279)</f>
        <v>67.52767528</v>
      </c>
      <c r="W397" s="16" t="str">
        <f>IFERROR(__xludf.DUMMYFUNCTION("IFERROR(GOOGLEFINANCE(A397, ""volume"") / GOOGLEFINANCE(A397, ""volumeavg""), )"),"")</f>
        <v/>
      </c>
      <c r="X397" s="9">
        <f>IFERROR(__xludf.DUMMYFUNCTION("B397 * GOOGLEFINANCE(A397, ""volume"")"),1.8214877301999998E9)</f>
        <v>1821487730</v>
      </c>
      <c r="Y397" s="9">
        <f>IFERROR(__xludf.DUMMYFUNCTION("IFERROR(((B397 - GOOGLEFINANCE(A397, ""priceopen"")) / GOOGLEFINANCE(A397, ""priceopen"")) * GOOGLEFINANCE(A397, ""volume""), 0)"),-19083.399025974246)</f>
        <v>-19083.39903</v>
      </c>
    </row>
    <row r="398">
      <c r="A398" s="4" t="s">
        <v>2191</v>
      </c>
      <c r="B398" s="7">
        <f>IFERROR(__xludf.DUMMYFUNCTION("GOOGLEFINANCE(A398, ""price"")"),442.95)</f>
        <v>442.95</v>
      </c>
      <c r="C398" s="7">
        <f>IFERROR(__xludf.DUMMYFUNCTION("GOOGLEFINANCE(A398, ""changepct"")"),-0.32)</f>
        <v>-0.32</v>
      </c>
      <c r="D398" s="9">
        <f>IFERROR(__xludf.DUMMYFUNCTION("GOOGLEFINANCE(A398, ""priceopen"")"),444.3)</f>
        <v>444.3</v>
      </c>
      <c r="E398" s="9">
        <f>IFERROR(__xludf.DUMMYFUNCTION("GOOGLEFINANCE(A398, ""high"")"),444.95)</f>
        <v>444.95</v>
      </c>
      <c r="F398" s="9">
        <f>IFERROR(__xludf.DUMMYFUNCTION("GOOGLEFINANCE(A398, ""low"")"),441.35)</f>
        <v>441.35</v>
      </c>
      <c r="G398" s="9">
        <f>IFERROR(__xludf.DUMMYFUNCTION("GOOGLEFINANCE(A398, ""price"")"),442.95)</f>
        <v>442.95</v>
      </c>
      <c r="H398" s="9">
        <f>IFERROR(__xludf.DUMMYFUNCTION("MAX(INDEX(GOOGLEFINANCE(A398, ""high"", TODAY()-30, TODAY()), 0, 2))"),466.15)</f>
        <v>466.15</v>
      </c>
      <c r="I398" s="9">
        <f>IFERROR(__xludf.DUMMYFUNCTION("MIN(INDEX(GOOGLEFINANCE(A398, ""low"", TODAY()-30, TODAY()), 0, 2))"),425.1)</f>
        <v>425.1</v>
      </c>
      <c r="J398" s="9">
        <f>IFERROR(__xludf.DUMMYFUNCTION("GOOGLEFINANCE(A398, ""high52"")"),580.7)</f>
        <v>580.7</v>
      </c>
      <c r="K398" s="9">
        <f>IFERROR(__xludf.DUMMYFUNCTION("GOOGLEFINANCE(A398, ""low52"")"),399.75)</f>
        <v>399.75</v>
      </c>
      <c r="L398" s="9">
        <f t="shared" si="1"/>
        <v>0.2372137076</v>
      </c>
      <c r="M398" s="9">
        <f t="shared" si="2"/>
        <v>0.1080675422</v>
      </c>
      <c r="N398" s="9">
        <f t="shared" si="3"/>
        <v>0.008156791662</v>
      </c>
      <c r="O398" s="9">
        <f t="shared" si="4"/>
        <v>0.4348355664</v>
      </c>
      <c r="P398" s="9">
        <f>IFERROR(__xludf.DUMMYFUNCTION("GOOGLEFINANCE(A398, ""pe"")"),9.2)</f>
        <v>9.2</v>
      </c>
      <c r="Q398" s="9">
        <f>IFERROR(__xludf.DUMMYFUNCTION("IFERROR(GOOGLEFINANCE(A398, ""volume"") / GOOGLEFINANCE(A398, ""volumeavg""), 0)"),0.0)</f>
        <v>0</v>
      </c>
      <c r="R398" s="9">
        <f>IFERROR(__xludf.DUMMYFUNCTION("AVERAGE(INDEX(GOOGLEFINANCE(A398, ""price"", TODAY()-30, TODAY()), 0, 2))"),447.2673913043478)</f>
        <v>447.2673913</v>
      </c>
      <c r="S398" s="9">
        <f>IFERROR(__xludf.DUMMYFUNCTION("AVERAGE(INDEX(GOOGLEFINANCE(A398, ""price"", TODAY()-75, TODAY()), 0, 2))"),460.42452830188677)</f>
        <v>460.4245283</v>
      </c>
      <c r="T398" s="9">
        <f>IFERROR(__xludf.DUMMYFUNCTION("AVERAGE(INDEX(GOOGLEFINANCE(A398, ""price"", TODAY()-300, TODAY()), 0, 2))"),453.4056930693069)</f>
        <v>453.4056931</v>
      </c>
      <c r="U398" s="9">
        <f t="shared" si="5"/>
        <v>-0.009652819294</v>
      </c>
      <c r="V398" s="15">
        <f>IFERROR(__xludf.DUMMYFUNCTION("LET(hist, GOOGLEFINANCE(A398,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rs))))))"),56.76375404530743)</f>
        <v>56.76375405</v>
      </c>
      <c r="W398" s="16" t="str">
        <f>IFERROR(__xludf.DUMMYFUNCTION("IFERROR(GOOGLEFINANCE(A398, ""volume"") / GOOGLEFINANCE(A398, ""volumeavg""), )"),"")</f>
        <v/>
      </c>
      <c r="X398" s="9">
        <f>IFERROR(__xludf.DUMMYFUNCTION("B398 * GOOGLEFINANCE(A398, ""volume"")"),7.327677555E7)</f>
        <v>73276775.55</v>
      </c>
      <c r="Y398" s="9">
        <f>IFERROR(__xludf.DUMMYFUNCTION("IFERROR(((B398 - GOOGLEFINANCE(A398, ""priceopen"")) / GOOGLEFINANCE(A398, ""priceopen"")) * GOOGLEFINANCE(A398, ""volume""), 0)"),-502.65395003376943)</f>
        <v>-502.65395</v>
      </c>
    </row>
    <row r="399">
      <c r="A399" s="4" t="s">
        <v>2192</v>
      </c>
      <c r="B399" s="7">
        <f>IFERROR(__xludf.DUMMYFUNCTION("GOOGLEFINANCE(A399, ""price"")"),396.35)</f>
        <v>396.35</v>
      </c>
      <c r="C399" s="7">
        <f>IFERROR(__xludf.DUMMYFUNCTION("GOOGLEFINANCE(A399, ""changepct"")"),-1.48)</f>
        <v>-1.48</v>
      </c>
      <c r="D399" s="9">
        <f>IFERROR(__xludf.DUMMYFUNCTION("GOOGLEFINANCE(A399, ""priceopen"")"),402.3)</f>
        <v>402.3</v>
      </c>
      <c r="E399" s="9">
        <f>IFERROR(__xludf.DUMMYFUNCTION("GOOGLEFINANCE(A399, ""high"")"),402.5)</f>
        <v>402.5</v>
      </c>
      <c r="F399" s="9">
        <f>IFERROR(__xludf.DUMMYFUNCTION("GOOGLEFINANCE(A399, ""low"")"),395.9)</f>
        <v>395.9</v>
      </c>
      <c r="G399" s="9">
        <f>IFERROR(__xludf.DUMMYFUNCTION("GOOGLEFINANCE(A399, ""price"")"),396.35)</f>
        <v>396.35</v>
      </c>
      <c r="H399" s="9">
        <f>IFERROR(__xludf.DUMMYFUNCTION("MAX(INDEX(GOOGLEFINANCE(A399, ""high"", TODAY()-30, TODAY()), 0, 2))"),428.75)</f>
        <v>428.75</v>
      </c>
      <c r="I399" s="9">
        <f>IFERROR(__xludf.DUMMYFUNCTION("MIN(INDEX(GOOGLEFINANCE(A399, ""low"", TODAY()-30, TODAY()), 0, 2))"),389.55)</f>
        <v>389.55</v>
      </c>
      <c r="J399" s="9">
        <f>IFERROR(__xludf.DUMMYFUNCTION("GOOGLEFINANCE(A399, ""high52"")"),634.2)</f>
        <v>634.2</v>
      </c>
      <c r="K399" s="9">
        <f>IFERROR(__xludf.DUMMYFUNCTION("GOOGLEFINANCE(A399, ""low52"")"),376.4)</f>
        <v>376.4</v>
      </c>
      <c r="L399" s="9">
        <f t="shared" si="1"/>
        <v>0.3750394197</v>
      </c>
      <c r="M399" s="9">
        <f t="shared" si="2"/>
        <v>0.0530021254</v>
      </c>
      <c r="N399" s="9">
        <f t="shared" si="3"/>
        <v>0.01667087648</v>
      </c>
      <c r="O399" s="9">
        <f t="shared" si="4"/>
        <v>0.1734693878</v>
      </c>
      <c r="P399" s="9">
        <f>IFERROR(__xludf.DUMMYFUNCTION("GOOGLEFINANCE(A399, ""pe"")"),23.11)</f>
        <v>23.11</v>
      </c>
      <c r="Q399" s="9">
        <f>IFERROR(__xludf.DUMMYFUNCTION("IFERROR(GOOGLEFINANCE(A399, ""volume"") / GOOGLEFINANCE(A399, ""volumeavg""), 0)"),0.0)</f>
        <v>0</v>
      </c>
      <c r="R399" s="9">
        <f>IFERROR(__xludf.DUMMYFUNCTION("AVERAGE(INDEX(GOOGLEFINANCE(A399, ""price"", TODAY()-30, TODAY()), 0, 2))"),407.88478260869573)</f>
        <v>407.8847826</v>
      </c>
      <c r="S399" s="9">
        <f>IFERROR(__xludf.DUMMYFUNCTION("AVERAGE(INDEX(GOOGLEFINANCE(A399, ""price"", TODAY()-75, TODAY()), 0, 2))"),404.61981132075454)</f>
        <v>404.6198113</v>
      </c>
      <c r="T399" s="9">
        <f>IFERROR(__xludf.DUMMYFUNCTION("AVERAGE(INDEX(GOOGLEFINANCE(A399, ""price"", TODAY()-300, TODAY()), 0, 2))"),462.038118811881)</f>
        <v>462.0381188</v>
      </c>
      <c r="U399" s="9">
        <f t="shared" si="5"/>
        <v>-0.02827951201</v>
      </c>
      <c r="V399" s="15">
        <f>IFERROR(__xludf.DUMMYFUNCTION("LET(hist, GOOGLEFINANCE(A399,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rs))))))"),39.4795127353267)</f>
        <v>39.47951274</v>
      </c>
      <c r="W399" s="16" t="str">
        <f>IFERROR(__xludf.DUMMYFUNCTION("IFERROR(GOOGLEFINANCE(A399, ""volume"") / GOOGLEFINANCE(A399, ""volumeavg""), )"),"")</f>
        <v/>
      </c>
      <c r="X399" s="9">
        <f>IFERROR(__xludf.DUMMYFUNCTION("B399 * GOOGLEFINANCE(A399, ""volume"")"),1.6134417625E8)</f>
        <v>161344176.3</v>
      </c>
      <c r="Y399" s="9">
        <f>IFERROR(__xludf.DUMMYFUNCTION("IFERROR(((B399 - GOOGLEFINANCE(A399, ""priceopen"")) / GOOGLEFINANCE(A399, ""priceopen"")) * GOOGLEFINANCE(A399, ""volume""), 0)"),-6020.622048222708)</f>
        <v>-6020.622048</v>
      </c>
    </row>
    <row r="400">
      <c r="A400" s="4" t="s">
        <v>2193</v>
      </c>
      <c r="B400" s="7">
        <f>IFERROR(__xludf.DUMMYFUNCTION("GOOGLEFINANCE(A400, ""price"")"),1812.0)</f>
        <v>1812</v>
      </c>
      <c r="C400" s="7">
        <f>IFERROR(__xludf.DUMMYFUNCTION("GOOGLEFINANCE(A400, ""changepct"")"),0.91)</f>
        <v>0.91</v>
      </c>
      <c r="D400" s="9">
        <f>IFERROR(__xludf.DUMMYFUNCTION("GOOGLEFINANCE(A400, ""priceopen"")"),1806.0)</f>
        <v>1806</v>
      </c>
      <c r="E400" s="9">
        <f>IFERROR(__xludf.DUMMYFUNCTION("GOOGLEFINANCE(A400, ""high"")"),1822.0)</f>
        <v>1822</v>
      </c>
      <c r="F400" s="9">
        <f>IFERROR(__xludf.DUMMYFUNCTION("GOOGLEFINANCE(A400, ""low"")"),1781.4)</f>
        <v>1781.4</v>
      </c>
      <c r="G400" s="9">
        <f>IFERROR(__xludf.DUMMYFUNCTION("GOOGLEFINANCE(A400, ""price"")"),1812.0)</f>
        <v>1812</v>
      </c>
      <c r="H400" s="9">
        <f>IFERROR(__xludf.DUMMYFUNCTION("MAX(INDEX(GOOGLEFINANCE(A400, ""high"", TODAY()-30, TODAY()), 0, 2))"),2025.0)</f>
        <v>2025</v>
      </c>
      <c r="I400" s="9">
        <f>IFERROR(__xludf.DUMMYFUNCTION("MIN(INDEX(GOOGLEFINANCE(A400, ""low"", TODAY()-30, TODAY()), 0, 2))"),1602.1)</f>
        <v>1602.1</v>
      </c>
      <c r="J400" s="9">
        <f>IFERROR(__xludf.DUMMYFUNCTION("GOOGLEFINANCE(A400, ""high52"")"),2497.5)</f>
        <v>2497.5</v>
      </c>
      <c r="K400" s="9">
        <f>IFERROR(__xludf.DUMMYFUNCTION("GOOGLEFINANCE(A400, ""low52"")"),1320.0)</f>
        <v>1320</v>
      </c>
      <c r="L400" s="9">
        <f t="shared" si="1"/>
        <v>0.2744744745</v>
      </c>
      <c r="M400" s="9">
        <f t="shared" si="2"/>
        <v>0.3727272727</v>
      </c>
      <c r="N400" s="9">
        <f t="shared" si="3"/>
        <v>0.02279106321</v>
      </c>
      <c r="O400" s="9">
        <f t="shared" si="4"/>
        <v>0.4963348309</v>
      </c>
      <c r="P400" s="9">
        <f>IFERROR(__xludf.DUMMYFUNCTION("GOOGLEFINANCE(A400, ""pe"")"),23.66)</f>
        <v>23.66</v>
      </c>
      <c r="Q400" s="9">
        <f>IFERROR(__xludf.DUMMYFUNCTION("IFERROR(GOOGLEFINANCE(A400, ""volume"") / GOOGLEFINANCE(A400, ""volumeavg""), 0)"),0.0)</f>
        <v>0</v>
      </c>
      <c r="R400" s="9">
        <f>IFERROR(__xludf.DUMMYFUNCTION("AVERAGE(INDEX(GOOGLEFINANCE(A400, ""price"", TODAY()-30, TODAY()), 0, 2))"),1848.7434782608698)</f>
        <v>1848.743478</v>
      </c>
      <c r="S400" s="9">
        <f>IFERROR(__xludf.DUMMYFUNCTION("AVERAGE(INDEX(GOOGLEFINANCE(A400, ""price"", TODAY()-75, TODAY()), 0, 2))"),1612.756603773585)</f>
        <v>1612.756604</v>
      </c>
      <c r="T400" s="9">
        <f>IFERROR(__xludf.DUMMYFUNCTION("AVERAGE(INDEX(GOOGLEFINANCE(A400, ""price"", TODAY()-300, TODAY()), 0, 2))"),1855.603482587065)</f>
        <v>1855.603483</v>
      </c>
      <c r="U400" s="9">
        <f t="shared" si="5"/>
        <v>-0.01987483861</v>
      </c>
      <c r="V400" s="15">
        <f>IFERROR(__xludf.DUMMYFUNCTION("LET(hist, GOOGLEFINANCE(A400,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rs))))))"),43.47181008902077)</f>
        <v>43.47181009</v>
      </c>
      <c r="W400" s="16" t="str">
        <f>IFERROR(__xludf.DUMMYFUNCTION("IFERROR(GOOGLEFINANCE(A400, ""volume"") / GOOGLEFINANCE(A400, ""volumeavg""), )"),"")</f>
        <v/>
      </c>
      <c r="X400" s="9">
        <f>IFERROR(__xludf.DUMMYFUNCTION("B400 * GOOGLEFINANCE(A400, ""volume"")"),1.79199552E8)</f>
        <v>179199552</v>
      </c>
      <c r="Y400" s="9">
        <f>IFERROR(__xludf.DUMMYFUNCTION("IFERROR(((B400 - GOOGLEFINANCE(A400, ""priceopen"")) / GOOGLEFINANCE(A400, ""priceopen"")) * GOOGLEFINANCE(A400, ""volume""), 0)"),328.5581395348837)</f>
        <v>328.5581395</v>
      </c>
    </row>
    <row r="401">
      <c r="A401" s="4" t="s">
        <v>2194</v>
      </c>
      <c r="B401" s="7">
        <f>IFERROR(__xludf.DUMMYFUNCTION("GOOGLEFINANCE(A401, ""price"")"),614.4)</f>
        <v>614.4</v>
      </c>
      <c r="C401" s="7">
        <f>IFERROR(__xludf.DUMMYFUNCTION("GOOGLEFINANCE(A401, ""changepct"")"),-0.87)</f>
        <v>-0.87</v>
      </c>
      <c r="D401" s="9">
        <f>IFERROR(__xludf.DUMMYFUNCTION("GOOGLEFINANCE(A401, ""priceopen"")"),622.6)</f>
        <v>622.6</v>
      </c>
      <c r="E401" s="9">
        <f>IFERROR(__xludf.DUMMYFUNCTION("GOOGLEFINANCE(A401, ""high"")"),622.9)</f>
        <v>622.9</v>
      </c>
      <c r="F401" s="9">
        <f>IFERROR(__xludf.DUMMYFUNCTION("GOOGLEFINANCE(A401, ""low"")"),603.05)</f>
        <v>603.05</v>
      </c>
      <c r="G401" s="9">
        <f>IFERROR(__xludf.DUMMYFUNCTION("GOOGLEFINANCE(A401, ""price"")"),614.4)</f>
        <v>614.4</v>
      </c>
      <c r="H401" s="9">
        <f>IFERROR(__xludf.DUMMYFUNCTION("MAX(INDEX(GOOGLEFINANCE(A401, ""high"", TODAY()-30, TODAY()), 0, 2))"),655.0)</f>
        <v>655</v>
      </c>
      <c r="I401" s="9">
        <f>IFERROR(__xludf.DUMMYFUNCTION("MIN(INDEX(GOOGLEFINANCE(A401, ""low"", TODAY()-30, TODAY()), 0, 2))"),580.0)</f>
        <v>580</v>
      </c>
      <c r="J401" s="9">
        <f>IFERROR(__xludf.DUMMYFUNCTION("GOOGLEFINANCE(A401, ""high52"")"),711.7)</f>
        <v>711.7</v>
      </c>
      <c r="K401" s="9">
        <f>IFERROR(__xludf.DUMMYFUNCTION("GOOGLEFINANCE(A401, ""low52"")"),382.1)</f>
        <v>382.1</v>
      </c>
      <c r="L401" s="9">
        <f t="shared" si="1"/>
        <v>0.136714908</v>
      </c>
      <c r="M401" s="9">
        <f t="shared" si="2"/>
        <v>0.6079560325</v>
      </c>
      <c r="N401" s="9">
        <f t="shared" si="3"/>
        <v>0.03291601028</v>
      </c>
      <c r="O401" s="9">
        <f t="shared" si="4"/>
        <v>0.4586666667</v>
      </c>
      <c r="P401" s="9">
        <f>IFERROR(__xludf.DUMMYFUNCTION("GOOGLEFINANCE(A401, ""pe"")"),78.43)</f>
        <v>78.43</v>
      </c>
      <c r="Q401" s="9">
        <f>IFERROR(__xludf.DUMMYFUNCTION("IFERROR(GOOGLEFINANCE(A401, ""volume"") / GOOGLEFINANCE(A401, ""volumeavg""), 0)"),0.0)</f>
        <v>0</v>
      </c>
      <c r="R401" s="9">
        <f>IFERROR(__xludf.DUMMYFUNCTION("AVERAGE(INDEX(GOOGLEFINANCE(A401, ""price"", TODAY()-30, TODAY()), 0, 2))"),620.6891304347827)</f>
        <v>620.6891304</v>
      </c>
      <c r="S401" s="9">
        <f>IFERROR(__xludf.DUMMYFUNCTION("AVERAGE(INDEX(GOOGLEFINANCE(A401, ""price"", TODAY()-75, TODAY()), 0, 2))"),622.4839622641507)</f>
        <v>622.4839623</v>
      </c>
      <c r="T401" s="9">
        <f>IFERROR(__xludf.DUMMYFUNCTION("AVERAGE(INDEX(GOOGLEFINANCE(A401, ""price"", TODAY()-300, TODAY()), 0, 2))"),564.6564356435646)</f>
        <v>564.6564356</v>
      </c>
      <c r="U401" s="9">
        <f t="shared" si="5"/>
        <v>-0.01013249649</v>
      </c>
      <c r="V401" s="15">
        <f>IFERROR(__xludf.DUMMYFUNCTION("LET(hist, GOOGLEFINANCE(A401,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rs))))))"),53.97805212620027)</f>
        <v>53.97805213</v>
      </c>
      <c r="W401" s="16" t="str">
        <f>IFERROR(__xludf.DUMMYFUNCTION("IFERROR(GOOGLEFINANCE(A401, ""volume"") / GOOGLEFINANCE(A401, ""volumeavg""), )"),"")</f>
        <v/>
      </c>
      <c r="X401" s="9">
        <f>IFERROR(__xludf.DUMMYFUNCTION("B401 * GOOGLEFINANCE(A401, ""volume"")"),2.828771328E8)</f>
        <v>282877132.8</v>
      </c>
      <c r="Y401" s="9">
        <f>IFERROR(__xludf.DUMMYFUNCTION("IFERROR(((B401 - GOOGLEFINANCE(A401, ""priceopen"")) / GOOGLEFINANCE(A401, ""priceopen"")) * GOOGLEFINANCE(A401, ""volume""), 0)"),-6063.890780597528)</f>
        <v>-6063.890781</v>
      </c>
    </row>
    <row r="402">
      <c r="A402" s="4" t="s">
        <v>2195</v>
      </c>
      <c r="B402" s="7">
        <f>IFERROR(__xludf.DUMMYFUNCTION("GOOGLEFINANCE(A402, ""price"")"),1905.0)</f>
        <v>1905</v>
      </c>
      <c r="C402" s="7">
        <f>IFERROR(__xludf.DUMMYFUNCTION("GOOGLEFINANCE(A402, ""changepct"")"),-1.7)</f>
        <v>-1.7</v>
      </c>
      <c r="D402" s="9">
        <f>IFERROR(__xludf.DUMMYFUNCTION("GOOGLEFINANCE(A402, ""priceopen"")"),1925.0)</f>
        <v>1925</v>
      </c>
      <c r="E402" s="9">
        <f>IFERROR(__xludf.DUMMYFUNCTION("GOOGLEFINANCE(A402, ""high"")"),1951.3)</f>
        <v>1951.3</v>
      </c>
      <c r="F402" s="9">
        <f>IFERROR(__xludf.DUMMYFUNCTION("GOOGLEFINANCE(A402, ""low"")"),1897.7)</f>
        <v>1897.7</v>
      </c>
      <c r="G402" s="9">
        <f>IFERROR(__xludf.DUMMYFUNCTION("GOOGLEFINANCE(A402, ""price"")"),1905.0)</f>
        <v>1905</v>
      </c>
      <c r="H402" s="9">
        <f>IFERROR(__xludf.DUMMYFUNCTION("MAX(INDEX(GOOGLEFINANCE(A402, ""high"", TODAY()-30, TODAY()), 0, 2))"),2119.8)</f>
        <v>2119.8</v>
      </c>
      <c r="I402" s="9">
        <f>IFERROR(__xludf.DUMMYFUNCTION("MIN(INDEX(GOOGLEFINANCE(A402, ""low"", TODAY()-30, TODAY()), 0, 2))"),1820.0)</f>
        <v>1820</v>
      </c>
      <c r="J402" s="9">
        <f>IFERROR(__xludf.DUMMYFUNCTION("GOOGLEFINANCE(A402, ""high52"")"),2119.8)</f>
        <v>2119.8</v>
      </c>
      <c r="K402" s="9">
        <f>IFERROR(__xludf.DUMMYFUNCTION("GOOGLEFINANCE(A402, ""low52"")"),1065.0)</f>
        <v>1065</v>
      </c>
      <c r="L402" s="9">
        <f t="shared" si="1"/>
        <v>0.1013303142</v>
      </c>
      <c r="M402" s="9">
        <f t="shared" si="2"/>
        <v>0.7887323944</v>
      </c>
      <c r="N402" s="9">
        <f t="shared" si="3"/>
        <v>0.02824471729</v>
      </c>
      <c r="O402" s="9">
        <f t="shared" si="4"/>
        <v>0.2835223482</v>
      </c>
      <c r="P402" s="9">
        <f>IFERROR(__xludf.DUMMYFUNCTION("GOOGLEFINANCE(A402, ""pe"")"),68.06)</f>
        <v>68.06</v>
      </c>
      <c r="Q402" s="9">
        <f>IFERROR(__xludf.DUMMYFUNCTION("IFERROR(GOOGLEFINANCE(A402, ""volume"") / GOOGLEFINANCE(A402, ""volumeavg""), 0)"),0.0)</f>
        <v>0</v>
      </c>
      <c r="R402" s="9">
        <f>IFERROR(__xludf.DUMMYFUNCTION("AVERAGE(INDEX(GOOGLEFINANCE(A402, ""price"", TODAY()-30, TODAY()), 0, 2))"),1952.5130434782607)</f>
        <v>1952.513043</v>
      </c>
      <c r="S402" s="9">
        <f>IFERROR(__xludf.DUMMYFUNCTION("AVERAGE(INDEX(GOOGLEFINANCE(A402, ""price"", TODAY()-75, TODAY()), 0, 2))"),1867.0226415094337)</f>
        <v>1867.022642</v>
      </c>
      <c r="T402" s="9">
        <f>IFERROR(__xludf.DUMMYFUNCTION("AVERAGE(INDEX(GOOGLEFINANCE(A402, ""price"", TODAY()-300, TODAY()), 0, 2))"),1396.1268656716425)</f>
        <v>1396.126866</v>
      </c>
      <c r="U402" s="9">
        <f t="shared" si="5"/>
        <v>-0.02433430273</v>
      </c>
      <c r="V402" s="15">
        <f>IFERROR(__xludf.DUMMYFUNCTION("LET(hist, GOOGLEFINANCE(A402,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rs))))))"),35.33352752694435)</f>
        <v>35.33352753</v>
      </c>
      <c r="W402" s="16" t="str">
        <f>IFERROR(__xludf.DUMMYFUNCTION("IFERROR(GOOGLEFINANCE(A402, ""volume"") / GOOGLEFINANCE(A402, ""volumeavg""), )"),"")</f>
        <v/>
      </c>
      <c r="X402" s="9">
        <f>IFERROR(__xludf.DUMMYFUNCTION("B402 * GOOGLEFINANCE(A402, ""volume"")"),1.7576673E8)</f>
        <v>175766730</v>
      </c>
      <c r="Y402" s="9">
        <f>IFERROR(__xludf.DUMMYFUNCTION("IFERROR(((B402 - GOOGLEFINANCE(A402, ""priceopen"")) / GOOGLEFINANCE(A402, ""priceopen"")) * GOOGLEFINANCE(A402, ""volume""), 0)"),-958.6077922077922)</f>
        <v>-958.6077922</v>
      </c>
    </row>
    <row r="403">
      <c r="A403" s="4" t="s">
        <v>2196</v>
      </c>
      <c r="B403" s="7">
        <f>IFERROR(__xludf.DUMMYFUNCTION("GOOGLEFINANCE(A403, ""price"")"),17625.0)</f>
        <v>17625</v>
      </c>
      <c r="C403" s="7">
        <f>IFERROR(__xludf.DUMMYFUNCTION("GOOGLEFINANCE(A403, ""changepct"")"),1.74)</f>
        <v>1.74</v>
      </c>
      <c r="D403" s="9">
        <f>IFERROR(__xludf.DUMMYFUNCTION("GOOGLEFINANCE(A403, ""priceopen"")"),17423.0)</f>
        <v>17423</v>
      </c>
      <c r="E403" s="9">
        <f>IFERROR(__xludf.DUMMYFUNCTION("GOOGLEFINANCE(A403, ""high"")"),17625.0)</f>
        <v>17625</v>
      </c>
      <c r="F403" s="9">
        <f>IFERROR(__xludf.DUMMYFUNCTION("GOOGLEFINANCE(A403, ""low"")"),17100.0)</f>
        <v>17100</v>
      </c>
      <c r="G403" s="9">
        <f>IFERROR(__xludf.DUMMYFUNCTION("GOOGLEFINANCE(A403, ""price"")"),17625.0)</f>
        <v>17625</v>
      </c>
      <c r="H403" s="9">
        <f>IFERROR(__xludf.DUMMYFUNCTION("MAX(INDEX(GOOGLEFINANCE(A403, ""high"", TODAY()-30, TODAY()), 0, 2))"),17800.0)</f>
        <v>17800</v>
      </c>
      <c r="I403" s="9">
        <f>IFERROR(__xludf.DUMMYFUNCTION("MIN(INDEX(GOOGLEFINANCE(A403, ""low"", TODAY()-30, TODAY()), 0, 2))"),15600.0)</f>
        <v>15600</v>
      </c>
      <c r="J403" s="9">
        <f>IFERROR(__xludf.DUMMYFUNCTION("GOOGLEFINANCE(A403, ""high52"")"),17800.0)</f>
        <v>17800</v>
      </c>
      <c r="K403" s="9">
        <f>IFERROR(__xludf.DUMMYFUNCTION("GOOGLEFINANCE(A403, ""low52"")"),11920.0)</f>
        <v>11920</v>
      </c>
      <c r="L403" s="9">
        <f t="shared" si="1"/>
        <v>0.009831460674</v>
      </c>
      <c r="M403" s="9">
        <f t="shared" si="2"/>
        <v>0.4786073826</v>
      </c>
      <c r="N403" s="9">
        <f t="shared" si="3"/>
        <v>0.03070175439</v>
      </c>
      <c r="O403" s="9">
        <f t="shared" si="4"/>
        <v>0.9204545455</v>
      </c>
      <c r="P403" s="9" t="str">
        <f>IFERROR(__xludf.DUMMYFUNCTION("GOOGLEFINANCE(A403, ""pe"")"),"#N/A")</f>
        <v>#N/A</v>
      </c>
      <c r="Q403" s="9">
        <f>IFERROR(__xludf.DUMMYFUNCTION("IFERROR(GOOGLEFINANCE(A403, ""volume"") / GOOGLEFINANCE(A403, ""volumeavg""), 0)"),0.0)</f>
        <v>0</v>
      </c>
      <c r="R403" s="9">
        <f>IFERROR(__xludf.DUMMYFUNCTION("AVERAGE(INDEX(GOOGLEFINANCE(A403, ""price"", TODAY()-30, TODAY()), 0, 2))"),16351.260869565218)</f>
        <v>16351.26087</v>
      </c>
      <c r="S403" s="9">
        <f>IFERROR(__xludf.DUMMYFUNCTION("AVERAGE(INDEX(GOOGLEFINANCE(A403, ""price"", TODAY()-75, TODAY()), 0, 2))"),16104.264150943396)</f>
        <v>16104.26415</v>
      </c>
      <c r="T403" s="9">
        <f>IFERROR(__xludf.DUMMYFUNCTION("AVERAGE(INDEX(GOOGLEFINANCE(A403, ""price"", TODAY()-300, TODAY()), 0, 2))"),15129.826732673268)</f>
        <v>15129.82673</v>
      </c>
      <c r="U403" s="9">
        <f t="shared" si="5"/>
        <v>0.07789852664</v>
      </c>
      <c r="V403" s="15">
        <f>IFERROR(__xludf.DUMMYFUNCTION("LET(hist, GOOGLEFINANCE(A403,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rs))))))"),70.08950770760816)</f>
        <v>70.08950771</v>
      </c>
      <c r="W403" s="16" t="str">
        <f>IFERROR(__xludf.DUMMYFUNCTION("IFERROR(GOOGLEFINANCE(A403, ""volume"") / GOOGLEFINANCE(A403, ""volumeavg""), )"),"")</f>
        <v/>
      </c>
      <c r="X403" s="9">
        <f>IFERROR(__xludf.DUMMYFUNCTION("B403 * GOOGLEFINANCE(A403, ""volume"")"),1.06225875E8)</f>
        <v>106225875</v>
      </c>
      <c r="Y403" s="9">
        <f>IFERROR(__xludf.DUMMYFUNCTION("IFERROR(((B403 - GOOGLEFINANCE(A403, ""priceopen"")) / GOOGLEFINANCE(A403, ""priceopen"")) * GOOGLEFINANCE(A403, ""volume""), 0)"),69.87625552430696)</f>
        <v>69.87625552</v>
      </c>
    </row>
    <row r="404">
      <c r="A404" s="4" t="s">
        <v>2197</v>
      </c>
      <c r="B404" s="7">
        <f>IFERROR(__xludf.DUMMYFUNCTION("GOOGLEFINANCE(A404, ""price"")"),1877.0)</f>
        <v>1877</v>
      </c>
      <c r="C404" s="7">
        <f>IFERROR(__xludf.DUMMYFUNCTION("GOOGLEFINANCE(A404, ""changepct"")"),0.7)</f>
        <v>0.7</v>
      </c>
      <c r="D404" s="9">
        <f>IFERROR(__xludf.DUMMYFUNCTION("GOOGLEFINANCE(A404, ""priceopen"")"),1873.0)</f>
        <v>1873</v>
      </c>
      <c r="E404" s="9">
        <f>IFERROR(__xludf.DUMMYFUNCTION("GOOGLEFINANCE(A404, ""high"")"),1913.7)</f>
        <v>1913.7</v>
      </c>
      <c r="F404" s="9">
        <f>IFERROR(__xludf.DUMMYFUNCTION("GOOGLEFINANCE(A404, ""low"")"),1846.1)</f>
        <v>1846.1</v>
      </c>
      <c r="G404" s="9">
        <f>IFERROR(__xludf.DUMMYFUNCTION("GOOGLEFINANCE(A404, ""price"")"),1877.0)</f>
        <v>1877</v>
      </c>
      <c r="H404" s="9">
        <f>IFERROR(__xludf.DUMMYFUNCTION("MAX(INDEX(GOOGLEFINANCE(A404, ""high"", TODAY()-30, TODAY()), 0, 2))"),1913.7)</f>
        <v>1913.7</v>
      </c>
      <c r="I404" s="9">
        <f>IFERROR(__xludf.DUMMYFUNCTION("MIN(INDEX(GOOGLEFINANCE(A404, ""low"", TODAY()-30, TODAY()), 0, 2))"),1611.1)</f>
        <v>1611.1</v>
      </c>
      <c r="J404" s="9">
        <f>IFERROR(__xludf.DUMMYFUNCTION("GOOGLEFINANCE(A404, ""high52"")"),2144.9)</f>
        <v>2144.9</v>
      </c>
      <c r="K404" s="9">
        <f>IFERROR(__xludf.DUMMYFUNCTION("GOOGLEFINANCE(A404, ""low52"")"),1182.0)</f>
        <v>1182</v>
      </c>
      <c r="L404" s="9">
        <f t="shared" si="1"/>
        <v>0.1249009278</v>
      </c>
      <c r="M404" s="9">
        <f t="shared" si="2"/>
        <v>0.5879864636</v>
      </c>
      <c r="N404" s="9">
        <f t="shared" si="3"/>
        <v>0.03661773468</v>
      </c>
      <c r="O404" s="9">
        <f t="shared" si="4"/>
        <v>0.8787177792</v>
      </c>
      <c r="P404" s="9">
        <f>IFERROR(__xludf.DUMMYFUNCTION("GOOGLEFINANCE(A404, ""pe"")"),60.43)</f>
        <v>60.43</v>
      </c>
      <c r="Q404" s="9">
        <f>IFERROR(__xludf.DUMMYFUNCTION("IFERROR(GOOGLEFINANCE(A404, ""volume"") / GOOGLEFINANCE(A404, ""volumeavg""), 0)"),0.0)</f>
        <v>0</v>
      </c>
      <c r="R404" s="9">
        <f>IFERROR(__xludf.DUMMYFUNCTION("AVERAGE(INDEX(GOOGLEFINANCE(A404, ""price"", TODAY()-30, TODAY()), 0, 2))"),1707.221739130435)</f>
        <v>1707.221739</v>
      </c>
      <c r="S404" s="9">
        <f>IFERROR(__xludf.DUMMYFUNCTION("AVERAGE(INDEX(GOOGLEFINANCE(A404, ""price"", TODAY()-75, TODAY()), 0, 2))"),1617.584905660377)</f>
        <v>1617.584906</v>
      </c>
      <c r="T404" s="9">
        <f>IFERROR(__xludf.DUMMYFUNCTION("AVERAGE(INDEX(GOOGLEFINANCE(A404, ""price"", TODAY()-300, TODAY()), 0, 2))"),1613.1108910891098)</f>
        <v>1613.110891</v>
      </c>
      <c r="U404" s="9">
        <f t="shared" si="5"/>
        <v>0.09944710577</v>
      </c>
      <c r="V404" s="15">
        <f>IFERROR(__xludf.DUMMYFUNCTION("LET(hist, GOOGLEFINANCE(A404,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rs))))))"),80.0754716981132)</f>
        <v>80.0754717</v>
      </c>
      <c r="W404" s="16" t="str">
        <f>IFERROR(__xludf.DUMMYFUNCTION("IFERROR(GOOGLEFINANCE(A404, ""volume"") / GOOGLEFINANCE(A404, ""volumeavg""), )"),"")</f>
        <v/>
      </c>
      <c r="X404" s="9">
        <f>IFERROR(__xludf.DUMMYFUNCTION("B404 * GOOGLEFINANCE(A404, ""volume"")"),4.12848027E8)</f>
        <v>412848027</v>
      </c>
      <c r="Y404" s="9">
        <f>IFERROR(__xludf.DUMMYFUNCTION("IFERROR(((B404 - GOOGLEFINANCE(A404, ""priceopen"")) / GOOGLEFINANCE(A404, ""priceopen"")) * GOOGLEFINANCE(A404, ""volume""), 0)"),469.72984516817934)</f>
        <v>469.7298452</v>
      </c>
    </row>
    <row r="405">
      <c r="A405" s="4" t="s">
        <v>2198</v>
      </c>
      <c r="B405" s="7">
        <f>IFERROR(__xludf.DUMMYFUNCTION("GOOGLEFINANCE(A405, ""price"")"),157.4)</f>
        <v>157.4</v>
      </c>
      <c r="C405" s="7">
        <f>IFERROR(__xludf.DUMMYFUNCTION("GOOGLEFINANCE(A405, ""changepct"")"),0.34)</f>
        <v>0.34</v>
      </c>
      <c r="D405" s="9">
        <f>IFERROR(__xludf.DUMMYFUNCTION("GOOGLEFINANCE(A405, ""priceopen"")"),157.19)</f>
        <v>157.19</v>
      </c>
      <c r="E405" s="9">
        <f>IFERROR(__xludf.DUMMYFUNCTION("GOOGLEFINANCE(A405, ""high"")"),157.94)</f>
        <v>157.94</v>
      </c>
      <c r="F405" s="9">
        <f>IFERROR(__xludf.DUMMYFUNCTION("GOOGLEFINANCE(A405, ""low"")"),155.26)</f>
        <v>155.26</v>
      </c>
      <c r="G405" s="9">
        <f>IFERROR(__xludf.DUMMYFUNCTION("GOOGLEFINANCE(A405, ""price"")"),157.4)</f>
        <v>157.4</v>
      </c>
      <c r="H405" s="9">
        <f>IFERROR(__xludf.DUMMYFUNCTION("MAX(INDEX(GOOGLEFINANCE(A405, ""high"", TODAY()-30, TODAY()), 0, 2))"),192.0)</f>
        <v>192</v>
      </c>
      <c r="I405" s="9">
        <f>IFERROR(__xludf.DUMMYFUNCTION("MIN(INDEX(GOOGLEFINANCE(A405, ""low"", TODAY()-30, TODAY()), 0, 2))"),146.7)</f>
        <v>146.7</v>
      </c>
      <c r="J405" s="9">
        <f>IFERROR(__xludf.DUMMYFUNCTION("GOOGLEFINANCE(A405, ""high52"")"),201.75)</f>
        <v>201.75</v>
      </c>
      <c r="K405" s="9">
        <f>IFERROR(__xludf.DUMMYFUNCTION("GOOGLEFINANCE(A405, ""low52"")"),97.35)</f>
        <v>97.35</v>
      </c>
      <c r="L405" s="9">
        <f t="shared" si="1"/>
        <v>0.219826518</v>
      </c>
      <c r="M405" s="9">
        <f t="shared" si="2"/>
        <v>0.6168464304</v>
      </c>
      <c r="N405" s="9">
        <f t="shared" si="3"/>
        <v>0.01726136803</v>
      </c>
      <c r="O405" s="9">
        <f t="shared" si="4"/>
        <v>0.2362030905</v>
      </c>
      <c r="P405" s="9">
        <f>IFERROR(__xludf.DUMMYFUNCTION("GOOGLEFINANCE(A405, ""pe"")"),7.53)</f>
        <v>7.53</v>
      </c>
      <c r="Q405" s="9">
        <f>IFERROR(__xludf.DUMMYFUNCTION("IFERROR(GOOGLEFINANCE(A405, ""volume"") / GOOGLEFINANCE(A405, ""volumeavg""), 0)"),0.0)</f>
        <v>0</v>
      </c>
      <c r="R405" s="9">
        <f>IFERROR(__xludf.DUMMYFUNCTION("AVERAGE(INDEX(GOOGLEFINANCE(A405, ""price"", TODAY()-30, TODAY()), 0, 2))"),168.53956521739133)</f>
        <v>168.5395652</v>
      </c>
      <c r="S405" s="9">
        <f>IFERROR(__xludf.DUMMYFUNCTION("AVERAGE(INDEX(GOOGLEFINANCE(A405, ""price"", TODAY()-75, TODAY()), 0, 2))"),162.65981132075467)</f>
        <v>162.6598113</v>
      </c>
      <c r="T405" s="9">
        <f>IFERROR(__xludf.DUMMYFUNCTION("AVERAGE(INDEX(GOOGLEFINANCE(A405, ""price"", TODAY()-300, TODAY()), 0, 2))"),125.99519801980205)</f>
        <v>125.995198</v>
      </c>
      <c r="U405" s="9">
        <f t="shared" si="5"/>
        <v>-0.06609465975</v>
      </c>
      <c r="V405" s="15">
        <f>IFERROR(__xludf.DUMMYFUNCTION("LET(hist, GOOGLEFINANCE(A405,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rs))))))"),32.62813522355505)</f>
        <v>32.62813522</v>
      </c>
      <c r="W405" s="16" t="str">
        <f>IFERROR(__xludf.DUMMYFUNCTION("IFERROR(GOOGLEFINANCE(A405, ""volume"") / GOOGLEFINANCE(A405, ""volumeavg""), )"),"")</f>
        <v/>
      </c>
      <c r="X405" s="9">
        <f>IFERROR(__xludf.DUMMYFUNCTION("B405 * GOOGLEFINANCE(A405, ""volume"")"),2.2173929620000002E8)</f>
        <v>221739296.2</v>
      </c>
      <c r="Y405" s="9">
        <f>IFERROR(__xludf.DUMMYFUNCTION("IFERROR(((B405 - GOOGLEFINANCE(A405, ""priceopen"")) / GOOGLEFINANCE(A405, ""priceopen"")) * GOOGLEFINANCE(A405, ""volume""), 0)"),1882.055028945933)</f>
        <v>1882.055029</v>
      </c>
    </row>
    <row r="406">
      <c r="A406" s="4" t="s">
        <v>2199</v>
      </c>
      <c r="B406" s="7">
        <f>IFERROR(__xludf.DUMMYFUNCTION("GOOGLEFINANCE(A406, ""price"")"),674.0)</f>
        <v>674</v>
      </c>
      <c r="C406" s="7">
        <f>IFERROR(__xludf.DUMMYFUNCTION("GOOGLEFINANCE(A406, ""changepct"")"),0.79)</f>
        <v>0.79</v>
      </c>
      <c r="D406" s="9">
        <f>IFERROR(__xludf.DUMMYFUNCTION("GOOGLEFINANCE(A406, ""priceopen"")"),668.45)</f>
        <v>668.45</v>
      </c>
      <c r="E406" s="9">
        <f>IFERROR(__xludf.DUMMYFUNCTION("GOOGLEFINANCE(A406, ""high"")"),708.9)</f>
        <v>708.9</v>
      </c>
      <c r="F406" s="9">
        <f>IFERROR(__xludf.DUMMYFUNCTION("GOOGLEFINANCE(A406, ""low"")"),663.0)</f>
        <v>663</v>
      </c>
      <c r="G406" s="9">
        <f>IFERROR(__xludf.DUMMYFUNCTION("GOOGLEFINANCE(A406, ""price"")"),674.0)</f>
        <v>674</v>
      </c>
      <c r="H406" s="9">
        <f>IFERROR(__xludf.DUMMYFUNCTION("MAX(INDEX(GOOGLEFINANCE(A406, ""high"", TODAY()-30, TODAY()), 0, 2))"),719.4)</f>
        <v>719.4</v>
      </c>
      <c r="I406" s="9">
        <f>IFERROR(__xludf.DUMMYFUNCTION("MIN(INDEX(GOOGLEFINANCE(A406, ""low"", TODAY()-30, TODAY()), 0, 2))"),661.7)</f>
        <v>661.7</v>
      </c>
      <c r="J406" s="9">
        <f>IFERROR(__xludf.DUMMYFUNCTION("GOOGLEFINANCE(A406, ""high52"")"),1026.65)</f>
        <v>1026.65</v>
      </c>
      <c r="K406" s="9">
        <f>IFERROR(__xludf.DUMMYFUNCTION("GOOGLEFINANCE(A406, ""low52"")"),580.3)</f>
        <v>580.3</v>
      </c>
      <c r="L406" s="9">
        <f t="shared" si="1"/>
        <v>0.343495836</v>
      </c>
      <c r="M406" s="9">
        <f t="shared" si="2"/>
        <v>0.1614682061</v>
      </c>
      <c r="N406" s="9">
        <f t="shared" si="3"/>
        <v>0.06923076923</v>
      </c>
      <c r="O406" s="9">
        <f t="shared" si="4"/>
        <v>0.2131715771</v>
      </c>
      <c r="P406" s="9" t="str">
        <f>IFERROR(__xludf.DUMMYFUNCTION("GOOGLEFINANCE(A406, ""pe"")"),"#N/A")</f>
        <v>#N/A</v>
      </c>
      <c r="Q406" s="9">
        <f>IFERROR(__xludf.DUMMYFUNCTION("IFERROR(GOOGLEFINANCE(A406, ""volume"") / GOOGLEFINANCE(A406, ""volumeavg""), 0)"),0.0)</f>
        <v>0</v>
      </c>
      <c r="R406" s="9">
        <f>IFERROR(__xludf.DUMMYFUNCTION("AVERAGE(INDEX(GOOGLEFINANCE(A406, ""price"", TODAY()-30, TODAY()), 0, 2))"),682.6869565217388)</f>
        <v>682.6869565</v>
      </c>
      <c r="S406" s="9">
        <f>IFERROR(__xludf.DUMMYFUNCTION("AVERAGE(INDEX(GOOGLEFINANCE(A406, ""price"", TODAY()-75, TODAY()), 0, 2))"),705.874528301887)</f>
        <v>705.8745283</v>
      </c>
      <c r="T406" s="9">
        <f>IFERROR(__xludf.DUMMYFUNCTION("AVERAGE(INDEX(GOOGLEFINANCE(A406, ""price"", TODAY()-300, TODAY()), 0, 2))"),739.9883663366332)</f>
        <v>739.9883663</v>
      </c>
      <c r="U406" s="9">
        <f t="shared" si="5"/>
        <v>-0.01272465577</v>
      </c>
      <c r="V406" s="15">
        <f>IFERROR(__xludf.DUMMYFUNCTION("LET(hist, GOOGLEFINANCE(A406,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rs))))))"),46.63072776280323)</f>
        <v>46.63072776</v>
      </c>
      <c r="W406" s="16" t="str">
        <f>IFERROR(__xludf.DUMMYFUNCTION("IFERROR(GOOGLEFINANCE(A406, ""volume"") / GOOGLEFINANCE(A406, ""volumeavg""), )"),"")</f>
        <v/>
      </c>
      <c r="X406" s="9">
        <f>IFERROR(__xludf.DUMMYFUNCTION("B406 * GOOGLEFINANCE(A406, ""volume"")"),1.856137362E9)</f>
        <v>1856137362</v>
      </c>
      <c r="Y406" s="9">
        <f>IFERROR(__xludf.DUMMYFUNCTION("IFERROR(((B406 - GOOGLEFINANCE(A406, ""priceopen"")) / GOOGLEFINANCE(A406, ""priceopen"")) * GOOGLEFINANCE(A406, ""volume""), 0)"),22865.16141820611)</f>
        <v>22865.16142</v>
      </c>
    </row>
    <row r="407">
      <c r="A407" s="4" t="s">
        <v>2200</v>
      </c>
      <c r="B407" s="7">
        <f>IFERROR(__xludf.DUMMYFUNCTION("GOOGLEFINANCE(A407, ""price"")"),1389.2)</f>
        <v>1389.2</v>
      </c>
      <c r="C407" s="7">
        <f>IFERROR(__xludf.DUMMYFUNCTION("GOOGLEFINANCE(A407, ""changepct"")"),0.01)</f>
        <v>0.01</v>
      </c>
      <c r="D407" s="9">
        <f>IFERROR(__xludf.DUMMYFUNCTION("GOOGLEFINANCE(A407, ""priceopen"")"),1399.0)</f>
        <v>1399</v>
      </c>
      <c r="E407" s="9">
        <f>IFERROR(__xludf.DUMMYFUNCTION("GOOGLEFINANCE(A407, ""high"")"),1404.4)</f>
        <v>1404.4</v>
      </c>
      <c r="F407" s="9">
        <f>IFERROR(__xludf.DUMMYFUNCTION("GOOGLEFINANCE(A407, ""low"")"),1379.4)</f>
        <v>1379.4</v>
      </c>
      <c r="G407" s="9">
        <f>IFERROR(__xludf.DUMMYFUNCTION("GOOGLEFINANCE(A407, ""price"")"),1389.2)</f>
        <v>1389.2</v>
      </c>
      <c r="H407" s="9">
        <f>IFERROR(__xludf.DUMMYFUNCTION("MAX(INDEX(GOOGLEFINANCE(A407, ""high"", TODAY()-30, TODAY()), 0, 2))"),1470.9)</f>
        <v>1470.9</v>
      </c>
      <c r="I407" s="9">
        <f>IFERROR(__xludf.DUMMYFUNCTION("MIN(INDEX(GOOGLEFINANCE(A407, ""low"", TODAY()-30, TODAY()), 0, 2))"),1255.5)</f>
        <v>1255.5</v>
      </c>
      <c r="J407" s="9">
        <f>IFERROR(__xludf.DUMMYFUNCTION("GOOGLEFINANCE(A407, ""high52"")"),1470.9)</f>
        <v>1470.9</v>
      </c>
      <c r="K407" s="9">
        <f>IFERROR(__xludf.DUMMYFUNCTION("GOOGLEFINANCE(A407, ""low52"")"),1035.3)</f>
        <v>1035.3</v>
      </c>
      <c r="L407" s="9">
        <f t="shared" si="1"/>
        <v>0.05554422462</v>
      </c>
      <c r="M407" s="9">
        <f t="shared" si="2"/>
        <v>0.341833285</v>
      </c>
      <c r="N407" s="9">
        <f t="shared" si="3"/>
        <v>0.01812382195</v>
      </c>
      <c r="O407" s="9">
        <f t="shared" si="4"/>
        <v>0.6207056639</v>
      </c>
      <c r="P407" s="9">
        <f>IFERROR(__xludf.DUMMYFUNCTION("GOOGLEFINANCE(A407, ""pe"")"),41.57)</f>
        <v>41.57</v>
      </c>
      <c r="Q407" s="9">
        <f>IFERROR(__xludf.DUMMYFUNCTION("IFERROR(GOOGLEFINANCE(A407, ""volume"") / GOOGLEFINANCE(A407, ""volumeavg""), 0)"),0.0)</f>
        <v>0</v>
      </c>
      <c r="R407" s="9">
        <f>IFERROR(__xludf.DUMMYFUNCTION("AVERAGE(INDEX(GOOGLEFINANCE(A407, ""price"", TODAY()-30, TODAY()), 0, 2))"),1323.3391304347826)</f>
        <v>1323.33913</v>
      </c>
      <c r="S407" s="9">
        <f>IFERROR(__xludf.DUMMYFUNCTION("AVERAGE(INDEX(GOOGLEFINANCE(A407, ""price"", TODAY()-75, TODAY()), 0, 2))"),1306.7056603773588)</f>
        <v>1306.70566</v>
      </c>
      <c r="T407" s="9">
        <f>IFERROR(__xludf.DUMMYFUNCTION("AVERAGE(INDEX(GOOGLEFINANCE(A407, ""price"", TODAY()-300, TODAY()), 0, 2))"),1245.0851485148517)</f>
        <v>1245.085149</v>
      </c>
      <c r="U407" s="9">
        <f t="shared" si="5"/>
        <v>0.04976870105</v>
      </c>
      <c r="V407" s="15">
        <f>IFERROR(__xludf.DUMMYFUNCTION("LET(hist, GOOGLEFINANCE(A407,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rs))))))"),69.39489331934247)</f>
        <v>69.39489332</v>
      </c>
      <c r="W407" s="16" t="str">
        <f>IFERROR(__xludf.DUMMYFUNCTION("IFERROR(GOOGLEFINANCE(A407, ""volume"") / GOOGLEFINANCE(A407, ""volumeavg""), )"),"")</f>
        <v/>
      </c>
      <c r="X407" s="9">
        <f>IFERROR(__xludf.DUMMYFUNCTION("B407 * GOOGLEFINANCE(A407, ""volume"")"),4.88456612E7)</f>
        <v>48845661.2</v>
      </c>
      <c r="Y407" s="9">
        <f>IFERROR(__xludf.DUMMYFUNCTION("IFERROR(((B407 - GOOGLEFINANCE(A407, ""priceopen"")) / GOOGLEFINANCE(A407, ""priceopen"")) * GOOGLEFINANCE(A407, ""volume""), 0)"),-246.3029306647594)</f>
        <v>-246.3029307</v>
      </c>
    </row>
    <row r="408">
      <c r="A408" s="4" t="s">
        <v>2201</v>
      </c>
      <c r="B408" s="7">
        <f>IFERROR(__xludf.DUMMYFUNCTION("GOOGLEFINANCE(A408, ""price"")"),246.45)</f>
        <v>246.45</v>
      </c>
      <c r="C408" s="7">
        <f>IFERROR(__xludf.DUMMYFUNCTION("GOOGLEFINANCE(A408, ""changepct"")"),-1.46)</f>
        <v>-1.46</v>
      </c>
      <c r="D408" s="9">
        <f>IFERROR(__xludf.DUMMYFUNCTION("GOOGLEFINANCE(A408, ""priceopen"")"),251.9)</f>
        <v>251.9</v>
      </c>
      <c r="E408" s="9">
        <f>IFERROR(__xludf.DUMMYFUNCTION("GOOGLEFINANCE(A408, ""high"")"),253.8)</f>
        <v>253.8</v>
      </c>
      <c r="F408" s="9">
        <f>IFERROR(__xludf.DUMMYFUNCTION("GOOGLEFINANCE(A408, ""low"")"),244.0)</f>
        <v>244</v>
      </c>
      <c r="G408" s="9">
        <f>IFERROR(__xludf.DUMMYFUNCTION("GOOGLEFINANCE(A408, ""price"")"),246.45)</f>
        <v>246.45</v>
      </c>
      <c r="H408" s="9">
        <f>IFERROR(__xludf.DUMMYFUNCTION("MAX(INDEX(GOOGLEFINANCE(A408, ""high"", TODAY()-30, TODAY()), 0, 2))"),277.0)</f>
        <v>277</v>
      </c>
      <c r="I408" s="9">
        <f>IFERROR(__xludf.DUMMYFUNCTION("MIN(INDEX(GOOGLEFINANCE(A408, ""low"", TODAY()-30, TODAY()), 0, 2))"),237.01)</f>
        <v>237.01</v>
      </c>
      <c r="J408" s="9">
        <f>IFERROR(__xludf.DUMMYFUNCTION("GOOGLEFINANCE(A408, ""high52"")"),283.69)</f>
        <v>283.69</v>
      </c>
      <c r="K408" s="9">
        <f>IFERROR(__xludf.DUMMYFUNCTION("GOOGLEFINANCE(A408, ""low52"")"),150.16)</f>
        <v>150.16</v>
      </c>
      <c r="L408" s="9">
        <f t="shared" si="1"/>
        <v>0.1312700483</v>
      </c>
      <c r="M408" s="9">
        <f t="shared" si="2"/>
        <v>0.641249334</v>
      </c>
      <c r="N408" s="9">
        <f t="shared" si="3"/>
        <v>0.04016393443</v>
      </c>
      <c r="O408" s="9">
        <f t="shared" si="4"/>
        <v>0.2360590148</v>
      </c>
      <c r="P408" s="9">
        <f>IFERROR(__xludf.DUMMYFUNCTION("GOOGLEFINANCE(A408, ""pe"")"),26.91)</f>
        <v>26.91</v>
      </c>
      <c r="Q408" s="9">
        <f>IFERROR(__xludf.DUMMYFUNCTION("IFERROR(GOOGLEFINANCE(A408, ""volume"") / GOOGLEFINANCE(A408, ""volumeavg""), 0)"),0.0)</f>
        <v>0</v>
      </c>
      <c r="R408" s="9">
        <f>IFERROR(__xludf.DUMMYFUNCTION("AVERAGE(INDEX(GOOGLEFINANCE(A408, ""price"", TODAY()-30, TODAY()), 0, 2))"),251.76913043478262)</f>
        <v>251.7691304</v>
      </c>
      <c r="S408" s="9">
        <f>IFERROR(__xludf.DUMMYFUNCTION("AVERAGE(INDEX(GOOGLEFINANCE(A408, ""price"", TODAY()-75, TODAY()), 0, 2))"),250.15679245283013)</f>
        <v>250.1567925</v>
      </c>
      <c r="T408" s="9">
        <f>IFERROR(__xludf.DUMMYFUNCTION("AVERAGE(INDEX(GOOGLEFINANCE(A408, ""price"", TODAY()-300, TODAY()), 0, 2))"),227.64826086956526)</f>
        <v>227.6482609</v>
      </c>
      <c r="U408" s="9">
        <f t="shared" si="5"/>
        <v>-0.02112701595</v>
      </c>
      <c r="V408" s="15">
        <f>IFERROR(__xludf.DUMMYFUNCTION("LET(hist, GOOGLEFINANCE(A408,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rs))))))"),43.46850733390855)</f>
        <v>43.46850733</v>
      </c>
      <c r="W408" s="16" t="str">
        <f>IFERROR(__xludf.DUMMYFUNCTION("IFERROR(GOOGLEFINANCE(A408, ""volume"") / GOOGLEFINANCE(A408, ""volumeavg""), )"),"")</f>
        <v/>
      </c>
      <c r="X408" s="9">
        <f>IFERROR(__xludf.DUMMYFUNCTION("B408 * GOOGLEFINANCE(A408, ""volume"")"),2.50940319E8)</f>
        <v>250940319</v>
      </c>
      <c r="Y408" s="9">
        <f>IFERROR(__xludf.DUMMYFUNCTION("IFERROR(((B408 - GOOGLEFINANCE(A408, ""priceopen"")) / GOOGLEFINANCE(A408, ""priceopen"")) * GOOGLEFINANCE(A408, ""volume""), 0)"),-22029.769749900825)</f>
        <v>-22029.76975</v>
      </c>
    </row>
    <row r="409">
      <c r="A409" s="4" t="s">
        <v>2202</v>
      </c>
      <c r="B409" s="7">
        <f>IFERROR(__xludf.DUMMYFUNCTION("GOOGLEFINANCE(A409, ""price"")"),590.0)</f>
        <v>590</v>
      </c>
      <c r="C409" s="7">
        <f>IFERROR(__xludf.DUMMYFUNCTION("GOOGLEFINANCE(A409, ""changepct"")"),-1.01)</f>
        <v>-1.01</v>
      </c>
      <c r="D409" s="9">
        <f>IFERROR(__xludf.DUMMYFUNCTION("GOOGLEFINANCE(A409, ""priceopen"")"),596.15)</f>
        <v>596.15</v>
      </c>
      <c r="E409" s="9">
        <f>IFERROR(__xludf.DUMMYFUNCTION("GOOGLEFINANCE(A409, ""high"")"),600.6)</f>
        <v>600.6</v>
      </c>
      <c r="F409" s="9">
        <f>IFERROR(__xludf.DUMMYFUNCTION("GOOGLEFINANCE(A409, ""low"")"),588.1)</f>
        <v>588.1</v>
      </c>
      <c r="G409" s="9">
        <f>IFERROR(__xludf.DUMMYFUNCTION("GOOGLEFINANCE(A409, ""price"")"),590.0)</f>
        <v>590</v>
      </c>
      <c r="H409" s="9">
        <f>IFERROR(__xludf.DUMMYFUNCTION("MAX(INDEX(GOOGLEFINANCE(A409, ""high"", TODAY()-30, TODAY()), 0, 2))"),659.0)</f>
        <v>659</v>
      </c>
      <c r="I409" s="9">
        <f>IFERROR(__xludf.DUMMYFUNCTION("MIN(INDEX(GOOGLEFINANCE(A409, ""low"", TODAY()-30, TODAY()), 0, 2))"),576.0)</f>
        <v>576</v>
      </c>
      <c r="J409" s="9">
        <f>IFERROR(__xludf.DUMMYFUNCTION("GOOGLEFINANCE(A409, ""high52"")"),688.0)</f>
        <v>688</v>
      </c>
      <c r="K409" s="9">
        <f>IFERROR(__xludf.DUMMYFUNCTION("GOOGLEFINANCE(A409, ""low52"")"),385.5)</f>
        <v>385.5</v>
      </c>
      <c r="L409" s="9">
        <f t="shared" si="1"/>
        <v>0.1424418605</v>
      </c>
      <c r="M409" s="9">
        <f t="shared" si="2"/>
        <v>0.5304798962</v>
      </c>
      <c r="N409" s="9">
        <f t="shared" si="3"/>
        <v>0.02125488862</v>
      </c>
      <c r="O409" s="9">
        <f t="shared" si="4"/>
        <v>0.1686746988</v>
      </c>
      <c r="P409" s="9">
        <f>IFERROR(__xludf.DUMMYFUNCTION("GOOGLEFINANCE(A409, ""pe"")"),19.82)</f>
        <v>19.82</v>
      </c>
      <c r="Q409" s="9">
        <f>IFERROR(__xludf.DUMMYFUNCTION("IFERROR(GOOGLEFINANCE(A409, ""volume"") / GOOGLEFINANCE(A409, ""volumeavg""), 0)"),0.0)</f>
        <v>0</v>
      </c>
      <c r="R409" s="9">
        <f>IFERROR(__xludf.DUMMYFUNCTION("AVERAGE(INDEX(GOOGLEFINANCE(A409, ""price"", TODAY()-30, TODAY()), 0, 2))"),615.5521739130435)</f>
        <v>615.5521739</v>
      </c>
      <c r="S409" s="9">
        <f>IFERROR(__xludf.DUMMYFUNCTION("AVERAGE(INDEX(GOOGLEFINANCE(A409, ""price"", TODAY()-75, TODAY()), 0, 2))"),625.5745283018866)</f>
        <v>625.5745283</v>
      </c>
      <c r="T409" s="9">
        <f>IFERROR(__xludf.DUMMYFUNCTION("AVERAGE(INDEX(GOOGLEFINANCE(A409, ""price"", TODAY()-300, TODAY()), 0, 2))"),529.7002475247525)</f>
        <v>529.7002475</v>
      </c>
      <c r="U409" s="9">
        <f t="shared" si="5"/>
        <v>-0.04151097989</v>
      </c>
      <c r="V409" s="15">
        <f>IFERROR(__xludf.DUMMYFUNCTION("LET(hist, GOOGLEFINANCE(A409,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rs))))))"),43.19371727748689)</f>
        <v>43.19371728</v>
      </c>
      <c r="W409" s="16" t="str">
        <f>IFERROR(__xludf.DUMMYFUNCTION("IFERROR(GOOGLEFINANCE(A409, ""volume"") / GOOGLEFINANCE(A409, ""volumeavg""), )"),"")</f>
        <v/>
      </c>
      <c r="X409" s="9">
        <f>IFERROR(__xludf.DUMMYFUNCTION("B409 * GOOGLEFINANCE(A409, ""volume"")"),8.574352E7)</f>
        <v>85743520</v>
      </c>
      <c r="Y409" s="9">
        <f>IFERROR(__xludf.DUMMYFUNCTION("IFERROR(((B409 - GOOGLEFINANCE(A409, ""priceopen"")) / GOOGLEFINANCE(A409, ""priceopen"")) * GOOGLEFINANCE(A409, ""volume""), 0)"),-1499.232072464978)</f>
        <v>-1499.232072</v>
      </c>
    </row>
    <row r="410">
      <c r="A410" s="4" t="s">
        <v>2203</v>
      </c>
      <c r="B410" s="7">
        <f>IFERROR(__xludf.DUMMYFUNCTION("GOOGLEFINANCE(A410, ""price"")"),736.1)</f>
        <v>736.1</v>
      </c>
      <c r="C410" s="7">
        <f>IFERROR(__xludf.DUMMYFUNCTION("GOOGLEFINANCE(A410, ""changepct"")"),2.03)</f>
        <v>2.03</v>
      </c>
      <c r="D410" s="9">
        <f>IFERROR(__xludf.DUMMYFUNCTION("GOOGLEFINANCE(A410, ""priceopen"")"),721.7)</f>
        <v>721.7</v>
      </c>
      <c r="E410" s="9">
        <f>IFERROR(__xludf.DUMMYFUNCTION("GOOGLEFINANCE(A410, ""high"")"),743.9)</f>
        <v>743.9</v>
      </c>
      <c r="F410" s="9">
        <f>IFERROR(__xludf.DUMMYFUNCTION("GOOGLEFINANCE(A410, ""low"")"),719.3)</f>
        <v>719.3</v>
      </c>
      <c r="G410" s="9">
        <f>IFERROR(__xludf.DUMMYFUNCTION("GOOGLEFINANCE(A410, ""price"")"),736.1)</f>
        <v>736.1</v>
      </c>
      <c r="H410" s="9">
        <f>IFERROR(__xludf.DUMMYFUNCTION("MAX(INDEX(GOOGLEFINANCE(A410, ""high"", TODAY()-30, TODAY()), 0, 2))"),750.8)</f>
        <v>750.8</v>
      </c>
      <c r="I410" s="9">
        <f>IFERROR(__xludf.DUMMYFUNCTION("MIN(INDEX(GOOGLEFINANCE(A410, ""low"", TODAY()-30, TODAY()), 0, 2))"),650.0)</f>
        <v>650</v>
      </c>
      <c r="J410" s="9">
        <f>IFERROR(__xludf.DUMMYFUNCTION("GOOGLEFINANCE(A410, ""high52"")"),750.8)</f>
        <v>750.8</v>
      </c>
      <c r="K410" s="9">
        <f>IFERROR(__xludf.DUMMYFUNCTION("GOOGLEFINANCE(A410, ""low52"")"),462.0)</f>
        <v>462</v>
      </c>
      <c r="L410" s="9">
        <f t="shared" si="1"/>
        <v>0.01957911561</v>
      </c>
      <c r="M410" s="9">
        <f t="shared" si="2"/>
        <v>0.5932900433</v>
      </c>
      <c r="N410" s="9">
        <f t="shared" si="3"/>
        <v>0.03419991659</v>
      </c>
      <c r="O410" s="9">
        <f t="shared" si="4"/>
        <v>0.8541666667</v>
      </c>
      <c r="P410" s="9">
        <f>IFERROR(__xludf.DUMMYFUNCTION("GOOGLEFINANCE(A410, ""pe"")"),48.84)</f>
        <v>48.84</v>
      </c>
      <c r="Q410" s="9">
        <f>IFERROR(__xludf.DUMMYFUNCTION("IFERROR(GOOGLEFINANCE(A410, ""volume"") / GOOGLEFINANCE(A410, ""volumeavg""), 0)"),0.0)</f>
        <v>0</v>
      </c>
      <c r="R410" s="9">
        <f>IFERROR(__xludf.DUMMYFUNCTION("AVERAGE(INDEX(GOOGLEFINANCE(A410, ""price"", TODAY()-30, TODAY()), 0, 2))"),698.2543478260869)</f>
        <v>698.2543478</v>
      </c>
      <c r="S410" s="9">
        <f>IFERROR(__xludf.DUMMYFUNCTION("AVERAGE(INDEX(GOOGLEFINANCE(A410, ""price"", TODAY()-75, TODAY()), 0, 2))"),678.1396226415095)</f>
        <v>678.1396226</v>
      </c>
      <c r="T410" s="9">
        <f>IFERROR(__xludf.DUMMYFUNCTION("AVERAGE(INDEX(GOOGLEFINANCE(A410, ""price"", TODAY()-300, TODAY()), 0, 2))"),589.9923267326731)</f>
        <v>589.9923267</v>
      </c>
      <c r="U410" s="9">
        <f t="shared" si="5"/>
        <v>0.0542003817</v>
      </c>
      <c r="V410" s="15">
        <f>IFERROR(__xludf.DUMMYFUNCTION("LET(hist, GOOGLEFINANCE(A410,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rs))))))"),74.44755680049802)</f>
        <v>74.4475568</v>
      </c>
      <c r="W410" s="16" t="str">
        <f>IFERROR(__xludf.DUMMYFUNCTION("IFERROR(GOOGLEFINANCE(A410, ""volume"") / GOOGLEFINANCE(A410, ""volumeavg""), )"),"")</f>
        <v/>
      </c>
      <c r="X410" s="9">
        <f>IFERROR(__xludf.DUMMYFUNCTION("B410 * GOOGLEFINANCE(A410, ""volume"")"),3.737672887E8)</f>
        <v>373767288.7</v>
      </c>
      <c r="Y410" s="9">
        <f>IFERROR(__xludf.DUMMYFUNCTION("IFERROR(((B410 - GOOGLEFINANCE(A410, ""priceopen"")) / GOOGLEFINANCE(A410, ""priceopen"")) * GOOGLEFINANCE(A410, ""volume""), 0)"),10131.418594984048)</f>
        <v>10131.41859</v>
      </c>
    </row>
    <row r="411">
      <c r="A411" s="4" t="s">
        <v>2204</v>
      </c>
      <c r="B411" s="7">
        <f>IFERROR(__xludf.DUMMYFUNCTION("GOOGLEFINANCE(A411, ""price"")"),247.6)</f>
        <v>247.6</v>
      </c>
      <c r="C411" s="7">
        <f>IFERROR(__xludf.DUMMYFUNCTION("GOOGLEFINANCE(A411, ""changepct"")"),0.9)</f>
        <v>0.9</v>
      </c>
      <c r="D411" s="9">
        <f>IFERROR(__xludf.DUMMYFUNCTION("GOOGLEFINANCE(A411, ""priceopen"")"),246.0)</f>
        <v>246</v>
      </c>
      <c r="E411" s="9">
        <f>IFERROR(__xludf.DUMMYFUNCTION("GOOGLEFINANCE(A411, ""high"")"),248.35)</f>
        <v>248.35</v>
      </c>
      <c r="F411" s="9">
        <f>IFERROR(__xludf.DUMMYFUNCTION("GOOGLEFINANCE(A411, ""low"")"),241.55)</f>
        <v>241.55</v>
      </c>
      <c r="G411" s="9">
        <f>IFERROR(__xludf.DUMMYFUNCTION("GOOGLEFINANCE(A411, ""price"")"),247.6)</f>
        <v>247.6</v>
      </c>
      <c r="H411" s="9">
        <f>IFERROR(__xludf.DUMMYFUNCTION("MAX(INDEX(GOOGLEFINANCE(A411, ""high"", TODAY()-30, TODAY()), 0, 2))"),271.0)</f>
        <v>271</v>
      </c>
      <c r="I411" s="9">
        <f>IFERROR(__xludf.DUMMYFUNCTION("MIN(INDEX(GOOGLEFINANCE(A411, ""low"", TODAY()-30, TODAY()), 0, 2))"),240.2)</f>
        <v>240.2</v>
      </c>
      <c r="J411" s="9">
        <f>IFERROR(__xludf.DUMMYFUNCTION("GOOGLEFINANCE(A411, ""high52"")"),337.5)</f>
        <v>337.5</v>
      </c>
      <c r="K411" s="9">
        <f>IFERROR(__xludf.DUMMYFUNCTION("GOOGLEFINANCE(A411, ""low52"")"),217.4)</f>
        <v>217.4</v>
      </c>
      <c r="L411" s="9">
        <f t="shared" si="1"/>
        <v>0.2663703704</v>
      </c>
      <c r="M411" s="9">
        <f t="shared" si="2"/>
        <v>0.1389144434</v>
      </c>
      <c r="N411" s="9">
        <f t="shared" si="3"/>
        <v>0.02815152142</v>
      </c>
      <c r="O411" s="9">
        <f t="shared" si="4"/>
        <v>0.2402597403</v>
      </c>
      <c r="P411" s="9" t="str">
        <f>IFERROR(__xludf.DUMMYFUNCTION("GOOGLEFINANCE(A411, ""pe"")"),"#N/A")</f>
        <v>#N/A</v>
      </c>
      <c r="Q411" s="9">
        <f>IFERROR(__xludf.DUMMYFUNCTION("IFERROR(GOOGLEFINANCE(A411, ""volume"") / GOOGLEFINANCE(A411, ""volumeavg""), 0)"),0.0)</f>
        <v>0</v>
      </c>
      <c r="R411" s="9">
        <f>IFERROR(__xludf.DUMMYFUNCTION("AVERAGE(INDEX(GOOGLEFINANCE(A411, ""price"", TODAY()-30, TODAY()), 0, 2))"),257.1934782608696)</f>
        <v>257.1934783</v>
      </c>
      <c r="S411" s="9">
        <f>IFERROR(__xludf.DUMMYFUNCTION("AVERAGE(INDEX(GOOGLEFINANCE(A411, ""price"", TODAY()-75, TODAY()), 0, 2))"),263.66981132075466)</f>
        <v>263.6698113</v>
      </c>
      <c r="T411" s="9">
        <f>IFERROR(__xludf.DUMMYFUNCTION("AVERAGE(INDEX(GOOGLEFINANCE(A411, ""price"", TODAY()-300, TODAY()), 0, 2))"),261.7398514851486)</f>
        <v>261.7398515</v>
      </c>
      <c r="U411" s="9">
        <f t="shared" si="5"/>
        <v>-0.03730062802</v>
      </c>
      <c r="V411" s="15">
        <f>IFERROR(__xludf.DUMMYFUNCTION("LET(hist, GOOGLEFINANCE(A411,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rs))))))"),46.67630057803469)</f>
        <v>46.67630058</v>
      </c>
      <c r="W411" s="16" t="str">
        <f>IFERROR(__xludf.DUMMYFUNCTION("IFERROR(GOOGLEFINANCE(A411, ""volume"") / GOOGLEFINANCE(A411, ""volumeavg""), )"),"")</f>
        <v/>
      </c>
      <c r="X411" s="9">
        <f>IFERROR(__xludf.DUMMYFUNCTION("B411 * GOOGLEFINANCE(A411, ""volume"")"),4.833941844E8)</f>
        <v>483394184.4</v>
      </c>
      <c r="Y411" s="9">
        <f>IFERROR(__xludf.DUMMYFUNCTION("IFERROR(((B411 - GOOGLEFINANCE(A411, ""priceopen"")) / GOOGLEFINANCE(A411, ""priceopen"")) * GOOGLEFINANCE(A411, ""volume""), 0)"),12698.009756097515)</f>
        <v>12698.00976</v>
      </c>
    </row>
    <row r="412">
      <c r="A412" s="4" t="s">
        <v>2205</v>
      </c>
      <c r="B412" s="7">
        <f>IFERROR(__xludf.DUMMYFUNCTION("GOOGLEFINANCE(A412, ""price"")"),969.8)</f>
        <v>969.8</v>
      </c>
      <c r="C412" s="7">
        <f>IFERROR(__xludf.DUMMYFUNCTION("GOOGLEFINANCE(A412, ""changepct"")"),-0.05)</f>
        <v>-0.05</v>
      </c>
      <c r="D412" s="9">
        <f>IFERROR(__xludf.DUMMYFUNCTION("GOOGLEFINANCE(A412, ""priceopen"")"),970.25)</f>
        <v>970.25</v>
      </c>
      <c r="E412" s="9">
        <f>IFERROR(__xludf.DUMMYFUNCTION("GOOGLEFINANCE(A412, ""high"")"),1017.3)</f>
        <v>1017.3</v>
      </c>
      <c r="F412" s="9">
        <f>IFERROR(__xludf.DUMMYFUNCTION("GOOGLEFINANCE(A412, ""low"")"),962.2)</f>
        <v>962.2</v>
      </c>
      <c r="G412" s="9">
        <f>IFERROR(__xludf.DUMMYFUNCTION("GOOGLEFINANCE(A412, ""price"")"),969.8)</f>
        <v>969.8</v>
      </c>
      <c r="H412" s="9">
        <f>IFERROR(__xludf.DUMMYFUNCTION("MAX(INDEX(GOOGLEFINANCE(A412, ""high"", TODAY()-30, TODAY()), 0, 2))"),1017.3)</f>
        <v>1017.3</v>
      </c>
      <c r="I412" s="9">
        <f>IFERROR(__xludf.DUMMYFUNCTION("MIN(INDEX(GOOGLEFINANCE(A412, ""low"", TODAY()-30, TODAY()), 0, 2))"),859.05)</f>
        <v>859.05</v>
      </c>
      <c r="J412" s="9">
        <f>IFERROR(__xludf.DUMMYFUNCTION("GOOGLEFINANCE(A412, ""high52"")"),1057.85)</f>
        <v>1057.85</v>
      </c>
      <c r="K412" s="9">
        <f>IFERROR(__xludf.DUMMYFUNCTION("GOOGLEFINANCE(A412, ""low52"")"),670.0)</f>
        <v>670</v>
      </c>
      <c r="L412" s="9">
        <f t="shared" si="1"/>
        <v>0.08323486317</v>
      </c>
      <c r="M412" s="9">
        <f t="shared" si="2"/>
        <v>0.4474626866</v>
      </c>
      <c r="N412" s="9">
        <f t="shared" si="3"/>
        <v>0.05726460195</v>
      </c>
      <c r="O412" s="9">
        <f t="shared" si="4"/>
        <v>0.6998420221</v>
      </c>
      <c r="P412" s="9" t="str">
        <f>IFERROR(__xludf.DUMMYFUNCTION("GOOGLEFINANCE(A412, ""pe"")"),"#N/A")</f>
        <v>#N/A</v>
      </c>
      <c r="Q412" s="9">
        <f>IFERROR(__xludf.DUMMYFUNCTION("IFERROR(GOOGLEFINANCE(A412, ""volume"") / GOOGLEFINANCE(A412, ""volumeavg""), 0)"),0.0)</f>
        <v>0</v>
      </c>
      <c r="R412" s="9">
        <f>IFERROR(__xludf.DUMMYFUNCTION("AVERAGE(INDEX(GOOGLEFINANCE(A412, ""price"", TODAY()-30, TODAY()), 0, 2))"),908.9608695652175)</f>
        <v>908.9608696</v>
      </c>
      <c r="S412" s="9">
        <f>IFERROR(__xludf.DUMMYFUNCTION("AVERAGE(INDEX(GOOGLEFINANCE(A412, ""price"", TODAY()-75, TODAY()), 0, 2))"),873.7792452830187)</f>
        <v>873.7792453</v>
      </c>
      <c r="T412" s="9">
        <f>IFERROR(__xludf.DUMMYFUNCTION("AVERAGE(INDEX(GOOGLEFINANCE(A412, ""price"", TODAY()-300, TODAY()), 0, 2))"),875.1861386138609)</f>
        <v>875.1861386</v>
      </c>
      <c r="U412" s="9">
        <f t="shared" si="5"/>
        <v>0.06693261775</v>
      </c>
      <c r="V412" s="15">
        <f>IFERROR(__xludf.DUMMYFUNCTION("LET(hist, GOOGLEFINANCE(A412,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rs))))))"),69.42355889724313)</f>
        <v>69.4235589</v>
      </c>
      <c r="W412" s="16" t="str">
        <f>IFERROR(__xludf.DUMMYFUNCTION("IFERROR(GOOGLEFINANCE(A412, ""volume"") / GOOGLEFINANCE(A412, ""volumeavg""), )"),"")</f>
        <v/>
      </c>
      <c r="X412" s="9">
        <f>IFERROR(__xludf.DUMMYFUNCTION("B412 * GOOGLEFINANCE(A412, ""volume"")"),4.953759735599999E9)</f>
        <v>4953759736</v>
      </c>
      <c r="Y412" s="9">
        <f>IFERROR(__xludf.DUMMYFUNCTION("IFERROR(((B412 - GOOGLEFINANCE(A412, ""priceopen"")) / GOOGLEFINANCE(A412, ""priceopen"")) * GOOGLEFINANCE(A412, ""volume""), 0)"),-2369.0903375421103)</f>
        <v>-2369.090338</v>
      </c>
    </row>
    <row r="413">
      <c r="A413" s="4" t="s">
        <v>2206</v>
      </c>
      <c r="B413" s="7">
        <f>IFERROR(__xludf.DUMMYFUNCTION("GOOGLEFINANCE(A413, ""price"")"),1593.7)</f>
        <v>1593.7</v>
      </c>
      <c r="C413" s="7">
        <f>IFERROR(__xludf.DUMMYFUNCTION("GOOGLEFINANCE(A413, ""changepct"")"),-2.81)</f>
        <v>-2.81</v>
      </c>
      <c r="D413" s="9">
        <f>IFERROR(__xludf.DUMMYFUNCTION("GOOGLEFINANCE(A413, ""priceopen"")"),1637.3)</f>
        <v>1637.3</v>
      </c>
      <c r="E413" s="9">
        <f>IFERROR(__xludf.DUMMYFUNCTION("GOOGLEFINANCE(A413, ""high"")"),1647.0)</f>
        <v>1647</v>
      </c>
      <c r="F413" s="9">
        <f>IFERROR(__xludf.DUMMYFUNCTION("GOOGLEFINANCE(A413, ""low"")"),1590.0)</f>
        <v>1590</v>
      </c>
      <c r="G413" s="9">
        <f>IFERROR(__xludf.DUMMYFUNCTION("GOOGLEFINANCE(A413, ""price"")"),1593.7)</f>
        <v>1593.7</v>
      </c>
      <c r="H413" s="9">
        <f>IFERROR(__xludf.DUMMYFUNCTION("MAX(INDEX(GOOGLEFINANCE(A413, ""high"", TODAY()-30, TODAY()), 0, 2))"),1685.0)</f>
        <v>1685</v>
      </c>
      <c r="I413" s="9">
        <f>IFERROR(__xludf.DUMMYFUNCTION("MIN(INDEX(GOOGLEFINANCE(A413, ""low"", TODAY()-30, TODAY()), 0, 2))"),1400.1)</f>
        <v>1400.1</v>
      </c>
      <c r="J413" s="9">
        <f>IFERROR(__xludf.DUMMYFUNCTION("GOOGLEFINANCE(A413, ""high52"")"),1764.8)</f>
        <v>1764.8</v>
      </c>
      <c r="K413" s="9">
        <f>IFERROR(__xludf.DUMMYFUNCTION("GOOGLEFINANCE(A413, ""low52"")"),1004.2)</f>
        <v>1004.2</v>
      </c>
      <c r="L413" s="9">
        <f t="shared" si="1"/>
        <v>0.09695149592</v>
      </c>
      <c r="M413" s="9">
        <f t="shared" si="2"/>
        <v>0.5870344553</v>
      </c>
      <c r="N413" s="9">
        <f t="shared" si="3"/>
        <v>0.0358490566</v>
      </c>
      <c r="O413" s="9">
        <f t="shared" si="4"/>
        <v>0.6795366795</v>
      </c>
      <c r="P413" s="9">
        <f>IFERROR(__xludf.DUMMYFUNCTION("GOOGLEFINANCE(A413, ""pe"")"),64.72)</f>
        <v>64.72</v>
      </c>
      <c r="Q413" s="9">
        <f>IFERROR(__xludf.DUMMYFUNCTION("IFERROR(GOOGLEFINANCE(A413, ""volume"") / GOOGLEFINANCE(A413, ""volumeavg""), 0)"),0.0)</f>
        <v>0</v>
      </c>
      <c r="R413" s="9">
        <f>IFERROR(__xludf.DUMMYFUNCTION("AVERAGE(INDEX(GOOGLEFINANCE(A413, ""price"", TODAY()-30, TODAY()), 0, 2))"),1526.1173913043476)</f>
        <v>1526.117391</v>
      </c>
      <c r="S413" s="9">
        <f>IFERROR(__xludf.DUMMYFUNCTION("AVERAGE(INDEX(GOOGLEFINANCE(A413, ""price"", TODAY()-75, TODAY()), 0, 2))"),1447.3)</f>
        <v>1447.3</v>
      </c>
      <c r="T413" s="9">
        <f>IFERROR(__xludf.DUMMYFUNCTION("AVERAGE(INDEX(GOOGLEFINANCE(A413, ""price"", TODAY()-300, TODAY()), 0, 2))"),1425.1242574257417)</f>
        <v>1425.124257</v>
      </c>
      <c r="U413" s="9">
        <f t="shared" si="5"/>
        <v>0.04428401713</v>
      </c>
      <c r="V413" s="15">
        <f>IFERROR(__xludf.DUMMYFUNCTION("LET(hist, GOOGLEFINANCE(A413,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rs))))))"),66.48859667146085)</f>
        <v>66.48859667</v>
      </c>
      <c r="W413" s="16" t="str">
        <f>IFERROR(__xludf.DUMMYFUNCTION("IFERROR(GOOGLEFINANCE(A413, ""volume"") / GOOGLEFINANCE(A413, ""volumeavg""), )"),"")</f>
        <v/>
      </c>
      <c r="X413" s="9">
        <f>IFERROR(__xludf.DUMMYFUNCTION("B413 * GOOGLEFINANCE(A413, ""volume"")"),1.46349471E8)</f>
        <v>146349471</v>
      </c>
      <c r="Y413" s="9">
        <f>IFERROR(__xludf.DUMMYFUNCTION("IFERROR(((B413 - GOOGLEFINANCE(A413, ""priceopen"")) / GOOGLEFINANCE(A413, ""priceopen"")) * GOOGLEFINANCE(A413, ""volume""), 0)"),-2445.3600439748316)</f>
        <v>-2445.360044</v>
      </c>
    </row>
    <row r="414">
      <c r="A414" s="4" t="s">
        <v>2207</v>
      </c>
      <c r="B414" s="7">
        <f>IFERROR(__xludf.DUMMYFUNCTION("GOOGLEFINANCE(A414, ""price"")"),7120.5)</f>
        <v>7120.5</v>
      </c>
      <c r="C414" s="7">
        <f>IFERROR(__xludf.DUMMYFUNCTION("GOOGLEFINANCE(A414, ""changepct"")"),1.42)</f>
        <v>1.42</v>
      </c>
      <c r="D414" s="9">
        <f>IFERROR(__xludf.DUMMYFUNCTION("GOOGLEFINANCE(A414, ""priceopen"")"),7040.5)</f>
        <v>7040.5</v>
      </c>
      <c r="E414" s="9">
        <f>IFERROR(__xludf.DUMMYFUNCTION("GOOGLEFINANCE(A414, ""high"")"),7198.5)</f>
        <v>7198.5</v>
      </c>
      <c r="F414" s="9">
        <f>IFERROR(__xludf.DUMMYFUNCTION("GOOGLEFINANCE(A414, ""low"")"),7000.0)</f>
        <v>7000</v>
      </c>
      <c r="G414" s="9">
        <f>IFERROR(__xludf.DUMMYFUNCTION("GOOGLEFINANCE(A414, ""price"")"),7120.5)</f>
        <v>7120.5</v>
      </c>
      <c r="H414" s="9">
        <f>IFERROR(__xludf.DUMMYFUNCTION("MAX(INDEX(GOOGLEFINANCE(A414, ""high"", TODAY()-30, TODAY()), 0, 2))"),7990.0)</f>
        <v>7990</v>
      </c>
      <c r="I414" s="9">
        <f>IFERROR(__xludf.DUMMYFUNCTION("MIN(INDEX(GOOGLEFINANCE(A414, ""low"", TODAY()-30, TODAY()), 0, 2))"),6650.5)</f>
        <v>6650.5</v>
      </c>
      <c r="J414" s="9">
        <f>IFERROR(__xludf.DUMMYFUNCTION("GOOGLEFINANCE(A414, ""high52"")"),7990.0)</f>
        <v>7990</v>
      </c>
      <c r="K414" s="9">
        <f>IFERROR(__xludf.DUMMYFUNCTION("GOOGLEFINANCE(A414, ""low52"")"),2681.0)</f>
        <v>2681</v>
      </c>
      <c r="L414" s="9">
        <f t="shared" si="1"/>
        <v>0.1088235294</v>
      </c>
      <c r="M414" s="9">
        <f t="shared" si="2"/>
        <v>1.655911973</v>
      </c>
      <c r="N414" s="9">
        <f t="shared" si="3"/>
        <v>0.02835714286</v>
      </c>
      <c r="O414" s="9">
        <f t="shared" si="4"/>
        <v>0.350877193</v>
      </c>
      <c r="P414" s="9">
        <f>IFERROR(__xludf.DUMMYFUNCTION("GOOGLEFINANCE(A414, ""pe"")"),42.65)</f>
        <v>42.65</v>
      </c>
      <c r="Q414" s="9">
        <f>IFERROR(__xludf.DUMMYFUNCTION("IFERROR(GOOGLEFINANCE(A414, ""volume"") / GOOGLEFINANCE(A414, ""volumeavg""), 0)"),0.0)</f>
        <v>0</v>
      </c>
      <c r="R414" s="9">
        <f>IFERROR(__xludf.DUMMYFUNCTION("AVERAGE(INDEX(GOOGLEFINANCE(A414, ""price"", TODAY()-30, TODAY()), 0, 2))"),7041.586956521739)</f>
        <v>7041.586957</v>
      </c>
      <c r="S414" s="9">
        <f>IFERROR(__xludf.DUMMYFUNCTION("AVERAGE(INDEX(GOOGLEFINANCE(A414, ""price"", TODAY()-75, TODAY()), 0, 2))"),6722.149056603774)</f>
        <v>6722.149057</v>
      </c>
      <c r="T414" s="9">
        <f>IFERROR(__xludf.DUMMYFUNCTION("AVERAGE(INDEX(GOOGLEFINANCE(A414, ""price"", TODAY()-300, TODAY()), 0, 2))"),4600.843564356435)</f>
        <v>4600.843564</v>
      </c>
      <c r="U414" s="9">
        <f t="shared" si="5"/>
        <v>0.01120671291</v>
      </c>
      <c r="V414" s="15">
        <f>IFERROR(__xludf.DUMMYFUNCTION("LET(hist, GOOGLEFINANCE(A414,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rs))))))"),58.49896173242361)</f>
        <v>58.49896173</v>
      </c>
      <c r="W414" s="16" t="str">
        <f>IFERROR(__xludf.DUMMYFUNCTION("IFERROR(GOOGLEFINANCE(A414, ""volume"") / GOOGLEFINANCE(A414, ""volumeavg""), )"),"")</f>
        <v/>
      </c>
      <c r="X414" s="9">
        <f>IFERROR(__xludf.DUMMYFUNCTION("B414 * GOOGLEFINANCE(A414, ""volume"")"),3.277067715E8)</f>
        <v>327706771.5</v>
      </c>
      <c r="Y414" s="9">
        <f>IFERROR(__xludf.DUMMYFUNCTION("IFERROR(((B414 - GOOGLEFINANCE(A414, ""priceopen"")) / GOOGLEFINANCE(A414, ""priceopen"")) * GOOGLEFINANCE(A414, ""volume""), 0)"),522.9514949222356)</f>
        <v>522.9514949</v>
      </c>
    </row>
    <row r="415">
      <c r="A415" s="4" t="s">
        <v>2208</v>
      </c>
      <c r="B415" s="7">
        <f>IFERROR(__xludf.DUMMYFUNCTION("GOOGLEFINANCE(A415, ""price"")"),2258.5)</f>
        <v>2258.5</v>
      </c>
      <c r="C415" s="7">
        <f>IFERROR(__xludf.DUMMYFUNCTION("GOOGLEFINANCE(A415, ""changepct"")"),0.16)</f>
        <v>0.16</v>
      </c>
      <c r="D415" s="9">
        <f>IFERROR(__xludf.DUMMYFUNCTION("GOOGLEFINANCE(A415, ""priceopen"")"),2255.0)</f>
        <v>2255</v>
      </c>
      <c r="E415" s="9">
        <f>IFERROR(__xludf.DUMMYFUNCTION("GOOGLEFINANCE(A415, ""high"")"),2300.0)</f>
        <v>2300</v>
      </c>
      <c r="F415" s="9">
        <f>IFERROR(__xludf.DUMMYFUNCTION("GOOGLEFINANCE(A415, ""low"")"),2223.0)</f>
        <v>2223</v>
      </c>
      <c r="G415" s="9">
        <f>IFERROR(__xludf.DUMMYFUNCTION("GOOGLEFINANCE(A415, ""price"")"),2258.5)</f>
        <v>2258.5</v>
      </c>
      <c r="H415" s="9">
        <f>IFERROR(__xludf.DUMMYFUNCTION("MAX(INDEX(GOOGLEFINANCE(A415, ""high"", TODAY()-30, TODAY()), 0, 2))"),2715.0)</f>
        <v>2715</v>
      </c>
      <c r="I415" s="9">
        <f>IFERROR(__xludf.DUMMYFUNCTION("MIN(INDEX(GOOGLEFINANCE(A415, ""low"", TODAY()-30, TODAY()), 0, 2))"),2154.6)</f>
        <v>2154.6</v>
      </c>
      <c r="J415" s="9">
        <f>IFERROR(__xludf.DUMMYFUNCTION("GOOGLEFINANCE(A415, ""high52"")"),3345.0)</f>
        <v>3345</v>
      </c>
      <c r="K415" s="9">
        <f>IFERROR(__xludf.DUMMYFUNCTION("GOOGLEFINANCE(A415, ""low52"")"),1936.5)</f>
        <v>1936.5</v>
      </c>
      <c r="L415" s="9">
        <f t="shared" si="1"/>
        <v>0.324813154</v>
      </c>
      <c r="M415" s="9">
        <f t="shared" si="2"/>
        <v>0.16627937</v>
      </c>
      <c r="N415" s="9">
        <f t="shared" si="3"/>
        <v>0.03463787674</v>
      </c>
      <c r="O415" s="9">
        <f t="shared" si="4"/>
        <v>0.1854032834</v>
      </c>
      <c r="P415" s="9">
        <f>IFERROR(__xludf.DUMMYFUNCTION("GOOGLEFINANCE(A415, ""pe"")"),36.59)</f>
        <v>36.59</v>
      </c>
      <c r="Q415" s="9">
        <f>IFERROR(__xludf.DUMMYFUNCTION("IFERROR(GOOGLEFINANCE(A415, ""volume"") / GOOGLEFINANCE(A415, ""volumeavg""), 0)"),0.0)</f>
        <v>0</v>
      </c>
      <c r="R415" s="9">
        <f>IFERROR(__xludf.DUMMYFUNCTION("AVERAGE(INDEX(GOOGLEFINANCE(A415, ""price"", TODAY()-30, TODAY()), 0, 2))"),2425.7304347826093)</f>
        <v>2425.730435</v>
      </c>
      <c r="S415" s="9">
        <f>IFERROR(__xludf.DUMMYFUNCTION("AVERAGE(INDEX(GOOGLEFINANCE(A415, ""price"", TODAY()-75, TODAY()), 0, 2))"),2522.683018867924)</f>
        <v>2522.683019</v>
      </c>
      <c r="T415" s="9">
        <f>IFERROR(__xludf.DUMMYFUNCTION("AVERAGE(INDEX(GOOGLEFINANCE(A415, ""price"", TODAY()-300, TODAY()), 0, 2))"),2412.211881188119)</f>
        <v>2412.211881</v>
      </c>
      <c r="U415" s="9">
        <f t="shared" si="5"/>
        <v>-0.06894023853</v>
      </c>
      <c r="V415" s="15">
        <f>IFERROR(__xludf.DUMMYFUNCTION("LET(hist, GOOGLEFINANCE(A415,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rs))))))"),29.825327510917035)</f>
        <v>29.82532751</v>
      </c>
      <c r="W415" s="16" t="str">
        <f>IFERROR(__xludf.DUMMYFUNCTION("IFERROR(GOOGLEFINANCE(A415, ""volume"") / GOOGLEFINANCE(A415, ""volumeavg""), )"),"")</f>
        <v/>
      </c>
      <c r="X415" s="9">
        <f>IFERROR(__xludf.DUMMYFUNCTION("B415 * GOOGLEFINANCE(A415, ""volume"")"),1.050496105E8)</f>
        <v>105049610.5</v>
      </c>
      <c r="Y415" s="9">
        <f>IFERROR(__xludf.DUMMYFUNCTION("IFERROR(((B415 - GOOGLEFINANCE(A415, ""priceopen"")) / GOOGLEFINANCE(A415, ""priceopen"")) * GOOGLEFINANCE(A415, ""volume""), 0)"),72.19312638580931)</f>
        <v>72.19312639</v>
      </c>
    </row>
    <row r="416">
      <c r="A416" s="4" t="s">
        <v>2209</v>
      </c>
      <c r="B416" s="7">
        <f>IFERROR(__xludf.DUMMYFUNCTION("GOOGLEFINANCE(A416, ""price"")"),504.0)</f>
        <v>504</v>
      </c>
      <c r="C416" s="7">
        <f>IFERROR(__xludf.DUMMYFUNCTION("GOOGLEFINANCE(A416, ""changepct"")"),-1.61)</f>
        <v>-1.61</v>
      </c>
      <c r="D416" s="9">
        <f>IFERROR(__xludf.DUMMYFUNCTION("GOOGLEFINANCE(A416, ""priceopen"")"),513.7)</f>
        <v>513.7</v>
      </c>
      <c r="E416" s="9">
        <f>IFERROR(__xludf.DUMMYFUNCTION("GOOGLEFINANCE(A416, ""high"")"),523.7)</f>
        <v>523.7</v>
      </c>
      <c r="F416" s="9">
        <f>IFERROR(__xludf.DUMMYFUNCTION("GOOGLEFINANCE(A416, ""low"")"),494.4)</f>
        <v>494.4</v>
      </c>
      <c r="G416" s="9">
        <f>IFERROR(__xludf.DUMMYFUNCTION("GOOGLEFINANCE(A416, ""price"")"),504.0)</f>
        <v>504</v>
      </c>
      <c r="H416" s="9">
        <f>IFERROR(__xludf.DUMMYFUNCTION("MAX(INDEX(GOOGLEFINANCE(A416, ""high"", TODAY()-30, TODAY()), 0, 2))"),527.0)</f>
        <v>527</v>
      </c>
      <c r="I416" s="9">
        <f>IFERROR(__xludf.DUMMYFUNCTION("MIN(INDEX(GOOGLEFINANCE(A416, ""low"", TODAY()-30, TODAY()), 0, 2))"),461.05)</f>
        <v>461.05</v>
      </c>
      <c r="J416" s="9">
        <f>IFERROR(__xludf.DUMMYFUNCTION("GOOGLEFINANCE(A416, ""high52"")"),527.0)</f>
        <v>527</v>
      </c>
      <c r="K416" s="9">
        <f>IFERROR(__xludf.DUMMYFUNCTION("GOOGLEFINANCE(A416, ""low52"")"),384.5)</f>
        <v>384.5</v>
      </c>
      <c r="L416" s="9">
        <f t="shared" si="1"/>
        <v>0.04364326376</v>
      </c>
      <c r="M416" s="9">
        <f t="shared" si="2"/>
        <v>0.310793238</v>
      </c>
      <c r="N416" s="9">
        <f t="shared" si="3"/>
        <v>0.05926375405</v>
      </c>
      <c r="O416" s="9">
        <f t="shared" si="4"/>
        <v>0.6512509477</v>
      </c>
      <c r="P416" s="9">
        <f>IFERROR(__xludf.DUMMYFUNCTION("GOOGLEFINANCE(A416, ""pe"")"),27.8)</f>
        <v>27.8</v>
      </c>
      <c r="Q416" s="9">
        <f>IFERROR(__xludf.DUMMYFUNCTION("IFERROR(GOOGLEFINANCE(A416, ""volume"") / GOOGLEFINANCE(A416, ""volumeavg""), 0)"),0.0)</f>
        <v>0</v>
      </c>
      <c r="R416" s="9">
        <f>IFERROR(__xludf.DUMMYFUNCTION("AVERAGE(INDEX(GOOGLEFINANCE(A416, ""price"", TODAY()-30, TODAY()), 0, 2))"),491.7891304347827)</f>
        <v>491.7891304</v>
      </c>
      <c r="S416" s="9">
        <f>IFERROR(__xludf.DUMMYFUNCTION("AVERAGE(INDEX(GOOGLEFINANCE(A416, ""price"", TODAY()-75, TODAY()), 0, 2))"),471.8707547169811)</f>
        <v>471.8707547</v>
      </c>
      <c r="T416" s="9">
        <f>IFERROR(__xludf.DUMMYFUNCTION("AVERAGE(INDEX(GOOGLEFINANCE(A416, ""price"", TODAY()-300, TODAY()), 0, 2))"),436.66608910891085)</f>
        <v>436.6660891</v>
      </c>
      <c r="U416" s="9">
        <f t="shared" si="5"/>
        <v>0.02482948241</v>
      </c>
      <c r="V416" s="15">
        <f>IFERROR(__xludf.DUMMYFUNCTION("LET(hist, GOOGLEFINANCE(A416,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rs))))))"),62.97709923664122)</f>
        <v>62.97709924</v>
      </c>
      <c r="W416" s="16" t="str">
        <f>IFERROR(__xludf.DUMMYFUNCTION("IFERROR(GOOGLEFINANCE(A416, ""volume"") / GOOGLEFINANCE(A416, ""volumeavg""), )"),"")</f>
        <v/>
      </c>
      <c r="X416" s="9">
        <f>IFERROR(__xludf.DUMMYFUNCTION("B416 * GOOGLEFINANCE(A416, ""volume"")"),1.57615416E8)</f>
        <v>157615416</v>
      </c>
      <c r="Y416" s="9">
        <f>IFERROR(__xludf.DUMMYFUNCTION("IFERROR(((B416 - GOOGLEFINANCE(A416, ""priceopen"")) / GOOGLEFINANCE(A416, ""priceopen"")) * GOOGLEFINANCE(A416, ""volume""), 0)"),-5905.141716955448)</f>
        <v>-5905.141717</v>
      </c>
    </row>
    <row r="417">
      <c r="A417" s="4" t="s">
        <v>2210</v>
      </c>
      <c r="B417" s="7">
        <f>IFERROR(__xludf.DUMMYFUNCTION("GOOGLEFINANCE(A417, ""price"")"),23.81)</f>
        <v>23.81</v>
      </c>
      <c r="C417" s="7">
        <f>IFERROR(__xludf.DUMMYFUNCTION("GOOGLEFINANCE(A417, ""changepct"")"),0.29)</f>
        <v>0.29</v>
      </c>
      <c r="D417" s="9">
        <f>IFERROR(__xludf.DUMMYFUNCTION("GOOGLEFINANCE(A417, ""priceopen"")"),23.72)</f>
        <v>23.72</v>
      </c>
      <c r="E417" s="9">
        <f>IFERROR(__xludf.DUMMYFUNCTION("GOOGLEFINANCE(A417, ""high"")"),24.13)</f>
        <v>24.13</v>
      </c>
      <c r="F417" s="9">
        <f>IFERROR(__xludf.DUMMYFUNCTION("GOOGLEFINANCE(A417, ""low"")"),23.64)</f>
        <v>23.64</v>
      </c>
      <c r="G417" s="9">
        <f>IFERROR(__xludf.DUMMYFUNCTION("GOOGLEFINANCE(A417, ""price"")"),23.81)</f>
        <v>23.81</v>
      </c>
      <c r="H417" s="9">
        <f>IFERROR(__xludf.DUMMYFUNCTION("MAX(INDEX(GOOGLEFINANCE(A417, ""high"", TODAY()-30, TODAY()), 0, 2))"),25.24)</f>
        <v>25.24</v>
      </c>
      <c r="I417" s="9">
        <f>IFERROR(__xludf.DUMMYFUNCTION("MIN(INDEX(GOOGLEFINANCE(A417, ""low"", TODAY()-30, TODAY()), 0, 2))"),22.88)</f>
        <v>22.88</v>
      </c>
      <c r="J417" s="9">
        <f>IFERROR(__xludf.DUMMYFUNCTION("GOOGLEFINANCE(A417, ""high52"")"),32.46)</f>
        <v>32.46</v>
      </c>
      <c r="K417" s="9">
        <f>IFERROR(__xludf.DUMMYFUNCTION("GOOGLEFINANCE(A417, ""low52"")"),20.5)</f>
        <v>20.5</v>
      </c>
      <c r="L417" s="9">
        <f t="shared" si="1"/>
        <v>0.2664818238</v>
      </c>
      <c r="M417" s="9">
        <f t="shared" si="2"/>
        <v>0.1614634146</v>
      </c>
      <c r="N417" s="9">
        <f t="shared" si="3"/>
        <v>0.02072758037</v>
      </c>
      <c r="O417" s="9">
        <f t="shared" si="4"/>
        <v>0.3940677966</v>
      </c>
      <c r="P417" s="9">
        <f>IFERROR(__xludf.DUMMYFUNCTION("GOOGLEFINANCE(A417, ""pe"")"),12.19)</f>
        <v>12.19</v>
      </c>
      <c r="Q417" s="9">
        <f>IFERROR(__xludf.DUMMYFUNCTION("IFERROR(GOOGLEFINANCE(A417, ""volume"") / GOOGLEFINANCE(A417, ""volumeavg""), 0)"),0.0)</f>
        <v>0</v>
      </c>
      <c r="R417" s="9">
        <f>IFERROR(__xludf.DUMMYFUNCTION("AVERAGE(INDEX(GOOGLEFINANCE(A417, ""price"", TODAY()-30, TODAY()), 0, 2))"),24.07260869565218)</f>
        <v>24.0726087</v>
      </c>
      <c r="S417" s="9">
        <f>IFERROR(__xludf.DUMMYFUNCTION("AVERAGE(INDEX(GOOGLEFINANCE(A417, ""price"", TODAY()-75, TODAY()), 0, 2))"),24.21188679245283)</f>
        <v>24.21188679</v>
      </c>
      <c r="T417" s="9">
        <f>IFERROR(__xludf.DUMMYFUNCTION("AVERAGE(INDEX(GOOGLEFINANCE(A417, ""price"", TODAY()-300, TODAY()), 0, 2))"),26.13633663366337)</f>
        <v>26.13633663</v>
      </c>
      <c r="U417" s="9">
        <f t="shared" si="5"/>
        <v>-0.01090902523</v>
      </c>
      <c r="V417" s="15">
        <f>IFERROR(__xludf.DUMMYFUNCTION("LET(hist, GOOGLEFINANCE(A417,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rs))))))"),43.050847457627114)</f>
        <v>43.05084746</v>
      </c>
      <c r="W417" s="16" t="str">
        <f>IFERROR(__xludf.DUMMYFUNCTION("IFERROR(GOOGLEFINANCE(A417, ""volume"") / GOOGLEFINANCE(A417, ""volumeavg""), )"),"")</f>
        <v/>
      </c>
      <c r="X417" s="9">
        <f>IFERROR(__xludf.DUMMYFUNCTION("B417 * GOOGLEFINANCE(A417, ""volume"")"),3.2934753919999998E7)</f>
        <v>32934753.92</v>
      </c>
      <c r="Y417" s="9">
        <f>IFERROR(__xludf.DUMMYFUNCTION("IFERROR(((B417 - GOOGLEFINANCE(A417, ""priceopen"")) / GOOGLEFINANCE(A417, ""priceopen"")) * GOOGLEFINANCE(A417, ""volume""), 0)"),5248.35075885328)</f>
        <v>5248.350759</v>
      </c>
    </row>
    <row r="418">
      <c r="A418" s="4" t="s">
        <v>2211</v>
      </c>
      <c r="B418" s="7">
        <f>IFERROR(__xludf.DUMMYFUNCTION("GOOGLEFINANCE(A418, ""price"")"),269.45)</f>
        <v>269.45</v>
      </c>
      <c r="C418" s="7">
        <f>IFERROR(__xludf.DUMMYFUNCTION("GOOGLEFINANCE(A418, ""changepct"")"),-1.5)</f>
        <v>-1.5</v>
      </c>
      <c r="D418" s="9">
        <f>IFERROR(__xludf.DUMMYFUNCTION("GOOGLEFINANCE(A418, ""priceopen"")"),273.5)</f>
        <v>273.5</v>
      </c>
      <c r="E418" s="9">
        <f>IFERROR(__xludf.DUMMYFUNCTION("GOOGLEFINANCE(A418, ""high"")"),276.4)</f>
        <v>276.4</v>
      </c>
      <c r="F418" s="9">
        <f>IFERROR(__xludf.DUMMYFUNCTION("GOOGLEFINANCE(A418, ""low"")"),268.25)</f>
        <v>268.25</v>
      </c>
      <c r="G418" s="9">
        <f>IFERROR(__xludf.DUMMYFUNCTION("GOOGLEFINANCE(A418, ""price"")"),269.45)</f>
        <v>269.45</v>
      </c>
      <c r="H418" s="9">
        <f>IFERROR(__xludf.DUMMYFUNCTION("MAX(INDEX(GOOGLEFINANCE(A418, ""high"", TODAY()-30, TODAY()), 0, 2))"),281.0)</f>
        <v>281</v>
      </c>
      <c r="I418" s="9">
        <f>IFERROR(__xludf.DUMMYFUNCTION("MIN(INDEX(GOOGLEFINANCE(A418, ""low"", TODAY()-30, TODAY()), 0, 2))"),246.5)</f>
        <v>246.5</v>
      </c>
      <c r="J418" s="9">
        <f>IFERROR(__xludf.DUMMYFUNCTION("GOOGLEFINANCE(A418, ""high52"")"),281.0)</f>
        <v>281</v>
      </c>
      <c r="K418" s="9">
        <f>IFERROR(__xludf.DUMMYFUNCTION("GOOGLEFINANCE(A418, ""low52"")"),153.0)</f>
        <v>153</v>
      </c>
      <c r="L418" s="9">
        <f t="shared" si="1"/>
        <v>0.04110320285</v>
      </c>
      <c r="M418" s="9">
        <f t="shared" si="2"/>
        <v>0.7611111111</v>
      </c>
      <c r="N418" s="9">
        <f t="shared" si="3"/>
        <v>0.03038210624</v>
      </c>
      <c r="O418" s="9">
        <f t="shared" si="4"/>
        <v>0.6652173913</v>
      </c>
      <c r="P418" s="9">
        <f>IFERROR(__xludf.DUMMYFUNCTION("GOOGLEFINANCE(A418, ""pe"")"),26.34)</f>
        <v>26.34</v>
      </c>
      <c r="Q418" s="9">
        <f>IFERROR(__xludf.DUMMYFUNCTION("IFERROR(GOOGLEFINANCE(A418, ""volume"") / GOOGLEFINANCE(A418, ""volumeavg""), 0)"),0.0)</f>
        <v>0</v>
      </c>
      <c r="R418" s="9">
        <f>IFERROR(__xludf.DUMMYFUNCTION("AVERAGE(INDEX(GOOGLEFINANCE(A418, ""price"", TODAY()-30, TODAY()), 0, 2))"),263.2652173913043)</f>
        <v>263.2652174</v>
      </c>
      <c r="S418" s="9">
        <f>IFERROR(__xludf.DUMMYFUNCTION("AVERAGE(INDEX(GOOGLEFINANCE(A418, ""price"", TODAY()-75, TODAY()), 0, 2))"),257.61037735849055)</f>
        <v>257.6103774</v>
      </c>
      <c r="T418" s="9">
        <f>IFERROR(__xludf.DUMMYFUNCTION("AVERAGE(INDEX(GOOGLEFINANCE(A418, ""price"", TODAY()-300, TODAY()), 0, 2))"),206.41207920792084)</f>
        <v>206.4120792</v>
      </c>
      <c r="U418" s="9">
        <f t="shared" si="5"/>
        <v>0.02349259302</v>
      </c>
      <c r="V418" s="15">
        <f>IFERROR(__xludf.DUMMYFUNCTION("LET(hist, GOOGLEFINANCE(A418,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rs))))))"),57.80399274047187)</f>
        <v>57.80399274</v>
      </c>
      <c r="W418" s="16" t="str">
        <f>IFERROR(__xludf.DUMMYFUNCTION("IFERROR(GOOGLEFINANCE(A418, ""volume"") / GOOGLEFINANCE(A418, ""volumeavg""), )"),"")</f>
        <v/>
      </c>
      <c r="X418" s="9">
        <f>IFERROR(__xludf.DUMMYFUNCTION("B418 * GOOGLEFINANCE(A418, ""volume"")"),2.422317777E8)</f>
        <v>242231777.7</v>
      </c>
      <c r="Y418" s="9">
        <f>IFERROR(__xludf.DUMMYFUNCTION("IFERROR(((B418 - GOOGLEFINANCE(A418, ""priceopen"")) / GOOGLEFINANCE(A418, ""priceopen"")) * GOOGLEFINANCE(A418, ""volume""), 0)"),-13312.224131627094)</f>
        <v>-13312.22413</v>
      </c>
    </row>
    <row r="419">
      <c r="A419" s="4" t="s">
        <v>2212</v>
      </c>
      <c r="B419" s="7">
        <f>IFERROR(__xludf.DUMMYFUNCTION("GOOGLEFINANCE(A419, ""price"")"),917.0)</f>
        <v>917</v>
      </c>
      <c r="C419" s="7">
        <f>IFERROR(__xludf.DUMMYFUNCTION("GOOGLEFINANCE(A419, ""changepct"")"),1.1)</f>
        <v>1.1</v>
      </c>
      <c r="D419" s="9">
        <f>IFERROR(__xludf.DUMMYFUNCTION("GOOGLEFINANCE(A419, ""priceopen"")"),907.95)</f>
        <v>907.95</v>
      </c>
      <c r="E419" s="9">
        <f>IFERROR(__xludf.DUMMYFUNCTION("GOOGLEFINANCE(A419, ""high"")"),922.15)</f>
        <v>922.15</v>
      </c>
      <c r="F419" s="9">
        <f>IFERROR(__xludf.DUMMYFUNCTION("GOOGLEFINANCE(A419, ""low"")"),906.0)</f>
        <v>906</v>
      </c>
      <c r="G419" s="9">
        <f>IFERROR(__xludf.DUMMYFUNCTION("GOOGLEFINANCE(A419, ""price"")"),917.0)</f>
        <v>917</v>
      </c>
      <c r="H419" s="9">
        <f>IFERROR(__xludf.DUMMYFUNCTION("MAX(INDEX(GOOGLEFINANCE(A419, ""high"", TODAY()-30, TODAY()), 0, 2))"),988.95)</f>
        <v>988.95</v>
      </c>
      <c r="I419" s="9">
        <f>IFERROR(__xludf.DUMMYFUNCTION("MIN(INDEX(GOOGLEFINANCE(A419, ""low"", TODAY()-30, TODAY()), 0, 2))"),903.25)</f>
        <v>903.25</v>
      </c>
      <c r="J419" s="9">
        <f>IFERROR(__xludf.DUMMYFUNCTION("GOOGLEFINANCE(A419, ""high52"")"),1226.8)</f>
        <v>1226.8</v>
      </c>
      <c r="K419" s="9">
        <f>IFERROR(__xludf.DUMMYFUNCTION("GOOGLEFINANCE(A419, ""low52"")"),789.0)</f>
        <v>789</v>
      </c>
      <c r="L419" s="9">
        <f t="shared" si="1"/>
        <v>0.2525268993</v>
      </c>
      <c r="M419" s="9">
        <f t="shared" si="2"/>
        <v>0.1622306717</v>
      </c>
      <c r="N419" s="9">
        <f t="shared" si="3"/>
        <v>0.01782560706</v>
      </c>
      <c r="O419" s="9">
        <f t="shared" si="4"/>
        <v>0.1604434072</v>
      </c>
      <c r="P419" s="9">
        <f>IFERROR(__xludf.DUMMYFUNCTION("GOOGLEFINANCE(A419, ""pe"")"),11.58)</f>
        <v>11.58</v>
      </c>
      <c r="Q419" s="9">
        <f>IFERROR(__xludf.DUMMYFUNCTION("IFERROR(GOOGLEFINANCE(A419, ""volume"") / GOOGLEFINANCE(A419, ""volumeavg""), 0)"),0.0)</f>
        <v>0</v>
      </c>
      <c r="R419" s="9">
        <f>IFERROR(__xludf.DUMMYFUNCTION("AVERAGE(INDEX(GOOGLEFINANCE(A419, ""price"", TODAY()-30, TODAY()), 0, 2))"),933.9347826086956)</f>
        <v>933.9347826</v>
      </c>
      <c r="S419" s="9">
        <f>IFERROR(__xludf.DUMMYFUNCTION("AVERAGE(INDEX(GOOGLEFINANCE(A419, ""price"", TODAY()-75, TODAY()), 0, 2))"),920.6386792452831)</f>
        <v>920.6386792</v>
      </c>
      <c r="T419" s="9">
        <f>IFERROR(__xludf.DUMMYFUNCTION("AVERAGE(INDEX(GOOGLEFINANCE(A419, ""price"", TODAY()-300, TODAY()), 0, 2))"),940.0910891089104)</f>
        <v>940.0910891</v>
      </c>
      <c r="U419" s="9">
        <f t="shared" si="5"/>
        <v>-0.01813272503</v>
      </c>
      <c r="V419" s="15">
        <f>IFERROR(__xludf.DUMMYFUNCTION("LET(hist, GOOGLEFINANCE(A419,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rs))))))"),48.24038982133189)</f>
        <v>48.24038982</v>
      </c>
      <c r="W419" s="16" t="str">
        <f>IFERROR(__xludf.DUMMYFUNCTION("IFERROR(GOOGLEFINANCE(A419, ""volume"") / GOOGLEFINANCE(A419, ""volumeavg""), )"),"")</f>
        <v/>
      </c>
      <c r="X419" s="9">
        <f>IFERROR(__xludf.DUMMYFUNCTION("B419 * GOOGLEFINANCE(A419, ""volume"")"),2.47691787E8)</f>
        <v>247691787</v>
      </c>
      <c r="Y419" s="9">
        <f>IFERROR(__xludf.DUMMYFUNCTION("IFERROR(((B419 - GOOGLEFINANCE(A419, ""priceopen"")) / GOOGLEFINANCE(A419, ""priceopen"")) * GOOGLEFINANCE(A419, ""volume""), 0)"),2692.333884024437)</f>
        <v>2692.333884</v>
      </c>
    </row>
    <row r="420">
      <c r="A420" s="4" t="s">
        <v>2213</v>
      </c>
      <c r="B420" s="7">
        <f>IFERROR(__xludf.DUMMYFUNCTION("GOOGLEFINANCE(A420, ""price"")"),612.0)</f>
        <v>612</v>
      </c>
      <c r="C420" s="7">
        <f>IFERROR(__xludf.DUMMYFUNCTION("GOOGLEFINANCE(A420, ""changepct"")"),-2.39)</f>
        <v>-2.39</v>
      </c>
      <c r="D420" s="9">
        <f>IFERROR(__xludf.DUMMYFUNCTION("GOOGLEFINANCE(A420, ""priceopen"")"),627.0)</f>
        <v>627</v>
      </c>
      <c r="E420" s="9">
        <f>IFERROR(__xludf.DUMMYFUNCTION("GOOGLEFINANCE(A420, ""high"")"),628.0)</f>
        <v>628</v>
      </c>
      <c r="F420" s="9">
        <f>IFERROR(__xludf.DUMMYFUNCTION("GOOGLEFINANCE(A420, ""low"")"),609.0)</f>
        <v>609</v>
      </c>
      <c r="G420" s="9">
        <f>IFERROR(__xludf.DUMMYFUNCTION("GOOGLEFINANCE(A420, ""price"")"),612.0)</f>
        <v>612</v>
      </c>
      <c r="H420" s="9">
        <f>IFERROR(__xludf.DUMMYFUNCTION("MAX(INDEX(GOOGLEFINANCE(A420, ""high"", TODAY()-30, TODAY()), 0, 2))"),662.65)</f>
        <v>662.65</v>
      </c>
      <c r="I420" s="9">
        <f>IFERROR(__xludf.DUMMYFUNCTION("MIN(INDEX(GOOGLEFINANCE(A420, ""low"", TODAY()-30, TODAY()), 0, 2))"),543.0)</f>
        <v>543</v>
      </c>
      <c r="J420" s="9">
        <f>IFERROR(__xludf.DUMMYFUNCTION("GOOGLEFINANCE(A420, ""high52"")"),1328.0)</f>
        <v>1328</v>
      </c>
      <c r="K420" s="9">
        <f>IFERROR(__xludf.DUMMYFUNCTION("GOOGLEFINANCE(A420, ""low52"")"),543.0)</f>
        <v>543</v>
      </c>
      <c r="L420" s="9">
        <f t="shared" si="1"/>
        <v>0.5391566265</v>
      </c>
      <c r="M420" s="9">
        <f t="shared" si="2"/>
        <v>0.1270718232</v>
      </c>
      <c r="N420" s="9">
        <f t="shared" si="3"/>
        <v>0.03119868637</v>
      </c>
      <c r="O420" s="9">
        <f t="shared" si="4"/>
        <v>0.5766819891</v>
      </c>
      <c r="P420" s="9">
        <f>IFERROR(__xludf.DUMMYFUNCTION("GOOGLEFINANCE(A420, ""pe"")"),28.75)</f>
        <v>28.75</v>
      </c>
      <c r="Q420" s="9">
        <f>IFERROR(__xludf.DUMMYFUNCTION("IFERROR(GOOGLEFINANCE(A420, ""volume"") / GOOGLEFINANCE(A420, ""volumeavg""), 0)"),0.0)</f>
        <v>0</v>
      </c>
      <c r="R420" s="9">
        <f>IFERROR(__xludf.DUMMYFUNCTION("AVERAGE(INDEX(GOOGLEFINANCE(A420, ""price"", TODAY()-30, TODAY()), 0, 2))"),591.3086956521738)</f>
        <v>591.3086957</v>
      </c>
      <c r="S420" s="9">
        <f>IFERROR(__xludf.DUMMYFUNCTION("AVERAGE(INDEX(GOOGLEFINANCE(A420, ""price"", TODAY()-75, TODAY()), 0, 2))"),653.0971698113208)</f>
        <v>653.0971698</v>
      </c>
      <c r="T420" s="9">
        <f>IFERROR(__xludf.DUMMYFUNCTION("AVERAGE(INDEX(GOOGLEFINANCE(A420, ""price"", TODAY()-300, TODAY()), 0, 2))"),882.5606435643562)</f>
        <v>882.5606436</v>
      </c>
      <c r="U420" s="9">
        <f t="shared" si="5"/>
        <v>0.03499238976</v>
      </c>
      <c r="V420" s="15">
        <f>IFERROR(__xludf.DUMMYFUNCTION("LET(hist, GOOGLEFINANCE(A420,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rs))))))"),64.36668309512078)</f>
        <v>64.3666831</v>
      </c>
      <c r="W420" s="16" t="str">
        <f>IFERROR(__xludf.DUMMYFUNCTION("IFERROR(GOOGLEFINANCE(A420, ""volume"") / GOOGLEFINANCE(A420, ""volumeavg""), )"),"")</f>
        <v/>
      </c>
      <c r="X420" s="9">
        <f>IFERROR(__xludf.DUMMYFUNCTION("B420 * GOOGLEFINANCE(A420, ""volume"")"),7.32342456E8)</f>
        <v>732342456</v>
      </c>
      <c r="Y420" s="9">
        <f>IFERROR(__xludf.DUMMYFUNCTION("IFERROR(((B420 - GOOGLEFINANCE(A420, ""priceopen"")) / GOOGLEFINANCE(A420, ""priceopen"")) * GOOGLEFINANCE(A420, ""volume""), 0)"),-28627.703349282296)</f>
        <v>-28627.70335</v>
      </c>
    </row>
    <row r="421">
      <c r="A421" s="4" t="s">
        <v>2214</v>
      </c>
      <c r="B421" s="7">
        <f>IFERROR(__xludf.DUMMYFUNCTION("GOOGLEFINANCE(A421, ""price"")"),229.0)</f>
        <v>229</v>
      </c>
      <c r="C421" s="7">
        <f>IFERROR(__xludf.DUMMYFUNCTION("GOOGLEFINANCE(A421, ""changepct"")"),-1.37)</f>
        <v>-1.37</v>
      </c>
      <c r="D421" s="9">
        <f>IFERROR(__xludf.DUMMYFUNCTION("GOOGLEFINANCE(A421, ""priceopen"")"),234.18)</f>
        <v>234.18</v>
      </c>
      <c r="E421" s="9">
        <f>IFERROR(__xludf.DUMMYFUNCTION("GOOGLEFINANCE(A421, ""high"")"),234.95)</f>
        <v>234.95</v>
      </c>
      <c r="F421" s="9">
        <f>IFERROR(__xludf.DUMMYFUNCTION("GOOGLEFINANCE(A421, ""low"")"),228.31)</f>
        <v>228.31</v>
      </c>
      <c r="G421" s="9">
        <f>IFERROR(__xludf.DUMMYFUNCTION("GOOGLEFINANCE(A421, ""price"")"),229.0)</f>
        <v>229</v>
      </c>
      <c r="H421" s="9">
        <f>IFERROR(__xludf.DUMMYFUNCTION("MAX(INDEX(GOOGLEFINANCE(A421, ""high"", TODAY()-30, TODAY()), 0, 2))"),257.1)</f>
        <v>257.1</v>
      </c>
      <c r="I421" s="9">
        <f>IFERROR(__xludf.DUMMYFUNCTION("MIN(INDEX(GOOGLEFINANCE(A421, ""low"", TODAY()-30, TODAY()), 0, 2))"),228.31)</f>
        <v>228.31</v>
      </c>
      <c r="J421" s="9">
        <f>IFERROR(__xludf.DUMMYFUNCTION("GOOGLEFINANCE(A421, ""high52"")"),320.0)</f>
        <v>320</v>
      </c>
      <c r="K421" s="9">
        <f>IFERROR(__xludf.DUMMYFUNCTION("GOOGLEFINANCE(A421, ""low52"")"),195.02)</f>
        <v>195.02</v>
      </c>
      <c r="L421" s="9">
        <f t="shared" si="1"/>
        <v>0.284375</v>
      </c>
      <c r="M421" s="9">
        <f t="shared" si="2"/>
        <v>0.1742385396</v>
      </c>
      <c r="N421" s="9">
        <f t="shared" si="3"/>
        <v>0.02908326398</v>
      </c>
      <c r="O421" s="9">
        <f t="shared" si="4"/>
        <v>0.02396665509</v>
      </c>
      <c r="P421" s="9">
        <f>IFERROR(__xludf.DUMMYFUNCTION("GOOGLEFINANCE(A421, ""pe"")"),17.97)</f>
        <v>17.97</v>
      </c>
      <c r="Q421" s="9">
        <f>IFERROR(__xludf.DUMMYFUNCTION("IFERROR(GOOGLEFINANCE(A421, ""volume"") / GOOGLEFINANCE(A421, ""volumeavg""), 0)"),0.0)</f>
        <v>0</v>
      </c>
      <c r="R421" s="9">
        <f>IFERROR(__xludf.DUMMYFUNCTION("AVERAGE(INDEX(GOOGLEFINANCE(A421, ""price"", TODAY()-30, TODAY()), 0, 2))"),244.0173913043478)</f>
        <v>244.0173913</v>
      </c>
      <c r="S421" s="9">
        <f>IFERROR(__xludf.DUMMYFUNCTION("AVERAGE(INDEX(GOOGLEFINANCE(A421, ""price"", TODAY()-75, TODAY()), 0, 2))"),258.4943396226415)</f>
        <v>258.4943396</v>
      </c>
      <c r="T421" s="9">
        <f>IFERROR(__xludf.DUMMYFUNCTION("AVERAGE(INDEX(GOOGLEFINANCE(A421, ""price"", TODAY()-300, TODAY()), 0, 2))"),264.0061194029851)</f>
        <v>264.0061194</v>
      </c>
      <c r="U421" s="9">
        <f t="shared" si="5"/>
        <v>-0.06154229919</v>
      </c>
      <c r="V421" s="15">
        <f>IFERROR(__xludf.DUMMYFUNCTION("LET(hist, GOOGLEFINANCE(A421,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rs))))))"),37.287432600580686)</f>
        <v>37.2874326</v>
      </c>
      <c r="W421" s="16" t="str">
        <f>IFERROR(__xludf.DUMMYFUNCTION("IFERROR(GOOGLEFINANCE(A421, ""volume"") / GOOGLEFINANCE(A421, ""volumeavg""), )"),"")</f>
        <v/>
      </c>
      <c r="X421" s="9">
        <f>IFERROR(__xludf.DUMMYFUNCTION("B421 * GOOGLEFINANCE(A421, ""volume"")"),3.78192126E8)</f>
        <v>378192126</v>
      </c>
      <c r="Y421" s="9">
        <f>IFERROR(__xludf.DUMMYFUNCTION("IFERROR(((B421 - GOOGLEFINANCE(A421, ""priceopen"")) / GOOGLEFINANCE(A421, ""priceopen"")) * GOOGLEFINANCE(A421, ""volume""), 0)"),-36530.61286190115)</f>
        <v>-36530.61286</v>
      </c>
    </row>
    <row r="422">
      <c r="A422" s="4" t="s">
        <v>2215</v>
      </c>
      <c r="B422" s="7">
        <f>IFERROR(__xludf.DUMMYFUNCTION("GOOGLEFINANCE(A422, ""price"")"),443.05)</f>
        <v>443.05</v>
      </c>
      <c r="C422" s="7">
        <f>IFERROR(__xludf.DUMMYFUNCTION("GOOGLEFINANCE(A422, ""changepct"")"),-4.5)</f>
        <v>-4.5</v>
      </c>
      <c r="D422" s="9">
        <f>IFERROR(__xludf.DUMMYFUNCTION("GOOGLEFINANCE(A422, ""priceopen"")"),465.0)</f>
        <v>465</v>
      </c>
      <c r="E422" s="9">
        <f>IFERROR(__xludf.DUMMYFUNCTION("GOOGLEFINANCE(A422, ""high"")"),468.35)</f>
        <v>468.35</v>
      </c>
      <c r="F422" s="9">
        <f>IFERROR(__xludf.DUMMYFUNCTION("GOOGLEFINANCE(A422, ""low"")"),443.0)</f>
        <v>443</v>
      </c>
      <c r="G422" s="9">
        <f>IFERROR(__xludf.DUMMYFUNCTION("GOOGLEFINANCE(A422, ""price"")"),443.05)</f>
        <v>443.05</v>
      </c>
      <c r="H422" s="9">
        <f>IFERROR(__xludf.DUMMYFUNCTION("MAX(INDEX(GOOGLEFINANCE(A422, ""high"", TODAY()-30, TODAY()), 0, 2))"),474.7)</f>
        <v>474.7</v>
      </c>
      <c r="I422" s="9">
        <f>IFERROR(__xludf.DUMMYFUNCTION("MIN(INDEX(GOOGLEFINANCE(A422, ""low"", TODAY()-30, TODAY()), 0, 2))"),411.0)</f>
        <v>411</v>
      </c>
      <c r="J422" s="9">
        <f>IFERROR(__xludf.DUMMYFUNCTION("GOOGLEFINANCE(A422, ""high52"")"),1038.9)</f>
        <v>1038.9</v>
      </c>
      <c r="K422" s="9">
        <f>IFERROR(__xludf.DUMMYFUNCTION("GOOGLEFINANCE(A422, ""low52"")"),266.7)</f>
        <v>266.7</v>
      </c>
      <c r="L422" s="9">
        <f t="shared" si="1"/>
        <v>0.5735393204</v>
      </c>
      <c r="M422" s="9">
        <f t="shared" si="2"/>
        <v>0.6612298463</v>
      </c>
      <c r="N422" s="9">
        <f t="shared" si="3"/>
        <v>0.0572234763</v>
      </c>
      <c r="O422" s="9">
        <f t="shared" si="4"/>
        <v>0.5031397174</v>
      </c>
      <c r="P422" s="9">
        <f>IFERROR(__xludf.DUMMYFUNCTION("GOOGLEFINANCE(A422, ""pe"")"),160.53)</f>
        <v>160.53</v>
      </c>
      <c r="Q422" s="9">
        <f>IFERROR(__xludf.DUMMYFUNCTION("IFERROR(GOOGLEFINANCE(A422, ""volume"") / GOOGLEFINANCE(A422, ""volumeavg""), 0)"),0.0)</f>
        <v>0</v>
      </c>
      <c r="R422" s="9">
        <f>IFERROR(__xludf.DUMMYFUNCTION("AVERAGE(INDEX(GOOGLEFINANCE(A422, ""price"", TODAY()-30, TODAY()), 0, 2))"),436.33260869565225)</f>
        <v>436.3326087</v>
      </c>
      <c r="S422" s="9">
        <f>IFERROR(__xludf.DUMMYFUNCTION("AVERAGE(INDEX(GOOGLEFINANCE(A422, ""price"", TODAY()-75, TODAY()), 0, 2))"),436.11509433962254)</f>
        <v>436.1150943</v>
      </c>
      <c r="T422" s="9">
        <f>IFERROR(__xludf.DUMMYFUNCTION("AVERAGE(INDEX(GOOGLEFINANCE(A422, ""price"", TODAY()-300, TODAY()), 0, 2))"),459.6740099009899)</f>
        <v>459.6740099</v>
      </c>
      <c r="U422" s="9">
        <f t="shared" si="5"/>
        <v>0.01539511641</v>
      </c>
      <c r="V422" s="15">
        <f>IFERROR(__xludf.DUMMYFUNCTION("LET(hist, GOOGLEFINANCE(A422,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rs))))))"),62.45103525461667)</f>
        <v>62.45103525</v>
      </c>
      <c r="W422" s="16" t="str">
        <f>IFERROR(__xludf.DUMMYFUNCTION("IFERROR(GOOGLEFINANCE(A422, ""volume"") / GOOGLEFINANCE(A422, ""volumeavg""), )"),"")</f>
        <v/>
      </c>
      <c r="X422" s="9">
        <f>IFERROR(__xludf.DUMMYFUNCTION("B422 * GOOGLEFINANCE(A422, ""volume"")"),2.2945869635E8)</f>
        <v>229458696.4</v>
      </c>
      <c r="Y422" s="9">
        <f>IFERROR(__xludf.DUMMYFUNCTION("IFERROR(((B422 - GOOGLEFINANCE(A422, ""priceopen"")) / GOOGLEFINANCE(A422, ""priceopen"")) * GOOGLEFINANCE(A422, ""volume""), 0)"),-24447.437956989237)</f>
        <v>-24447.43796</v>
      </c>
    </row>
    <row r="423">
      <c r="A423" s="4" t="s">
        <v>2216</v>
      </c>
      <c r="B423" s="7">
        <f>IFERROR(__xludf.DUMMYFUNCTION("GOOGLEFINANCE(A423, ""price"")"),5342.5)</f>
        <v>5342.5</v>
      </c>
      <c r="C423" s="7">
        <f>IFERROR(__xludf.DUMMYFUNCTION("GOOGLEFINANCE(A423, ""changepct"")"),2.19)</f>
        <v>2.19</v>
      </c>
      <c r="D423" s="9">
        <f>IFERROR(__xludf.DUMMYFUNCTION("GOOGLEFINANCE(A423, ""priceopen"")"),5236.5)</f>
        <v>5236.5</v>
      </c>
      <c r="E423" s="9">
        <f>IFERROR(__xludf.DUMMYFUNCTION("GOOGLEFINANCE(A423, ""high"")"),5390.0)</f>
        <v>5390</v>
      </c>
      <c r="F423" s="9">
        <f>IFERROR(__xludf.DUMMYFUNCTION("GOOGLEFINANCE(A423, ""low"")"),5235.0)</f>
        <v>5235</v>
      </c>
      <c r="G423" s="9">
        <f>IFERROR(__xludf.DUMMYFUNCTION("GOOGLEFINANCE(A423, ""price"")"),5342.5)</f>
        <v>5342.5</v>
      </c>
      <c r="H423" s="9">
        <f>IFERROR(__xludf.DUMMYFUNCTION("MAX(INDEX(GOOGLEFINANCE(A423, ""high"", TODAY()-30, TODAY()), 0, 2))"),7430.0)</f>
        <v>7430</v>
      </c>
      <c r="I423" s="9">
        <f>IFERROR(__xludf.DUMMYFUNCTION("MIN(INDEX(GOOGLEFINANCE(A423, ""low"", TODAY()-30, TODAY()), 0, 2))"),4611.0)</f>
        <v>4611</v>
      </c>
      <c r="J423" s="9">
        <f>IFERROR(__xludf.DUMMYFUNCTION("GOOGLEFINANCE(A423, ""high52"")"),7430.0)</f>
        <v>7430</v>
      </c>
      <c r="K423" s="9">
        <f>IFERROR(__xludf.DUMMYFUNCTION("GOOGLEFINANCE(A423, ""low52"")"),1939.5)</f>
        <v>1939.5</v>
      </c>
      <c r="L423" s="9">
        <f t="shared" si="1"/>
        <v>0.2809555855</v>
      </c>
      <c r="M423" s="9">
        <f t="shared" si="2"/>
        <v>1.754575922</v>
      </c>
      <c r="N423" s="9">
        <f t="shared" si="3"/>
        <v>0.02960840497</v>
      </c>
      <c r="O423" s="9">
        <f t="shared" si="4"/>
        <v>0.2594891806</v>
      </c>
      <c r="P423" s="9">
        <f>IFERROR(__xludf.DUMMYFUNCTION("GOOGLEFINANCE(A423, ""pe"")"),42.47)</f>
        <v>42.47</v>
      </c>
      <c r="Q423" s="9">
        <f>IFERROR(__xludf.DUMMYFUNCTION("IFERROR(GOOGLEFINANCE(A423, ""volume"") / GOOGLEFINANCE(A423, ""volumeavg""), 0)"),0.0)</f>
        <v>0</v>
      </c>
      <c r="R423" s="9">
        <f>IFERROR(__xludf.DUMMYFUNCTION("AVERAGE(INDEX(GOOGLEFINANCE(A423, ""price"", TODAY()-30, TODAY()), 0, 2))"),6005.978260869565)</f>
        <v>6005.978261</v>
      </c>
      <c r="S423" s="9">
        <f>IFERROR(__xludf.DUMMYFUNCTION("AVERAGE(INDEX(GOOGLEFINANCE(A423, ""price"", TODAY()-75, TODAY()), 0, 2))"),5791.035849056604)</f>
        <v>5791.035849</v>
      </c>
      <c r="T423" s="9">
        <f>IFERROR(__xludf.DUMMYFUNCTION("AVERAGE(INDEX(GOOGLEFINANCE(A423, ""price"", TODAY()-300, TODAY()), 0, 2))"),4062.5108910891076)</f>
        <v>4062.510891</v>
      </c>
      <c r="U423" s="9">
        <f t="shared" si="5"/>
        <v>-0.1104696408</v>
      </c>
      <c r="V423" s="15">
        <f>IFERROR(__xludf.DUMMYFUNCTION("LET(hist, GOOGLEFINANCE(A423,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rs))))))"),30.13134174607262)</f>
        <v>30.13134175</v>
      </c>
      <c r="W423" s="16" t="str">
        <f>IFERROR(__xludf.DUMMYFUNCTION("IFERROR(GOOGLEFINANCE(A423, ""volume"") / GOOGLEFINANCE(A423, ""volumeavg""), )"),"")</f>
        <v/>
      </c>
      <c r="X423" s="9">
        <f>IFERROR(__xludf.DUMMYFUNCTION("B423 * GOOGLEFINANCE(A423, ""volume"")"),7.534581175E8)</f>
        <v>753458117.5</v>
      </c>
      <c r="Y423" s="9">
        <f>IFERROR(__xludf.DUMMYFUNCTION("IFERROR(((B423 - GOOGLEFINANCE(A423, ""priceopen"")) / GOOGLEFINANCE(A423, ""priceopen"")) * GOOGLEFINANCE(A423, ""volume""), 0)"),2854.824023679939)</f>
        <v>2854.824024</v>
      </c>
    </row>
    <row r="424">
      <c r="A424" s="4" t="s">
        <v>2217</v>
      </c>
      <c r="B424" s="7">
        <f>IFERROR(__xludf.DUMMYFUNCTION("GOOGLEFINANCE(A424, ""price"")"),925.0)</f>
        <v>925</v>
      </c>
      <c r="C424" s="7">
        <f>IFERROR(__xludf.DUMMYFUNCTION("GOOGLEFINANCE(A424, ""changepct"")"),-1.07)</f>
        <v>-1.07</v>
      </c>
      <c r="D424" s="9">
        <f>IFERROR(__xludf.DUMMYFUNCTION("GOOGLEFINANCE(A424, ""priceopen"")"),938.05)</f>
        <v>938.05</v>
      </c>
      <c r="E424" s="9">
        <f>IFERROR(__xludf.DUMMYFUNCTION("GOOGLEFINANCE(A424, ""high"")"),938.05)</f>
        <v>938.05</v>
      </c>
      <c r="F424" s="9">
        <f>IFERROR(__xludf.DUMMYFUNCTION("GOOGLEFINANCE(A424, ""low"")"),916.1)</f>
        <v>916.1</v>
      </c>
      <c r="G424" s="9">
        <f>IFERROR(__xludf.DUMMYFUNCTION("GOOGLEFINANCE(A424, ""price"")"),925.0)</f>
        <v>925</v>
      </c>
      <c r="H424" s="9">
        <f>IFERROR(__xludf.DUMMYFUNCTION("MAX(INDEX(GOOGLEFINANCE(A424, ""high"", TODAY()-30, TODAY()), 0, 2))"),982.5)</f>
        <v>982.5</v>
      </c>
      <c r="I424" s="9">
        <f>IFERROR(__xludf.DUMMYFUNCTION("MIN(INDEX(GOOGLEFINANCE(A424, ""low"", TODAY()-30, TODAY()), 0, 2))"),855.6)</f>
        <v>855.6</v>
      </c>
      <c r="J424" s="9">
        <f>IFERROR(__xludf.DUMMYFUNCTION("GOOGLEFINANCE(A424, ""high52"")"),1215.0)</f>
        <v>1215</v>
      </c>
      <c r="K424" s="9">
        <f>IFERROR(__xludf.DUMMYFUNCTION("GOOGLEFINANCE(A424, ""low52"")"),784.95)</f>
        <v>784.95</v>
      </c>
      <c r="L424" s="9">
        <f t="shared" si="1"/>
        <v>0.2386831276</v>
      </c>
      <c r="M424" s="9">
        <f t="shared" si="2"/>
        <v>0.1784190076</v>
      </c>
      <c r="N424" s="9">
        <f t="shared" si="3"/>
        <v>0.02396026635</v>
      </c>
      <c r="O424" s="9">
        <f t="shared" si="4"/>
        <v>0.5468873128</v>
      </c>
      <c r="P424" s="9">
        <f>IFERROR(__xludf.DUMMYFUNCTION("GOOGLEFINANCE(A424, ""pe"")"),46.96)</f>
        <v>46.96</v>
      </c>
      <c r="Q424" s="9">
        <f>IFERROR(__xludf.DUMMYFUNCTION("IFERROR(GOOGLEFINANCE(A424, ""volume"") / GOOGLEFINANCE(A424, ""volumeavg""), 0)"),0.0)</f>
        <v>0</v>
      </c>
      <c r="R424" s="9">
        <f>IFERROR(__xludf.DUMMYFUNCTION("AVERAGE(INDEX(GOOGLEFINANCE(A424, ""price"", TODAY()-30, TODAY()), 0, 2))"),917.3195652173912)</f>
        <v>917.3195652</v>
      </c>
      <c r="S424" s="9">
        <f>IFERROR(__xludf.DUMMYFUNCTION("AVERAGE(INDEX(GOOGLEFINANCE(A424, ""price"", TODAY()-75, TODAY()), 0, 2))"),888.4009433962265)</f>
        <v>888.4009434</v>
      </c>
      <c r="T424" s="9">
        <f>IFERROR(__xludf.DUMMYFUNCTION("AVERAGE(INDEX(GOOGLEFINANCE(A424, ""price"", TODAY()-300, TODAY()), 0, 2))"),970.5353960396039)</f>
        <v>970.535396</v>
      </c>
      <c r="U424" s="9">
        <f t="shared" si="5"/>
        <v>0.008372692651</v>
      </c>
      <c r="V424" s="15">
        <f>IFERROR(__xludf.DUMMYFUNCTION("LET(hist, GOOGLEFINANCE(A424,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rs))))))"),61.925893055247386)</f>
        <v>61.92589306</v>
      </c>
      <c r="W424" s="16" t="str">
        <f>IFERROR(__xludf.DUMMYFUNCTION("IFERROR(GOOGLEFINANCE(A424, ""volume"") / GOOGLEFINANCE(A424, ""volumeavg""), )"),"")</f>
        <v/>
      </c>
      <c r="X424" s="9">
        <f>IFERROR(__xludf.DUMMYFUNCTION("B424 * GOOGLEFINANCE(A424, ""volume"")"),2.95991675E8)</f>
        <v>295991675</v>
      </c>
      <c r="Y424" s="9">
        <f>IFERROR(__xludf.DUMMYFUNCTION("IFERROR(((B424 - GOOGLEFINANCE(A424, ""priceopen"")) / GOOGLEFINANCE(A424, ""priceopen"")) * GOOGLEFINANCE(A424, ""volume""), 0)"),-4451.66307766109)</f>
        <v>-4451.663078</v>
      </c>
    </row>
    <row r="425">
      <c r="A425" s="4" t="s">
        <v>2218</v>
      </c>
      <c r="B425" s="7">
        <f>IFERROR(__xludf.DUMMYFUNCTION("GOOGLEFINANCE(A425, ""price"")"),554.85)</f>
        <v>554.85</v>
      </c>
      <c r="C425" s="7">
        <f>IFERROR(__xludf.DUMMYFUNCTION("GOOGLEFINANCE(A425, ""changepct"")"),1.57)</f>
        <v>1.57</v>
      </c>
      <c r="D425" s="9">
        <f>IFERROR(__xludf.DUMMYFUNCTION("GOOGLEFINANCE(A425, ""priceopen"")"),545.0)</f>
        <v>545</v>
      </c>
      <c r="E425" s="9">
        <f>IFERROR(__xludf.DUMMYFUNCTION("GOOGLEFINANCE(A425, ""high"")"),555.5)</f>
        <v>555.5</v>
      </c>
      <c r="F425" s="9">
        <f>IFERROR(__xludf.DUMMYFUNCTION("GOOGLEFINANCE(A425, ""low"")"),545.0)</f>
        <v>545</v>
      </c>
      <c r="G425" s="9">
        <f>IFERROR(__xludf.DUMMYFUNCTION("GOOGLEFINANCE(A425, ""price"")"),554.85)</f>
        <v>554.85</v>
      </c>
      <c r="H425" s="9">
        <f>IFERROR(__xludf.DUMMYFUNCTION("MAX(INDEX(GOOGLEFINANCE(A425, ""high"", TODAY()-30, TODAY()), 0, 2))"),575.6)</f>
        <v>575.6</v>
      </c>
      <c r="I425" s="9">
        <f>IFERROR(__xludf.DUMMYFUNCTION("MIN(INDEX(GOOGLEFINANCE(A425, ""low"", TODAY()-30, TODAY()), 0, 2))"),520.5)</f>
        <v>520.5</v>
      </c>
      <c r="J425" s="9">
        <f>IFERROR(__xludf.DUMMYFUNCTION("GOOGLEFINANCE(A425, ""high52"")"),666.0)</f>
        <v>666</v>
      </c>
      <c r="K425" s="9">
        <f>IFERROR(__xludf.DUMMYFUNCTION("GOOGLEFINANCE(A425, ""low52"")"),338.15)</f>
        <v>338.15</v>
      </c>
      <c r="L425" s="9">
        <f t="shared" si="1"/>
        <v>0.1668918919</v>
      </c>
      <c r="M425" s="9">
        <f t="shared" si="2"/>
        <v>0.640839864</v>
      </c>
      <c r="N425" s="9">
        <f t="shared" si="3"/>
        <v>0.01926605505</v>
      </c>
      <c r="O425" s="9">
        <f t="shared" si="4"/>
        <v>0.6234119782</v>
      </c>
      <c r="P425" s="9">
        <f>IFERROR(__xludf.DUMMYFUNCTION("GOOGLEFINANCE(A425, ""pe"")"),14.83)</f>
        <v>14.83</v>
      </c>
      <c r="Q425" s="9">
        <f>IFERROR(__xludf.DUMMYFUNCTION("IFERROR(GOOGLEFINANCE(A425, ""volume"") / GOOGLEFINANCE(A425, ""volumeavg""), 0)"),0.0)</f>
        <v>0</v>
      </c>
      <c r="R425" s="9">
        <f>IFERROR(__xludf.DUMMYFUNCTION("AVERAGE(INDEX(GOOGLEFINANCE(A425, ""price"", TODAY()-30, TODAY()), 0, 2))"),550.0521739130435)</f>
        <v>550.0521739</v>
      </c>
      <c r="S425" s="9">
        <f>IFERROR(__xludf.DUMMYFUNCTION("AVERAGE(INDEX(GOOGLEFINANCE(A425, ""price"", TODAY()-75, TODAY()), 0, 2))"),513.5509433962264)</f>
        <v>513.5509434</v>
      </c>
      <c r="T425" s="9">
        <f>IFERROR(__xludf.DUMMYFUNCTION("AVERAGE(INDEX(GOOGLEFINANCE(A425, ""price"", TODAY()-300, TODAY()), 0, 2))"),501.23184079601964)</f>
        <v>501.2318408</v>
      </c>
      <c r="U425" s="9">
        <f t="shared" si="5"/>
        <v>0.008722492728</v>
      </c>
      <c r="V425" s="15">
        <f>IFERROR(__xludf.DUMMYFUNCTION("LET(hist, GOOGLEFINANCE(A425,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rs))))))"),60.55672268907568)</f>
        <v>60.55672269</v>
      </c>
      <c r="W425" s="16" t="str">
        <f>IFERROR(__xludf.DUMMYFUNCTION("IFERROR(GOOGLEFINANCE(A425, ""volume"") / GOOGLEFINANCE(A425, ""volumeavg""), )"),"")</f>
        <v/>
      </c>
      <c r="X425" s="9">
        <f>IFERROR(__xludf.DUMMYFUNCTION("B425 * GOOGLEFINANCE(A425, ""volume"")"),1.460076678E8)</f>
        <v>146007667.8</v>
      </c>
      <c r="Y425" s="9">
        <f>IFERROR(__xludf.DUMMYFUNCTION("IFERROR(((B425 - GOOGLEFINANCE(A425, ""priceopen"")) / GOOGLEFINANCE(A425, ""priceopen"")) * GOOGLEFINANCE(A425, ""volume""), 0)"),4755.977614678911)</f>
        <v>4755.977615</v>
      </c>
    </row>
    <row r="426">
      <c r="A426" s="4" t="s">
        <v>2219</v>
      </c>
      <c r="B426" s="7">
        <f>IFERROR(__xludf.DUMMYFUNCTION("GOOGLEFINANCE(A426, ""price"")"),992.0)</f>
        <v>992</v>
      </c>
      <c r="C426" s="7">
        <f>IFERROR(__xludf.DUMMYFUNCTION("GOOGLEFINANCE(A426, ""changepct"")"),-1.49)</f>
        <v>-1.49</v>
      </c>
      <c r="D426" s="9">
        <f>IFERROR(__xludf.DUMMYFUNCTION("GOOGLEFINANCE(A426, ""priceopen"")"),1010.0)</f>
        <v>1010</v>
      </c>
      <c r="E426" s="9">
        <f>IFERROR(__xludf.DUMMYFUNCTION("GOOGLEFINANCE(A426, ""high"")"),1013.0)</f>
        <v>1013</v>
      </c>
      <c r="F426" s="9">
        <f>IFERROR(__xludf.DUMMYFUNCTION("GOOGLEFINANCE(A426, ""low"")"),991.0)</f>
        <v>991</v>
      </c>
      <c r="G426" s="9">
        <f>IFERROR(__xludf.DUMMYFUNCTION("GOOGLEFINANCE(A426, ""price"")"),992.0)</f>
        <v>992</v>
      </c>
      <c r="H426" s="9">
        <f>IFERROR(__xludf.DUMMYFUNCTION("MAX(INDEX(GOOGLEFINANCE(A426, ""high"", TODAY()-30, TODAY()), 0, 2))"),1187.5)</f>
        <v>1187.5</v>
      </c>
      <c r="I426" s="9">
        <f>IFERROR(__xludf.DUMMYFUNCTION("MIN(INDEX(GOOGLEFINANCE(A426, ""low"", TODAY()-30, TODAY()), 0, 2))"),991.0)</f>
        <v>991</v>
      </c>
      <c r="J426" s="9">
        <f>IFERROR(__xludf.DUMMYFUNCTION("GOOGLEFINANCE(A426, ""high52"")"),1414.4)</f>
        <v>1414.4</v>
      </c>
      <c r="K426" s="9">
        <f>IFERROR(__xludf.DUMMYFUNCTION("GOOGLEFINANCE(A426, ""low52"")"),945.1)</f>
        <v>945.1</v>
      </c>
      <c r="L426" s="9">
        <f t="shared" si="1"/>
        <v>0.2986425339</v>
      </c>
      <c r="M426" s="9">
        <f t="shared" si="2"/>
        <v>0.04962437837</v>
      </c>
      <c r="N426" s="9">
        <f t="shared" si="3"/>
        <v>0.02219979818</v>
      </c>
      <c r="O426" s="9">
        <f t="shared" si="4"/>
        <v>0.005089058524</v>
      </c>
      <c r="P426" s="9">
        <f>IFERROR(__xludf.DUMMYFUNCTION("GOOGLEFINANCE(A426, ""pe"")"),10.8)</f>
        <v>10.8</v>
      </c>
      <c r="Q426" s="9">
        <f>IFERROR(__xludf.DUMMYFUNCTION("IFERROR(GOOGLEFINANCE(A426, ""volume"") / GOOGLEFINANCE(A426, ""volumeavg""), 0)"),0.0)</f>
        <v>0</v>
      </c>
      <c r="R426" s="9">
        <f>IFERROR(__xludf.DUMMYFUNCTION("AVERAGE(INDEX(GOOGLEFINANCE(A426, ""price"", TODAY()-30, TODAY()), 0, 2))"),1024.5086956521739)</f>
        <v>1024.508696</v>
      </c>
      <c r="S426" s="9">
        <f>IFERROR(__xludf.DUMMYFUNCTION("AVERAGE(INDEX(GOOGLEFINANCE(A426, ""price"", TODAY()-75, TODAY()), 0, 2))"),1029.4679245283019)</f>
        <v>1029.467925</v>
      </c>
      <c r="T426" s="9">
        <f>IFERROR(__xludf.DUMMYFUNCTION("AVERAGE(INDEX(GOOGLEFINANCE(A426, ""price"", TODAY()-300, TODAY()), 0, 2))"),1132.780198019802)</f>
        <v>1132.780198</v>
      </c>
      <c r="U426" s="9">
        <f t="shared" si="5"/>
        <v>-0.03173100999</v>
      </c>
      <c r="V426" s="15">
        <f>IFERROR(__xludf.DUMMYFUNCTION("LET(hist, GOOGLEFINANCE(A426,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rs))))))"),44.14274631497289)</f>
        <v>44.14274631</v>
      </c>
      <c r="W426" s="16" t="str">
        <f>IFERROR(__xludf.DUMMYFUNCTION("IFERROR(GOOGLEFINANCE(A426, ""volume"") / GOOGLEFINANCE(A426, ""volumeavg""), )"),"")</f>
        <v/>
      </c>
      <c r="X426" s="9">
        <f>IFERROR(__xludf.DUMMYFUNCTION("B426 * GOOGLEFINANCE(A426, ""volume"")"),4.7607072E7)</f>
        <v>47607072</v>
      </c>
      <c r="Y426" s="9">
        <f>IFERROR(__xludf.DUMMYFUNCTION("IFERROR(((B426 - GOOGLEFINANCE(A426, ""priceopen"")) / GOOGLEFINANCE(A426, ""priceopen"")) * GOOGLEFINANCE(A426, ""volume""), 0)"),-855.2851485148514)</f>
        <v>-855.2851485</v>
      </c>
    </row>
    <row r="427">
      <c r="A427" s="4" t="s">
        <v>2220</v>
      </c>
      <c r="B427" s="7">
        <f>IFERROR(__xludf.DUMMYFUNCTION("GOOGLEFINANCE(A427, ""price"")"),83.5)</f>
        <v>83.5</v>
      </c>
      <c r="C427" s="7">
        <f>IFERROR(__xludf.DUMMYFUNCTION("GOOGLEFINANCE(A427, ""changepct"")"),-2.3)</f>
        <v>-2.3</v>
      </c>
      <c r="D427" s="9">
        <f>IFERROR(__xludf.DUMMYFUNCTION("GOOGLEFINANCE(A427, ""priceopen"")"),85.01)</f>
        <v>85.01</v>
      </c>
      <c r="E427" s="9">
        <f>IFERROR(__xludf.DUMMYFUNCTION("GOOGLEFINANCE(A427, ""high"")"),85.63)</f>
        <v>85.63</v>
      </c>
      <c r="F427" s="9">
        <f>IFERROR(__xludf.DUMMYFUNCTION("GOOGLEFINANCE(A427, ""low"")"),83.5)</f>
        <v>83.5</v>
      </c>
      <c r="G427" s="9">
        <f>IFERROR(__xludf.DUMMYFUNCTION("GOOGLEFINANCE(A427, ""price"")"),83.5)</f>
        <v>83.5</v>
      </c>
      <c r="H427" s="9">
        <f>IFERROR(__xludf.DUMMYFUNCTION("MAX(INDEX(GOOGLEFINANCE(A427, ""high"", TODAY()-30, TODAY()), 0, 2))"),91.4)</f>
        <v>91.4</v>
      </c>
      <c r="I427" s="9">
        <f>IFERROR(__xludf.DUMMYFUNCTION("MIN(INDEX(GOOGLEFINANCE(A427, ""low"", TODAY()-30, TODAY()), 0, 2))"),83.35)</f>
        <v>83.35</v>
      </c>
      <c r="J427" s="9">
        <f>IFERROR(__xludf.DUMMYFUNCTION("GOOGLEFINANCE(A427, ""high52"")"),91.4)</f>
        <v>91.4</v>
      </c>
      <c r="K427" s="9">
        <f>IFERROR(__xludf.DUMMYFUNCTION("GOOGLEFINANCE(A427, ""low52"")"),67.5)</f>
        <v>67.5</v>
      </c>
      <c r="L427" s="9">
        <f t="shared" si="1"/>
        <v>0.08643326039</v>
      </c>
      <c r="M427" s="9">
        <f t="shared" si="2"/>
        <v>0.237037037</v>
      </c>
      <c r="N427" s="9">
        <f t="shared" si="3"/>
        <v>0.02550898204</v>
      </c>
      <c r="O427" s="9">
        <f t="shared" si="4"/>
        <v>0.01863354037</v>
      </c>
      <c r="P427" s="9">
        <f>IFERROR(__xludf.DUMMYFUNCTION("GOOGLEFINANCE(A427, ""pe"")"),42.41)</f>
        <v>42.41</v>
      </c>
      <c r="Q427" s="9">
        <f>IFERROR(__xludf.DUMMYFUNCTION("IFERROR(GOOGLEFINANCE(A427, ""volume"") / GOOGLEFINANCE(A427, ""volumeavg""), 0)"),0.0)</f>
        <v>0</v>
      </c>
      <c r="R427" s="9">
        <f>IFERROR(__xludf.DUMMYFUNCTION("AVERAGE(INDEX(GOOGLEFINANCE(A427, ""price"", TODAY()-30, TODAY()), 0, 2))"),86.36826086956522)</f>
        <v>86.36826087</v>
      </c>
      <c r="S427" s="9">
        <f>IFERROR(__xludf.DUMMYFUNCTION("AVERAGE(INDEX(GOOGLEFINANCE(A427, ""price"", TODAY()-75, TODAY()), 0, 2))"),85.47490566037737)</f>
        <v>85.47490566</v>
      </c>
      <c r="T427" s="9">
        <f>IFERROR(__xludf.DUMMYFUNCTION("AVERAGE(INDEX(GOOGLEFINANCE(A427, ""price"", TODAY()-300, TODAY()), 0, 2))"),78.63866336633669)</f>
        <v>78.63866337</v>
      </c>
      <c r="U427" s="9">
        <f t="shared" si="5"/>
        <v>-0.03320966337</v>
      </c>
      <c r="V427" s="15">
        <f>IFERROR(__xludf.DUMMYFUNCTION("LET(hist, GOOGLEFINANCE(A427,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rs))))))"),47.357926221336)</f>
        <v>47.35792622</v>
      </c>
      <c r="W427" s="16" t="str">
        <f>IFERROR(__xludf.DUMMYFUNCTION("IFERROR(GOOGLEFINANCE(A427, ""volume"") / GOOGLEFINANCE(A427, ""volumeavg""), )"),"")</f>
        <v/>
      </c>
      <c r="X427" s="9">
        <f>IFERROR(__xludf.DUMMYFUNCTION("B427 * GOOGLEFINANCE(A427, ""volume"")"),4.61739135E7)</f>
        <v>46173913.5</v>
      </c>
      <c r="Y427" s="9">
        <f>IFERROR(__xludf.DUMMYFUNCTION("IFERROR(((B427 - GOOGLEFINANCE(A427, ""priceopen"")) / GOOGLEFINANCE(A427, ""priceopen"")) * GOOGLEFINANCE(A427, ""volume""), 0)"),-9822.38924832376)</f>
        <v>-9822.389248</v>
      </c>
    </row>
    <row r="428">
      <c r="A428" s="4" t="s">
        <v>2221</v>
      </c>
      <c r="B428" s="7">
        <f>IFERROR(__xludf.DUMMYFUNCTION("GOOGLEFINANCE(A428, ""price"")"),609.0)</f>
        <v>609</v>
      </c>
      <c r="C428" s="7">
        <f>IFERROR(__xludf.DUMMYFUNCTION("GOOGLEFINANCE(A428, ""changepct"")"),-1.75)</f>
        <v>-1.75</v>
      </c>
      <c r="D428" s="9">
        <f>IFERROR(__xludf.DUMMYFUNCTION("GOOGLEFINANCE(A428, ""priceopen"")"),619.95)</f>
        <v>619.95</v>
      </c>
      <c r="E428" s="9">
        <f>IFERROR(__xludf.DUMMYFUNCTION("GOOGLEFINANCE(A428, ""high"")"),621.35)</f>
        <v>621.35</v>
      </c>
      <c r="F428" s="9">
        <f>IFERROR(__xludf.DUMMYFUNCTION("GOOGLEFINANCE(A428, ""low"")"),606.15)</f>
        <v>606.15</v>
      </c>
      <c r="G428" s="9">
        <f>IFERROR(__xludf.DUMMYFUNCTION("GOOGLEFINANCE(A428, ""price"")"),609.0)</f>
        <v>609</v>
      </c>
      <c r="H428" s="9">
        <f>IFERROR(__xludf.DUMMYFUNCTION("MAX(INDEX(GOOGLEFINANCE(A428, ""high"", TODAY()-30, TODAY()), 0, 2))"),660.45)</f>
        <v>660.45</v>
      </c>
      <c r="I428" s="9">
        <f>IFERROR(__xludf.DUMMYFUNCTION("MIN(INDEX(GOOGLEFINANCE(A428, ""low"", TODAY()-30, TODAY()), 0, 2))"),606.15)</f>
        <v>606.15</v>
      </c>
      <c r="J428" s="9">
        <f>IFERROR(__xludf.DUMMYFUNCTION("GOOGLEFINANCE(A428, ""high52"")"),818.7)</f>
        <v>818.7</v>
      </c>
      <c r="K428" s="9">
        <f>IFERROR(__xludf.DUMMYFUNCTION("GOOGLEFINANCE(A428, ""low52"")"),592.55)</f>
        <v>592.55</v>
      </c>
      <c r="L428" s="9">
        <f t="shared" si="1"/>
        <v>0.2561377794</v>
      </c>
      <c r="M428" s="9">
        <f t="shared" si="2"/>
        <v>0.02776137035</v>
      </c>
      <c r="N428" s="9">
        <f t="shared" si="3"/>
        <v>0.02507630125</v>
      </c>
      <c r="O428" s="9">
        <f t="shared" si="4"/>
        <v>0.05248618785</v>
      </c>
      <c r="P428" s="9">
        <f>IFERROR(__xludf.DUMMYFUNCTION("GOOGLEFINANCE(A428, ""pe"")"),59.06)</f>
        <v>59.06</v>
      </c>
      <c r="Q428" s="9">
        <f>IFERROR(__xludf.DUMMYFUNCTION("IFERROR(GOOGLEFINANCE(A428, ""volume"") / GOOGLEFINANCE(A428, ""volumeavg""), 0)"),0.0)</f>
        <v>0</v>
      </c>
      <c r="R428" s="9">
        <f>IFERROR(__xludf.DUMMYFUNCTION("AVERAGE(INDEX(GOOGLEFINANCE(A428, ""price"", TODAY()-30, TODAY()), 0, 2))"),636.0260869565217)</f>
        <v>636.026087</v>
      </c>
      <c r="S428" s="9">
        <f>IFERROR(__xludf.DUMMYFUNCTION("AVERAGE(INDEX(GOOGLEFINANCE(A428, ""price"", TODAY()-75, TODAY()), 0, 2))"),647.2452830188682)</f>
        <v>647.245283</v>
      </c>
      <c r="T428" s="9">
        <f>IFERROR(__xludf.DUMMYFUNCTION("AVERAGE(INDEX(GOOGLEFINANCE(A428, ""price"", TODAY()-300, TODAY()), 0, 2))"),671.4603960396038)</f>
        <v>671.460396</v>
      </c>
      <c r="U428" s="9">
        <f t="shared" si="5"/>
        <v>-0.04249210451</v>
      </c>
      <c r="V428" s="15">
        <f>IFERROR(__xludf.DUMMYFUNCTION("LET(hist, GOOGLEFINANCE(A428,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rs))))))"),37.2749099639856)</f>
        <v>37.27490996</v>
      </c>
      <c r="W428" s="16" t="str">
        <f>IFERROR(__xludf.DUMMYFUNCTION("IFERROR(GOOGLEFINANCE(A428, ""volume"") / GOOGLEFINANCE(A428, ""volumeavg""), )"),"")</f>
        <v/>
      </c>
      <c r="X428" s="9">
        <f>IFERROR(__xludf.DUMMYFUNCTION("B428 * GOOGLEFINANCE(A428, ""volume"")"),7.4816259E7)</f>
        <v>74816259</v>
      </c>
      <c r="Y428" s="9">
        <f>IFERROR(__xludf.DUMMYFUNCTION("IFERROR(((B428 - GOOGLEFINANCE(A428, ""priceopen"")) / GOOGLEFINANCE(A428, ""priceopen"")) * GOOGLEFINANCE(A428, ""volume""), 0)"),-2169.8821679167763)</f>
        <v>-2169.882168</v>
      </c>
    </row>
    <row r="429">
      <c r="A429" s="4" t="s">
        <v>2222</v>
      </c>
      <c r="B429" s="7">
        <f>IFERROR(__xludf.DUMMYFUNCTION("GOOGLEFINANCE(A429, ""price"")"),169.95)</f>
        <v>169.95</v>
      </c>
      <c r="C429" s="7">
        <f>IFERROR(__xludf.DUMMYFUNCTION("GOOGLEFINANCE(A429, ""changepct"")"),1.41)</f>
        <v>1.41</v>
      </c>
      <c r="D429" s="9">
        <f>IFERROR(__xludf.DUMMYFUNCTION("GOOGLEFINANCE(A429, ""priceopen"")"),168.52)</f>
        <v>168.52</v>
      </c>
      <c r="E429" s="9">
        <f>IFERROR(__xludf.DUMMYFUNCTION("GOOGLEFINANCE(A429, ""high"")"),171.05)</f>
        <v>171.05</v>
      </c>
      <c r="F429" s="9">
        <f>IFERROR(__xludf.DUMMYFUNCTION("GOOGLEFINANCE(A429, ""low"")"),164.51)</f>
        <v>164.51</v>
      </c>
      <c r="G429" s="9">
        <f>IFERROR(__xludf.DUMMYFUNCTION("GOOGLEFINANCE(A429, ""price"")"),169.95)</f>
        <v>169.95</v>
      </c>
      <c r="H429" s="9">
        <f>IFERROR(__xludf.DUMMYFUNCTION("MAX(INDEX(GOOGLEFINANCE(A429, ""high"", TODAY()-30, TODAY()), 0, 2))"),171.8)</f>
        <v>171.8</v>
      </c>
      <c r="I429" s="9">
        <f>IFERROR(__xludf.DUMMYFUNCTION("MIN(INDEX(GOOGLEFINANCE(A429, ""low"", TODAY()-30, TODAY()), 0, 2))"),138.29)</f>
        <v>138.29</v>
      </c>
      <c r="J429" s="9">
        <f>IFERROR(__xludf.DUMMYFUNCTION("GOOGLEFINANCE(A429, ""high52"")"),284.0)</f>
        <v>284</v>
      </c>
      <c r="K429" s="9">
        <f>IFERROR(__xludf.DUMMYFUNCTION("GOOGLEFINANCE(A429, ""low52"")"),134.73)</f>
        <v>134.73</v>
      </c>
      <c r="L429" s="9">
        <f t="shared" si="1"/>
        <v>0.401584507</v>
      </c>
      <c r="M429" s="9">
        <f t="shared" si="2"/>
        <v>0.2614117123</v>
      </c>
      <c r="N429" s="9">
        <f t="shared" si="3"/>
        <v>0.03975442222</v>
      </c>
      <c r="O429" s="9">
        <f t="shared" si="4"/>
        <v>0.9447925992</v>
      </c>
      <c r="P429" s="9">
        <f>IFERROR(__xludf.DUMMYFUNCTION("GOOGLEFINANCE(A429, ""pe"")"),152.83)</f>
        <v>152.83</v>
      </c>
      <c r="Q429" s="9">
        <f>IFERROR(__xludf.DUMMYFUNCTION("IFERROR(GOOGLEFINANCE(A429, ""volume"") / GOOGLEFINANCE(A429, ""volumeavg""), 0)"),0.0)</f>
        <v>0</v>
      </c>
      <c r="R429" s="9">
        <f>IFERROR(__xludf.DUMMYFUNCTION("AVERAGE(INDEX(GOOGLEFINANCE(A429, ""price"", TODAY()-30, TODAY()), 0, 2))"),152.3917391304348)</f>
        <v>152.3917391</v>
      </c>
      <c r="S429" s="9">
        <f>IFERROR(__xludf.DUMMYFUNCTION("AVERAGE(INDEX(GOOGLEFINANCE(A429, ""price"", TODAY()-75, TODAY()), 0, 2))"),151.0566037735849)</f>
        <v>151.0566038</v>
      </c>
      <c r="T429" s="9">
        <f>IFERROR(__xludf.DUMMYFUNCTION("AVERAGE(INDEX(GOOGLEFINANCE(A429, ""price"", TODAY()-300, TODAY()), 0, 2))"),188.88273224043715)</f>
        <v>188.8827322</v>
      </c>
      <c r="U429" s="9">
        <f t="shared" si="5"/>
        <v>0.1152179309</v>
      </c>
      <c r="V429" s="15">
        <f>IFERROR(__xludf.DUMMYFUNCTION("LET(hist, GOOGLEFINANCE(A429,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rs))))))"),67.03079957517829)</f>
        <v>67.03079958</v>
      </c>
      <c r="W429" s="16" t="str">
        <f>IFERROR(__xludf.DUMMYFUNCTION("IFERROR(GOOGLEFINANCE(A429, ""volume"") / GOOGLEFINANCE(A429, ""volumeavg""), )"),"")</f>
        <v/>
      </c>
      <c r="X429" s="9">
        <f>IFERROR(__xludf.DUMMYFUNCTION("B429 * GOOGLEFINANCE(A429, ""volume"")"),3.3965457520499997E9)</f>
        <v>3396545752</v>
      </c>
      <c r="Y429" s="9">
        <f>IFERROR(__xludf.DUMMYFUNCTION("IFERROR(((B429 - GOOGLEFINANCE(A429, ""priceopen"")) / GOOGLEFINANCE(A429, ""priceopen"")) * GOOGLEFINANCE(A429, ""volume""), 0)"),169590.25261096348)</f>
        <v>169590.2526</v>
      </c>
    </row>
    <row r="430">
      <c r="A430" s="4" t="s">
        <v>2223</v>
      </c>
      <c r="B430" s="7">
        <f>IFERROR(__xludf.DUMMYFUNCTION("GOOGLEFINANCE(A430, ""price"")"),207.24)</f>
        <v>207.24</v>
      </c>
      <c r="C430" s="7">
        <f>IFERROR(__xludf.DUMMYFUNCTION("GOOGLEFINANCE(A430, ""changepct"")"),-2.37)</f>
        <v>-2.37</v>
      </c>
      <c r="D430" s="9">
        <f>IFERROR(__xludf.DUMMYFUNCTION("GOOGLEFINANCE(A430, ""priceopen"")"),212.97)</f>
        <v>212.97</v>
      </c>
      <c r="E430" s="9">
        <f>IFERROR(__xludf.DUMMYFUNCTION("GOOGLEFINANCE(A430, ""high"")"),214.03)</f>
        <v>214.03</v>
      </c>
      <c r="F430" s="9">
        <f>IFERROR(__xludf.DUMMYFUNCTION("GOOGLEFINANCE(A430, ""low"")"),207.1)</f>
        <v>207.1</v>
      </c>
      <c r="G430" s="9">
        <f>IFERROR(__xludf.DUMMYFUNCTION("GOOGLEFINANCE(A430, ""price"")"),207.24)</f>
        <v>207.24</v>
      </c>
      <c r="H430" s="9">
        <f>IFERROR(__xludf.DUMMYFUNCTION("MAX(INDEX(GOOGLEFINANCE(A430, ""high"", TODAY()-30, TODAY()), 0, 2))"),218.44)</f>
        <v>218.44</v>
      </c>
      <c r="I430" s="9">
        <f>IFERROR(__xludf.DUMMYFUNCTION("MIN(INDEX(GOOGLEFINANCE(A430, ""low"", TODAY()-30, TODAY()), 0, 2))"),191.07)</f>
        <v>191.07</v>
      </c>
      <c r="J430" s="9">
        <f>IFERROR(__xludf.DUMMYFUNCTION("GOOGLEFINANCE(A430, ""high52"")"),264.0)</f>
        <v>264</v>
      </c>
      <c r="K430" s="9">
        <f>IFERROR(__xludf.DUMMYFUNCTION("GOOGLEFINANCE(A430, ""low52"")"),157.91)</f>
        <v>157.91</v>
      </c>
      <c r="L430" s="9">
        <f t="shared" si="1"/>
        <v>0.215</v>
      </c>
      <c r="M430" s="9">
        <f t="shared" si="2"/>
        <v>0.3123931353</v>
      </c>
      <c r="N430" s="9">
        <f t="shared" si="3"/>
        <v>0.03346209561</v>
      </c>
      <c r="O430" s="9">
        <f t="shared" si="4"/>
        <v>0.5907928389</v>
      </c>
      <c r="P430" s="9">
        <f>IFERROR(__xludf.DUMMYFUNCTION("GOOGLEFINANCE(A430, ""pe"")"),26.34)</f>
        <v>26.34</v>
      </c>
      <c r="Q430" s="9">
        <f>IFERROR(__xludf.DUMMYFUNCTION("IFERROR(GOOGLEFINANCE(A430, ""volume"") / GOOGLEFINANCE(A430, ""volumeavg""), 0)"),0.0)</f>
        <v>0</v>
      </c>
      <c r="R430" s="9">
        <f>IFERROR(__xludf.DUMMYFUNCTION("AVERAGE(INDEX(GOOGLEFINANCE(A430, ""price"", TODAY()-30, TODAY()), 0, 2))"),202.8378260869565)</f>
        <v>202.8378261</v>
      </c>
      <c r="S430" s="9">
        <f>IFERROR(__xludf.DUMMYFUNCTION("AVERAGE(INDEX(GOOGLEFINANCE(A430, ""price"", TODAY()-75, TODAY()), 0, 2))"),207.77358490566039)</f>
        <v>207.7735849</v>
      </c>
      <c r="T430" s="9">
        <f>IFERROR(__xludf.DUMMYFUNCTION("AVERAGE(INDEX(GOOGLEFINANCE(A430, ""price"", TODAY()-300, TODAY()), 0, 2))"),214.53613861386134)</f>
        <v>214.5361386</v>
      </c>
      <c r="U430" s="9">
        <f t="shared" si="5"/>
        <v>0.02170292395</v>
      </c>
      <c r="V430" s="15">
        <f>IFERROR(__xludf.DUMMYFUNCTION("LET(hist, GOOGLEFINANCE(A430,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rs))))))"),61.76916596461667)</f>
        <v>61.76916596</v>
      </c>
      <c r="W430" s="16" t="str">
        <f>IFERROR(__xludf.DUMMYFUNCTION("IFERROR(GOOGLEFINANCE(A430, ""volume"") / GOOGLEFINANCE(A430, ""volumeavg""), )"),"")</f>
        <v/>
      </c>
      <c r="X430" s="9">
        <f>IFERROR(__xludf.DUMMYFUNCTION("B430 * GOOGLEFINANCE(A430, ""volume"")"),8.709302448E7)</f>
        <v>87093024.48</v>
      </c>
      <c r="Y430" s="9">
        <f>IFERROR(__xludf.DUMMYFUNCTION("IFERROR(((B430 - GOOGLEFINANCE(A430, ""priceopen"")) / GOOGLEFINANCE(A430, ""priceopen"")) * GOOGLEFINANCE(A430, ""volume""), 0)"),-11306.963234258326)</f>
        <v>-11306.96323</v>
      </c>
    </row>
    <row r="431">
      <c r="A431" s="4" t="s">
        <v>2224</v>
      </c>
      <c r="B431" s="7">
        <f>IFERROR(__xludf.DUMMYFUNCTION("GOOGLEFINANCE(A431, ""price"")"),1378.0)</f>
        <v>1378</v>
      </c>
      <c r="C431" s="7">
        <f>IFERROR(__xludf.DUMMYFUNCTION("GOOGLEFINANCE(A431, ""changepct"")"),-1.63)</f>
        <v>-1.63</v>
      </c>
      <c r="D431" s="9">
        <f>IFERROR(__xludf.DUMMYFUNCTION("GOOGLEFINANCE(A431, ""priceopen"")"),1419.3)</f>
        <v>1419.3</v>
      </c>
      <c r="E431" s="9">
        <f>IFERROR(__xludf.DUMMYFUNCTION("GOOGLEFINANCE(A431, ""high"")"),1419.4)</f>
        <v>1419.4</v>
      </c>
      <c r="F431" s="9">
        <f>IFERROR(__xludf.DUMMYFUNCTION("GOOGLEFINANCE(A431, ""low"")"),1371.1)</f>
        <v>1371.1</v>
      </c>
      <c r="G431" s="9">
        <f>IFERROR(__xludf.DUMMYFUNCTION("GOOGLEFINANCE(A431, ""price"")"),1378.0)</f>
        <v>1378</v>
      </c>
      <c r="H431" s="9">
        <f>IFERROR(__xludf.DUMMYFUNCTION("MAX(INDEX(GOOGLEFINANCE(A431, ""high"", TODAY()-30, TODAY()), 0, 2))"),1471.2)</f>
        <v>1471.2</v>
      </c>
      <c r="I431" s="9">
        <f>IFERROR(__xludf.DUMMYFUNCTION("MIN(INDEX(GOOGLEFINANCE(A431, ""low"", TODAY()-30, TODAY()), 0, 2))"),1359.1)</f>
        <v>1359.1</v>
      </c>
      <c r="J431" s="9">
        <f>IFERROR(__xludf.DUMMYFUNCTION("GOOGLEFINANCE(A431, ""high52"")"),1965.3)</f>
        <v>1965.3</v>
      </c>
      <c r="K431" s="9">
        <f>IFERROR(__xludf.DUMMYFUNCTION("GOOGLEFINANCE(A431, ""low52"")"),1080.1)</f>
        <v>1080.1</v>
      </c>
      <c r="L431" s="9">
        <f t="shared" si="1"/>
        <v>0.2988347835</v>
      </c>
      <c r="M431" s="9">
        <f t="shared" si="2"/>
        <v>0.2758077956</v>
      </c>
      <c r="N431" s="9">
        <f t="shared" si="3"/>
        <v>0.03522718985</v>
      </c>
      <c r="O431" s="9">
        <f t="shared" si="4"/>
        <v>0.1685994648</v>
      </c>
      <c r="P431" s="9" t="str">
        <f>IFERROR(__xludf.DUMMYFUNCTION("GOOGLEFINANCE(A431, ""pe"")"),"#N/A")</f>
        <v>#N/A</v>
      </c>
      <c r="Q431" s="9">
        <f>IFERROR(__xludf.DUMMYFUNCTION("IFERROR(GOOGLEFINANCE(A431, ""volume"") / GOOGLEFINANCE(A431, ""volumeavg""), 0)"),0.0)</f>
        <v>0</v>
      </c>
      <c r="R431" s="9">
        <f>IFERROR(__xludf.DUMMYFUNCTION("AVERAGE(INDEX(GOOGLEFINANCE(A431, ""price"", TODAY()-30, TODAY()), 0, 2))"),1411.869565217391)</f>
        <v>1411.869565</v>
      </c>
      <c r="S431" s="9">
        <f>IFERROR(__xludf.DUMMYFUNCTION("AVERAGE(INDEX(GOOGLEFINANCE(A431, ""price"", TODAY()-75, TODAY()), 0, 2))"),1350.2622641509427)</f>
        <v>1350.262264</v>
      </c>
      <c r="T431" s="9">
        <f>IFERROR(__xludf.DUMMYFUNCTION("AVERAGE(INDEX(GOOGLEFINANCE(A431, ""price"", TODAY()-300, TODAY()), 0, 2))"),1445.3574257425732)</f>
        <v>1445.357426</v>
      </c>
      <c r="U431" s="9">
        <f t="shared" si="5"/>
        <v>-0.02398916023</v>
      </c>
      <c r="V431" s="15">
        <f>IFERROR(__xludf.DUMMYFUNCTION("LET(hist, GOOGLEFINANCE(A431,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rs))))))"),45.395537525355)</f>
        <v>45.39553753</v>
      </c>
      <c r="W431" s="16" t="str">
        <f>IFERROR(__xludf.DUMMYFUNCTION("IFERROR(GOOGLEFINANCE(A431, ""volume"") / GOOGLEFINANCE(A431, ""volumeavg""), )"),"")</f>
        <v/>
      </c>
      <c r="X431" s="9">
        <f>IFERROR(__xludf.DUMMYFUNCTION("B431 * GOOGLEFINANCE(A431, ""volume"")"),7.2941674E7)</f>
        <v>72941674</v>
      </c>
      <c r="Y431" s="9">
        <f>IFERROR(__xludf.DUMMYFUNCTION("IFERROR(((B431 - GOOGLEFINANCE(A431, ""priceopen"")) / GOOGLEFINANCE(A431, ""priceopen"")) * GOOGLEFINANCE(A431, ""volume""), 0)"),-1540.2895089128428)</f>
        <v>-1540.289509</v>
      </c>
    </row>
    <row r="432">
      <c r="A432" s="4" t="s">
        <v>2225</v>
      </c>
      <c r="B432" s="7">
        <f>IFERROR(__xludf.DUMMYFUNCTION("GOOGLEFINANCE(A432, ""price"")"),33.83)</f>
        <v>33.83</v>
      </c>
      <c r="C432" s="7">
        <f>IFERROR(__xludf.DUMMYFUNCTION("GOOGLEFINANCE(A432, ""changepct"")"),-0.09)</f>
        <v>-0.09</v>
      </c>
      <c r="D432" s="9">
        <f>IFERROR(__xludf.DUMMYFUNCTION("GOOGLEFINANCE(A432, ""priceopen"")"),33.84)</f>
        <v>33.84</v>
      </c>
      <c r="E432" s="9">
        <f>IFERROR(__xludf.DUMMYFUNCTION("GOOGLEFINANCE(A432, ""high"")"),34.14)</f>
        <v>34.14</v>
      </c>
      <c r="F432" s="9">
        <f>IFERROR(__xludf.DUMMYFUNCTION("GOOGLEFINANCE(A432, ""low"")"),33.68)</f>
        <v>33.68</v>
      </c>
      <c r="G432" s="9">
        <f>IFERROR(__xludf.DUMMYFUNCTION("GOOGLEFINANCE(A432, ""price"")"),33.83)</f>
        <v>33.83</v>
      </c>
      <c r="H432" s="9">
        <f>IFERROR(__xludf.DUMMYFUNCTION("MAX(INDEX(GOOGLEFINANCE(A432, ""high"", TODAY()-30, TODAY()), 0, 2))"),37.85)</f>
        <v>37.85</v>
      </c>
      <c r="I432" s="9">
        <f>IFERROR(__xludf.DUMMYFUNCTION("MIN(INDEX(GOOGLEFINANCE(A432, ""low"", TODAY()-30, TODAY()), 0, 2))"),33.6)</f>
        <v>33.6</v>
      </c>
      <c r="J432" s="9">
        <f>IFERROR(__xludf.DUMMYFUNCTION("GOOGLEFINANCE(A432, ""high52"")"),45.09)</f>
        <v>45.09</v>
      </c>
      <c r="K432" s="9">
        <f>IFERROR(__xludf.DUMMYFUNCTION("GOOGLEFINANCE(A432, ""low52"")"),29.74)</f>
        <v>29.74</v>
      </c>
      <c r="L432" s="9">
        <f t="shared" si="1"/>
        <v>0.2497227767</v>
      </c>
      <c r="M432" s="9">
        <f t="shared" si="2"/>
        <v>0.1375252186</v>
      </c>
      <c r="N432" s="9">
        <f t="shared" si="3"/>
        <v>0.01365795724</v>
      </c>
      <c r="O432" s="9">
        <f t="shared" si="4"/>
        <v>0.05411764706</v>
      </c>
      <c r="P432" s="9" t="str">
        <f>IFERROR(__xludf.DUMMYFUNCTION("GOOGLEFINANCE(A432, ""pe"")"),"#N/A")</f>
        <v>#N/A</v>
      </c>
      <c r="Q432" s="9">
        <f>IFERROR(__xludf.DUMMYFUNCTION("IFERROR(GOOGLEFINANCE(A432, ""volume"") / GOOGLEFINANCE(A432, ""volumeavg""), 0)"),0.0)</f>
        <v>0</v>
      </c>
      <c r="R432" s="9">
        <f>IFERROR(__xludf.DUMMYFUNCTION("AVERAGE(INDEX(GOOGLEFINANCE(A432, ""price"", TODAY()-30, TODAY()), 0, 2))"),35.13739130434783)</f>
        <v>35.1373913</v>
      </c>
      <c r="S432" s="9">
        <f>IFERROR(__xludf.DUMMYFUNCTION("AVERAGE(INDEX(GOOGLEFINANCE(A432, ""price"", TODAY()-75, TODAY()), 0, 2))"),37.57113207547169)</f>
        <v>37.57113208</v>
      </c>
      <c r="T432" s="9">
        <f>IFERROR(__xludf.DUMMYFUNCTION("AVERAGE(INDEX(GOOGLEFINANCE(A432, ""price"", TODAY()-300, TODAY()), 0, 2))"),35.88223021582735)</f>
        <v>35.88223022</v>
      </c>
      <c r="U432" s="9">
        <f t="shared" si="5"/>
        <v>-0.03720797862</v>
      </c>
      <c r="V432" s="15">
        <f>IFERROR(__xludf.DUMMYFUNCTION("LET(hist, GOOGLEFINANCE(A432,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rs))))))"),33.12101910828022)</f>
        <v>33.12101911</v>
      </c>
      <c r="W432" s="16" t="str">
        <f>IFERROR(__xludf.DUMMYFUNCTION("IFERROR(GOOGLEFINANCE(A432, ""volume"") / GOOGLEFINANCE(A432, ""volumeavg""), )"),"")</f>
        <v/>
      </c>
      <c r="X432" s="9">
        <f>IFERROR(__xludf.DUMMYFUNCTION("B432 * GOOGLEFINANCE(A432, ""volume"")"),1.1396931189E8)</f>
        <v>113969311.9</v>
      </c>
      <c r="Y432" s="9">
        <f>IFERROR(__xludf.DUMMYFUNCTION("IFERROR(((B432 - GOOGLEFINANCE(A432, ""priceopen"")) / GOOGLEFINANCE(A432, ""priceopen"")) * GOOGLEFINANCE(A432, ""volume""), 0)"),-995.5328014189489)</f>
        <v>-995.5328014</v>
      </c>
    </row>
    <row r="433">
      <c r="A433" s="4" t="s">
        <v>2226</v>
      </c>
      <c r="B433" s="7">
        <f>IFERROR(__xludf.DUMMYFUNCTION("GOOGLEFINANCE(A433, ""price"")"),3992.0)</f>
        <v>3992</v>
      </c>
      <c r="C433" s="7">
        <f>IFERROR(__xludf.DUMMYFUNCTION("GOOGLEFINANCE(A433, ""changepct"")"),-1.12)</f>
        <v>-1.12</v>
      </c>
      <c r="D433" s="9">
        <f>IFERROR(__xludf.DUMMYFUNCTION("GOOGLEFINANCE(A433, ""priceopen"")"),4022.0)</f>
        <v>4022</v>
      </c>
      <c r="E433" s="9">
        <f>IFERROR(__xludf.DUMMYFUNCTION("GOOGLEFINANCE(A433, ""high"")"),4050.0)</f>
        <v>4050</v>
      </c>
      <c r="F433" s="9">
        <f>IFERROR(__xludf.DUMMYFUNCTION("GOOGLEFINANCE(A433, ""low"")"),3980.0)</f>
        <v>3980</v>
      </c>
      <c r="G433" s="9">
        <f>IFERROR(__xludf.DUMMYFUNCTION("GOOGLEFINANCE(A433, ""price"")"),3992.0)</f>
        <v>3992</v>
      </c>
      <c r="H433" s="9">
        <f>IFERROR(__xludf.DUMMYFUNCTION("MAX(INDEX(GOOGLEFINANCE(A433, ""high"", TODAY()-30, TODAY()), 0, 2))"),4250.0)</f>
        <v>4250</v>
      </c>
      <c r="I433" s="9">
        <f>IFERROR(__xludf.DUMMYFUNCTION("MIN(INDEX(GOOGLEFINANCE(A433, ""low"", TODAY()-30, TODAY()), 0, 2))"),3476.8)</f>
        <v>3476.8</v>
      </c>
      <c r="J433" s="9">
        <f>IFERROR(__xludf.DUMMYFUNCTION("GOOGLEFINANCE(A433, ""high52"")"),4829.9)</f>
        <v>4829.9</v>
      </c>
      <c r="K433" s="9">
        <f>IFERROR(__xludf.DUMMYFUNCTION("GOOGLEFINANCE(A433, ""low52"")"),3122.2)</f>
        <v>3122.2</v>
      </c>
      <c r="L433" s="9">
        <f t="shared" si="1"/>
        <v>0.1734818526</v>
      </c>
      <c r="M433" s="9">
        <f t="shared" si="2"/>
        <v>0.2785856127</v>
      </c>
      <c r="N433" s="9">
        <f t="shared" si="3"/>
        <v>0.0175879397</v>
      </c>
      <c r="O433" s="9">
        <f t="shared" si="4"/>
        <v>0.6663217796</v>
      </c>
      <c r="P433" s="9">
        <f>IFERROR(__xludf.DUMMYFUNCTION("GOOGLEFINANCE(A433, ""pe"")"),26.87)</f>
        <v>26.87</v>
      </c>
      <c r="Q433" s="9">
        <f>IFERROR(__xludf.DUMMYFUNCTION("IFERROR(GOOGLEFINANCE(A433, ""volume"") / GOOGLEFINANCE(A433, ""volumeavg""), 0)"),0.0)</f>
        <v>0</v>
      </c>
      <c r="R433" s="9">
        <f>IFERROR(__xludf.DUMMYFUNCTION("AVERAGE(INDEX(GOOGLEFINANCE(A433, ""price"", TODAY()-30, TODAY()), 0, 2))"),3804.14347826087)</f>
        <v>3804.143478</v>
      </c>
      <c r="S433" s="9">
        <f>IFERROR(__xludf.DUMMYFUNCTION("AVERAGE(INDEX(GOOGLEFINANCE(A433, ""price"", TODAY()-75, TODAY()), 0, 2))"),3626.641509433963)</f>
        <v>3626.641509</v>
      </c>
      <c r="T433" s="9">
        <f>IFERROR(__xludf.DUMMYFUNCTION("AVERAGE(INDEX(GOOGLEFINANCE(A433, ""price"", TODAY()-300, TODAY()), 0, 2))"),3771.8356435643573)</f>
        <v>3771.835644</v>
      </c>
      <c r="U433" s="9">
        <f t="shared" si="5"/>
        <v>0.04938208109</v>
      </c>
      <c r="V433" s="15">
        <f>IFERROR(__xludf.DUMMYFUNCTION("LET(hist, GOOGLEFINANCE(A433,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rs))))))"),65.89400370007617)</f>
        <v>65.8940037</v>
      </c>
      <c r="W433" s="16" t="str">
        <f>IFERROR(__xludf.DUMMYFUNCTION("IFERROR(GOOGLEFINANCE(A433, ""volume"") / GOOGLEFINANCE(A433, ""volumeavg""), )"),"")</f>
        <v/>
      </c>
      <c r="X433" s="9">
        <f>IFERROR(__xludf.DUMMYFUNCTION("B433 * GOOGLEFINANCE(A433, ""volume"")"),1.0694568E8)</f>
        <v>106945680</v>
      </c>
      <c r="Y433" s="9">
        <f>IFERROR(__xludf.DUMMYFUNCTION("IFERROR(((B433 - GOOGLEFINANCE(A433, ""priceopen"")) / GOOGLEFINANCE(A433, ""priceopen"")) * GOOGLEFINANCE(A433, ""volume""), 0)"),-199.82595723520635)</f>
        <v>-199.8259572</v>
      </c>
    </row>
    <row r="434">
      <c r="A434" s="4" t="s">
        <v>2227</v>
      </c>
      <c r="B434" s="7">
        <f>IFERROR(__xludf.DUMMYFUNCTION("GOOGLEFINANCE(A434, ""price"")"),586.7)</f>
        <v>586.7</v>
      </c>
      <c r="C434" s="7">
        <f>IFERROR(__xludf.DUMMYFUNCTION("GOOGLEFINANCE(A434, ""changepct"")"),3.08)</f>
        <v>3.08</v>
      </c>
      <c r="D434" s="9">
        <f>IFERROR(__xludf.DUMMYFUNCTION("GOOGLEFINANCE(A434, ""priceopen"")"),570.95)</f>
        <v>570.95</v>
      </c>
      <c r="E434" s="9">
        <f>IFERROR(__xludf.DUMMYFUNCTION("GOOGLEFINANCE(A434, ""high"")"),598.5)</f>
        <v>598.5</v>
      </c>
      <c r="F434" s="9">
        <f>IFERROR(__xludf.DUMMYFUNCTION("GOOGLEFINANCE(A434, ""low"")"),568.75)</f>
        <v>568.75</v>
      </c>
      <c r="G434" s="9">
        <f>IFERROR(__xludf.DUMMYFUNCTION("GOOGLEFINANCE(A434, ""price"")"),586.7)</f>
        <v>586.7</v>
      </c>
      <c r="H434" s="9">
        <f>IFERROR(__xludf.DUMMYFUNCTION("MAX(INDEX(GOOGLEFINANCE(A434, ""high"", TODAY()-30, TODAY()), 0, 2))"),604.1)</f>
        <v>604.1</v>
      </c>
      <c r="I434" s="9">
        <f>IFERROR(__xludf.DUMMYFUNCTION("MIN(INDEX(GOOGLEFINANCE(A434, ""low"", TODAY()-30, TODAY()), 0, 2))"),547.0)</f>
        <v>547</v>
      </c>
      <c r="J434" s="9">
        <f>IFERROR(__xludf.DUMMYFUNCTION("GOOGLEFINANCE(A434, ""high52"")"),739.4)</f>
        <v>739.4</v>
      </c>
      <c r="K434" s="9">
        <f>IFERROR(__xludf.DUMMYFUNCTION("GOOGLEFINANCE(A434, ""low52"")"),501.65)</f>
        <v>501.65</v>
      </c>
      <c r="L434" s="9">
        <f t="shared" si="1"/>
        <v>0.206518799</v>
      </c>
      <c r="M434" s="9">
        <f t="shared" si="2"/>
        <v>0.1695405163</v>
      </c>
      <c r="N434" s="9">
        <f t="shared" si="3"/>
        <v>0.05230769231</v>
      </c>
      <c r="O434" s="9">
        <f t="shared" si="4"/>
        <v>0.6952714536</v>
      </c>
      <c r="P434" s="9">
        <f>IFERROR(__xludf.DUMMYFUNCTION("GOOGLEFINANCE(A434, ""pe"")"),21.07)</f>
        <v>21.07</v>
      </c>
      <c r="Q434" s="9">
        <f>IFERROR(__xludf.DUMMYFUNCTION("IFERROR(GOOGLEFINANCE(A434, ""volume"") / GOOGLEFINANCE(A434, ""volumeavg""), 0)"),0.0)</f>
        <v>0</v>
      </c>
      <c r="R434" s="9">
        <f>IFERROR(__xludf.DUMMYFUNCTION("AVERAGE(INDEX(GOOGLEFINANCE(A434, ""price"", TODAY()-30, TODAY()), 0, 2))"),575.7478260869566)</f>
        <v>575.7478261</v>
      </c>
      <c r="S434" s="9">
        <f>IFERROR(__xludf.DUMMYFUNCTION("AVERAGE(INDEX(GOOGLEFINANCE(A434, ""price"", TODAY()-75, TODAY()), 0, 2))"),590.9103773584908)</f>
        <v>590.9103774</v>
      </c>
      <c r="T434" s="9">
        <f>IFERROR(__xludf.DUMMYFUNCTION("AVERAGE(INDEX(GOOGLEFINANCE(A434, ""price"", TODAY()-300, TODAY()), 0, 2))"),586.432178217822)</f>
        <v>586.4321782</v>
      </c>
      <c r="U434" s="9">
        <f t="shared" si="5"/>
        <v>0.01902251892</v>
      </c>
      <c r="V434" s="15">
        <f>IFERROR(__xludf.DUMMYFUNCTION("LET(hist, GOOGLEFINANCE(A434,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rs))))))"),61.745200698080296)</f>
        <v>61.7452007</v>
      </c>
      <c r="W434" s="16" t="str">
        <f>IFERROR(__xludf.DUMMYFUNCTION("IFERROR(GOOGLEFINANCE(A434, ""volume"") / GOOGLEFINANCE(A434, ""volumeavg""), )"),"")</f>
        <v/>
      </c>
      <c r="X434" s="9">
        <f>IFERROR(__xludf.DUMMYFUNCTION("B434 * GOOGLEFINANCE(A434, ""volume"")"),4.305492083E8)</f>
        <v>430549208.3</v>
      </c>
      <c r="Y434" s="9">
        <f>IFERROR(__xludf.DUMMYFUNCTION("IFERROR(((B434 - GOOGLEFINANCE(A434, ""priceopen"")) / GOOGLEFINANCE(A434, ""priceopen"")) * GOOGLEFINANCE(A434, ""volume""), 0)"),20243.66713372449)</f>
        <v>20243.66713</v>
      </c>
    </row>
    <row r="435">
      <c r="A435" s="4" t="s">
        <v>2228</v>
      </c>
      <c r="B435" s="7">
        <f>IFERROR(__xludf.DUMMYFUNCTION("GOOGLEFINANCE(A435, ""price"")"),844.1)</f>
        <v>844.1</v>
      </c>
      <c r="C435" s="7">
        <f>IFERROR(__xludf.DUMMYFUNCTION("GOOGLEFINANCE(A435, ""changepct"")"),0.63)</f>
        <v>0.63</v>
      </c>
      <c r="D435" s="9">
        <f>IFERROR(__xludf.DUMMYFUNCTION("GOOGLEFINANCE(A435, ""priceopen"")"),838.85)</f>
        <v>838.85</v>
      </c>
      <c r="E435" s="9">
        <f>IFERROR(__xludf.DUMMYFUNCTION("GOOGLEFINANCE(A435, ""high"")"),852.6)</f>
        <v>852.6</v>
      </c>
      <c r="F435" s="9">
        <f>IFERROR(__xludf.DUMMYFUNCTION("GOOGLEFINANCE(A435, ""low"")"),833.0)</f>
        <v>833</v>
      </c>
      <c r="G435" s="9">
        <f>IFERROR(__xludf.DUMMYFUNCTION("GOOGLEFINANCE(A435, ""price"")"),844.1)</f>
        <v>844.1</v>
      </c>
      <c r="H435" s="9">
        <f>IFERROR(__xludf.DUMMYFUNCTION("MAX(INDEX(GOOGLEFINANCE(A435, ""high"", TODAY()-30, TODAY()), 0, 2))"),855.9)</f>
        <v>855.9</v>
      </c>
      <c r="I435" s="9">
        <f>IFERROR(__xludf.DUMMYFUNCTION("MIN(INDEX(GOOGLEFINANCE(A435, ""low"", TODAY()-30, TODAY()), 0, 2))"),787.4)</f>
        <v>787.4</v>
      </c>
      <c r="J435" s="9">
        <f>IFERROR(__xludf.DUMMYFUNCTION("GOOGLEFINANCE(A435, ""high52"")"),1002.0)</f>
        <v>1002</v>
      </c>
      <c r="K435" s="9">
        <f>IFERROR(__xludf.DUMMYFUNCTION("GOOGLEFINANCE(A435, ""low52"")"),635.8)</f>
        <v>635.8</v>
      </c>
      <c r="L435" s="9">
        <f t="shared" si="1"/>
        <v>0.1575848303</v>
      </c>
      <c r="M435" s="9">
        <f t="shared" si="2"/>
        <v>0.327618748</v>
      </c>
      <c r="N435" s="9">
        <f t="shared" si="3"/>
        <v>0.02352941176</v>
      </c>
      <c r="O435" s="9">
        <f t="shared" si="4"/>
        <v>0.8277372263</v>
      </c>
      <c r="P435" s="9">
        <f>IFERROR(__xludf.DUMMYFUNCTION("GOOGLEFINANCE(A435, ""pe"")"),23.93)</f>
        <v>23.93</v>
      </c>
      <c r="Q435" s="9">
        <f>IFERROR(__xludf.DUMMYFUNCTION("IFERROR(GOOGLEFINANCE(A435, ""volume"") / GOOGLEFINANCE(A435, ""volumeavg""), 0)"),0.0)</f>
        <v>0</v>
      </c>
      <c r="R435" s="9">
        <f>IFERROR(__xludf.DUMMYFUNCTION("AVERAGE(INDEX(GOOGLEFINANCE(A435, ""price"", TODAY()-30, TODAY()), 0, 2))"),822.0130434782608)</f>
        <v>822.0130435</v>
      </c>
      <c r="S435" s="9">
        <f>IFERROR(__xludf.DUMMYFUNCTION("AVERAGE(INDEX(GOOGLEFINANCE(A435, ""price"", TODAY()-75, TODAY()), 0, 2))"),793.2613207547168)</f>
        <v>793.2613208</v>
      </c>
      <c r="T435" s="9">
        <f>IFERROR(__xludf.DUMMYFUNCTION("AVERAGE(INDEX(GOOGLEFINANCE(A435, ""price"", TODAY()-300, TODAY()), 0, 2))"),799.6292079207923)</f>
        <v>799.6292079</v>
      </c>
      <c r="U435" s="9">
        <f t="shared" si="5"/>
        <v>0.02686935043</v>
      </c>
      <c r="V435" s="15">
        <f>IFERROR(__xludf.DUMMYFUNCTION("LET(hist, GOOGLEFINANCE(A435,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rs))))))"),72.29660144181251)</f>
        <v>72.29660144</v>
      </c>
      <c r="W435" s="16" t="str">
        <f>IFERROR(__xludf.DUMMYFUNCTION("IFERROR(GOOGLEFINANCE(A435, ""volume"") / GOOGLEFINANCE(A435, ""volumeavg""), )"),"")</f>
        <v/>
      </c>
      <c r="X435" s="9">
        <f>IFERROR(__xludf.DUMMYFUNCTION("B435 * GOOGLEFINANCE(A435, ""volume"")"),1.198908994E8)</f>
        <v>119890899.4</v>
      </c>
      <c r="Y435" s="9">
        <f>IFERROR(__xludf.DUMMYFUNCTION("IFERROR(((B435 - GOOGLEFINANCE(A435, ""priceopen"")) / GOOGLEFINANCE(A435, ""priceopen"")) * GOOGLEFINANCE(A435, ""volume""), 0)"),888.9294867974012)</f>
        <v>888.9294868</v>
      </c>
    </row>
    <row r="436">
      <c r="A436" s="4" t="s">
        <v>2229</v>
      </c>
      <c r="B436" s="7">
        <f>IFERROR(__xludf.DUMMYFUNCTION("GOOGLEFINANCE(A436, ""price"")"),1266.4)</f>
        <v>1266.4</v>
      </c>
      <c r="C436" s="7">
        <f>IFERROR(__xludf.DUMMYFUNCTION("GOOGLEFINANCE(A436, ""changepct"")"),-0.46)</f>
        <v>-0.46</v>
      </c>
      <c r="D436" s="9">
        <f>IFERROR(__xludf.DUMMYFUNCTION("GOOGLEFINANCE(A436, ""priceopen"")"),1278.9)</f>
        <v>1278.9</v>
      </c>
      <c r="E436" s="9">
        <f>IFERROR(__xludf.DUMMYFUNCTION("GOOGLEFINANCE(A436, ""high"")"),1294.9)</f>
        <v>1294.9</v>
      </c>
      <c r="F436" s="9">
        <f>IFERROR(__xludf.DUMMYFUNCTION("GOOGLEFINANCE(A436, ""low"")"),1230.6)</f>
        <v>1230.6</v>
      </c>
      <c r="G436" s="9">
        <f>IFERROR(__xludf.DUMMYFUNCTION("GOOGLEFINANCE(A436, ""price"")"),1266.4)</f>
        <v>1266.4</v>
      </c>
      <c r="H436" s="9">
        <f>IFERROR(__xludf.DUMMYFUNCTION("MAX(INDEX(GOOGLEFINANCE(A436, ""high"", TODAY()-30, TODAY()), 0, 2))"),1472.0)</f>
        <v>1472</v>
      </c>
      <c r="I436" s="9">
        <f>IFERROR(__xludf.DUMMYFUNCTION("MIN(INDEX(GOOGLEFINANCE(A436, ""low"", TODAY()-30, TODAY()), 0, 2))"),1230.6)</f>
        <v>1230.6</v>
      </c>
      <c r="J436" s="9">
        <f>IFERROR(__xludf.DUMMYFUNCTION("GOOGLEFINANCE(A436, ""high52"")"),1536.0)</f>
        <v>1536</v>
      </c>
      <c r="K436" s="9">
        <f>IFERROR(__xludf.DUMMYFUNCTION("GOOGLEFINANCE(A436, ""low52"")"),727.1)</f>
        <v>727.1</v>
      </c>
      <c r="L436" s="9">
        <f t="shared" si="1"/>
        <v>0.1755208333</v>
      </c>
      <c r="M436" s="9">
        <f t="shared" si="2"/>
        <v>0.741713657</v>
      </c>
      <c r="N436" s="9">
        <f t="shared" si="3"/>
        <v>0.0522509345</v>
      </c>
      <c r="O436" s="9">
        <f t="shared" si="4"/>
        <v>0.1483015742</v>
      </c>
      <c r="P436" s="9">
        <f>IFERROR(__xludf.DUMMYFUNCTION("GOOGLEFINANCE(A436, ""pe"")"),92.77)</f>
        <v>92.77</v>
      </c>
      <c r="Q436" s="9">
        <f>IFERROR(__xludf.DUMMYFUNCTION("IFERROR(GOOGLEFINANCE(A436, ""volume"") / GOOGLEFINANCE(A436, ""volumeavg""), 0)"),0.0)</f>
        <v>0</v>
      </c>
      <c r="R436" s="9">
        <f>IFERROR(__xludf.DUMMYFUNCTION("AVERAGE(INDEX(GOOGLEFINANCE(A436, ""price"", TODAY()-30, TODAY()), 0, 2))"),1332.682608695652)</f>
        <v>1332.682609</v>
      </c>
      <c r="S436" s="9">
        <f>IFERROR(__xludf.DUMMYFUNCTION("AVERAGE(INDEX(GOOGLEFINANCE(A436, ""price"", TODAY()-75, TODAY()), 0, 2))"),1306.4452830188677)</f>
        <v>1306.445283</v>
      </c>
      <c r="T436" s="9">
        <f>IFERROR(__xludf.DUMMYFUNCTION("AVERAGE(INDEX(GOOGLEFINANCE(A436, ""price"", TODAY()-300, TODAY()), 0, 2))"),1147.5695454545455)</f>
        <v>1147.569545</v>
      </c>
      <c r="U436" s="9">
        <f t="shared" si="5"/>
        <v>-0.04973622996</v>
      </c>
      <c r="V436" s="15">
        <f>IFERROR(__xludf.DUMMYFUNCTION("LET(hist, GOOGLEFINANCE(A436,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rs))))))"),31.977689983732304)</f>
        <v>31.97768998</v>
      </c>
      <c r="W436" s="16" t="str">
        <f>IFERROR(__xludf.DUMMYFUNCTION("IFERROR(GOOGLEFINANCE(A436, ""volume"") / GOOGLEFINANCE(A436, ""volumeavg""), )"),"")</f>
        <v/>
      </c>
      <c r="X436" s="9">
        <f>IFERROR(__xludf.DUMMYFUNCTION("B436 * GOOGLEFINANCE(A436, ""volume"")"),2.100843624E8)</f>
        <v>210084362.4</v>
      </c>
      <c r="Y436" s="9">
        <f>IFERROR(__xludf.DUMMYFUNCTION("IFERROR(((B436 - GOOGLEFINANCE(A436, ""priceopen"")) / GOOGLEFINANCE(A436, ""priceopen"")) * GOOGLEFINANCE(A436, ""volume""), 0)"),-1621.42270701384)</f>
        <v>-1621.422707</v>
      </c>
    </row>
    <row r="437">
      <c r="A437" s="4" t="s">
        <v>2230</v>
      </c>
      <c r="B437" s="7">
        <f>IFERROR(__xludf.DUMMYFUNCTION("GOOGLEFINANCE(A437, ""price"")"),2030.0)</f>
        <v>2030</v>
      </c>
      <c r="C437" s="7">
        <f>IFERROR(__xludf.DUMMYFUNCTION("GOOGLEFINANCE(A437, ""changepct"")"),6.41)</f>
        <v>6.41</v>
      </c>
      <c r="D437" s="9">
        <f>IFERROR(__xludf.DUMMYFUNCTION("GOOGLEFINANCE(A437, ""priceopen"")"),1907.8)</f>
        <v>1907.8</v>
      </c>
      <c r="E437" s="9">
        <f>IFERROR(__xludf.DUMMYFUNCTION("GOOGLEFINANCE(A437, ""high"")"),2040.0)</f>
        <v>2040</v>
      </c>
      <c r="F437" s="9">
        <f>IFERROR(__xludf.DUMMYFUNCTION("GOOGLEFINANCE(A437, ""low"")"),1907.8)</f>
        <v>1907.8</v>
      </c>
      <c r="G437" s="9">
        <f>IFERROR(__xludf.DUMMYFUNCTION("GOOGLEFINANCE(A437, ""price"")"),2030.0)</f>
        <v>2030</v>
      </c>
      <c r="H437" s="9">
        <f>IFERROR(__xludf.DUMMYFUNCTION("MAX(INDEX(GOOGLEFINANCE(A437, ""high"", TODAY()-30, TODAY()), 0, 2))"),2040.0)</f>
        <v>2040</v>
      </c>
      <c r="I437" s="9">
        <f>IFERROR(__xludf.DUMMYFUNCTION("MIN(INDEX(GOOGLEFINANCE(A437, ""low"", TODAY()-30, TODAY()), 0, 2))"),1554.3)</f>
        <v>1554.3</v>
      </c>
      <c r="J437" s="9">
        <f>IFERROR(__xludf.DUMMYFUNCTION("GOOGLEFINANCE(A437, ""high52"")"),2040.0)</f>
        <v>2040</v>
      </c>
      <c r="K437" s="9">
        <f>IFERROR(__xludf.DUMMYFUNCTION("GOOGLEFINANCE(A437, ""low52"")"),862.05)</f>
        <v>862.05</v>
      </c>
      <c r="L437" s="9">
        <f t="shared" si="1"/>
        <v>0.004901960784</v>
      </c>
      <c r="M437" s="9">
        <f t="shared" si="2"/>
        <v>1.354851807</v>
      </c>
      <c r="N437" s="9">
        <f t="shared" si="3"/>
        <v>0.06929447531</v>
      </c>
      <c r="O437" s="9">
        <f t="shared" si="4"/>
        <v>0.9794111592</v>
      </c>
      <c r="P437" s="9">
        <f>IFERROR(__xludf.DUMMYFUNCTION("GOOGLEFINANCE(A437, ""pe"")"),58.58)</f>
        <v>58.58</v>
      </c>
      <c r="Q437" s="9">
        <f>IFERROR(__xludf.DUMMYFUNCTION("IFERROR(GOOGLEFINANCE(A437, ""volume"") / GOOGLEFINANCE(A437, ""volumeavg""), 0)"),0.0)</f>
        <v>0</v>
      </c>
      <c r="R437" s="9">
        <f>IFERROR(__xludf.DUMMYFUNCTION("AVERAGE(INDEX(GOOGLEFINANCE(A437, ""price"", TODAY()-30, TODAY()), 0, 2))"),1700.5347826086954)</f>
        <v>1700.534783</v>
      </c>
      <c r="S437" s="9">
        <f>IFERROR(__xludf.DUMMYFUNCTION("AVERAGE(INDEX(GOOGLEFINANCE(A437, ""price"", TODAY()-75, TODAY()), 0, 2))"),1561.8245283018866)</f>
        <v>1561.824528</v>
      </c>
      <c r="T437" s="9">
        <f>IFERROR(__xludf.DUMMYFUNCTION("AVERAGE(INDEX(GOOGLEFINANCE(A437, ""price"", TODAY()-300, TODAY()), 0, 2))"),1276.816831683168)</f>
        <v>1276.816832</v>
      </c>
      <c r="U437" s="9">
        <f t="shared" si="5"/>
        <v>0.193742122</v>
      </c>
      <c r="V437" s="15">
        <f>IFERROR(__xludf.DUMMYFUNCTION("LET(hist, GOOGLEFINANCE(A437,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rs))))))"),88.72837524522917)</f>
        <v>88.72837525</v>
      </c>
      <c r="W437" s="16" t="str">
        <f>IFERROR(__xludf.DUMMYFUNCTION("IFERROR(GOOGLEFINANCE(A437, ""volume"") / GOOGLEFINANCE(A437, ""volumeavg""), )"),"")</f>
        <v/>
      </c>
      <c r="X437" s="9">
        <f>IFERROR(__xludf.DUMMYFUNCTION("B437 * GOOGLEFINANCE(A437, ""volume"")"),4.9581126E8)</f>
        <v>495811260</v>
      </c>
      <c r="Y437" s="9">
        <f>IFERROR(__xludf.DUMMYFUNCTION("IFERROR(((B437 - GOOGLEFINANCE(A437, ""priceopen"")) / GOOGLEFINANCE(A437, ""priceopen"")) * GOOGLEFINANCE(A437, ""volume""), 0)"),15644.392703637704)</f>
        <v>15644.3927</v>
      </c>
    </row>
    <row r="438">
      <c r="A438" s="4" t="s">
        <v>2231</v>
      </c>
      <c r="B438" s="7">
        <f>IFERROR(__xludf.DUMMYFUNCTION("GOOGLEFINANCE(A438, ""price"")"),409.2)</f>
        <v>409.2</v>
      </c>
      <c r="C438" s="7">
        <f>IFERROR(__xludf.DUMMYFUNCTION("GOOGLEFINANCE(A438, ""changepct"")"),0.48)</f>
        <v>0.48</v>
      </c>
      <c r="D438" s="9">
        <f>IFERROR(__xludf.DUMMYFUNCTION("GOOGLEFINANCE(A438, ""priceopen"")"),410.0)</f>
        <v>410</v>
      </c>
      <c r="E438" s="9">
        <f>IFERROR(__xludf.DUMMYFUNCTION("GOOGLEFINANCE(A438, ""high"")"),411.8)</f>
        <v>411.8</v>
      </c>
      <c r="F438" s="9">
        <f>IFERROR(__xludf.DUMMYFUNCTION("GOOGLEFINANCE(A438, ""low"")"),403.8)</f>
        <v>403.8</v>
      </c>
      <c r="G438" s="9">
        <f>IFERROR(__xludf.DUMMYFUNCTION("GOOGLEFINANCE(A438, ""price"")"),409.2)</f>
        <v>409.2</v>
      </c>
      <c r="H438" s="9">
        <f>IFERROR(__xludf.DUMMYFUNCTION("MAX(INDEX(GOOGLEFINANCE(A438, ""high"", TODAY()-30, TODAY()), 0, 2))"),432.0)</f>
        <v>432</v>
      </c>
      <c r="I438" s="9">
        <f>IFERROR(__xludf.DUMMYFUNCTION("MIN(INDEX(GOOGLEFINANCE(A438, ""low"", TODAY()-30, TODAY()), 0, 2))"),375.25)</f>
        <v>375.25</v>
      </c>
      <c r="J438" s="9">
        <f>IFERROR(__xludf.DUMMYFUNCTION("GOOGLEFINANCE(A438, ""high52"")"),684.6)</f>
        <v>684.6</v>
      </c>
      <c r="K438" s="9">
        <f>IFERROR(__xludf.DUMMYFUNCTION("GOOGLEFINANCE(A438, ""low52"")"),375.25)</f>
        <v>375.25</v>
      </c>
      <c r="L438" s="9">
        <f t="shared" si="1"/>
        <v>0.4022787029</v>
      </c>
      <c r="M438" s="9">
        <f t="shared" si="2"/>
        <v>0.09047301799</v>
      </c>
      <c r="N438" s="9">
        <f t="shared" si="3"/>
        <v>0.01981178801</v>
      </c>
      <c r="O438" s="9">
        <f t="shared" si="4"/>
        <v>0.5982378855</v>
      </c>
      <c r="P438" s="9">
        <f>IFERROR(__xludf.DUMMYFUNCTION("GOOGLEFINANCE(A438, ""pe"")"),74.49)</f>
        <v>74.49</v>
      </c>
      <c r="Q438" s="9">
        <f>IFERROR(__xludf.DUMMYFUNCTION("IFERROR(GOOGLEFINANCE(A438, ""volume"") / GOOGLEFINANCE(A438, ""volumeavg""), 0)"),0.0)</f>
        <v>0</v>
      </c>
      <c r="R438" s="9">
        <f>IFERROR(__xludf.DUMMYFUNCTION("AVERAGE(INDEX(GOOGLEFINANCE(A438, ""price"", TODAY()-30, TODAY()), 0, 2))"),409.041304347826)</f>
        <v>409.0413043</v>
      </c>
      <c r="S438" s="9">
        <f>IFERROR(__xludf.DUMMYFUNCTION("AVERAGE(INDEX(GOOGLEFINANCE(A438, ""price"", TODAY()-75, TODAY()), 0, 2))"),426.07264150943416)</f>
        <v>426.0726415</v>
      </c>
      <c r="T438" s="9">
        <f>IFERROR(__xludf.DUMMYFUNCTION("AVERAGE(INDEX(GOOGLEFINANCE(A438, ""price"", TODAY()-300, TODAY()), 0, 2))"),502.7455445544552)</f>
        <v>502.7455446</v>
      </c>
      <c r="U438" s="9">
        <f t="shared" si="5"/>
        <v>0.000387969749</v>
      </c>
      <c r="V438" s="15">
        <f>IFERROR(__xludf.DUMMYFUNCTION("LET(hist, GOOGLEFINANCE(A438,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rs))))))"),52.854122621564464)</f>
        <v>52.85412262</v>
      </c>
      <c r="W438" s="16" t="str">
        <f>IFERROR(__xludf.DUMMYFUNCTION("IFERROR(GOOGLEFINANCE(A438, ""volume"") / GOOGLEFINANCE(A438, ""volumeavg""), )"),"")</f>
        <v/>
      </c>
      <c r="X438" s="9">
        <f>IFERROR(__xludf.DUMMYFUNCTION("B438 * GOOGLEFINANCE(A438, ""volume"")"),2.4200047079999998E8)</f>
        <v>242000470.8</v>
      </c>
      <c r="Y438" s="9">
        <f>IFERROR(__xludf.DUMMYFUNCTION("IFERROR(((B438 - GOOGLEFINANCE(A438, ""priceopen"")) / GOOGLEFINANCE(A438, ""priceopen"")) * GOOGLEFINANCE(A438, ""volume""), 0)"),-1153.9492682926993)</f>
        <v>-1153.949268</v>
      </c>
    </row>
    <row r="439">
      <c r="A439" s="4" t="s">
        <v>2232</v>
      </c>
      <c r="B439" s="7">
        <f>IFERROR(__xludf.DUMMYFUNCTION("GOOGLEFINANCE(A439, ""price"")"),629.0)</f>
        <v>629</v>
      </c>
      <c r="C439" s="7">
        <f>IFERROR(__xludf.DUMMYFUNCTION("GOOGLEFINANCE(A439, ""changepct"")"),-2.31)</f>
        <v>-2.31</v>
      </c>
      <c r="D439" s="9">
        <f>IFERROR(__xludf.DUMMYFUNCTION("GOOGLEFINANCE(A439, ""priceopen"")"),647.0)</f>
        <v>647</v>
      </c>
      <c r="E439" s="9">
        <f>IFERROR(__xludf.DUMMYFUNCTION("GOOGLEFINANCE(A439, ""high"")"),650.0)</f>
        <v>650</v>
      </c>
      <c r="F439" s="9">
        <f>IFERROR(__xludf.DUMMYFUNCTION("GOOGLEFINANCE(A439, ""low"")"),622.5)</f>
        <v>622.5</v>
      </c>
      <c r="G439" s="9">
        <f>IFERROR(__xludf.DUMMYFUNCTION("GOOGLEFINANCE(A439, ""price"")"),629.0)</f>
        <v>629</v>
      </c>
      <c r="H439" s="9">
        <f>IFERROR(__xludf.DUMMYFUNCTION("MAX(INDEX(GOOGLEFINANCE(A439, ""high"", TODAY()-30, TODAY()), 0, 2))"),707.5)</f>
        <v>707.5</v>
      </c>
      <c r="I439" s="9">
        <f>IFERROR(__xludf.DUMMYFUNCTION("MIN(INDEX(GOOGLEFINANCE(A439, ""low"", TODAY()-30, TODAY()), 0, 2))"),622.5)</f>
        <v>622.5</v>
      </c>
      <c r="J439" s="9">
        <f>IFERROR(__xludf.DUMMYFUNCTION("GOOGLEFINANCE(A439, ""high52"")"),790.0)</f>
        <v>790</v>
      </c>
      <c r="K439" s="9">
        <f>IFERROR(__xludf.DUMMYFUNCTION("GOOGLEFINANCE(A439, ""low52"")"),477.0)</f>
        <v>477</v>
      </c>
      <c r="L439" s="9">
        <f t="shared" si="1"/>
        <v>0.2037974684</v>
      </c>
      <c r="M439" s="9">
        <f t="shared" si="2"/>
        <v>0.3186582809</v>
      </c>
      <c r="N439" s="9">
        <f t="shared" si="3"/>
        <v>0.04417670683</v>
      </c>
      <c r="O439" s="9">
        <f t="shared" si="4"/>
        <v>0.07647058824</v>
      </c>
      <c r="P439" s="9">
        <f>IFERROR(__xludf.DUMMYFUNCTION("GOOGLEFINANCE(A439, ""pe"")"),66.35)</f>
        <v>66.35</v>
      </c>
      <c r="Q439" s="9">
        <f>IFERROR(__xludf.DUMMYFUNCTION("IFERROR(GOOGLEFINANCE(A439, ""volume"") / GOOGLEFINANCE(A439, ""volumeavg""), 0)"),0.0)</f>
        <v>0</v>
      </c>
      <c r="R439" s="9">
        <f>IFERROR(__xludf.DUMMYFUNCTION("AVERAGE(INDEX(GOOGLEFINANCE(A439, ""price"", TODAY()-30, TODAY()), 0, 2))"),664.163043478261)</f>
        <v>664.1630435</v>
      </c>
      <c r="S439" s="9">
        <f>IFERROR(__xludf.DUMMYFUNCTION("AVERAGE(INDEX(GOOGLEFINANCE(A439, ""price"", TODAY()-75, TODAY()), 0, 2))"),675.0377358490565)</f>
        <v>675.0377358</v>
      </c>
      <c r="T439" s="9">
        <f>IFERROR(__xludf.DUMMYFUNCTION("AVERAGE(INDEX(GOOGLEFINANCE(A439, ""price"", TODAY()-300, TODAY()), 0, 2))"),619.5287128712873)</f>
        <v>619.5287129</v>
      </c>
      <c r="U439" s="9">
        <f t="shared" si="5"/>
        <v>-0.05294339067</v>
      </c>
      <c r="V439" s="15">
        <f>IFERROR(__xludf.DUMMYFUNCTION("LET(hist, GOOGLEFINANCE(A439,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rs))))))"),35.92017738359202)</f>
        <v>35.92017738</v>
      </c>
      <c r="W439" s="16" t="str">
        <f>IFERROR(__xludf.DUMMYFUNCTION("IFERROR(GOOGLEFINANCE(A439, ""volume"") / GOOGLEFINANCE(A439, ""volumeavg""), )"),"")</f>
        <v/>
      </c>
      <c r="X439" s="9">
        <f>IFERROR(__xludf.DUMMYFUNCTION("B439 * GOOGLEFINANCE(A439, ""volume"")"),2.11894375E8)</f>
        <v>211894375</v>
      </c>
      <c r="Y439" s="9">
        <f>IFERROR(__xludf.DUMMYFUNCTION("IFERROR(((B439 - GOOGLEFINANCE(A439, ""priceopen"")) / GOOGLEFINANCE(A439, ""priceopen"")) * GOOGLEFINANCE(A439, ""volume""), 0)"),-9372.10200927357)</f>
        <v>-9372.102009</v>
      </c>
    </row>
    <row r="440">
      <c r="A440" s="4" t="s">
        <v>2233</v>
      </c>
      <c r="B440" s="7">
        <f>IFERROR(__xludf.DUMMYFUNCTION("GOOGLEFINANCE(A440, ""price"")"),412.45)</f>
        <v>412.45</v>
      </c>
      <c r="C440" s="7">
        <f>IFERROR(__xludf.DUMMYFUNCTION("GOOGLEFINANCE(A440, ""changepct"")"),-0.13)</f>
        <v>-0.13</v>
      </c>
      <c r="D440" s="9">
        <f>IFERROR(__xludf.DUMMYFUNCTION("GOOGLEFINANCE(A440, ""priceopen"")"),415.2)</f>
        <v>415.2</v>
      </c>
      <c r="E440" s="9">
        <f>IFERROR(__xludf.DUMMYFUNCTION("GOOGLEFINANCE(A440, ""high"")"),423.0)</f>
        <v>423</v>
      </c>
      <c r="F440" s="9">
        <f>IFERROR(__xludf.DUMMYFUNCTION("GOOGLEFINANCE(A440, ""low"")"),411.0)</f>
        <v>411</v>
      </c>
      <c r="G440" s="9">
        <f>IFERROR(__xludf.DUMMYFUNCTION("GOOGLEFINANCE(A440, ""price"")"),412.45)</f>
        <v>412.45</v>
      </c>
      <c r="H440" s="9">
        <f>IFERROR(__xludf.DUMMYFUNCTION("MAX(INDEX(GOOGLEFINANCE(A440, ""high"", TODAY()-30, TODAY()), 0, 2))"),481.0)</f>
        <v>481</v>
      </c>
      <c r="I440" s="9">
        <f>IFERROR(__xludf.DUMMYFUNCTION("MIN(INDEX(GOOGLEFINANCE(A440, ""low"", TODAY()-30, TODAY()), 0, 2))"),401.9)</f>
        <v>401.9</v>
      </c>
      <c r="J440" s="9">
        <f>IFERROR(__xludf.DUMMYFUNCTION("GOOGLEFINANCE(A440, ""high52"")"),526.0)</f>
        <v>526</v>
      </c>
      <c r="K440" s="9">
        <f>IFERROR(__xludf.DUMMYFUNCTION("GOOGLEFINANCE(A440, ""low52"")"),381.1)</f>
        <v>381.1</v>
      </c>
      <c r="L440" s="9">
        <f t="shared" si="1"/>
        <v>0.2158745247</v>
      </c>
      <c r="M440" s="9">
        <f t="shared" si="2"/>
        <v>0.08226187352</v>
      </c>
      <c r="N440" s="9">
        <f t="shared" si="3"/>
        <v>0.02919708029</v>
      </c>
      <c r="O440" s="9">
        <f t="shared" si="4"/>
        <v>0.1333754741</v>
      </c>
      <c r="P440" s="9">
        <f>IFERROR(__xludf.DUMMYFUNCTION("GOOGLEFINANCE(A440, ""pe"")"),17.32)</f>
        <v>17.32</v>
      </c>
      <c r="Q440" s="9">
        <f>IFERROR(__xludf.DUMMYFUNCTION("IFERROR(GOOGLEFINANCE(A440, ""volume"") / GOOGLEFINANCE(A440, ""volumeavg""), 0)"),0.0)</f>
        <v>0</v>
      </c>
      <c r="R440" s="9">
        <f>IFERROR(__xludf.DUMMYFUNCTION("AVERAGE(INDEX(GOOGLEFINANCE(A440, ""price"", TODAY()-30, TODAY()), 0, 2))"),432.36304347826086)</f>
        <v>432.3630435</v>
      </c>
      <c r="S440" s="9">
        <f>IFERROR(__xludf.DUMMYFUNCTION("AVERAGE(INDEX(GOOGLEFINANCE(A440, ""price"", TODAY()-75, TODAY()), 0, 2))"),446.47547169811315)</f>
        <v>446.4754717</v>
      </c>
      <c r="T440" s="9">
        <f>IFERROR(__xludf.DUMMYFUNCTION("AVERAGE(INDEX(GOOGLEFINANCE(A440, ""price"", TODAY()-300, TODAY()), 0, 2))"),441.99059405940585)</f>
        <v>441.9905941</v>
      </c>
      <c r="U440" s="9">
        <f t="shared" si="5"/>
        <v>-0.04605630333</v>
      </c>
      <c r="V440" s="15">
        <f>IFERROR(__xludf.DUMMYFUNCTION("LET(hist, GOOGLEFINANCE(A440,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rs))))))"),43.77133105802046)</f>
        <v>43.77133106</v>
      </c>
      <c r="W440" s="16" t="str">
        <f>IFERROR(__xludf.DUMMYFUNCTION("IFERROR(GOOGLEFINANCE(A440, ""volume"") / GOOGLEFINANCE(A440, ""volumeavg""), )"),"")</f>
        <v/>
      </c>
      <c r="X440" s="9">
        <f>IFERROR(__xludf.DUMMYFUNCTION("B440 * GOOGLEFINANCE(A440, ""volume"")"),2.1479364875E8)</f>
        <v>214793648.8</v>
      </c>
      <c r="Y440" s="9">
        <f>IFERROR(__xludf.DUMMYFUNCTION("IFERROR(((B440 - GOOGLEFINANCE(A440, ""priceopen"")) / GOOGLEFINANCE(A440, ""priceopen"")) * GOOGLEFINANCE(A440, ""volume""), 0)"),-3449.2563824662816)</f>
        <v>-3449.256382</v>
      </c>
    </row>
    <row r="441">
      <c r="A441" s="4" t="s">
        <v>2234</v>
      </c>
      <c r="B441" s="7">
        <f>IFERROR(__xludf.DUMMYFUNCTION("GOOGLEFINANCE(A441, ""price"")"),1478.8)</f>
        <v>1478.8</v>
      </c>
      <c r="C441" s="7">
        <f>IFERROR(__xludf.DUMMYFUNCTION("GOOGLEFINANCE(A441, ""changepct"")"),-1.68)</f>
        <v>-1.68</v>
      </c>
      <c r="D441" s="9">
        <f>IFERROR(__xludf.DUMMYFUNCTION("GOOGLEFINANCE(A441, ""priceopen"")"),1514.0)</f>
        <v>1514</v>
      </c>
      <c r="E441" s="9">
        <f>IFERROR(__xludf.DUMMYFUNCTION("GOOGLEFINANCE(A441, ""high"")"),1516.4)</f>
        <v>1516.4</v>
      </c>
      <c r="F441" s="9">
        <f>IFERROR(__xludf.DUMMYFUNCTION("GOOGLEFINANCE(A441, ""low"")"),1472.2)</f>
        <v>1472.2</v>
      </c>
      <c r="G441" s="9">
        <f>IFERROR(__xludf.DUMMYFUNCTION("GOOGLEFINANCE(A441, ""price"")"),1478.8)</f>
        <v>1478.8</v>
      </c>
      <c r="H441" s="9">
        <f>IFERROR(__xludf.DUMMYFUNCTION("MAX(INDEX(GOOGLEFINANCE(A441, ""high"", TODAY()-30, TODAY()), 0, 2))"),1610.0)</f>
        <v>1610</v>
      </c>
      <c r="I441" s="9">
        <f>IFERROR(__xludf.DUMMYFUNCTION("MIN(INDEX(GOOGLEFINANCE(A441, ""low"", TODAY()-30, TODAY()), 0, 2))"),1428.0)</f>
        <v>1428</v>
      </c>
      <c r="J441" s="9">
        <f>IFERROR(__xludf.DUMMYFUNCTION("GOOGLEFINANCE(A441, ""high52"")"),1610.0)</f>
        <v>1610</v>
      </c>
      <c r="K441" s="9">
        <f>IFERROR(__xludf.DUMMYFUNCTION("GOOGLEFINANCE(A441, ""low52"")"),1084.0)</f>
        <v>1084</v>
      </c>
      <c r="L441" s="9">
        <f t="shared" si="1"/>
        <v>0.08149068323</v>
      </c>
      <c r="M441" s="9">
        <f t="shared" si="2"/>
        <v>0.3642066421</v>
      </c>
      <c r="N441" s="9">
        <f t="shared" si="3"/>
        <v>0.03002309469</v>
      </c>
      <c r="O441" s="9">
        <f t="shared" si="4"/>
        <v>0.2791208791</v>
      </c>
      <c r="P441" s="9">
        <f>IFERROR(__xludf.DUMMYFUNCTION("GOOGLEFINANCE(A441, ""pe"")"),52.63)</f>
        <v>52.63</v>
      </c>
      <c r="Q441" s="9">
        <f>IFERROR(__xludf.DUMMYFUNCTION("IFERROR(GOOGLEFINANCE(A441, ""volume"") / GOOGLEFINANCE(A441, ""volumeavg""), 0)"),0.0)</f>
        <v>0</v>
      </c>
      <c r="R441" s="9">
        <f>IFERROR(__xludf.DUMMYFUNCTION("AVERAGE(INDEX(GOOGLEFINANCE(A441, ""price"", TODAY()-30, TODAY()), 0, 2))"),1509.4173913043478)</f>
        <v>1509.417391</v>
      </c>
      <c r="S441" s="9">
        <f>IFERROR(__xludf.DUMMYFUNCTION("AVERAGE(INDEX(GOOGLEFINANCE(A441, ""price"", TODAY()-75, TODAY()), 0, 2))"),1450.5641509433965)</f>
        <v>1450.564151</v>
      </c>
      <c r="T441" s="9">
        <f>IFERROR(__xludf.DUMMYFUNCTION("AVERAGE(INDEX(GOOGLEFINANCE(A441, ""price"", TODAY()-300, TODAY()), 0, 2))"),1318.0905940594057)</f>
        <v>1318.090594</v>
      </c>
      <c r="U441" s="9">
        <f t="shared" si="5"/>
        <v>-0.02028424442</v>
      </c>
      <c r="V441" s="15">
        <f>IFERROR(__xludf.DUMMYFUNCTION("LET(hist, GOOGLEFINANCE(A441,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rs))))))"),52.70684371807969)</f>
        <v>52.70684372</v>
      </c>
      <c r="W441" s="16" t="str">
        <f>IFERROR(__xludf.DUMMYFUNCTION("IFERROR(GOOGLEFINANCE(A441, ""volume"") / GOOGLEFINANCE(A441, ""volumeavg""), )"),"")</f>
        <v/>
      </c>
      <c r="X441" s="9">
        <f>IFERROR(__xludf.DUMMYFUNCTION("B441 * GOOGLEFINANCE(A441, ""volume"")"),9.81878836E7)</f>
        <v>98187883.6</v>
      </c>
      <c r="Y441" s="9">
        <f>IFERROR(__xludf.DUMMYFUNCTION("IFERROR(((B441 - GOOGLEFINANCE(A441, ""priceopen"")) / GOOGLEFINANCE(A441, ""priceopen"")) * GOOGLEFINANCE(A441, ""volume""), 0)"),-1543.708322324969)</f>
        <v>-1543.708322</v>
      </c>
    </row>
    <row r="442">
      <c r="A442" s="4" t="s">
        <v>2235</v>
      </c>
      <c r="B442" s="7">
        <f>IFERROR(__xludf.DUMMYFUNCTION("GOOGLEFINANCE(A442, ""price"")"),1130.1)</f>
        <v>1130.1</v>
      </c>
      <c r="C442" s="7">
        <f>IFERROR(__xludf.DUMMYFUNCTION("GOOGLEFINANCE(A442, ""changepct"")"),0.58)</f>
        <v>0.58</v>
      </c>
      <c r="D442" s="9">
        <f>IFERROR(__xludf.DUMMYFUNCTION("GOOGLEFINANCE(A442, ""priceopen"")"),1123.9)</f>
        <v>1123.9</v>
      </c>
      <c r="E442" s="9">
        <f>IFERROR(__xludf.DUMMYFUNCTION("GOOGLEFINANCE(A442, ""high"")"),1140.0)</f>
        <v>1140</v>
      </c>
      <c r="F442" s="9">
        <f>IFERROR(__xludf.DUMMYFUNCTION("GOOGLEFINANCE(A442, ""low"")"),1122.0)</f>
        <v>1122</v>
      </c>
      <c r="G442" s="9">
        <f>IFERROR(__xludf.DUMMYFUNCTION("GOOGLEFINANCE(A442, ""price"")"),1130.1)</f>
        <v>1130.1</v>
      </c>
      <c r="H442" s="9">
        <f>IFERROR(__xludf.DUMMYFUNCTION("MAX(INDEX(GOOGLEFINANCE(A442, ""high"", TODAY()-30, TODAY()), 0, 2))"),1242.2)</f>
        <v>1242.2</v>
      </c>
      <c r="I442" s="9">
        <f>IFERROR(__xludf.DUMMYFUNCTION("MIN(INDEX(GOOGLEFINANCE(A442, ""low"", TODAY()-30, TODAY()), 0, 2))"),1106.0)</f>
        <v>1106</v>
      </c>
      <c r="J442" s="9">
        <f>IFERROR(__xludf.DUMMYFUNCTION("GOOGLEFINANCE(A442, ""high52"")"),1242.2)</f>
        <v>1242.2</v>
      </c>
      <c r="K442" s="9">
        <f>IFERROR(__xludf.DUMMYFUNCTION("GOOGLEFINANCE(A442, ""low52"")"),815.5)</f>
        <v>815.5</v>
      </c>
      <c r="L442" s="9">
        <f t="shared" si="1"/>
        <v>0.09024311705</v>
      </c>
      <c r="M442" s="9">
        <f t="shared" si="2"/>
        <v>0.3857755978</v>
      </c>
      <c r="N442" s="9">
        <f t="shared" si="3"/>
        <v>0.01604278075</v>
      </c>
      <c r="O442" s="9">
        <f t="shared" si="4"/>
        <v>0.1769456681</v>
      </c>
      <c r="P442" s="9">
        <f>IFERROR(__xludf.DUMMYFUNCTION("GOOGLEFINANCE(A442, ""pe"")"),34.85)</f>
        <v>34.85</v>
      </c>
      <c r="Q442" s="9">
        <f>IFERROR(__xludf.DUMMYFUNCTION("IFERROR(GOOGLEFINANCE(A442, ""volume"") / GOOGLEFINANCE(A442, ""volumeavg""), 0)"),0.0)</f>
        <v>0</v>
      </c>
      <c r="R442" s="9">
        <f>IFERROR(__xludf.DUMMYFUNCTION("AVERAGE(INDEX(GOOGLEFINANCE(A442, ""price"", TODAY()-30, TODAY()), 0, 2))"),1173.6826086956523)</f>
        <v>1173.682609</v>
      </c>
      <c r="S442" s="9">
        <f>IFERROR(__xludf.DUMMYFUNCTION("AVERAGE(INDEX(GOOGLEFINANCE(A442, ""price"", TODAY()-75, TODAY()), 0, 2))"),1157.5188679245282)</f>
        <v>1157.518868</v>
      </c>
      <c r="T442" s="9">
        <f>IFERROR(__xludf.DUMMYFUNCTION("AVERAGE(INDEX(GOOGLEFINANCE(A442, ""price"", TODAY()-300, TODAY()), 0, 2))"),1050.5210396039608)</f>
        <v>1050.52104</v>
      </c>
      <c r="U442" s="9">
        <f t="shared" si="5"/>
        <v>-0.03713321504</v>
      </c>
      <c r="V442" s="15">
        <f>IFERROR(__xludf.DUMMYFUNCTION("LET(hist, GOOGLEFINANCE(A442,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rs))))))"),34.20050761421318)</f>
        <v>34.20050761</v>
      </c>
      <c r="W442" s="16" t="str">
        <f>IFERROR(__xludf.DUMMYFUNCTION("IFERROR(GOOGLEFINANCE(A442, ""volume"") / GOOGLEFINANCE(A442, ""volumeavg""), )"),"")</f>
        <v/>
      </c>
      <c r="X442" s="9">
        <f>IFERROR(__xludf.DUMMYFUNCTION("B442 * GOOGLEFINANCE(A442, ""volume"")"),1.059502653E8)</f>
        <v>105950265.3</v>
      </c>
      <c r="Y442" s="9">
        <f>IFERROR(__xludf.DUMMYFUNCTION("IFERROR(((B442 - GOOGLEFINANCE(A442, ""priceopen"")) / GOOGLEFINANCE(A442, ""priceopen"")) * GOOGLEFINANCE(A442, ""volume""), 0)"),517.1888958092205)</f>
        <v>517.1888958</v>
      </c>
    </row>
    <row r="443">
      <c r="A443" s="4" t="s">
        <v>2236</v>
      </c>
      <c r="B443" s="7">
        <f>IFERROR(__xludf.DUMMYFUNCTION("GOOGLEFINANCE(A443, ""price"")"),237.41)</f>
        <v>237.41</v>
      </c>
      <c r="C443" s="7">
        <f>IFERROR(__xludf.DUMMYFUNCTION("GOOGLEFINANCE(A443, ""changepct"")"),-1.38)</f>
        <v>-1.38</v>
      </c>
      <c r="D443" s="9">
        <f>IFERROR(__xludf.DUMMYFUNCTION("GOOGLEFINANCE(A443, ""priceopen"")"),241.0)</f>
        <v>241</v>
      </c>
      <c r="E443" s="9">
        <f>IFERROR(__xludf.DUMMYFUNCTION("GOOGLEFINANCE(A443, ""high"")"),241.0)</f>
        <v>241</v>
      </c>
      <c r="F443" s="9">
        <f>IFERROR(__xludf.DUMMYFUNCTION("GOOGLEFINANCE(A443, ""low"")"),233.01)</f>
        <v>233.01</v>
      </c>
      <c r="G443" s="9">
        <f>IFERROR(__xludf.DUMMYFUNCTION("GOOGLEFINANCE(A443, ""price"")"),237.41)</f>
        <v>237.41</v>
      </c>
      <c r="H443" s="9">
        <f>IFERROR(__xludf.DUMMYFUNCTION("MAX(INDEX(GOOGLEFINANCE(A443, ""high"", TODAY()-30, TODAY()), 0, 2))"),256.55)</f>
        <v>256.55</v>
      </c>
      <c r="I443" s="9">
        <f>IFERROR(__xludf.DUMMYFUNCTION("MIN(INDEX(GOOGLEFINANCE(A443, ""low"", TODAY()-30, TODAY()), 0, 2))"),215.0)</f>
        <v>215</v>
      </c>
      <c r="J443" s="9">
        <f>IFERROR(__xludf.DUMMYFUNCTION("GOOGLEFINANCE(A443, ""high52"")"),274.39)</f>
        <v>274.39</v>
      </c>
      <c r="K443" s="9">
        <f>IFERROR(__xludf.DUMMYFUNCTION("GOOGLEFINANCE(A443, ""low52"")"),113.3)</f>
        <v>113.3</v>
      </c>
      <c r="L443" s="9">
        <f t="shared" si="1"/>
        <v>0.1347716754</v>
      </c>
      <c r="M443" s="9">
        <f t="shared" si="2"/>
        <v>1.095410415</v>
      </c>
      <c r="N443" s="9">
        <f t="shared" si="3"/>
        <v>0.0342903738</v>
      </c>
      <c r="O443" s="9">
        <f t="shared" si="4"/>
        <v>0.5393501805</v>
      </c>
      <c r="P443" s="9" t="str">
        <f>IFERROR(__xludf.DUMMYFUNCTION("GOOGLEFINANCE(A443, ""pe"")"),"#N/A")</f>
        <v>#N/A</v>
      </c>
      <c r="Q443" s="9">
        <f>IFERROR(__xludf.DUMMYFUNCTION("IFERROR(GOOGLEFINANCE(A443, ""volume"") / GOOGLEFINANCE(A443, ""volumeavg""), 0)"),0.0)</f>
        <v>0</v>
      </c>
      <c r="R443" s="9">
        <f>IFERROR(__xludf.DUMMYFUNCTION("AVERAGE(INDEX(GOOGLEFINANCE(A443, ""price"", TODAY()-30, TODAY()), 0, 2))"),235.30347826086958)</f>
        <v>235.3034783</v>
      </c>
      <c r="S443" s="9">
        <f>IFERROR(__xludf.DUMMYFUNCTION("AVERAGE(INDEX(GOOGLEFINANCE(A443, ""price"", TODAY()-75, TODAY()), 0, 2))"),222.5709433962264)</f>
        <v>222.5709434</v>
      </c>
      <c r="T443" s="9">
        <f>IFERROR(__xludf.DUMMYFUNCTION("AVERAGE(INDEX(GOOGLEFINANCE(A443, ""price"", TODAY()-300, TODAY()), 0, 2))"),174.49715151515153)</f>
        <v>174.4971515</v>
      </c>
      <c r="U443" s="9">
        <f t="shared" si="5"/>
        <v>0.008952361243</v>
      </c>
      <c r="V443" s="15">
        <f>IFERROR(__xludf.DUMMYFUNCTION("LET(hist, GOOGLEFINANCE(A443,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rs))))))"),65.0705344724816)</f>
        <v>65.07053447</v>
      </c>
      <c r="W443" s="16" t="str">
        <f>IFERROR(__xludf.DUMMYFUNCTION("IFERROR(GOOGLEFINANCE(A443, ""volume"") / GOOGLEFINANCE(A443, ""volumeavg""), )"),"")</f>
        <v/>
      </c>
      <c r="X443" s="9">
        <f>IFERROR(__xludf.DUMMYFUNCTION("B443 * GOOGLEFINANCE(A443, ""volume"")"),3.514902532E8)</f>
        <v>351490253.2</v>
      </c>
      <c r="Y443" s="9">
        <f>IFERROR(__xludf.DUMMYFUNCTION("IFERROR(((B443 - GOOGLEFINANCE(A443, ""priceopen"")) / GOOGLEFINANCE(A443, ""priceopen"")) * GOOGLEFINANCE(A443, ""volume""), 0)"),-22054.21908713695)</f>
        <v>-22054.21909</v>
      </c>
    </row>
    <row r="444">
      <c r="A444" s="4" t="s">
        <v>2237</v>
      </c>
      <c r="B444" s="7">
        <f>IFERROR(__xludf.DUMMYFUNCTION("GOOGLEFINANCE(A444, ""price"")"),147.48)</f>
        <v>147.48</v>
      </c>
      <c r="C444" s="7">
        <f>IFERROR(__xludf.DUMMYFUNCTION("GOOGLEFINANCE(A444, ""changepct"")"),-2.85)</f>
        <v>-2.85</v>
      </c>
      <c r="D444" s="9">
        <f>IFERROR(__xludf.DUMMYFUNCTION("GOOGLEFINANCE(A444, ""priceopen"")"),152.0)</f>
        <v>152</v>
      </c>
      <c r="E444" s="9">
        <f>IFERROR(__xludf.DUMMYFUNCTION("GOOGLEFINANCE(A444, ""high"")"),152.7)</f>
        <v>152.7</v>
      </c>
      <c r="F444" s="9">
        <f>IFERROR(__xludf.DUMMYFUNCTION("GOOGLEFINANCE(A444, ""low"")"),146.61)</f>
        <v>146.61</v>
      </c>
      <c r="G444" s="9">
        <f>IFERROR(__xludf.DUMMYFUNCTION("GOOGLEFINANCE(A444, ""price"")"),147.48)</f>
        <v>147.48</v>
      </c>
      <c r="H444" s="9">
        <f>IFERROR(__xludf.DUMMYFUNCTION("MAX(INDEX(GOOGLEFINANCE(A444, ""high"", TODAY()-30, TODAY()), 0, 2))"),159.5)</f>
        <v>159.5</v>
      </c>
      <c r="I444" s="9">
        <f>IFERROR(__xludf.DUMMYFUNCTION("MIN(INDEX(GOOGLEFINANCE(A444, ""low"", TODAY()-30, TODAY()), 0, 2))"),132.9)</f>
        <v>132.9</v>
      </c>
      <c r="J444" s="9">
        <f>IFERROR(__xludf.DUMMYFUNCTION("GOOGLEFINANCE(A444, ""high52"")"),232.22)</f>
        <v>232.22</v>
      </c>
      <c r="K444" s="9">
        <f>IFERROR(__xludf.DUMMYFUNCTION("GOOGLEFINANCE(A444, ""low52"")"),99.7)</f>
        <v>99.7</v>
      </c>
      <c r="L444" s="9">
        <f t="shared" si="1"/>
        <v>0.3649125829</v>
      </c>
      <c r="M444" s="9">
        <f t="shared" si="2"/>
        <v>0.4792377131</v>
      </c>
      <c r="N444" s="9">
        <f t="shared" si="3"/>
        <v>0.04153877635</v>
      </c>
      <c r="O444" s="9">
        <f t="shared" si="4"/>
        <v>0.5481203008</v>
      </c>
      <c r="P444" s="9">
        <f>IFERROR(__xludf.DUMMYFUNCTION("GOOGLEFINANCE(A444, ""pe"")"),13.15)</f>
        <v>13.15</v>
      </c>
      <c r="Q444" s="9">
        <f>IFERROR(__xludf.DUMMYFUNCTION("IFERROR(GOOGLEFINANCE(A444, ""volume"") / GOOGLEFINANCE(A444, ""volumeavg""), 0)"),0.0)</f>
        <v>0</v>
      </c>
      <c r="R444" s="9">
        <f>IFERROR(__xludf.DUMMYFUNCTION("AVERAGE(INDEX(GOOGLEFINANCE(A444, ""price"", TODAY()-30, TODAY()), 0, 2))"),144.00391304347826)</f>
        <v>144.003913</v>
      </c>
      <c r="S444" s="9">
        <f>IFERROR(__xludf.DUMMYFUNCTION("AVERAGE(INDEX(GOOGLEFINANCE(A444, ""price"", TODAY()-75, TODAY()), 0, 2))"),137.7920754716981)</f>
        <v>137.7920755</v>
      </c>
      <c r="T444" s="9">
        <f>IFERROR(__xludf.DUMMYFUNCTION("AVERAGE(INDEX(GOOGLEFINANCE(A444, ""price"", TODAY()-300, TODAY()), 0, 2))"),138.41044554455448)</f>
        <v>138.4104455</v>
      </c>
      <c r="U444" s="9">
        <f t="shared" si="5"/>
        <v>0.02413883681</v>
      </c>
      <c r="V444" s="15">
        <f>IFERROR(__xludf.DUMMYFUNCTION("LET(hist, GOOGLEFINANCE(A444,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rs))))))"),61.640608267294915)</f>
        <v>61.64060827</v>
      </c>
      <c r="W444" s="16" t="str">
        <f>IFERROR(__xludf.DUMMYFUNCTION("IFERROR(GOOGLEFINANCE(A444, ""volume"") / GOOGLEFINANCE(A444, ""volumeavg""), )"),"")</f>
        <v/>
      </c>
      <c r="X444" s="9">
        <f>IFERROR(__xludf.DUMMYFUNCTION("B444 * GOOGLEFINANCE(A444, ""volume"")"),4.5508139567999995E8)</f>
        <v>455081395.7</v>
      </c>
      <c r="Y444" s="9">
        <f>IFERROR(__xludf.DUMMYFUNCTION("IFERROR(((B444 - GOOGLEFINANCE(A444, ""priceopen"")) / GOOGLEFINANCE(A444, ""priceopen"")) * GOOGLEFINANCE(A444, ""volume""), 0)"),-91759.44947368442)</f>
        <v>-91759.44947</v>
      </c>
    </row>
    <row r="445">
      <c r="A445" s="4" t="s">
        <v>2238</v>
      </c>
      <c r="B445" s="7">
        <f>IFERROR(__xludf.DUMMYFUNCTION("GOOGLEFINANCE(A445, ""price"")"),345.0)</f>
        <v>345</v>
      </c>
      <c r="C445" s="7">
        <f>IFERROR(__xludf.DUMMYFUNCTION("GOOGLEFINANCE(A445, ""changepct"")"),-0.63)</f>
        <v>-0.63</v>
      </c>
      <c r="D445" s="9">
        <f>IFERROR(__xludf.DUMMYFUNCTION("GOOGLEFINANCE(A445, ""priceopen"")"),351.5)</f>
        <v>351.5</v>
      </c>
      <c r="E445" s="9">
        <f>IFERROR(__xludf.DUMMYFUNCTION("GOOGLEFINANCE(A445, ""high"")"),351.95)</f>
        <v>351.95</v>
      </c>
      <c r="F445" s="9">
        <f>IFERROR(__xludf.DUMMYFUNCTION("GOOGLEFINANCE(A445, ""low"")"),339.9)</f>
        <v>339.9</v>
      </c>
      <c r="G445" s="9">
        <f>IFERROR(__xludf.DUMMYFUNCTION("GOOGLEFINANCE(A445, ""price"")"),345.0)</f>
        <v>345</v>
      </c>
      <c r="H445" s="9">
        <f>IFERROR(__xludf.DUMMYFUNCTION("MAX(INDEX(GOOGLEFINANCE(A445, ""high"", TODAY()-30, TODAY()), 0, 2))"),371.4)</f>
        <v>371.4</v>
      </c>
      <c r="I445" s="9">
        <f>IFERROR(__xludf.DUMMYFUNCTION("MIN(INDEX(GOOGLEFINANCE(A445, ""low"", TODAY()-30, TODAY()), 0, 2))"),325.65)</f>
        <v>325.65</v>
      </c>
      <c r="J445" s="9">
        <f>IFERROR(__xludf.DUMMYFUNCTION("GOOGLEFINANCE(A445, ""high52"")"),392.0)</f>
        <v>392</v>
      </c>
      <c r="K445" s="9">
        <f>IFERROR(__xludf.DUMMYFUNCTION("GOOGLEFINANCE(A445, ""low52"")"),287.0)</f>
        <v>287</v>
      </c>
      <c r="L445" s="9">
        <f t="shared" si="1"/>
        <v>0.1198979592</v>
      </c>
      <c r="M445" s="9">
        <f t="shared" si="2"/>
        <v>0.2020905923</v>
      </c>
      <c r="N445" s="9">
        <f t="shared" si="3"/>
        <v>0.03545160341</v>
      </c>
      <c r="O445" s="9">
        <f t="shared" si="4"/>
        <v>0.4229508197</v>
      </c>
      <c r="P445" s="9">
        <f>IFERROR(__xludf.DUMMYFUNCTION("GOOGLEFINANCE(A445, ""pe"")"),25.04)</f>
        <v>25.04</v>
      </c>
      <c r="Q445" s="9">
        <f>IFERROR(__xludf.DUMMYFUNCTION("IFERROR(GOOGLEFINANCE(A445, ""volume"") / GOOGLEFINANCE(A445, ""volumeavg""), 0)"),0.0)</f>
        <v>0</v>
      </c>
      <c r="R445" s="9">
        <f>IFERROR(__xludf.DUMMYFUNCTION("AVERAGE(INDEX(GOOGLEFINANCE(A445, ""price"", TODAY()-30, TODAY()), 0, 2))"),348.5130434782609)</f>
        <v>348.5130435</v>
      </c>
      <c r="S445" s="9">
        <f>IFERROR(__xludf.DUMMYFUNCTION("AVERAGE(INDEX(GOOGLEFINANCE(A445, ""price"", TODAY()-75, TODAY()), 0, 2))"),354.1122641509434)</f>
        <v>354.1122642</v>
      </c>
      <c r="T445" s="9">
        <f>IFERROR(__xludf.DUMMYFUNCTION("AVERAGE(INDEX(GOOGLEFINANCE(A445, ""price"", TODAY()-300, TODAY()), 0, 2))"),337.97825000000006)</f>
        <v>337.97825</v>
      </c>
      <c r="U445" s="9">
        <f t="shared" si="5"/>
        <v>-0.01008009182</v>
      </c>
      <c r="V445" s="15">
        <f>IFERROR(__xludf.DUMMYFUNCTION("LET(hist, GOOGLEFINANCE(A445,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rs))))))"),48.55562384757221)</f>
        <v>48.55562385</v>
      </c>
      <c r="W445" s="16" t="str">
        <f>IFERROR(__xludf.DUMMYFUNCTION("IFERROR(GOOGLEFINANCE(A445, ""volume"") / GOOGLEFINANCE(A445, ""volumeavg""), )"),"")</f>
        <v/>
      </c>
      <c r="X445" s="9">
        <f>IFERROR(__xludf.DUMMYFUNCTION("B445 * GOOGLEFINANCE(A445, ""volume"")"),1.04006805E8)</f>
        <v>104006805</v>
      </c>
      <c r="Y445" s="9">
        <f>IFERROR(__xludf.DUMMYFUNCTION("IFERROR(((B445 - GOOGLEFINANCE(A445, ""priceopen"")) / GOOGLEFINANCE(A445, ""priceopen"")) * GOOGLEFINANCE(A445, ""volume""), 0)"),-5574.817923186344)</f>
        <v>-5574.817923</v>
      </c>
    </row>
    <row r="446">
      <c r="A446" s="4" t="s">
        <v>2239</v>
      </c>
      <c r="B446" s="7">
        <f>IFERROR(__xludf.DUMMYFUNCTION("GOOGLEFINANCE(A446, ""price"")"),511.0)</f>
        <v>511</v>
      </c>
      <c r="C446" s="7">
        <f>IFERROR(__xludf.DUMMYFUNCTION("GOOGLEFINANCE(A446, ""changepct"")"),-5.72)</f>
        <v>-5.72</v>
      </c>
      <c r="D446" s="9">
        <f>IFERROR(__xludf.DUMMYFUNCTION("GOOGLEFINANCE(A446, ""priceopen"")"),509.0)</f>
        <v>509</v>
      </c>
      <c r="E446" s="9">
        <f>IFERROR(__xludf.DUMMYFUNCTION("GOOGLEFINANCE(A446, ""high"")"),514.95)</f>
        <v>514.95</v>
      </c>
      <c r="F446" s="9">
        <f>IFERROR(__xludf.DUMMYFUNCTION("GOOGLEFINANCE(A446, ""low"")"),501.0)</f>
        <v>501</v>
      </c>
      <c r="G446" s="9">
        <f>IFERROR(__xludf.DUMMYFUNCTION("GOOGLEFINANCE(A446, ""price"")"),511.0)</f>
        <v>511</v>
      </c>
      <c r="H446" s="9">
        <f>IFERROR(__xludf.DUMMYFUNCTION("MAX(INDEX(GOOGLEFINANCE(A446, ""high"", TODAY()-30, TODAY()), 0, 2))"),567.75)</f>
        <v>567.75</v>
      </c>
      <c r="I446" s="9">
        <f>IFERROR(__xludf.DUMMYFUNCTION("MIN(INDEX(GOOGLEFINANCE(A446, ""low"", TODAY()-30, TODAY()), 0, 2))"),470.0)</f>
        <v>470</v>
      </c>
      <c r="J446" s="9">
        <f>IFERROR(__xludf.DUMMYFUNCTION("GOOGLEFINANCE(A446, ""high52"")"),568.0)</f>
        <v>568</v>
      </c>
      <c r="K446" s="9">
        <f>IFERROR(__xludf.DUMMYFUNCTION("GOOGLEFINANCE(A446, ""low52"")"),401.0)</f>
        <v>401</v>
      </c>
      <c r="L446" s="9">
        <f t="shared" si="1"/>
        <v>0.1003521127</v>
      </c>
      <c r="M446" s="9">
        <f t="shared" si="2"/>
        <v>0.2743142145</v>
      </c>
      <c r="N446" s="9">
        <f t="shared" si="3"/>
        <v>0.02784431138</v>
      </c>
      <c r="O446" s="9">
        <f t="shared" si="4"/>
        <v>0.4194373402</v>
      </c>
      <c r="P446" s="9">
        <f>IFERROR(__xludf.DUMMYFUNCTION("GOOGLEFINANCE(A446, ""pe"")"),109.89)</f>
        <v>109.89</v>
      </c>
      <c r="Q446" s="9">
        <f>IFERROR(__xludf.DUMMYFUNCTION("IFERROR(GOOGLEFINANCE(A446, ""volume"") / GOOGLEFINANCE(A446, ""volumeavg""), 0)"),0.0)</f>
        <v>0</v>
      </c>
      <c r="R446" s="9">
        <f>IFERROR(__xludf.DUMMYFUNCTION("AVERAGE(INDEX(GOOGLEFINANCE(A446, ""price"", TODAY()-30, TODAY()), 0, 2))"),498.9891304347826)</f>
        <v>498.9891304</v>
      </c>
      <c r="S446" s="9">
        <f>IFERROR(__xludf.DUMMYFUNCTION("AVERAGE(INDEX(GOOGLEFINANCE(A446, ""price"", TODAY()-75, TODAY()), 0, 2))"),480.39905660377354)</f>
        <v>480.3990566</v>
      </c>
      <c r="T446" s="9">
        <f>IFERROR(__xludf.DUMMYFUNCTION("AVERAGE(INDEX(GOOGLEFINANCE(A446, ""price"", TODAY()-300, TODAY()), 0, 2))"),474.9940594059407)</f>
        <v>474.9940594</v>
      </c>
      <c r="U446" s="9">
        <f t="shared" si="5"/>
        <v>0.02407040321</v>
      </c>
      <c r="V446" s="15">
        <f>IFERROR(__xludf.DUMMYFUNCTION("LET(hist, GOOGLEFINANCE(A446,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rs))))))"),59.95819647656015)</f>
        <v>59.95819648</v>
      </c>
      <c r="W446" s="16" t="str">
        <f>IFERROR(__xludf.DUMMYFUNCTION("IFERROR(GOOGLEFINANCE(A446, ""volume"") / GOOGLEFINANCE(A446, ""volumeavg""), )"),"")</f>
        <v/>
      </c>
      <c r="X446" s="9">
        <f>IFERROR(__xludf.DUMMYFUNCTION("B446 * GOOGLEFINANCE(A446, ""volume"")"),2.4597621706E10)</f>
        <v>24597621706</v>
      </c>
      <c r="Y446" s="9">
        <f>IFERROR(__xludf.DUMMYFUNCTION("IFERROR(((B446 - GOOGLEFINANCE(A446, ""priceopen"")) / GOOGLEFINANCE(A446, ""priceopen"")) * GOOGLEFINANCE(A446, ""volume""), 0)"),189140.4557956778)</f>
        <v>189140.4558</v>
      </c>
    </row>
    <row r="447">
      <c r="A447" s="4" t="s">
        <v>2240</v>
      </c>
      <c r="B447" s="7">
        <f>IFERROR(__xludf.DUMMYFUNCTION("GOOGLEFINANCE(A447, ""price"")"),501.4)</f>
        <v>501.4</v>
      </c>
      <c r="C447" s="7">
        <f>IFERROR(__xludf.DUMMYFUNCTION("GOOGLEFINANCE(A447, ""changepct"")"),-1.67)</f>
        <v>-1.67</v>
      </c>
      <c r="D447" s="9">
        <f>IFERROR(__xludf.DUMMYFUNCTION("GOOGLEFINANCE(A447, ""priceopen"")"),514.4)</f>
        <v>514.4</v>
      </c>
      <c r="E447" s="9">
        <f>IFERROR(__xludf.DUMMYFUNCTION("GOOGLEFINANCE(A447, ""high"")"),516.0)</f>
        <v>516</v>
      </c>
      <c r="F447" s="9">
        <f>IFERROR(__xludf.DUMMYFUNCTION("GOOGLEFINANCE(A447, ""low"")"),499.0)</f>
        <v>499</v>
      </c>
      <c r="G447" s="9">
        <f>IFERROR(__xludf.DUMMYFUNCTION("GOOGLEFINANCE(A447, ""price"")"),501.4)</f>
        <v>501.4</v>
      </c>
      <c r="H447" s="9">
        <f>IFERROR(__xludf.DUMMYFUNCTION("MAX(INDEX(GOOGLEFINANCE(A447, ""high"", TODAY()-30, TODAY()), 0, 2))"),527.0)</f>
        <v>527</v>
      </c>
      <c r="I447" s="9">
        <f>IFERROR(__xludf.DUMMYFUNCTION("MIN(INDEX(GOOGLEFINANCE(A447, ""low"", TODAY()-30, TODAY()), 0, 2))"),485.0)</f>
        <v>485</v>
      </c>
      <c r="J447" s="9">
        <f>IFERROR(__xludf.DUMMYFUNCTION("GOOGLEFINANCE(A447, ""high52"")"),527.5)</f>
        <v>527.5</v>
      </c>
      <c r="K447" s="9">
        <f>IFERROR(__xludf.DUMMYFUNCTION("GOOGLEFINANCE(A447, ""low52"")"),337.35)</f>
        <v>337.35</v>
      </c>
      <c r="L447" s="9">
        <f t="shared" si="1"/>
        <v>0.04947867299</v>
      </c>
      <c r="M447" s="9">
        <f t="shared" si="2"/>
        <v>0.4862902031</v>
      </c>
      <c r="N447" s="9">
        <f t="shared" si="3"/>
        <v>0.03406813627</v>
      </c>
      <c r="O447" s="9">
        <f t="shared" si="4"/>
        <v>0.3904761905</v>
      </c>
      <c r="P447" s="9">
        <f>IFERROR(__xludf.DUMMYFUNCTION("GOOGLEFINANCE(A447, ""pe"")"),30.14)</f>
        <v>30.14</v>
      </c>
      <c r="Q447" s="9">
        <f>IFERROR(__xludf.DUMMYFUNCTION("IFERROR(GOOGLEFINANCE(A447, ""volume"") / GOOGLEFINANCE(A447, ""volumeavg""), 0)"),0.0)</f>
        <v>0</v>
      </c>
      <c r="R447" s="9">
        <f>IFERROR(__xludf.DUMMYFUNCTION("AVERAGE(INDEX(GOOGLEFINANCE(A447, ""price"", TODAY()-30, TODAY()), 0, 2))"),504.7543478260868)</f>
        <v>504.7543478</v>
      </c>
      <c r="S447" s="9">
        <f>IFERROR(__xludf.DUMMYFUNCTION("AVERAGE(INDEX(GOOGLEFINANCE(A447, ""price"", TODAY()-75, TODAY()), 0, 2))"),498.61037735849067)</f>
        <v>498.6103774</v>
      </c>
      <c r="T447" s="9">
        <f>IFERROR(__xludf.DUMMYFUNCTION("AVERAGE(INDEX(GOOGLEFINANCE(A447, ""price"", TODAY()-300, TODAY()), 0, 2))"),453.87673267326727)</f>
        <v>453.8767327</v>
      </c>
      <c r="U447" s="9">
        <f t="shared" si="5"/>
        <v>-0.006645505562</v>
      </c>
      <c r="V447" s="15">
        <f>IFERROR(__xludf.DUMMYFUNCTION("LET(hist, GOOGLEFINANCE(A447,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rs))))))"),54.07779171894605)</f>
        <v>54.07779172</v>
      </c>
      <c r="W447" s="16" t="str">
        <f>IFERROR(__xludf.DUMMYFUNCTION("IFERROR(GOOGLEFINANCE(A447, ""volume"") / GOOGLEFINANCE(A447, ""volumeavg""), )"),"")</f>
        <v/>
      </c>
      <c r="X447" s="9">
        <f>IFERROR(__xludf.DUMMYFUNCTION("B447 * GOOGLEFINANCE(A447, ""volume"")"),2.0814969179999998E8)</f>
        <v>208149691.8</v>
      </c>
      <c r="Y447" s="9">
        <f>IFERROR(__xludf.DUMMYFUNCTION("IFERROR(((B447 - GOOGLEFINANCE(A447, ""priceopen"")) / GOOGLEFINANCE(A447, ""priceopen"")) * GOOGLEFINANCE(A447, ""volume""), 0)"),-10491.409409020218)</f>
        <v>-10491.40941</v>
      </c>
    </row>
    <row r="448">
      <c r="A448" s="4" t="s">
        <v>2241</v>
      </c>
      <c r="B448" s="7">
        <f>IFERROR(__xludf.DUMMYFUNCTION("GOOGLEFINANCE(A448, ""price"")"),1269.0)</f>
        <v>1269</v>
      </c>
      <c r="C448" s="7">
        <f>IFERROR(__xludf.DUMMYFUNCTION("GOOGLEFINANCE(A448, ""changepct"")"),5.06)</f>
        <v>5.06</v>
      </c>
      <c r="D448" s="9">
        <f>IFERROR(__xludf.DUMMYFUNCTION("GOOGLEFINANCE(A448, ""priceopen"")"),1240.0)</f>
        <v>1240</v>
      </c>
      <c r="E448" s="9">
        <f>IFERROR(__xludf.DUMMYFUNCTION("GOOGLEFINANCE(A448, ""high"")"),1374.0)</f>
        <v>1374</v>
      </c>
      <c r="F448" s="9">
        <f>IFERROR(__xludf.DUMMYFUNCTION("GOOGLEFINANCE(A448, ""low"")"),1233.0)</f>
        <v>1233</v>
      </c>
      <c r="G448" s="9">
        <f>IFERROR(__xludf.DUMMYFUNCTION("GOOGLEFINANCE(A448, ""price"")"),1269.0)</f>
        <v>1269</v>
      </c>
      <c r="H448" s="9">
        <f>IFERROR(__xludf.DUMMYFUNCTION("MAX(INDEX(GOOGLEFINANCE(A448, ""high"", TODAY()-30, TODAY()), 0, 2))"),1374.0)</f>
        <v>1374</v>
      </c>
      <c r="I448" s="9">
        <f>IFERROR(__xludf.DUMMYFUNCTION("MIN(INDEX(GOOGLEFINANCE(A448, ""low"", TODAY()-30, TODAY()), 0, 2))"),956.2)</f>
        <v>956.2</v>
      </c>
      <c r="J448" s="9">
        <f>IFERROR(__xludf.DUMMYFUNCTION("GOOGLEFINANCE(A448, ""high52"")"),1374.0)</f>
        <v>1374</v>
      </c>
      <c r="K448" s="9">
        <f>IFERROR(__xludf.DUMMYFUNCTION("GOOGLEFINANCE(A448, ""low52"")"),700.8)</f>
        <v>700.8</v>
      </c>
      <c r="L448" s="9">
        <f t="shared" si="1"/>
        <v>0.07641921397</v>
      </c>
      <c r="M448" s="9">
        <f t="shared" si="2"/>
        <v>0.8107876712</v>
      </c>
      <c r="N448" s="9">
        <f t="shared" si="3"/>
        <v>0.1143552311</v>
      </c>
      <c r="O448" s="9">
        <f t="shared" si="4"/>
        <v>0.7486835807</v>
      </c>
      <c r="P448" s="9">
        <f>IFERROR(__xludf.DUMMYFUNCTION("GOOGLEFINANCE(A448, ""pe"")"),27.19)</f>
        <v>27.19</v>
      </c>
      <c r="Q448" s="9">
        <f>IFERROR(__xludf.DUMMYFUNCTION("IFERROR(GOOGLEFINANCE(A448, ""volume"") / GOOGLEFINANCE(A448, ""volumeavg""), 0)"),0.0)</f>
        <v>0</v>
      </c>
      <c r="R448" s="9">
        <f>IFERROR(__xludf.DUMMYFUNCTION("AVERAGE(INDEX(GOOGLEFINANCE(A448, ""price"", TODAY()-30, TODAY()), 0, 2))"),1031.5043478260868)</f>
        <v>1031.504348</v>
      </c>
      <c r="S448" s="9">
        <f>IFERROR(__xludf.DUMMYFUNCTION("AVERAGE(INDEX(GOOGLEFINANCE(A448, ""price"", TODAY()-75, TODAY()), 0, 2))"),1059.4547169811324)</f>
        <v>1059.454717</v>
      </c>
      <c r="T448" s="9">
        <f>IFERROR(__xludf.DUMMYFUNCTION("AVERAGE(INDEX(GOOGLEFINANCE(A448, ""price"", TODAY()-300, TODAY()), 0, 2))"),897.4380597014922)</f>
        <v>897.4380597</v>
      </c>
      <c r="U448" s="9">
        <f t="shared" si="5"/>
        <v>0.2302420273</v>
      </c>
      <c r="V448" s="15">
        <f>IFERROR(__xludf.DUMMYFUNCTION("LET(hist, GOOGLEFINANCE(A448,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rs))))))"),87.09044054485217)</f>
        <v>87.09044054</v>
      </c>
      <c r="W448" s="16" t="str">
        <f>IFERROR(__xludf.DUMMYFUNCTION("IFERROR(GOOGLEFINANCE(A448, ""volume"") / GOOGLEFINANCE(A448, ""volumeavg""), )"),"")</f>
        <v/>
      </c>
      <c r="X448" s="9">
        <f>IFERROR(__xludf.DUMMYFUNCTION("B448 * GOOGLEFINANCE(A448, ""volume"")"),2.5574830839E10)</f>
        <v>25574830839</v>
      </c>
      <c r="Y448" s="9">
        <f>IFERROR(__xludf.DUMMYFUNCTION("IFERROR(((B448 - GOOGLEFINANCE(A448, ""priceopen"")) / GOOGLEFINANCE(A448, ""priceopen"")) * GOOGLEFINANCE(A448, ""volume""), 0)"),471332.5798387097)</f>
        <v>471332.5798</v>
      </c>
    </row>
    <row r="449">
      <c r="A449" s="4" t="s">
        <v>2242</v>
      </c>
      <c r="B449" s="7">
        <f>IFERROR(__xludf.DUMMYFUNCTION("GOOGLEFINANCE(A449, ""price"")"),165.6)</f>
        <v>165.6</v>
      </c>
      <c r="C449" s="7">
        <f>IFERROR(__xludf.DUMMYFUNCTION("GOOGLEFINANCE(A449, ""changepct"")"),3.72)</f>
        <v>3.72</v>
      </c>
      <c r="D449" s="9">
        <f>IFERROR(__xludf.DUMMYFUNCTION("GOOGLEFINANCE(A449, ""priceopen"")"),159.99)</f>
        <v>159.99</v>
      </c>
      <c r="E449" s="9">
        <f>IFERROR(__xludf.DUMMYFUNCTION("GOOGLEFINANCE(A449, ""high"")"),165.8)</f>
        <v>165.8</v>
      </c>
      <c r="F449" s="9">
        <f>IFERROR(__xludf.DUMMYFUNCTION("GOOGLEFINANCE(A449, ""low"")"),159.26)</f>
        <v>159.26</v>
      </c>
      <c r="G449" s="9">
        <f>IFERROR(__xludf.DUMMYFUNCTION("GOOGLEFINANCE(A449, ""price"")"),165.6)</f>
        <v>165.6</v>
      </c>
      <c r="H449" s="9">
        <f>IFERROR(__xludf.DUMMYFUNCTION("MAX(INDEX(GOOGLEFINANCE(A449, ""high"", TODAY()-30, TODAY()), 0, 2))"),174.97)</f>
        <v>174.97</v>
      </c>
      <c r="I449" s="9">
        <f>IFERROR(__xludf.DUMMYFUNCTION("MIN(INDEX(GOOGLEFINANCE(A449, ""low"", TODAY()-30, TODAY()), 0, 2))"),152.98)</f>
        <v>152.98</v>
      </c>
      <c r="J449" s="9">
        <f>IFERROR(__xludf.DUMMYFUNCTION("GOOGLEFINANCE(A449, ""high52"")"),174.97)</f>
        <v>174.97</v>
      </c>
      <c r="K449" s="9">
        <f>IFERROR(__xludf.DUMMYFUNCTION("GOOGLEFINANCE(A449, ""low52"")"),107.1)</f>
        <v>107.1</v>
      </c>
      <c r="L449" s="9">
        <f t="shared" si="1"/>
        <v>0.05355203749</v>
      </c>
      <c r="M449" s="9">
        <f t="shared" si="2"/>
        <v>0.5462184874</v>
      </c>
      <c r="N449" s="9">
        <f t="shared" si="3"/>
        <v>0.04106492528</v>
      </c>
      <c r="O449" s="9">
        <f t="shared" si="4"/>
        <v>0.573897226</v>
      </c>
      <c r="P449" s="9" t="str">
        <f>IFERROR(__xludf.DUMMYFUNCTION("GOOGLEFINANCE(A449, ""pe"")"),"#N/A")</f>
        <v>#N/A</v>
      </c>
      <c r="Q449" s="9">
        <f>IFERROR(__xludf.DUMMYFUNCTION("IFERROR(GOOGLEFINANCE(A449, ""volume"") / GOOGLEFINANCE(A449, ""volumeavg""), 0)"),0.0)</f>
        <v>0</v>
      </c>
      <c r="R449" s="9">
        <f>IFERROR(__xludf.DUMMYFUNCTION("AVERAGE(INDEX(GOOGLEFINANCE(A449, ""price"", TODAY()-30, TODAY()), 0, 2))"),162.86826086956523)</f>
        <v>162.8682609</v>
      </c>
      <c r="S449" s="9">
        <f>IFERROR(__xludf.DUMMYFUNCTION("AVERAGE(INDEX(GOOGLEFINANCE(A449, ""price"", TODAY()-75, TODAY()), 0, 2))"),158.25698113207545)</f>
        <v>158.2569811</v>
      </c>
      <c r="T449" s="9">
        <f>IFERROR(__xludf.DUMMYFUNCTION("AVERAGE(INDEX(GOOGLEFINANCE(A449, ""price"", TODAY()-300, TODAY()), 0, 2))"),137.2979702970297)</f>
        <v>137.2979703</v>
      </c>
      <c r="U449" s="9">
        <f t="shared" si="5"/>
        <v>0.01677269172</v>
      </c>
      <c r="V449" s="15">
        <f>IFERROR(__xludf.DUMMYFUNCTION("LET(hist, GOOGLEFINANCE(A449,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rs))))))"),50.29644268774701)</f>
        <v>50.29644269</v>
      </c>
      <c r="W449" s="16" t="str">
        <f>IFERROR(__xludf.DUMMYFUNCTION("IFERROR(GOOGLEFINANCE(A449, ""volume"") / GOOGLEFINANCE(A449, ""volumeavg""), )"),"")</f>
        <v/>
      </c>
      <c r="X449" s="9">
        <f>IFERROR(__xludf.DUMMYFUNCTION("B449 * GOOGLEFINANCE(A449, ""volume"")"),3.796784064E8)</f>
        <v>379678406.4</v>
      </c>
      <c r="Y449" s="9">
        <f>IFERROR(__xludf.DUMMYFUNCTION("IFERROR(((B449 - GOOGLEFINANCE(A449, ""priceopen"")) / GOOGLEFINANCE(A449, ""priceopen"")) * GOOGLEFINANCE(A449, ""volume""), 0)"),80394.36114757152)</f>
        <v>80394.36115</v>
      </c>
    </row>
    <row r="450">
      <c r="A450" s="4" t="s">
        <v>2243</v>
      </c>
      <c r="B450" s="7">
        <f>IFERROR(__xludf.DUMMYFUNCTION("GOOGLEFINANCE(A450, ""price"")"),787.9)</f>
        <v>787.9</v>
      </c>
      <c r="C450" s="7">
        <f>IFERROR(__xludf.DUMMYFUNCTION("GOOGLEFINANCE(A450, ""changepct"")"),-2.95)</f>
        <v>-2.95</v>
      </c>
      <c r="D450" s="9">
        <f>IFERROR(__xludf.DUMMYFUNCTION("GOOGLEFINANCE(A450, ""priceopen"")"),811.85)</f>
        <v>811.85</v>
      </c>
      <c r="E450" s="9">
        <f>IFERROR(__xludf.DUMMYFUNCTION("GOOGLEFINANCE(A450, ""high"")"),814.45)</f>
        <v>814.45</v>
      </c>
      <c r="F450" s="9">
        <f>IFERROR(__xludf.DUMMYFUNCTION("GOOGLEFINANCE(A450, ""low"")"),785.05)</f>
        <v>785.05</v>
      </c>
      <c r="G450" s="9">
        <f>IFERROR(__xludf.DUMMYFUNCTION("GOOGLEFINANCE(A450, ""price"")"),787.9)</f>
        <v>787.9</v>
      </c>
      <c r="H450" s="9">
        <f>IFERROR(__xludf.DUMMYFUNCTION("MAX(INDEX(GOOGLEFINANCE(A450, ""high"", TODAY()-30, TODAY()), 0, 2))"),959.0)</f>
        <v>959</v>
      </c>
      <c r="I450" s="9">
        <f>IFERROR(__xludf.DUMMYFUNCTION("MIN(INDEX(GOOGLEFINANCE(A450, ""low"", TODAY()-30, TODAY()), 0, 2))"),777.3)</f>
        <v>777.3</v>
      </c>
      <c r="J450" s="9">
        <f>IFERROR(__xludf.DUMMYFUNCTION("GOOGLEFINANCE(A450, ""high52"")"),1028.3)</f>
        <v>1028.3</v>
      </c>
      <c r="K450" s="9">
        <f>IFERROR(__xludf.DUMMYFUNCTION("GOOGLEFINANCE(A450, ""low52"")"),666.65)</f>
        <v>666.65</v>
      </c>
      <c r="L450" s="9">
        <f t="shared" si="1"/>
        <v>0.2337839152</v>
      </c>
      <c r="M450" s="9">
        <f t="shared" si="2"/>
        <v>0.181879547</v>
      </c>
      <c r="N450" s="9">
        <f t="shared" si="3"/>
        <v>0.03744984396</v>
      </c>
      <c r="O450" s="9">
        <f t="shared" si="4"/>
        <v>0.05833791965</v>
      </c>
      <c r="P450" s="9">
        <f>IFERROR(__xludf.DUMMYFUNCTION("GOOGLEFINANCE(A450, ""pe"")"),55.87)</f>
        <v>55.87</v>
      </c>
      <c r="Q450" s="9">
        <f>IFERROR(__xludf.DUMMYFUNCTION("IFERROR(GOOGLEFINANCE(A450, ""volume"") / GOOGLEFINANCE(A450, ""volumeavg""), 0)"),0.0)</f>
        <v>0</v>
      </c>
      <c r="R450" s="9">
        <f>IFERROR(__xludf.DUMMYFUNCTION("AVERAGE(INDEX(GOOGLEFINANCE(A450, ""price"", TODAY()-30, TODAY()), 0, 2))"),860.6695652173912)</f>
        <v>860.6695652</v>
      </c>
      <c r="S450" s="9">
        <f>IFERROR(__xludf.DUMMYFUNCTION("AVERAGE(INDEX(GOOGLEFINANCE(A450, ""price"", TODAY()-75, TODAY()), 0, 2))"),870.6396226415096)</f>
        <v>870.6396226</v>
      </c>
      <c r="T450" s="9">
        <f>IFERROR(__xludf.DUMMYFUNCTION("AVERAGE(INDEX(GOOGLEFINANCE(A450, ""price"", TODAY()-300, TODAY()), 0, 2))"),808.6753731343288)</f>
        <v>808.6753731</v>
      </c>
      <c r="U450" s="9">
        <f t="shared" si="5"/>
        <v>-0.08454994595</v>
      </c>
      <c r="V450" s="15">
        <f>IFERROR(__xludf.DUMMYFUNCTION("LET(hist, GOOGLEFINANCE(A450,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rs))))))"),28.41386554621849)</f>
        <v>28.41386555</v>
      </c>
      <c r="W450" s="16" t="str">
        <f>IFERROR(__xludf.DUMMYFUNCTION("IFERROR(GOOGLEFINANCE(A450, ""volume"") / GOOGLEFINANCE(A450, ""volumeavg""), )"),"")</f>
        <v/>
      </c>
      <c r="X450" s="9">
        <f>IFERROR(__xludf.DUMMYFUNCTION("B450 * GOOGLEFINANCE(A450, ""volume"")"),7.05343838E7)</f>
        <v>70534383.8</v>
      </c>
      <c r="Y450" s="9">
        <f>IFERROR(__xludf.DUMMYFUNCTION("IFERROR(((B450 - GOOGLEFINANCE(A450, ""priceopen"")) / GOOGLEFINANCE(A450, ""priceopen"")) * GOOGLEFINANCE(A450, ""volume""), 0)"),-2640.9458643838198)</f>
        <v>-2640.945864</v>
      </c>
    </row>
    <row r="451">
      <c r="A451" s="4" t="s">
        <v>2244</v>
      </c>
      <c r="B451" s="7">
        <f>IFERROR(__xludf.DUMMYFUNCTION("GOOGLEFINANCE(A451, ""price"")"),882.0)</f>
        <v>882</v>
      </c>
      <c r="C451" s="7">
        <f>IFERROR(__xludf.DUMMYFUNCTION("GOOGLEFINANCE(A451, ""changepct"")"),-8.6)</f>
        <v>-8.6</v>
      </c>
      <c r="D451" s="9">
        <f>IFERROR(__xludf.DUMMYFUNCTION("GOOGLEFINANCE(A451, ""priceopen"")"),967.05)</f>
        <v>967.05</v>
      </c>
      <c r="E451" s="9">
        <f>IFERROR(__xludf.DUMMYFUNCTION("GOOGLEFINANCE(A451, ""high"")"),967.15)</f>
        <v>967.15</v>
      </c>
      <c r="F451" s="9">
        <f>IFERROR(__xludf.DUMMYFUNCTION("GOOGLEFINANCE(A451, ""low"")"),880.0)</f>
        <v>880</v>
      </c>
      <c r="G451" s="9">
        <f>IFERROR(__xludf.DUMMYFUNCTION("GOOGLEFINANCE(A451, ""price"")"),882.0)</f>
        <v>882</v>
      </c>
      <c r="H451" s="9">
        <f>IFERROR(__xludf.DUMMYFUNCTION("MAX(INDEX(GOOGLEFINANCE(A451, ""high"", TODAY()-30, TODAY()), 0, 2))"),1042.0)</f>
        <v>1042</v>
      </c>
      <c r="I451" s="9">
        <f>IFERROR(__xludf.DUMMYFUNCTION("MIN(INDEX(GOOGLEFINANCE(A451, ""low"", TODAY()-30, TODAY()), 0, 2))"),880.0)</f>
        <v>880</v>
      </c>
      <c r="J451" s="9">
        <f>IFERROR(__xludf.DUMMYFUNCTION("GOOGLEFINANCE(A451, ""high52"")"),1184.8)</f>
        <v>1184.8</v>
      </c>
      <c r="K451" s="9">
        <f>IFERROR(__xludf.DUMMYFUNCTION("GOOGLEFINANCE(A451, ""low52"")"),786.05)</f>
        <v>786.05</v>
      </c>
      <c r="L451" s="9">
        <f t="shared" si="1"/>
        <v>0.2555705604</v>
      </c>
      <c r="M451" s="9">
        <f t="shared" si="2"/>
        <v>0.1220660263</v>
      </c>
      <c r="N451" s="9">
        <f t="shared" si="3"/>
        <v>0.09903409091</v>
      </c>
      <c r="O451" s="9">
        <f t="shared" si="4"/>
        <v>0.01234567901</v>
      </c>
      <c r="P451" s="9">
        <f>IFERROR(__xludf.DUMMYFUNCTION("GOOGLEFINANCE(A451, ""pe"")"),35.17)</f>
        <v>35.17</v>
      </c>
      <c r="Q451" s="9">
        <f>IFERROR(__xludf.DUMMYFUNCTION("IFERROR(GOOGLEFINANCE(A451, ""volume"") / GOOGLEFINANCE(A451, ""volumeavg""), 0)"),0.0)</f>
        <v>0</v>
      </c>
      <c r="R451" s="9">
        <f>IFERROR(__xludf.DUMMYFUNCTION("AVERAGE(INDEX(GOOGLEFINANCE(A451, ""price"", TODAY()-30, TODAY()), 0, 2))"),967.8326086956522)</f>
        <v>967.8326087</v>
      </c>
      <c r="S451" s="9">
        <f>IFERROR(__xludf.DUMMYFUNCTION("AVERAGE(INDEX(GOOGLEFINANCE(A451, ""price"", TODAY()-75, TODAY()), 0, 2))"),970.5037735849057)</f>
        <v>970.5037736</v>
      </c>
      <c r="T451" s="9">
        <f>IFERROR(__xludf.DUMMYFUNCTION("AVERAGE(INDEX(GOOGLEFINANCE(A451, ""price"", TODAY()-300, TODAY()), 0, 2))"),984.8507425742583)</f>
        <v>984.8507426</v>
      </c>
      <c r="U451" s="9">
        <f t="shared" si="5"/>
        <v>-0.08868538622</v>
      </c>
      <c r="V451" s="15">
        <f>IFERROR(__xludf.DUMMYFUNCTION("LET(hist, GOOGLEFINANCE(A451,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rs))))))"),31.55473781048758)</f>
        <v>31.55473781</v>
      </c>
      <c r="W451" s="16" t="str">
        <f>IFERROR(__xludf.DUMMYFUNCTION("IFERROR(GOOGLEFINANCE(A451, ""volume"") / GOOGLEFINANCE(A451, ""volumeavg""), )"),"")</f>
        <v/>
      </c>
      <c r="X451" s="9">
        <f>IFERROR(__xludf.DUMMYFUNCTION("B451 * GOOGLEFINANCE(A451, ""volume"")"),6.15109446E8)</f>
        <v>615109446</v>
      </c>
      <c r="Y451" s="9">
        <f>IFERROR(__xludf.DUMMYFUNCTION("IFERROR(((B451 - GOOGLEFINANCE(A451, ""priceopen"")) / GOOGLEFINANCE(A451, ""priceopen"")) * GOOGLEFINANCE(A451, ""volume""), 0)"),-61335.11726384362)</f>
        <v>-61335.11726</v>
      </c>
    </row>
    <row r="452">
      <c r="A452" s="4" t="s">
        <v>2245</v>
      </c>
      <c r="B452" s="7">
        <f>IFERROR(__xludf.DUMMYFUNCTION("GOOGLEFINANCE(A452, ""price"")"),13559.0)</f>
        <v>13559</v>
      </c>
      <c r="C452" s="7">
        <f>IFERROR(__xludf.DUMMYFUNCTION("GOOGLEFINANCE(A452, ""changepct"")"),-1.65)</f>
        <v>-1.65</v>
      </c>
      <c r="D452" s="9">
        <f>IFERROR(__xludf.DUMMYFUNCTION("GOOGLEFINANCE(A452, ""priceopen"")"),13786.0)</f>
        <v>13786</v>
      </c>
      <c r="E452" s="9">
        <f>IFERROR(__xludf.DUMMYFUNCTION("GOOGLEFINANCE(A452, ""high"")"),13786.0)</f>
        <v>13786</v>
      </c>
      <c r="F452" s="9">
        <f>IFERROR(__xludf.DUMMYFUNCTION("GOOGLEFINANCE(A452, ""low"")"),13559.0)</f>
        <v>13559</v>
      </c>
      <c r="G452" s="9">
        <f>IFERROR(__xludf.DUMMYFUNCTION("GOOGLEFINANCE(A452, ""price"")"),13559.0)</f>
        <v>13559</v>
      </c>
      <c r="H452" s="9">
        <f>IFERROR(__xludf.DUMMYFUNCTION("MAX(INDEX(GOOGLEFINANCE(A452, ""high"", TODAY()-30, TODAY()), 0, 2))"),14125.0)</f>
        <v>14125</v>
      </c>
      <c r="I452" s="9">
        <f>IFERROR(__xludf.DUMMYFUNCTION("MIN(INDEX(GOOGLEFINANCE(A452, ""low"", TODAY()-30, TODAY()), 0, 2))"),12278.0)</f>
        <v>12278</v>
      </c>
      <c r="J452" s="9">
        <f>IFERROR(__xludf.DUMMYFUNCTION("GOOGLEFINANCE(A452, ""high52"")"),18538.0)</f>
        <v>18538</v>
      </c>
      <c r="K452" s="9">
        <f>IFERROR(__xludf.DUMMYFUNCTION("GOOGLEFINANCE(A452, ""low52"")"),10901.0)</f>
        <v>10901</v>
      </c>
      <c r="L452" s="9">
        <f t="shared" si="1"/>
        <v>0.2685834502</v>
      </c>
      <c r="M452" s="9">
        <f t="shared" si="2"/>
        <v>0.2438308412</v>
      </c>
      <c r="N452" s="9">
        <f t="shared" si="3"/>
        <v>0.01674164761</v>
      </c>
      <c r="O452" s="9">
        <f t="shared" si="4"/>
        <v>0.6935571197</v>
      </c>
      <c r="P452" s="9">
        <f>IFERROR(__xludf.DUMMYFUNCTION("GOOGLEFINANCE(A452, ""pe"")"),55.63)</f>
        <v>55.63</v>
      </c>
      <c r="Q452" s="9">
        <f>IFERROR(__xludf.DUMMYFUNCTION("IFERROR(GOOGLEFINANCE(A452, ""volume"") / GOOGLEFINANCE(A452, ""volumeavg""), 0)"),0.0)</f>
        <v>0</v>
      </c>
      <c r="R452" s="9">
        <f>IFERROR(__xludf.DUMMYFUNCTION("AVERAGE(INDEX(GOOGLEFINANCE(A452, ""price"", TODAY()-30, TODAY()), 0, 2))"),13196.304347826086)</f>
        <v>13196.30435</v>
      </c>
      <c r="S452" s="9">
        <f>IFERROR(__xludf.DUMMYFUNCTION("AVERAGE(INDEX(GOOGLEFINANCE(A452, ""price"", TODAY()-75, TODAY()), 0, 2))"),12864.018867924528)</f>
        <v>12864.01887</v>
      </c>
      <c r="T452" s="9">
        <f>IFERROR(__xludf.DUMMYFUNCTION("AVERAGE(INDEX(GOOGLEFINANCE(A452, ""price"", TODAY()-300, TODAY()), 0, 2))"),13375.98)</f>
        <v>13375.98</v>
      </c>
      <c r="U452" s="9">
        <f t="shared" si="5"/>
        <v>0.02748463832</v>
      </c>
      <c r="V452" s="15">
        <f>IFERROR(__xludf.DUMMYFUNCTION("LET(hist, GOOGLEFINANCE(A452,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rs))))))"),66.48096564531104)</f>
        <v>66.48096565</v>
      </c>
      <c r="W452" s="16" t="str">
        <f>IFERROR(__xludf.DUMMYFUNCTION("IFERROR(GOOGLEFINANCE(A452, ""volume"") / GOOGLEFINANCE(A452, ""volumeavg""), )"),"")</f>
        <v/>
      </c>
      <c r="X452" s="9">
        <f>IFERROR(__xludf.DUMMYFUNCTION("B452 * GOOGLEFINANCE(A452, ""volume"")"),1.830465E7)</f>
        <v>18304650</v>
      </c>
      <c r="Y452" s="9">
        <f>IFERROR(__xludf.DUMMYFUNCTION("IFERROR(((B452 - GOOGLEFINANCE(A452, ""priceopen"")) / GOOGLEFINANCE(A452, ""priceopen"")) * GOOGLEFINANCE(A452, ""volume""), 0)"),-22.22907297258088)</f>
        <v>-22.22907297</v>
      </c>
    </row>
    <row r="453">
      <c r="A453" s="4" t="s">
        <v>2246</v>
      </c>
      <c r="B453" s="7">
        <f>IFERROR(__xludf.DUMMYFUNCTION("GOOGLEFINANCE(A453, ""price"")"),1445.0)</f>
        <v>1445</v>
      </c>
      <c r="C453" s="7">
        <f>IFERROR(__xludf.DUMMYFUNCTION("GOOGLEFINANCE(A453, ""changepct"")"),1.13)</f>
        <v>1.13</v>
      </c>
      <c r="D453" s="9">
        <f>IFERROR(__xludf.DUMMYFUNCTION("GOOGLEFINANCE(A453, ""priceopen"")"),1435.4)</f>
        <v>1435.4</v>
      </c>
      <c r="E453" s="9">
        <f>IFERROR(__xludf.DUMMYFUNCTION("GOOGLEFINANCE(A453, ""high"")"),1460.0)</f>
        <v>1460</v>
      </c>
      <c r="F453" s="9">
        <f>IFERROR(__xludf.DUMMYFUNCTION("GOOGLEFINANCE(A453, ""low"")"),1424.4)</f>
        <v>1424.4</v>
      </c>
      <c r="G453" s="9">
        <f>IFERROR(__xludf.DUMMYFUNCTION("GOOGLEFINANCE(A453, ""price"")"),1445.0)</f>
        <v>1445</v>
      </c>
      <c r="H453" s="9">
        <f>IFERROR(__xludf.DUMMYFUNCTION("MAX(INDEX(GOOGLEFINANCE(A453, ""high"", TODAY()-30, TODAY()), 0, 2))"),1471.9)</f>
        <v>1471.9</v>
      </c>
      <c r="I453" s="9">
        <f>IFERROR(__xludf.DUMMYFUNCTION("MIN(INDEX(GOOGLEFINANCE(A453, ""low"", TODAY()-30, TODAY()), 0, 2))"),1238.0)</f>
        <v>1238</v>
      </c>
      <c r="J453" s="9">
        <f>IFERROR(__xludf.DUMMYFUNCTION("GOOGLEFINANCE(A453, ""high52"")"),1801.9)</f>
        <v>1801.9</v>
      </c>
      <c r="K453" s="9">
        <f>IFERROR(__xludf.DUMMYFUNCTION("GOOGLEFINANCE(A453, ""low52"")"),987.0)</f>
        <v>987</v>
      </c>
      <c r="L453" s="9">
        <f t="shared" si="1"/>
        <v>0.1980687053</v>
      </c>
      <c r="M453" s="9">
        <f t="shared" si="2"/>
        <v>0.4640324215</v>
      </c>
      <c r="N453" s="9">
        <f t="shared" si="3"/>
        <v>0.0249929795</v>
      </c>
      <c r="O453" s="9">
        <f t="shared" si="4"/>
        <v>0.884993587</v>
      </c>
      <c r="P453" s="9">
        <f>IFERROR(__xludf.DUMMYFUNCTION("GOOGLEFINANCE(A453, ""pe"")"),54.93)</f>
        <v>54.93</v>
      </c>
      <c r="Q453" s="9">
        <f>IFERROR(__xludf.DUMMYFUNCTION("IFERROR(GOOGLEFINANCE(A453, ""volume"") / GOOGLEFINANCE(A453, ""volumeavg""), 0)"),0.0)</f>
        <v>0</v>
      </c>
      <c r="R453" s="9">
        <f>IFERROR(__xludf.DUMMYFUNCTION("AVERAGE(INDEX(GOOGLEFINANCE(A453, ""price"", TODAY()-30, TODAY()), 0, 2))"),1348.5826086956522)</f>
        <v>1348.582609</v>
      </c>
      <c r="S453" s="9">
        <f>IFERROR(__xludf.DUMMYFUNCTION("AVERAGE(INDEX(GOOGLEFINANCE(A453, ""price"", TODAY()-75, TODAY()), 0, 2))"),1306.5641509433958)</f>
        <v>1306.564151</v>
      </c>
      <c r="T453" s="9">
        <f>IFERROR(__xludf.DUMMYFUNCTION("AVERAGE(INDEX(GOOGLEFINANCE(A453, ""price"", TODAY()-300, TODAY()), 0, 2))"),1267.4009900990104)</f>
        <v>1267.40099</v>
      </c>
      <c r="U453" s="9">
        <f t="shared" si="5"/>
        <v>0.07149535422</v>
      </c>
      <c r="V453" s="15">
        <f>IFERROR(__xludf.DUMMYFUNCTION("LET(hist, GOOGLEFINANCE(A453,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rs))))))"),75.9117647058823)</f>
        <v>75.91176471</v>
      </c>
      <c r="W453" s="16" t="str">
        <f>IFERROR(__xludf.DUMMYFUNCTION("IFERROR(GOOGLEFINANCE(A453, ""volume"") / GOOGLEFINANCE(A453, ""volumeavg""), )"),"")</f>
        <v/>
      </c>
      <c r="X453" s="9">
        <f>IFERROR(__xludf.DUMMYFUNCTION("B453 * GOOGLEFINANCE(A453, ""volume"")"),1.35273675E8)</f>
        <v>135273675</v>
      </c>
      <c r="Y453" s="9">
        <f>IFERROR(__xludf.DUMMYFUNCTION("IFERROR(((B453 - GOOGLEFINANCE(A453, ""priceopen"")) / GOOGLEFINANCE(A453, ""priceopen"")) * GOOGLEFINANCE(A453, ""volume""), 0)"),626.1000418001892)</f>
        <v>626.1000418</v>
      </c>
    </row>
    <row r="454">
      <c r="A454" s="4" t="s">
        <v>2247</v>
      </c>
      <c r="B454" s="7">
        <f>IFERROR(__xludf.DUMMYFUNCTION("GOOGLEFINANCE(A454, ""price"")"),1904.0)</f>
        <v>1904</v>
      </c>
      <c r="C454" s="7">
        <f>IFERROR(__xludf.DUMMYFUNCTION("GOOGLEFINANCE(A454, ""changepct"")"),-2.65)</f>
        <v>-2.65</v>
      </c>
      <c r="D454" s="9">
        <f>IFERROR(__xludf.DUMMYFUNCTION("GOOGLEFINANCE(A454, ""priceopen"")"),1972.5)</f>
        <v>1972.5</v>
      </c>
      <c r="E454" s="9">
        <f>IFERROR(__xludf.DUMMYFUNCTION("GOOGLEFINANCE(A454, ""high"")"),1972.5)</f>
        <v>1972.5</v>
      </c>
      <c r="F454" s="9">
        <f>IFERROR(__xludf.DUMMYFUNCTION("GOOGLEFINANCE(A454, ""low"")"),1895.2)</f>
        <v>1895.2</v>
      </c>
      <c r="G454" s="9">
        <f>IFERROR(__xludf.DUMMYFUNCTION("GOOGLEFINANCE(A454, ""price"")"),1904.0)</f>
        <v>1904</v>
      </c>
      <c r="H454" s="9">
        <f>IFERROR(__xludf.DUMMYFUNCTION("MAX(INDEX(GOOGLEFINANCE(A454, ""high"", TODAY()-30, TODAY()), 0, 2))"),2007.6)</f>
        <v>2007.6</v>
      </c>
      <c r="I454" s="9">
        <f>IFERROR(__xludf.DUMMYFUNCTION("MIN(INDEX(GOOGLEFINANCE(A454, ""low"", TODAY()-30, TODAY()), 0, 2))"),1790.0)</f>
        <v>1790</v>
      </c>
      <c r="J454" s="9">
        <f>IFERROR(__xludf.DUMMYFUNCTION("GOOGLEFINANCE(A454, ""high52"")"),2189.2)</f>
        <v>2189.2</v>
      </c>
      <c r="K454" s="9">
        <f>IFERROR(__xludf.DUMMYFUNCTION("GOOGLEFINANCE(A454, ""low52"")"),1335.0)</f>
        <v>1335</v>
      </c>
      <c r="L454" s="9">
        <f t="shared" si="1"/>
        <v>0.1302758999</v>
      </c>
      <c r="M454" s="9">
        <f t="shared" si="2"/>
        <v>0.4262172285</v>
      </c>
      <c r="N454" s="9">
        <f t="shared" si="3"/>
        <v>0.04078725201</v>
      </c>
      <c r="O454" s="9">
        <f t="shared" si="4"/>
        <v>0.5238970588</v>
      </c>
      <c r="P454" s="9">
        <f>IFERROR(__xludf.DUMMYFUNCTION("GOOGLEFINANCE(A454, ""pe"")"),40.47)</f>
        <v>40.47</v>
      </c>
      <c r="Q454" s="9">
        <f>IFERROR(__xludf.DUMMYFUNCTION("IFERROR(GOOGLEFINANCE(A454, ""volume"") / GOOGLEFINANCE(A454, ""volumeavg""), 0)"),0.0)</f>
        <v>0</v>
      </c>
      <c r="R454" s="9">
        <f>IFERROR(__xludf.DUMMYFUNCTION("AVERAGE(INDEX(GOOGLEFINANCE(A454, ""price"", TODAY()-30, TODAY()), 0, 2))"),1895.9695652173912)</f>
        <v>1895.969565</v>
      </c>
      <c r="S454" s="9">
        <f>IFERROR(__xludf.DUMMYFUNCTION("AVERAGE(INDEX(GOOGLEFINANCE(A454, ""price"", TODAY()-75, TODAY()), 0, 2))"),1859.3867924528302)</f>
        <v>1859.386792</v>
      </c>
      <c r="T454" s="9">
        <f>IFERROR(__xludf.DUMMYFUNCTION("AVERAGE(INDEX(GOOGLEFINANCE(A454, ""price"", TODAY()-300, TODAY()), 0, 2))"),1701.1702970297022)</f>
        <v>1701.170297</v>
      </c>
      <c r="U454" s="9">
        <f t="shared" si="5"/>
        <v>0.004235529372</v>
      </c>
      <c r="V454" s="15">
        <f>IFERROR(__xludf.DUMMYFUNCTION("LET(hist, GOOGLEFINANCE(A454,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rs))))))"),58.105263157894754)</f>
        <v>58.10526316</v>
      </c>
      <c r="W454" s="16" t="str">
        <f>IFERROR(__xludf.DUMMYFUNCTION("IFERROR(GOOGLEFINANCE(A454, ""volume"") / GOOGLEFINANCE(A454, ""volumeavg""), )"),"")</f>
        <v/>
      </c>
      <c r="X454" s="9">
        <f>IFERROR(__xludf.DUMMYFUNCTION("B454 * GOOGLEFINANCE(A454, ""volume"")"),9.1365344E7)</f>
        <v>91365344</v>
      </c>
      <c r="Y454" s="9">
        <f>IFERROR(__xludf.DUMMYFUNCTION("IFERROR(((B454 - GOOGLEFINANCE(A454, ""priceopen"")) / GOOGLEFINANCE(A454, ""priceopen"")) * GOOGLEFINANCE(A454, ""volume""), 0)"),-1666.4339670468946)</f>
        <v>-1666.433967</v>
      </c>
    </row>
    <row r="455">
      <c r="A455" s="4" t="s">
        <v>2248</v>
      </c>
      <c r="B455" s="7">
        <f>IFERROR(__xludf.DUMMYFUNCTION("GOOGLEFINANCE(A455, ""price"")"),590.85)</f>
        <v>590.85</v>
      </c>
      <c r="C455" s="7">
        <f>IFERROR(__xludf.DUMMYFUNCTION("GOOGLEFINANCE(A455, ""changepct"")"),-0.45)</f>
        <v>-0.45</v>
      </c>
      <c r="D455" s="9">
        <f>IFERROR(__xludf.DUMMYFUNCTION("GOOGLEFINANCE(A455, ""priceopen"")"),601.9)</f>
        <v>601.9</v>
      </c>
      <c r="E455" s="9">
        <f>IFERROR(__xludf.DUMMYFUNCTION("GOOGLEFINANCE(A455, ""high"")"),601.9)</f>
        <v>601.9</v>
      </c>
      <c r="F455" s="9">
        <f>IFERROR(__xludf.DUMMYFUNCTION("GOOGLEFINANCE(A455, ""low"")"),588.3)</f>
        <v>588.3</v>
      </c>
      <c r="G455" s="9">
        <f>IFERROR(__xludf.DUMMYFUNCTION("GOOGLEFINANCE(A455, ""price"")"),590.85)</f>
        <v>590.85</v>
      </c>
      <c r="H455" s="9">
        <f>IFERROR(__xludf.DUMMYFUNCTION("MAX(INDEX(GOOGLEFINANCE(A455, ""high"", TODAY()-30, TODAY()), 0, 2))"),727.0)</f>
        <v>727</v>
      </c>
      <c r="I455" s="9">
        <f>IFERROR(__xludf.DUMMYFUNCTION("MIN(INDEX(GOOGLEFINANCE(A455, ""low"", TODAY()-30, TODAY()), 0, 2))"),513.1)</f>
        <v>513.1</v>
      </c>
      <c r="J455" s="9">
        <f>IFERROR(__xludf.DUMMYFUNCTION("GOOGLEFINANCE(A455, ""high52"")"),948.0)</f>
        <v>948</v>
      </c>
      <c r="K455" s="9">
        <f>IFERROR(__xludf.DUMMYFUNCTION("GOOGLEFINANCE(A455, ""low52"")"),496.25)</f>
        <v>496.25</v>
      </c>
      <c r="L455" s="9">
        <f t="shared" si="1"/>
        <v>0.3767405063</v>
      </c>
      <c r="M455" s="9">
        <f t="shared" si="2"/>
        <v>0.1906297229</v>
      </c>
      <c r="N455" s="9">
        <f t="shared" si="3"/>
        <v>0.02311745708</v>
      </c>
      <c r="O455" s="9">
        <f t="shared" si="4"/>
        <v>0.363487611</v>
      </c>
      <c r="P455" s="9">
        <f>IFERROR(__xludf.DUMMYFUNCTION("GOOGLEFINANCE(A455, ""pe"")"),32.82)</f>
        <v>32.82</v>
      </c>
      <c r="Q455" s="9">
        <f>IFERROR(__xludf.DUMMYFUNCTION("IFERROR(GOOGLEFINANCE(A455, ""volume"") / GOOGLEFINANCE(A455, ""volumeavg""), 0)"),0.0)</f>
        <v>0</v>
      </c>
      <c r="R455" s="9">
        <f>IFERROR(__xludf.DUMMYFUNCTION("AVERAGE(INDEX(GOOGLEFINANCE(A455, ""price"", TODAY()-30, TODAY()), 0, 2))"),610.7913043478262)</f>
        <v>610.7913043</v>
      </c>
      <c r="S455" s="9">
        <f>IFERROR(__xludf.DUMMYFUNCTION("AVERAGE(INDEX(GOOGLEFINANCE(A455, ""price"", TODAY()-75, TODAY()), 0, 2))"),647.9216981132073)</f>
        <v>647.9216981</v>
      </c>
      <c r="T455" s="9">
        <f>IFERROR(__xludf.DUMMYFUNCTION("AVERAGE(INDEX(GOOGLEFINANCE(A455, ""price"", TODAY()-300, TODAY()), 0, 2))"),623.8009900990099)</f>
        <v>623.8009901</v>
      </c>
      <c r="U455" s="9">
        <f t="shared" si="5"/>
        <v>-0.03264831082</v>
      </c>
      <c r="V455" s="15">
        <f>IFERROR(__xludf.DUMMYFUNCTION("LET(hist, GOOGLEFINANCE(A455,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rs))))))"),63.00663227708183)</f>
        <v>63.00663228</v>
      </c>
      <c r="W455" s="16" t="str">
        <f>IFERROR(__xludf.DUMMYFUNCTION("IFERROR(GOOGLEFINANCE(A455, ""volume"") / GOOGLEFINANCE(A455, ""volumeavg""), )"),"")</f>
        <v/>
      </c>
      <c r="X455" s="9">
        <f>IFERROR(__xludf.DUMMYFUNCTION("B455 * GOOGLEFINANCE(A455, ""volume"")"),2.179704735E7)</f>
        <v>21797047.35</v>
      </c>
      <c r="Y455" s="9">
        <f>IFERROR(__xludf.DUMMYFUNCTION("IFERROR(((B455 - GOOGLEFINANCE(A455, ""priceopen"")) / GOOGLEFINANCE(A455, ""priceopen"")) * GOOGLEFINANCE(A455, ""volume""), 0)"),-677.2645788336905)</f>
        <v>-677.2645788</v>
      </c>
    </row>
    <row r="456">
      <c r="A456" s="4" t="s">
        <v>2249</v>
      </c>
      <c r="B456" s="7">
        <f>IFERROR(__xludf.DUMMYFUNCTION("GOOGLEFINANCE(A456, ""price"")"),2487.0)</f>
        <v>2487</v>
      </c>
      <c r="C456" s="7">
        <f>IFERROR(__xludf.DUMMYFUNCTION("GOOGLEFINANCE(A456, ""changepct"")"),0.6)</f>
        <v>0.6</v>
      </c>
      <c r="D456" s="9">
        <f>IFERROR(__xludf.DUMMYFUNCTION("GOOGLEFINANCE(A456, ""priceopen"")"),2472.1)</f>
        <v>2472.1</v>
      </c>
      <c r="E456" s="9">
        <f>IFERROR(__xludf.DUMMYFUNCTION("GOOGLEFINANCE(A456, ""high"")"),2495.4)</f>
        <v>2495.4</v>
      </c>
      <c r="F456" s="9">
        <f>IFERROR(__xludf.DUMMYFUNCTION("GOOGLEFINANCE(A456, ""low"")"),2450.4)</f>
        <v>2450.4</v>
      </c>
      <c r="G456" s="9">
        <f>IFERROR(__xludf.DUMMYFUNCTION("GOOGLEFINANCE(A456, ""price"")"),2487.0)</f>
        <v>2487</v>
      </c>
      <c r="H456" s="9">
        <f>IFERROR(__xludf.DUMMYFUNCTION("MAX(INDEX(GOOGLEFINANCE(A456, ""high"", TODAY()-30, TODAY()), 0, 2))"),2589.0)</f>
        <v>2589</v>
      </c>
      <c r="I456" s="9">
        <f>IFERROR(__xludf.DUMMYFUNCTION("MIN(INDEX(GOOGLEFINANCE(A456, ""low"", TODAY()-30, TODAY()), 0, 2))"),2250.0)</f>
        <v>2250</v>
      </c>
      <c r="J456" s="9">
        <f>IFERROR(__xludf.DUMMYFUNCTION("GOOGLEFINANCE(A456, ""high52"")"),2589.0)</f>
        <v>2589</v>
      </c>
      <c r="K456" s="9">
        <f>IFERROR(__xludf.DUMMYFUNCTION("GOOGLEFINANCE(A456, ""low52"")"),1360.0)</f>
        <v>1360</v>
      </c>
      <c r="L456" s="9">
        <f t="shared" si="1"/>
        <v>0.03939745075</v>
      </c>
      <c r="M456" s="9">
        <f t="shared" si="2"/>
        <v>0.8286764706</v>
      </c>
      <c r="N456" s="9">
        <f t="shared" si="3"/>
        <v>0.01836434868</v>
      </c>
      <c r="O456" s="9">
        <f t="shared" si="4"/>
        <v>0.6991150442</v>
      </c>
      <c r="P456" s="9">
        <f>IFERROR(__xludf.DUMMYFUNCTION("GOOGLEFINANCE(A456, ""pe"")"),115.73)</f>
        <v>115.73</v>
      </c>
      <c r="Q456" s="9">
        <f>IFERROR(__xludf.DUMMYFUNCTION("IFERROR(GOOGLEFINANCE(A456, ""volume"") / GOOGLEFINANCE(A456, ""volumeavg""), 0)"),0.0)</f>
        <v>0</v>
      </c>
      <c r="R456" s="9">
        <f>IFERROR(__xludf.DUMMYFUNCTION("AVERAGE(INDEX(GOOGLEFINANCE(A456, ""price"", TODAY()-30, TODAY()), 0, 2))"),2394.026086956522)</f>
        <v>2394.026087</v>
      </c>
      <c r="S456" s="9">
        <f>IFERROR(__xludf.DUMMYFUNCTION("AVERAGE(INDEX(GOOGLEFINANCE(A456, ""price"", TODAY()-75, TODAY()), 0, 2))"),2249.0132075471706)</f>
        <v>2249.013208</v>
      </c>
      <c r="T456" s="9">
        <f>IFERROR(__xludf.DUMMYFUNCTION("AVERAGE(INDEX(GOOGLEFINANCE(A456, ""price"", TODAY()-300, TODAY()), 0, 2))"),1842.3985148514837)</f>
        <v>1842.398515</v>
      </c>
      <c r="U456" s="9">
        <f t="shared" si="5"/>
        <v>0.0388357978</v>
      </c>
      <c r="V456" s="15">
        <f>IFERROR(__xludf.DUMMYFUNCTION("LET(hist, GOOGLEFINANCE(A456,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rs))))))"),60.11676140728221)</f>
        <v>60.11676141</v>
      </c>
      <c r="W456" s="16" t="str">
        <f>IFERROR(__xludf.DUMMYFUNCTION("IFERROR(GOOGLEFINANCE(A456, ""volume"") / GOOGLEFINANCE(A456, ""volumeavg""), )"),"")</f>
        <v/>
      </c>
      <c r="X456" s="9">
        <f>IFERROR(__xludf.DUMMYFUNCTION("B456 * GOOGLEFINANCE(A456, ""volume"")"),5.42752932E8)</f>
        <v>542752932</v>
      </c>
      <c r="Y456" s="9">
        <f>IFERROR(__xludf.DUMMYFUNCTION("IFERROR(((B456 - GOOGLEFINANCE(A456, ""priceopen"")) / GOOGLEFINANCE(A456, ""priceopen"")) * GOOGLEFINANCE(A456, ""volume""), 0)"),1315.3660450629102)</f>
        <v>1315.366045</v>
      </c>
    </row>
    <row r="457">
      <c r="A457" s="4" t="s">
        <v>2250</v>
      </c>
      <c r="B457" s="7">
        <f>IFERROR(__xludf.DUMMYFUNCTION("GOOGLEFINANCE(A457, ""price"")"),5260.1)</f>
        <v>5260.1</v>
      </c>
      <c r="C457" s="7">
        <f>IFERROR(__xludf.DUMMYFUNCTION("GOOGLEFINANCE(A457, ""changepct"")"),2.72)</f>
        <v>2.72</v>
      </c>
      <c r="D457" s="9">
        <f>IFERROR(__xludf.DUMMYFUNCTION("GOOGLEFINANCE(A457, ""priceopen"")"),5120.7)</f>
        <v>5120.7</v>
      </c>
      <c r="E457" s="9">
        <f>IFERROR(__xludf.DUMMYFUNCTION("GOOGLEFINANCE(A457, ""high"")"),5369.8)</f>
        <v>5369.8</v>
      </c>
      <c r="F457" s="9">
        <f>IFERROR(__xludf.DUMMYFUNCTION("GOOGLEFINANCE(A457, ""low"")"),5115.7)</f>
        <v>5115.7</v>
      </c>
      <c r="G457" s="9">
        <f>IFERROR(__xludf.DUMMYFUNCTION("GOOGLEFINANCE(A457, ""price"")"),5260.1)</f>
        <v>5260.1</v>
      </c>
      <c r="H457" s="9">
        <f>IFERROR(__xludf.DUMMYFUNCTION("MAX(INDEX(GOOGLEFINANCE(A457, ""high"", TODAY()-30, TODAY()), 0, 2))"),5369.8)</f>
        <v>5369.8</v>
      </c>
      <c r="I457" s="9">
        <f>IFERROR(__xludf.DUMMYFUNCTION("MIN(INDEX(GOOGLEFINANCE(A457, ""low"", TODAY()-30, TODAY()), 0, 2))"),4692.0)</f>
        <v>4692</v>
      </c>
      <c r="J457" s="9">
        <f>IFERROR(__xludf.DUMMYFUNCTION("GOOGLEFINANCE(A457, ""high52"")"),5407.0)</f>
        <v>5407</v>
      </c>
      <c r="K457" s="9">
        <f>IFERROR(__xludf.DUMMYFUNCTION("GOOGLEFINANCE(A457, ""low52"")"),3856.0)</f>
        <v>3856</v>
      </c>
      <c r="L457" s="9">
        <f t="shared" si="1"/>
        <v>0.0271684853</v>
      </c>
      <c r="M457" s="9">
        <f t="shared" si="2"/>
        <v>0.3641338174</v>
      </c>
      <c r="N457" s="9">
        <f t="shared" si="3"/>
        <v>0.04967062181</v>
      </c>
      <c r="O457" s="9">
        <f t="shared" si="4"/>
        <v>0.8381528474</v>
      </c>
      <c r="P457" s="9">
        <f>IFERROR(__xludf.DUMMYFUNCTION("GOOGLEFINANCE(A457, ""pe"")"),36.81)</f>
        <v>36.81</v>
      </c>
      <c r="Q457" s="9">
        <f>IFERROR(__xludf.DUMMYFUNCTION("IFERROR(GOOGLEFINANCE(A457, ""volume"") / GOOGLEFINANCE(A457, ""volumeavg""), 0)"),0.0)</f>
        <v>0</v>
      </c>
      <c r="R457" s="9">
        <f>IFERROR(__xludf.DUMMYFUNCTION("AVERAGE(INDEX(GOOGLEFINANCE(A457, ""price"", TODAY()-30, TODAY()), 0, 2))"),4960.078260869565)</f>
        <v>4960.078261</v>
      </c>
      <c r="S457" s="9">
        <f>IFERROR(__xludf.DUMMYFUNCTION("AVERAGE(INDEX(GOOGLEFINANCE(A457, ""price"", TODAY()-75, TODAY()), 0, 2))"),4959.124528301887)</f>
        <v>4959.124528</v>
      </c>
      <c r="T457" s="9">
        <f>IFERROR(__xludf.DUMMYFUNCTION("AVERAGE(INDEX(GOOGLEFINANCE(A457, ""price"", TODAY()-300, TODAY()), 0, 2))"),4569.867326732672)</f>
        <v>4569.867327</v>
      </c>
      <c r="U457" s="9">
        <f t="shared" si="5"/>
        <v>0.06048729946</v>
      </c>
      <c r="V457" s="15">
        <f>IFERROR(__xludf.DUMMYFUNCTION("LET(hist, GOOGLEFINANCE(A457,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rs))))))"),75.63141278610892)</f>
        <v>75.63141279</v>
      </c>
      <c r="W457" s="16" t="str">
        <f>IFERROR(__xludf.DUMMYFUNCTION("IFERROR(GOOGLEFINANCE(A457, ""volume"") / GOOGLEFINANCE(A457, ""volumeavg""), )"),"")</f>
        <v/>
      </c>
      <c r="X457" s="9">
        <f>IFERROR(__xludf.DUMMYFUNCTION("B457 * GOOGLEFINANCE(A457, ""volume"")"),5.724146022E8)</f>
        <v>572414602.2</v>
      </c>
      <c r="Y457" s="9">
        <f>IFERROR(__xludf.DUMMYFUNCTION("IFERROR(((B457 - GOOGLEFINANCE(A457, ""priceopen"")) / GOOGLEFINANCE(A457, ""priceopen"")) * GOOGLEFINANCE(A457, ""volume""), 0)"),2962.443962739481)</f>
        <v>2962.443963</v>
      </c>
    </row>
    <row r="458">
      <c r="A458" s="4" t="s">
        <v>2251</v>
      </c>
      <c r="B458" s="7">
        <f>IFERROR(__xludf.DUMMYFUNCTION("GOOGLEFINANCE(A458, ""price"")"),1334.0)</f>
        <v>1334</v>
      </c>
      <c r="C458" s="7">
        <f>IFERROR(__xludf.DUMMYFUNCTION("GOOGLEFINANCE(A458, ""changepct"")"),-0.6)</f>
        <v>-0.6</v>
      </c>
      <c r="D458" s="9">
        <f>IFERROR(__xludf.DUMMYFUNCTION("GOOGLEFINANCE(A458, ""priceopen"")"),1355.0)</f>
        <v>1355</v>
      </c>
      <c r="E458" s="9">
        <f>IFERROR(__xludf.DUMMYFUNCTION("GOOGLEFINANCE(A458, ""high"")"),1355.0)</f>
        <v>1355</v>
      </c>
      <c r="F458" s="9">
        <f>IFERROR(__xludf.DUMMYFUNCTION("GOOGLEFINANCE(A458, ""low"")"),1327.0)</f>
        <v>1327</v>
      </c>
      <c r="G458" s="9">
        <f>IFERROR(__xludf.DUMMYFUNCTION("GOOGLEFINANCE(A458, ""price"")"),1334.0)</f>
        <v>1334</v>
      </c>
      <c r="H458" s="9">
        <f>IFERROR(__xludf.DUMMYFUNCTION("MAX(INDEX(GOOGLEFINANCE(A458, ""high"", TODAY()-30, TODAY()), 0, 2))"),1559.5)</f>
        <v>1559.5</v>
      </c>
      <c r="I458" s="9">
        <f>IFERROR(__xludf.DUMMYFUNCTION("MIN(INDEX(GOOGLEFINANCE(A458, ""low"", TODAY()-30, TODAY()), 0, 2))"),1325.7)</f>
        <v>1325.7</v>
      </c>
      <c r="J458" s="9">
        <f>IFERROR(__xludf.DUMMYFUNCTION("GOOGLEFINANCE(A458, ""high52"")"),1732.0)</f>
        <v>1732</v>
      </c>
      <c r="K458" s="9">
        <f>IFERROR(__xludf.DUMMYFUNCTION("GOOGLEFINANCE(A458, ""low52"")"),1130.0)</f>
        <v>1130</v>
      </c>
      <c r="L458" s="9">
        <f t="shared" si="1"/>
        <v>0.2297921478</v>
      </c>
      <c r="M458" s="9">
        <f t="shared" si="2"/>
        <v>0.1805309735</v>
      </c>
      <c r="N458" s="9">
        <f t="shared" si="3"/>
        <v>0.02110022607</v>
      </c>
      <c r="O458" s="9">
        <f t="shared" si="4"/>
        <v>0.03550042772</v>
      </c>
      <c r="P458" s="9">
        <f>IFERROR(__xludf.DUMMYFUNCTION("GOOGLEFINANCE(A458, ""pe"")"),61.89)</f>
        <v>61.89</v>
      </c>
      <c r="Q458" s="9">
        <f>IFERROR(__xludf.DUMMYFUNCTION("IFERROR(GOOGLEFINANCE(A458, ""volume"") / GOOGLEFINANCE(A458, ""volumeavg""), 0)"),0.0)</f>
        <v>0</v>
      </c>
      <c r="R458" s="9">
        <f>IFERROR(__xludf.DUMMYFUNCTION("AVERAGE(INDEX(GOOGLEFINANCE(A458, ""price"", TODAY()-30, TODAY()), 0, 2))"),1397.117391304348)</f>
        <v>1397.117391</v>
      </c>
      <c r="S458" s="9">
        <f>IFERROR(__xludf.DUMMYFUNCTION("AVERAGE(INDEX(GOOGLEFINANCE(A458, ""price"", TODAY()-75, TODAY()), 0, 2))"),1395.6698113207544)</f>
        <v>1395.669811</v>
      </c>
      <c r="T458" s="9">
        <f>IFERROR(__xludf.DUMMYFUNCTION("AVERAGE(INDEX(GOOGLEFINANCE(A458, ""price"", TODAY()-300, TODAY()), 0, 2))"),1432.9064356435645)</f>
        <v>1432.906436</v>
      </c>
      <c r="U458" s="9">
        <f t="shared" si="5"/>
        <v>-0.04517687039</v>
      </c>
      <c r="V458" s="15">
        <f>IFERROR(__xludf.DUMMYFUNCTION("LET(hist, GOOGLEFINANCE(A458,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rs))))))"),37.9133409350057)</f>
        <v>37.91334094</v>
      </c>
      <c r="W458" s="16" t="str">
        <f>IFERROR(__xludf.DUMMYFUNCTION("IFERROR(GOOGLEFINANCE(A458, ""volume"") / GOOGLEFINANCE(A458, ""volumeavg""), )"),"")</f>
        <v/>
      </c>
      <c r="X458" s="9">
        <f>IFERROR(__xludf.DUMMYFUNCTION("B458 * GOOGLEFINANCE(A458, ""volume"")"),7.4433198E7)</f>
        <v>74433198</v>
      </c>
      <c r="Y458" s="9">
        <f>IFERROR(__xludf.DUMMYFUNCTION("IFERROR(((B458 - GOOGLEFINANCE(A458, ""priceopen"")) / GOOGLEFINANCE(A458, ""priceopen"")) * GOOGLEFINANCE(A458, ""volume""), 0)"),-864.7505535055351)</f>
        <v>-864.7505535</v>
      </c>
    </row>
    <row r="459">
      <c r="A459" s="4" t="s">
        <v>2252</v>
      </c>
      <c r="B459" s="7">
        <f>IFERROR(__xludf.DUMMYFUNCTION("GOOGLEFINANCE(A459, ""price"")"),1823.4)</f>
        <v>1823.4</v>
      </c>
      <c r="C459" s="7">
        <f>IFERROR(__xludf.DUMMYFUNCTION("GOOGLEFINANCE(A459, ""changepct"")"),0.2)</f>
        <v>0.2</v>
      </c>
      <c r="D459" s="9">
        <f>IFERROR(__xludf.DUMMYFUNCTION("GOOGLEFINANCE(A459, ""priceopen"")"),1826.0)</f>
        <v>1826</v>
      </c>
      <c r="E459" s="9">
        <f>IFERROR(__xludf.DUMMYFUNCTION("GOOGLEFINANCE(A459, ""high"")"),1853.0)</f>
        <v>1853</v>
      </c>
      <c r="F459" s="9">
        <f>IFERROR(__xludf.DUMMYFUNCTION("GOOGLEFINANCE(A459, ""low"")"),1810.1)</f>
        <v>1810.1</v>
      </c>
      <c r="G459" s="9">
        <f>IFERROR(__xludf.DUMMYFUNCTION("GOOGLEFINANCE(A459, ""price"")"),1823.4)</f>
        <v>1823.4</v>
      </c>
      <c r="H459" s="9">
        <f>IFERROR(__xludf.DUMMYFUNCTION("MAX(INDEX(GOOGLEFINANCE(A459, ""high"", TODAY()-30, TODAY()), 0, 2))"),1870.9)</f>
        <v>1870.9</v>
      </c>
      <c r="I459" s="9">
        <f>IFERROR(__xludf.DUMMYFUNCTION("MIN(INDEX(GOOGLEFINANCE(A459, ""low"", TODAY()-30, TODAY()), 0, 2))"),1600.0)</f>
        <v>1600</v>
      </c>
      <c r="J459" s="9">
        <f>IFERROR(__xludf.DUMMYFUNCTION("GOOGLEFINANCE(A459, ""high52"")"),2024.0)</f>
        <v>2024</v>
      </c>
      <c r="K459" s="9">
        <f>IFERROR(__xludf.DUMMYFUNCTION("GOOGLEFINANCE(A459, ""low52"")"),1223.0)</f>
        <v>1223</v>
      </c>
      <c r="L459" s="9">
        <f t="shared" si="1"/>
        <v>0.09911067194</v>
      </c>
      <c r="M459" s="9">
        <f t="shared" si="2"/>
        <v>0.4909239575</v>
      </c>
      <c r="N459" s="9">
        <f t="shared" si="3"/>
        <v>0.02370034805</v>
      </c>
      <c r="O459" s="9">
        <f t="shared" si="4"/>
        <v>0.8246585456</v>
      </c>
      <c r="P459" s="9">
        <f>IFERROR(__xludf.DUMMYFUNCTION("GOOGLEFINANCE(A459, ""pe"")"),91.0)</f>
        <v>91</v>
      </c>
      <c r="Q459" s="9">
        <f>IFERROR(__xludf.DUMMYFUNCTION("IFERROR(GOOGLEFINANCE(A459, ""volume"") / GOOGLEFINANCE(A459, ""volumeavg""), 0)"),0.0)</f>
        <v>0</v>
      </c>
      <c r="R459" s="9">
        <f>IFERROR(__xludf.DUMMYFUNCTION("AVERAGE(INDEX(GOOGLEFINANCE(A459, ""price"", TODAY()-30, TODAY()), 0, 2))"),1740.765217391305)</f>
        <v>1740.765217</v>
      </c>
      <c r="S459" s="9">
        <f>IFERROR(__xludf.DUMMYFUNCTION("AVERAGE(INDEX(GOOGLEFINANCE(A459, ""price"", TODAY()-75, TODAY()), 0, 2))"),1775.4056603773581)</f>
        <v>1775.40566</v>
      </c>
      <c r="T459" s="9">
        <f>IFERROR(__xludf.DUMMYFUNCTION("AVERAGE(INDEX(GOOGLEFINANCE(A459, ""price"", TODAY()-300, TODAY()), 0, 2))"),1513.9836633663365)</f>
        <v>1513.983663</v>
      </c>
      <c r="U459" s="9">
        <f t="shared" si="5"/>
        <v>0.04747037784</v>
      </c>
      <c r="V459" s="15">
        <f>IFERROR(__xludf.DUMMYFUNCTION("LET(hist, GOOGLEFINANCE(A459,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rs))))))"),52.61177512173528)</f>
        <v>52.61177512</v>
      </c>
      <c r="W459" s="16" t="str">
        <f>IFERROR(__xludf.DUMMYFUNCTION("IFERROR(GOOGLEFINANCE(A459, ""volume"") / GOOGLEFINANCE(A459, ""volumeavg""), )"),"")</f>
        <v/>
      </c>
      <c r="X459" s="9">
        <f>IFERROR(__xludf.DUMMYFUNCTION("B459 * GOOGLEFINANCE(A459, ""volume"")"),9.171464958000001E8)</f>
        <v>917146495.8</v>
      </c>
      <c r="Y459" s="9">
        <f>IFERROR(__xludf.DUMMYFUNCTION("IFERROR(((B459 - GOOGLEFINANCE(A459, ""priceopen"")) / GOOGLEFINANCE(A459, ""priceopen"")) * GOOGLEFINANCE(A459, ""volume""), 0)"),-716.1917853230856)</f>
        <v>-716.1917853</v>
      </c>
    </row>
    <row r="460">
      <c r="A460" s="4" t="s">
        <v>2253</v>
      </c>
      <c r="B460" s="7">
        <f>IFERROR(__xludf.DUMMYFUNCTION("GOOGLEFINANCE(A460, ""price"")"),467.45)</f>
        <v>467.45</v>
      </c>
      <c r="C460" s="7">
        <f>IFERROR(__xludf.DUMMYFUNCTION("GOOGLEFINANCE(A460, ""changepct"")"),0.03)</f>
        <v>0.03</v>
      </c>
      <c r="D460" s="9">
        <f>IFERROR(__xludf.DUMMYFUNCTION("GOOGLEFINANCE(A460, ""priceopen"")"),467.45)</f>
        <v>467.45</v>
      </c>
      <c r="E460" s="9">
        <f>IFERROR(__xludf.DUMMYFUNCTION("GOOGLEFINANCE(A460, ""high"")"),477.0)</f>
        <v>477</v>
      </c>
      <c r="F460" s="9">
        <f>IFERROR(__xludf.DUMMYFUNCTION("GOOGLEFINANCE(A460, ""low"")"),461.3)</f>
        <v>461.3</v>
      </c>
      <c r="G460" s="9">
        <f>IFERROR(__xludf.DUMMYFUNCTION("GOOGLEFINANCE(A460, ""price"")"),467.45)</f>
        <v>467.45</v>
      </c>
      <c r="H460" s="9">
        <f>IFERROR(__xludf.DUMMYFUNCTION("MAX(INDEX(GOOGLEFINANCE(A460, ""high"", TODAY()-30, TODAY()), 0, 2))"),491.35)</f>
        <v>491.35</v>
      </c>
      <c r="I460" s="9">
        <f>IFERROR(__xludf.DUMMYFUNCTION("MIN(INDEX(GOOGLEFINANCE(A460, ""low"", TODAY()-30, TODAY()), 0, 2))"),437.3)</f>
        <v>437.3</v>
      </c>
      <c r="J460" s="9">
        <f>IFERROR(__xludf.DUMMYFUNCTION("GOOGLEFINANCE(A460, ""high52"")"),491.35)</f>
        <v>491.35</v>
      </c>
      <c r="K460" s="9">
        <f>IFERROR(__xludf.DUMMYFUNCTION("GOOGLEFINANCE(A460, ""low52"")"),248.4)</f>
        <v>248.4</v>
      </c>
      <c r="L460" s="9">
        <f t="shared" si="1"/>
        <v>0.04864149791</v>
      </c>
      <c r="M460" s="9">
        <f t="shared" si="2"/>
        <v>0.8818438003</v>
      </c>
      <c r="N460" s="9">
        <f t="shared" si="3"/>
        <v>0.03403425103</v>
      </c>
      <c r="O460" s="9">
        <f t="shared" si="4"/>
        <v>0.5578168363</v>
      </c>
      <c r="P460" s="9">
        <f>IFERROR(__xludf.DUMMYFUNCTION("GOOGLEFINANCE(A460, ""pe"")"),76.38)</f>
        <v>76.38</v>
      </c>
      <c r="Q460" s="9">
        <f>IFERROR(__xludf.DUMMYFUNCTION("IFERROR(GOOGLEFINANCE(A460, ""volume"") / GOOGLEFINANCE(A460, ""volumeavg""), 0)"),0.0)</f>
        <v>0</v>
      </c>
      <c r="R460" s="9">
        <f>IFERROR(__xludf.DUMMYFUNCTION("AVERAGE(INDEX(GOOGLEFINANCE(A460, ""price"", TODAY()-30, TODAY()), 0, 2))"),460.6869565217391)</f>
        <v>460.6869565</v>
      </c>
      <c r="S460" s="9">
        <f>IFERROR(__xludf.DUMMYFUNCTION("AVERAGE(INDEX(GOOGLEFINANCE(A460, ""price"", TODAY()-75, TODAY()), 0, 2))"),442.7462264150943)</f>
        <v>442.7462264</v>
      </c>
      <c r="T460" s="9">
        <f>IFERROR(__xludf.DUMMYFUNCTION("AVERAGE(INDEX(GOOGLEFINANCE(A460, ""price"", TODAY()-300, TODAY()), 0, 2))"),337.4703980099502)</f>
        <v>337.470398</v>
      </c>
      <c r="U460" s="9">
        <f t="shared" si="5"/>
        <v>0.01468034504</v>
      </c>
      <c r="V460" s="15">
        <f>IFERROR(__xludf.DUMMYFUNCTION("LET(hist, GOOGLEFINANCE(A460,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rs))))))"),69.54585930543186)</f>
        <v>69.54585931</v>
      </c>
      <c r="W460" s="16" t="str">
        <f>IFERROR(__xludf.DUMMYFUNCTION("IFERROR(GOOGLEFINANCE(A460, ""volume"") / GOOGLEFINANCE(A460, ""volumeavg""), )"),"")</f>
        <v/>
      </c>
      <c r="X460" s="9">
        <f>IFERROR(__xludf.DUMMYFUNCTION("B460 * GOOGLEFINANCE(A460, ""volume"")"),4.6137735705E8)</f>
        <v>461377357.1</v>
      </c>
      <c r="Y460" s="9">
        <f>IFERROR(__xludf.DUMMYFUNCTION("IFERROR(((B460 - GOOGLEFINANCE(A460, ""priceopen"")) / GOOGLEFINANCE(A460, ""priceopen"")) * GOOGLEFINANCE(A460, ""volume""), 0)"),0.0)</f>
        <v>0</v>
      </c>
    </row>
    <row r="461">
      <c r="A461" s="4" t="s">
        <v>2254</v>
      </c>
      <c r="B461" s="7">
        <f>IFERROR(__xludf.DUMMYFUNCTION("GOOGLEFINANCE(A461, ""price"")"),590.25)</f>
        <v>590.25</v>
      </c>
      <c r="C461" s="7">
        <f>IFERROR(__xludf.DUMMYFUNCTION("GOOGLEFINANCE(A461, ""changepct"")"),-1.09)</f>
        <v>-1.09</v>
      </c>
      <c r="D461" s="9">
        <f>IFERROR(__xludf.DUMMYFUNCTION("GOOGLEFINANCE(A461, ""priceopen"")"),593.0)</f>
        <v>593</v>
      </c>
      <c r="E461" s="9">
        <f>IFERROR(__xludf.DUMMYFUNCTION("GOOGLEFINANCE(A461, ""high"")"),609.95)</f>
        <v>609.95</v>
      </c>
      <c r="F461" s="9">
        <f>IFERROR(__xludf.DUMMYFUNCTION("GOOGLEFINANCE(A461, ""low"")"),590.1)</f>
        <v>590.1</v>
      </c>
      <c r="G461" s="9">
        <f>IFERROR(__xludf.DUMMYFUNCTION("GOOGLEFINANCE(A461, ""price"")"),590.25)</f>
        <v>590.25</v>
      </c>
      <c r="H461" s="9">
        <f>IFERROR(__xludf.DUMMYFUNCTION("MAX(INDEX(GOOGLEFINANCE(A461, ""high"", TODAY()-30, TODAY()), 0, 2))"),646.9)</f>
        <v>646.9</v>
      </c>
      <c r="I461" s="9">
        <f>IFERROR(__xludf.DUMMYFUNCTION("MIN(INDEX(GOOGLEFINANCE(A461, ""low"", TODAY()-30, TODAY()), 0, 2))"),590.1)</f>
        <v>590.1</v>
      </c>
      <c r="J461" s="9">
        <f>IFERROR(__xludf.DUMMYFUNCTION("GOOGLEFINANCE(A461, ""high52"")"),793.95)</f>
        <v>793.95</v>
      </c>
      <c r="K461" s="9">
        <f>IFERROR(__xludf.DUMMYFUNCTION("GOOGLEFINANCE(A461, ""low52"")"),542.6)</f>
        <v>542.6</v>
      </c>
      <c r="L461" s="9">
        <f t="shared" si="1"/>
        <v>0.2565652749</v>
      </c>
      <c r="M461" s="9">
        <f t="shared" si="2"/>
        <v>0.08781791375</v>
      </c>
      <c r="N461" s="9">
        <f t="shared" si="3"/>
        <v>0.03363836638</v>
      </c>
      <c r="O461" s="9">
        <f t="shared" si="4"/>
        <v>0.00264084507</v>
      </c>
      <c r="P461" s="9">
        <f>IFERROR(__xludf.DUMMYFUNCTION("GOOGLEFINANCE(A461, ""pe"")"),28.75)</f>
        <v>28.75</v>
      </c>
      <c r="Q461" s="9">
        <f>IFERROR(__xludf.DUMMYFUNCTION("IFERROR(GOOGLEFINANCE(A461, ""volume"") / GOOGLEFINANCE(A461, ""volumeavg""), 0)"),0.0)</f>
        <v>0</v>
      </c>
      <c r="R461" s="9">
        <f>IFERROR(__xludf.DUMMYFUNCTION("AVERAGE(INDEX(GOOGLEFINANCE(A461, ""price"", TODAY()-30, TODAY()), 0, 2))"),616.2260869565217)</f>
        <v>616.226087</v>
      </c>
      <c r="S461" s="9">
        <f>IFERROR(__xludf.DUMMYFUNCTION("AVERAGE(INDEX(GOOGLEFINANCE(A461, ""price"", TODAY()-75, TODAY()), 0, 2))"),626.466037735849)</f>
        <v>626.4660377</v>
      </c>
      <c r="T461" s="9">
        <f>IFERROR(__xludf.DUMMYFUNCTION("AVERAGE(INDEX(GOOGLEFINANCE(A461, ""price"", TODAY()-300, TODAY()), 0, 2))"),678.0811881188116)</f>
        <v>678.0811881</v>
      </c>
      <c r="U461" s="9">
        <f t="shared" si="5"/>
        <v>-0.04215350097</v>
      </c>
      <c r="V461" s="15">
        <f>IFERROR(__xludf.DUMMYFUNCTION("LET(hist, GOOGLEFINANCE(A461,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rs))))))"),34.89847715736043)</f>
        <v>34.89847716</v>
      </c>
      <c r="W461" s="16" t="str">
        <f>IFERROR(__xludf.DUMMYFUNCTION("IFERROR(GOOGLEFINANCE(A461, ""volume"") / GOOGLEFINANCE(A461, ""volumeavg""), )"),"")</f>
        <v/>
      </c>
      <c r="X461" s="9">
        <f>IFERROR(__xludf.DUMMYFUNCTION("B461 * GOOGLEFINANCE(A461, ""volume"")"),6725308.5)</f>
        <v>6725308.5</v>
      </c>
      <c r="Y461" s="9">
        <f>IFERROR(__xludf.DUMMYFUNCTION("IFERROR(((B461 - GOOGLEFINANCE(A461, ""priceopen"")) / GOOGLEFINANCE(A461, ""priceopen"")) * GOOGLEFINANCE(A461, ""volume""), 0)"),-52.8389544688027)</f>
        <v>-52.83895447</v>
      </c>
    </row>
    <row r="462">
      <c r="A462" s="4" t="s">
        <v>2255</v>
      </c>
      <c r="B462" s="7">
        <f>IFERROR(__xludf.DUMMYFUNCTION("GOOGLEFINANCE(A462, ""price"")"),1901.5)</f>
        <v>1901.5</v>
      </c>
      <c r="C462" s="7">
        <f>IFERROR(__xludf.DUMMYFUNCTION("GOOGLEFINANCE(A462, ""changepct"")"),-0.04)</f>
        <v>-0.04</v>
      </c>
      <c r="D462" s="9">
        <f>IFERROR(__xludf.DUMMYFUNCTION("GOOGLEFINANCE(A462, ""priceopen"")"),1920.1)</f>
        <v>1920.1</v>
      </c>
      <c r="E462" s="9">
        <f>IFERROR(__xludf.DUMMYFUNCTION("GOOGLEFINANCE(A462, ""high"")"),1954.8)</f>
        <v>1954.8</v>
      </c>
      <c r="F462" s="9">
        <f>IFERROR(__xludf.DUMMYFUNCTION("GOOGLEFINANCE(A462, ""low"")"),1891.4)</f>
        <v>1891.4</v>
      </c>
      <c r="G462" s="9">
        <f>IFERROR(__xludf.DUMMYFUNCTION("GOOGLEFINANCE(A462, ""price"")"),1901.5)</f>
        <v>1901.5</v>
      </c>
      <c r="H462" s="9">
        <f>IFERROR(__xludf.DUMMYFUNCTION("MAX(INDEX(GOOGLEFINANCE(A462, ""high"", TODAY()-30, TODAY()), 0, 2))"),1954.8)</f>
        <v>1954.8</v>
      </c>
      <c r="I462" s="9">
        <f>IFERROR(__xludf.DUMMYFUNCTION("MIN(INDEX(GOOGLEFINANCE(A462, ""low"", TODAY()-30, TODAY()), 0, 2))"),1668.1)</f>
        <v>1668.1</v>
      </c>
      <c r="J462" s="9">
        <f>IFERROR(__xludf.DUMMYFUNCTION("GOOGLEFINANCE(A462, ""high52"")"),2275.75)</f>
        <v>2275.75</v>
      </c>
      <c r="K462" s="9">
        <f>IFERROR(__xludf.DUMMYFUNCTION("GOOGLEFINANCE(A462, ""low52"")"),1355.0)</f>
        <v>1355</v>
      </c>
      <c r="L462" s="9">
        <f t="shared" si="1"/>
        <v>0.1644512798</v>
      </c>
      <c r="M462" s="9">
        <f t="shared" si="2"/>
        <v>0.4033210332</v>
      </c>
      <c r="N462" s="9">
        <f t="shared" si="3"/>
        <v>0.03352014381</v>
      </c>
      <c r="O462" s="9">
        <f t="shared" si="4"/>
        <v>0.8140913847</v>
      </c>
      <c r="P462" s="9">
        <f>IFERROR(__xludf.DUMMYFUNCTION("GOOGLEFINANCE(A462, ""pe"")"),88.75)</f>
        <v>88.75</v>
      </c>
      <c r="Q462" s="9">
        <f>IFERROR(__xludf.DUMMYFUNCTION("IFERROR(GOOGLEFINANCE(A462, ""volume"") / GOOGLEFINANCE(A462, ""volumeavg""), 0)"),0.0)</f>
        <v>0</v>
      </c>
      <c r="R462" s="9">
        <f>IFERROR(__xludf.DUMMYFUNCTION("AVERAGE(INDEX(GOOGLEFINANCE(A462, ""price"", TODAY()-30, TODAY()), 0, 2))"),1786.5304347826088)</f>
        <v>1786.530435</v>
      </c>
      <c r="S462" s="9">
        <f>IFERROR(__xludf.DUMMYFUNCTION("AVERAGE(INDEX(GOOGLEFINANCE(A462, ""price"", TODAY()-75, TODAY()), 0, 2))"),1780.0886792452827)</f>
        <v>1780.088679</v>
      </c>
      <c r="T462" s="9">
        <f>IFERROR(__xludf.DUMMYFUNCTION("AVERAGE(INDEX(GOOGLEFINANCE(A462, ""price"", TODAY()-300, TODAY()), 0, 2))"),1787.8391089108911)</f>
        <v>1787.839109</v>
      </c>
      <c r="U462" s="9">
        <f t="shared" si="5"/>
        <v>0.06435354415</v>
      </c>
      <c r="V462" s="15">
        <f>IFERROR(__xludf.DUMMYFUNCTION("LET(hist, GOOGLEFINANCE(A462,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rs))))))"),68.0860123483074)</f>
        <v>68.08601235</v>
      </c>
      <c r="W462" s="16" t="str">
        <f>IFERROR(__xludf.DUMMYFUNCTION("IFERROR(GOOGLEFINANCE(A462, ""volume"") / GOOGLEFINANCE(A462, ""volumeavg""), )"),"")</f>
        <v/>
      </c>
      <c r="X462" s="9">
        <f>IFERROR(__xludf.DUMMYFUNCTION("B462 * GOOGLEFINANCE(A462, ""volume"")"),1.359378547E9)</f>
        <v>1359378547</v>
      </c>
      <c r="Y462" s="9">
        <f>IFERROR(__xludf.DUMMYFUNCTION("IFERROR(((B462 - GOOGLEFINANCE(A462, ""priceopen"")) / GOOGLEFINANCE(A462, ""priceopen"")) * GOOGLEFINANCE(A462, ""volume""), 0)"),-6925.213686787113)</f>
        <v>-6925.213687</v>
      </c>
    </row>
    <row r="463">
      <c r="A463" s="4" t="s">
        <v>2256</v>
      </c>
      <c r="B463" s="7">
        <f>IFERROR(__xludf.DUMMYFUNCTION("GOOGLEFINANCE(A463, ""price"")"),427.0)</f>
        <v>427</v>
      </c>
      <c r="C463" s="7">
        <f>IFERROR(__xludf.DUMMYFUNCTION("GOOGLEFINANCE(A463, ""changepct"")"),1.84)</f>
        <v>1.84</v>
      </c>
      <c r="D463" s="9">
        <f>IFERROR(__xludf.DUMMYFUNCTION("GOOGLEFINANCE(A463, ""priceopen"")"),419.35)</f>
        <v>419.35</v>
      </c>
      <c r="E463" s="9">
        <f>IFERROR(__xludf.DUMMYFUNCTION("GOOGLEFINANCE(A463, ""high"")"),432.1)</f>
        <v>432.1</v>
      </c>
      <c r="F463" s="9">
        <f>IFERROR(__xludf.DUMMYFUNCTION("GOOGLEFINANCE(A463, ""low"")"),417.0)</f>
        <v>417</v>
      </c>
      <c r="G463" s="9">
        <f>IFERROR(__xludf.DUMMYFUNCTION("GOOGLEFINANCE(A463, ""price"")"),427.0)</f>
        <v>427</v>
      </c>
      <c r="H463" s="9">
        <f>IFERROR(__xludf.DUMMYFUNCTION("MAX(INDEX(GOOGLEFINANCE(A463, ""high"", TODAY()-30, TODAY()), 0, 2))"),432.15)</f>
        <v>432.15</v>
      </c>
      <c r="I463" s="9">
        <f>IFERROR(__xludf.DUMMYFUNCTION("MIN(INDEX(GOOGLEFINANCE(A463, ""low"", TODAY()-30, TODAY()), 0, 2))"),368.0)</f>
        <v>368</v>
      </c>
      <c r="J463" s="9">
        <f>IFERROR(__xludf.DUMMYFUNCTION("GOOGLEFINANCE(A463, ""high52"")"),480.0)</f>
        <v>480</v>
      </c>
      <c r="K463" s="9">
        <f>IFERROR(__xludf.DUMMYFUNCTION("GOOGLEFINANCE(A463, ""low52"")"),333.15)</f>
        <v>333.15</v>
      </c>
      <c r="L463" s="9">
        <f t="shared" si="1"/>
        <v>0.1104166667</v>
      </c>
      <c r="M463" s="9">
        <f t="shared" si="2"/>
        <v>0.2817049377</v>
      </c>
      <c r="N463" s="9">
        <f t="shared" si="3"/>
        <v>0.03621103118</v>
      </c>
      <c r="O463" s="9">
        <f t="shared" si="4"/>
        <v>0.9197194076</v>
      </c>
      <c r="P463" s="9" t="str">
        <f>IFERROR(__xludf.DUMMYFUNCTION("GOOGLEFINANCE(A463, ""pe"")"),"#N/A")</f>
        <v>#N/A</v>
      </c>
      <c r="Q463" s="9">
        <f>IFERROR(__xludf.DUMMYFUNCTION("IFERROR(GOOGLEFINANCE(A463, ""volume"") / GOOGLEFINANCE(A463, ""volumeavg""), 0)"),0.0)</f>
        <v>0</v>
      </c>
      <c r="R463" s="9">
        <f>IFERROR(__xludf.DUMMYFUNCTION("AVERAGE(INDEX(GOOGLEFINANCE(A463, ""price"", TODAY()-30, TODAY()), 0, 2))"),396.0347826086956)</f>
        <v>396.0347826</v>
      </c>
      <c r="S463" s="9">
        <f>IFERROR(__xludf.DUMMYFUNCTION("AVERAGE(INDEX(GOOGLEFINANCE(A463, ""price"", TODAY()-75, TODAY()), 0, 2))"),387.6245283018868)</f>
        <v>387.6245283</v>
      </c>
      <c r="T463" s="9">
        <f>IFERROR(__xludf.DUMMYFUNCTION("AVERAGE(INDEX(GOOGLEFINANCE(A463, ""price"", TODAY()-300, TODAY()), 0, 2))"),397.01890547263673)</f>
        <v>397.0189055</v>
      </c>
      <c r="U463" s="9">
        <f t="shared" si="5"/>
        <v>0.07818812577</v>
      </c>
      <c r="V463" s="15">
        <f>IFERROR(__xludf.DUMMYFUNCTION("LET(hist, GOOGLEFINANCE(A463,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rs))))))"),82.21820373719108)</f>
        <v>82.21820374</v>
      </c>
      <c r="W463" s="16" t="str">
        <f>IFERROR(__xludf.DUMMYFUNCTION("IFERROR(GOOGLEFINANCE(A463, ""volume"") / GOOGLEFINANCE(A463, ""volumeavg""), )"),"")</f>
        <v/>
      </c>
      <c r="X463" s="9">
        <f>IFERROR(__xludf.DUMMYFUNCTION("B463 * GOOGLEFINANCE(A463, ""volume"")"),2.14672542E8)</f>
        <v>214672542</v>
      </c>
      <c r="Y463" s="9">
        <f>IFERROR(__xludf.DUMMYFUNCTION("IFERROR(((B463 - GOOGLEFINANCE(A463, ""priceopen"")) / GOOGLEFINANCE(A463, ""priceopen"")) * GOOGLEFINANCE(A463, ""volume""), 0)"),9171.353046381277)</f>
        <v>9171.353046</v>
      </c>
    </row>
    <row r="464">
      <c r="A464" s="4" t="s">
        <v>2257</v>
      </c>
      <c r="B464" s="7">
        <f>IFERROR(__xludf.DUMMYFUNCTION("GOOGLEFINANCE(A464, ""price"")"),1354.8)</f>
        <v>1354.8</v>
      </c>
      <c r="C464" s="7">
        <f>IFERROR(__xludf.DUMMYFUNCTION("GOOGLEFINANCE(A464, ""changepct"")"),-2.78)</f>
        <v>-2.78</v>
      </c>
      <c r="D464" s="9">
        <f>IFERROR(__xludf.DUMMYFUNCTION("GOOGLEFINANCE(A464, ""priceopen"")"),1393.6)</f>
        <v>1393.6</v>
      </c>
      <c r="E464" s="9">
        <f>IFERROR(__xludf.DUMMYFUNCTION("GOOGLEFINANCE(A464, ""high"")"),1398.9)</f>
        <v>1398.9</v>
      </c>
      <c r="F464" s="9">
        <f>IFERROR(__xludf.DUMMYFUNCTION("GOOGLEFINANCE(A464, ""low"")"),1346.2)</f>
        <v>1346.2</v>
      </c>
      <c r="G464" s="9">
        <f>IFERROR(__xludf.DUMMYFUNCTION("GOOGLEFINANCE(A464, ""price"")"),1354.8)</f>
        <v>1354.8</v>
      </c>
      <c r="H464" s="9">
        <f>IFERROR(__xludf.DUMMYFUNCTION("MAX(INDEX(GOOGLEFINANCE(A464, ""high"", TODAY()-30, TODAY()), 0, 2))"),1418.0)</f>
        <v>1418</v>
      </c>
      <c r="I464" s="9">
        <f>IFERROR(__xludf.DUMMYFUNCTION("MIN(INDEX(GOOGLEFINANCE(A464, ""low"", TODAY()-30, TODAY()), 0, 2))"),1086.1)</f>
        <v>1086.1</v>
      </c>
      <c r="J464" s="9">
        <f>IFERROR(__xludf.DUMMYFUNCTION("GOOGLEFINANCE(A464, ""high52"")"),1418.0)</f>
        <v>1418</v>
      </c>
      <c r="K464" s="9">
        <f>IFERROR(__xludf.DUMMYFUNCTION("GOOGLEFINANCE(A464, ""low52"")"),819.0)</f>
        <v>819</v>
      </c>
      <c r="L464" s="9">
        <f t="shared" si="1"/>
        <v>0.04456981664</v>
      </c>
      <c r="M464" s="9">
        <f t="shared" si="2"/>
        <v>0.6542124542</v>
      </c>
      <c r="N464" s="9">
        <f t="shared" si="3"/>
        <v>0.03914722924</v>
      </c>
      <c r="O464" s="9">
        <f t="shared" si="4"/>
        <v>0.8095811992</v>
      </c>
      <c r="P464" s="9">
        <f>IFERROR(__xludf.DUMMYFUNCTION("GOOGLEFINANCE(A464, ""pe"")"),27.63)</f>
        <v>27.63</v>
      </c>
      <c r="Q464" s="9">
        <f>IFERROR(__xludf.DUMMYFUNCTION("IFERROR(GOOGLEFINANCE(A464, ""volume"") / GOOGLEFINANCE(A464, ""volumeavg""), 0)"),0.0)</f>
        <v>0</v>
      </c>
      <c r="R464" s="9">
        <f>IFERROR(__xludf.DUMMYFUNCTION("AVERAGE(INDEX(GOOGLEFINANCE(A464, ""price"", TODAY()-30, TODAY()), 0, 2))"),1203.6913043478262)</f>
        <v>1203.691304</v>
      </c>
      <c r="S464" s="9">
        <f>IFERROR(__xludf.DUMMYFUNCTION("AVERAGE(INDEX(GOOGLEFINANCE(A464, ""price"", TODAY()-75, TODAY()), 0, 2))"),1136.4698113207548)</f>
        <v>1136.469811</v>
      </c>
      <c r="T464" s="9">
        <f>IFERROR(__xludf.DUMMYFUNCTION("AVERAGE(INDEX(GOOGLEFINANCE(A464, ""price"", TODAY()-300, TODAY()), 0, 2))"),998.2331683168317)</f>
        <v>998.2331683</v>
      </c>
      <c r="U464" s="9">
        <f t="shared" si="5"/>
        <v>0.125537748</v>
      </c>
      <c r="V464" s="15">
        <f>IFERROR(__xludf.DUMMYFUNCTION("LET(hist, GOOGLEFINANCE(A464,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rs))))))"),78.61258865248233)</f>
        <v>78.61258865</v>
      </c>
      <c r="W464" s="16" t="str">
        <f>IFERROR(__xludf.DUMMYFUNCTION("IFERROR(GOOGLEFINANCE(A464, ""volume"") / GOOGLEFINANCE(A464, ""volumeavg""), )"),"")</f>
        <v/>
      </c>
      <c r="X464" s="9">
        <f>IFERROR(__xludf.DUMMYFUNCTION("B464 * GOOGLEFINANCE(A464, ""volume"")"),1.1135507639999999E8)</f>
        <v>111355076.4</v>
      </c>
      <c r="Y464" s="9">
        <f>IFERROR(__xludf.DUMMYFUNCTION("IFERROR(((B464 - GOOGLEFINANCE(A464, ""priceopen"")) / GOOGLEFINANCE(A464, ""priceopen"")) * GOOGLEFINANCE(A464, ""volume""), 0)"),-2288.381458094142)</f>
        <v>-2288.381458</v>
      </c>
    </row>
    <row r="465">
      <c r="A465" s="4" t="s">
        <v>2258</v>
      </c>
      <c r="B465" s="7">
        <f>IFERROR(__xludf.DUMMYFUNCTION("GOOGLEFINANCE(A465, ""price"")"),248.44)</f>
        <v>248.44</v>
      </c>
      <c r="C465" s="7">
        <f>IFERROR(__xludf.DUMMYFUNCTION("GOOGLEFINANCE(A465, ""changepct"")"),-0.24)</f>
        <v>-0.24</v>
      </c>
      <c r="D465" s="9">
        <f>IFERROR(__xludf.DUMMYFUNCTION("GOOGLEFINANCE(A465, ""priceopen"")"),249.03)</f>
        <v>249.03</v>
      </c>
      <c r="E465" s="9">
        <f>IFERROR(__xludf.DUMMYFUNCTION("GOOGLEFINANCE(A465, ""high"")"),252.31)</f>
        <v>252.31</v>
      </c>
      <c r="F465" s="9">
        <f>IFERROR(__xludf.DUMMYFUNCTION("GOOGLEFINANCE(A465, ""low"")"),244.22)</f>
        <v>244.22</v>
      </c>
      <c r="G465" s="9">
        <f>IFERROR(__xludf.DUMMYFUNCTION("GOOGLEFINANCE(A465, ""price"")"),248.44)</f>
        <v>248.44</v>
      </c>
      <c r="H465" s="9">
        <f>IFERROR(__xludf.DUMMYFUNCTION("MAX(INDEX(GOOGLEFINANCE(A465, ""high"", TODAY()-30, TODAY()), 0, 2))"),261.5)</f>
        <v>261.5</v>
      </c>
      <c r="I465" s="9">
        <f>IFERROR(__xludf.DUMMYFUNCTION("MIN(INDEX(GOOGLEFINANCE(A465, ""low"", TODAY()-30, TODAY()), 0, 2))"),195.31)</f>
        <v>195.31</v>
      </c>
      <c r="J465" s="9">
        <f>IFERROR(__xludf.DUMMYFUNCTION("GOOGLEFINANCE(A465, ""high52"")"),261.5)</f>
        <v>261.5</v>
      </c>
      <c r="K465" s="9">
        <f>IFERROR(__xludf.DUMMYFUNCTION("GOOGLEFINANCE(A465, ""low52"")"),98.55)</f>
        <v>98.55</v>
      </c>
      <c r="L465" s="9">
        <f t="shared" si="1"/>
        <v>0.04994263862</v>
      </c>
      <c r="M465" s="9">
        <f t="shared" si="2"/>
        <v>1.520953831</v>
      </c>
      <c r="N465" s="9">
        <f t="shared" si="3"/>
        <v>0.03312587012</v>
      </c>
      <c r="O465" s="9">
        <f t="shared" si="4"/>
        <v>0.802689228</v>
      </c>
      <c r="P465" s="9">
        <f>IFERROR(__xludf.DUMMYFUNCTION("GOOGLEFINANCE(A465, ""pe"")"),85.12)</f>
        <v>85.12</v>
      </c>
      <c r="Q465" s="9">
        <f>IFERROR(__xludf.DUMMYFUNCTION("IFERROR(GOOGLEFINANCE(A465, ""volume"") / GOOGLEFINANCE(A465, ""volumeavg""), 0)"),0.0)</f>
        <v>0</v>
      </c>
      <c r="R465" s="9">
        <f>IFERROR(__xludf.DUMMYFUNCTION("AVERAGE(INDEX(GOOGLEFINANCE(A465, ""price"", TODAY()-30, TODAY()), 0, 2))"),226.49391304347827)</f>
        <v>226.493913</v>
      </c>
      <c r="S465" s="9">
        <f>IFERROR(__xludf.DUMMYFUNCTION("AVERAGE(INDEX(GOOGLEFINANCE(A465, ""price"", TODAY()-75, TODAY()), 0, 2))"),220.81603773584908)</f>
        <v>220.8160377</v>
      </c>
      <c r="T465" s="9">
        <f>IFERROR(__xludf.DUMMYFUNCTION("AVERAGE(INDEX(GOOGLEFINANCE(A465, ""price"", TODAY()-300, TODAY()), 0, 2))"),170.2600751879699)</f>
        <v>170.2600752</v>
      </c>
      <c r="U465" s="9">
        <f t="shared" si="5"/>
        <v>0.09689482009</v>
      </c>
      <c r="V465" s="15">
        <f>IFERROR(__xludf.DUMMYFUNCTION("LET(hist, GOOGLEFINANCE(A465,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rs))))))"),69.32260228034873)</f>
        <v>69.32260228</v>
      </c>
      <c r="W465" s="16" t="str">
        <f>IFERROR(__xludf.DUMMYFUNCTION("IFERROR(GOOGLEFINANCE(A465, ""volume"") / GOOGLEFINANCE(A465, ""volumeavg""), )"),"")</f>
        <v/>
      </c>
      <c r="X465" s="9">
        <f>IFERROR(__xludf.DUMMYFUNCTION("B465 * GOOGLEFINANCE(A465, ""volume"")"),1.03391013996E9)</f>
        <v>1033910140</v>
      </c>
      <c r="Y465" s="9">
        <f>IFERROR(__xludf.DUMMYFUNCTION("IFERROR(((B465 - GOOGLEFINANCE(A465, ""priceopen"")) / GOOGLEFINANCE(A465, ""priceopen"")) * GOOGLEFINANCE(A465, ""volume""), 0)"),-9859.652692446749)</f>
        <v>-9859.652692</v>
      </c>
    </row>
    <row r="466">
      <c r="A466" s="4" t="s">
        <v>2259</v>
      </c>
      <c r="B466" s="7">
        <f>IFERROR(__xludf.DUMMYFUNCTION("GOOGLEFINANCE(A466, ""price"")"),3577.8)</f>
        <v>3577.8</v>
      </c>
      <c r="C466" s="7">
        <f>IFERROR(__xludf.DUMMYFUNCTION("GOOGLEFINANCE(A466, ""changepct"")"),-0.25)</f>
        <v>-0.25</v>
      </c>
      <c r="D466" s="9">
        <f>IFERROR(__xludf.DUMMYFUNCTION("GOOGLEFINANCE(A466, ""priceopen"")"),3582.1)</f>
        <v>3582.1</v>
      </c>
      <c r="E466" s="9">
        <f>IFERROR(__xludf.DUMMYFUNCTION("GOOGLEFINANCE(A466, ""high"")"),3603.2)</f>
        <v>3603.2</v>
      </c>
      <c r="F466" s="9">
        <f>IFERROR(__xludf.DUMMYFUNCTION("GOOGLEFINANCE(A466, ""low"")"),3552.5)</f>
        <v>3552.5</v>
      </c>
      <c r="G466" s="9">
        <f>IFERROR(__xludf.DUMMYFUNCTION("GOOGLEFINANCE(A466, ""price"")"),3577.8)</f>
        <v>3577.8</v>
      </c>
      <c r="H466" s="9">
        <f>IFERROR(__xludf.DUMMYFUNCTION("MAX(INDEX(GOOGLEFINANCE(A466, ""high"", TODAY()-30, TODAY()), 0, 2))"),3785.3)</f>
        <v>3785.3</v>
      </c>
      <c r="I466" s="9">
        <f>IFERROR(__xludf.DUMMYFUNCTION("MIN(INDEX(GOOGLEFINANCE(A466, ""low"", TODAY()-30, TODAY()), 0, 2))"),3491.0)</f>
        <v>3491</v>
      </c>
      <c r="J466" s="9">
        <f>IFERROR(__xludf.DUMMYFUNCTION("GOOGLEFINANCE(A466, ""high52"")"),3785.3)</f>
        <v>3785.3</v>
      </c>
      <c r="K466" s="9">
        <f>IFERROR(__xludf.DUMMYFUNCTION("GOOGLEFINANCE(A466, ""low52"")"),2193.9)</f>
        <v>2193.9</v>
      </c>
      <c r="L466" s="9">
        <f t="shared" si="1"/>
        <v>0.05481731963</v>
      </c>
      <c r="M466" s="9">
        <f t="shared" si="2"/>
        <v>0.6307944756</v>
      </c>
      <c r="N466" s="9">
        <f t="shared" si="3"/>
        <v>0.01427163969</v>
      </c>
      <c r="O466" s="9">
        <f t="shared" si="4"/>
        <v>0.294937139</v>
      </c>
      <c r="P466" s="9">
        <f>IFERROR(__xludf.DUMMYFUNCTION("GOOGLEFINANCE(A466, ""pe"")"),39.95)</f>
        <v>39.95</v>
      </c>
      <c r="Q466" s="9">
        <f>IFERROR(__xludf.DUMMYFUNCTION("IFERROR(GOOGLEFINANCE(A466, ""volume"") / GOOGLEFINANCE(A466, ""volumeavg""), 0)"),0.0)</f>
        <v>0</v>
      </c>
      <c r="R466" s="9">
        <f>IFERROR(__xludf.DUMMYFUNCTION("AVERAGE(INDEX(GOOGLEFINANCE(A466, ""price"", TODAY()-30, TODAY()), 0, 2))"),3640.5782608695654)</f>
        <v>3640.578261</v>
      </c>
      <c r="S466" s="9">
        <f>IFERROR(__xludf.DUMMYFUNCTION("AVERAGE(INDEX(GOOGLEFINANCE(A466, ""price"", TODAY()-75, TODAY()), 0, 2))"),3544.1433962264164)</f>
        <v>3544.143396</v>
      </c>
      <c r="T466" s="9">
        <f>IFERROR(__xludf.DUMMYFUNCTION("AVERAGE(INDEX(GOOGLEFINANCE(A466, ""price"", TODAY()-300, TODAY()), 0, 2))"),3151.043564356435)</f>
        <v>3151.043564</v>
      </c>
      <c r="U466" s="9">
        <f t="shared" si="5"/>
        <v>-0.01724403553</v>
      </c>
      <c r="V466" s="15">
        <f>IFERROR(__xludf.DUMMYFUNCTION("LET(hist, GOOGLEFINANCE(A466,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rs))))))"),49.456187153704064)</f>
        <v>49.45618715</v>
      </c>
      <c r="W466" s="16" t="str">
        <f>IFERROR(__xludf.DUMMYFUNCTION("IFERROR(GOOGLEFINANCE(A466, ""volume"") / GOOGLEFINANCE(A466, ""volumeavg""), )"),"")</f>
        <v/>
      </c>
      <c r="X466" s="9">
        <f>IFERROR(__xludf.DUMMYFUNCTION("B466 * GOOGLEFINANCE(A466, ""volume"")"),1.754803566E8)</f>
        <v>175480356.6</v>
      </c>
      <c r="Y466" s="9">
        <f>IFERROR(__xludf.DUMMYFUNCTION("IFERROR(((B466 - GOOGLEFINANCE(A466, ""priceopen"")) / GOOGLEFINANCE(A466, ""priceopen"")) * GOOGLEFINANCE(A466, ""volume""), 0)"),-58.8766645263914)</f>
        <v>-58.87666453</v>
      </c>
    </row>
    <row r="467">
      <c r="A467" s="4" t="s">
        <v>2260</v>
      </c>
      <c r="B467" s="7">
        <f>IFERROR(__xludf.DUMMYFUNCTION("GOOGLEFINANCE(A467, ""price"")"),139.55)</f>
        <v>139.55</v>
      </c>
      <c r="C467" s="7">
        <f>IFERROR(__xludf.DUMMYFUNCTION("GOOGLEFINANCE(A467, ""changepct"")"),-2.27)</f>
        <v>-2.27</v>
      </c>
      <c r="D467" s="9">
        <f>IFERROR(__xludf.DUMMYFUNCTION("GOOGLEFINANCE(A467, ""priceopen"")"),142.1)</f>
        <v>142.1</v>
      </c>
      <c r="E467" s="9">
        <f>IFERROR(__xludf.DUMMYFUNCTION("GOOGLEFINANCE(A467, ""high"")"),142.1)</f>
        <v>142.1</v>
      </c>
      <c r="F467" s="9">
        <f>IFERROR(__xludf.DUMMYFUNCTION("GOOGLEFINANCE(A467, ""low"")"),137.0)</f>
        <v>137</v>
      </c>
      <c r="G467" s="9">
        <f>IFERROR(__xludf.DUMMYFUNCTION("GOOGLEFINANCE(A467, ""price"")"),139.55)</f>
        <v>139.55</v>
      </c>
      <c r="H467" s="9">
        <f>IFERROR(__xludf.DUMMYFUNCTION("MAX(INDEX(GOOGLEFINANCE(A467, ""high"", TODAY()-30, TODAY()), 0, 2))"),144.7)</f>
        <v>144.7</v>
      </c>
      <c r="I467" s="9">
        <f>IFERROR(__xludf.DUMMYFUNCTION("MIN(INDEX(GOOGLEFINANCE(A467, ""low"", TODAY()-30, TODAY()), 0, 2))"),107.0)</f>
        <v>107</v>
      </c>
      <c r="J467" s="9">
        <f>IFERROR(__xludf.DUMMYFUNCTION("GOOGLEFINANCE(A467, ""high52"")"),191.0)</f>
        <v>191</v>
      </c>
      <c r="K467" s="9">
        <f>IFERROR(__xludf.DUMMYFUNCTION("GOOGLEFINANCE(A467, ""low52"")"),91.55)</f>
        <v>91.55</v>
      </c>
      <c r="L467" s="9">
        <f t="shared" si="1"/>
        <v>0.2693717277</v>
      </c>
      <c r="M467" s="9">
        <f t="shared" si="2"/>
        <v>0.5243036592</v>
      </c>
      <c r="N467" s="9">
        <f t="shared" si="3"/>
        <v>0.03722627737</v>
      </c>
      <c r="O467" s="9">
        <f t="shared" si="4"/>
        <v>0.8633952255</v>
      </c>
      <c r="P467" s="9" t="str">
        <f>IFERROR(__xludf.DUMMYFUNCTION("GOOGLEFINANCE(A467, ""pe"")"),"#N/A")</f>
        <v>#N/A</v>
      </c>
      <c r="Q467" s="9">
        <f>IFERROR(__xludf.DUMMYFUNCTION("IFERROR(GOOGLEFINANCE(A467, ""volume"") / GOOGLEFINANCE(A467, ""volumeavg""), 0)"),0.0)</f>
        <v>0</v>
      </c>
      <c r="R467" s="9">
        <f>IFERROR(__xludf.DUMMYFUNCTION("AVERAGE(INDEX(GOOGLEFINANCE(A467, ""price"", TODAY()-30, TODAY()), 0, 2))"),118.73521739130435)</f>
        <v>118.7352174</v>
      </c>
      <c r="S467" s="9">
        <f>IFERROR(__xludf.DUMMYFUNCTION("AVERAGE(INDEX(GOOGLEFINANCE(A467, ""price"", TODAY()-75, TODAY()), 0, 2))"),115.5335849056604)</f>
        <v>115.5335849</v>
      </c>
      <c r="T467" s="9">
        <f>IFERROR(__xludf.DUMMYFUNCTION("AVERAGE(INDEX(GOOGLEFINANCE(A467, ""price"", TODAY()-300, TODAY()), 0, 2))"),124.95930348258707)</f>
        <v>124.9593035</v>
      </c>
      <c r="U467" s="9">
        <f t="shared" si="5"/>
        <v>0.1753042026</v>
      </c>
      <c r="V467" s="15">
        <f>IFERROR(__xludf.DUMMYFUNCTION("LET(hist, GOOGLEFINANCE(A467,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rs))))))"),78.26005961251866)</f>
        <v>78.26005961</v>
      </c>
      <c r="W467" s="16" t="str">
        <f>IFERROR(__xludf.DUMMYFUNCTION("IFERROR(GOOGLEFINANCE(A467, ""volume"") / GOOGLEFINANCE(A467, ""volumeavg""), )"),"")</f>
        <v/>
      </c>
      <c r="X467" s="9">
        <f>IFERROR(__xludf.DUMMYFUNCTION("B467 * GOOGLEFINANCE(A467, ""volume"")"),8.120548468000001E8)</f>
        <v>812054846.8</v>
      </c>
      <c r="Y467" s="9">
        <f>IFERROR(__xludf.DUMMYFUNCTION("IFERROR(((B467 - GOOGLEFINANCE(A467, ""priceopen"")) / GOOGLEFINANCE(A467, ""priceopen"")) * GOOGLEFINANCE(A467, ""volume""), 0)"),-104424.3124560162)</f>
        <v>-104424.3125</v>
      </c>
    </row>
    <row r="468">
      <c r="A468" s="4" t="s">
        <v>2261</v>
      </c>
      <c r="B468" s="7">
        <f>IFERROR(__xludf.DUMMYFUNCTION("GOOGLEFINANCE(A468, ""price"")"),639.1)</f>
        <v>639.1</v>
      </c>
      <c r="C468" s="7">
        <f>IFERROR(__xludf.DUMMYFUNCTION("GOOGLEFINANCE(A468, ""changepct"")"),-3.09)</f>
        <v>-3.09</v>
      </c>
      <c r="D468" s="9">
        <f>IFERROR(__xludf.DUMMYFUNCTION("GOOGLEFINANCE(A468, ""priceopen"")"),664.0)</f>
        <v>664</v>
      </c>
      <c r="E468" s="9">
        <f>IFERROR(__xludf.DUMMYFUNCTION("GOOGLEFINANCE(A468, ""high"")"),669.0)</f>
        <v>669</v>
      </c>
      <c r="F468" s="9">
        <f>IFERROR(__xludf.DUMMYFUNCTION("GOOGLEFINANCE(A468, ""low"")"),636.0)</f>
        <v>636</v>
      </c>
      <c r="G468" s="9">
        <f>IFERROR(__xludf.DUMMYFUNCTION("GOOGLEFINANCE(A468, ""price"")"),639.1)</f>
        <v>639.1</v>
      </c>
      <c r="H468" s="9">
        <f>IFERROR(__xludf.DUMMYFUNCTION("MAX(INDEX(GOOGLEFINANCE(A468, ""high"", TODAY()-30, TODAY()), 0, 2))"),699.0)</f>
        <v>699</v>
      </c>
      <c r="I468" s="9">
        <f>IFERROR(__xludf.DUMMYFUNCTION("MIN(INDEX(GOOGLEFINANCE(A468, ""low"", TODAY()-30, TODAY()), 0, 2))"),551.0)</f>
        <v>551</v>
      </c>
      <c r="J468" s="9">
        <f>IFERROR(__xludf.DUMMYFUNCTION("GOOGLEFINANCE(A468, ""high52"")"),699.0)</f>
        <v>699</v>
      </c>
      <c r="K468" s="9">
        <f>IFERROR(__xludf.DUMMYFUNCTION("GOOGLEFINANCE(A468, ""low52"")"),310.2)</f>
        <v>310.2</v>
      </c>
      <c r="L468" s="9">
        <f t="shared" si="1"/>
        <v>0.08569384835</v>
      </c>
      <c r="M468" s="9">
        <f t="shared" si="2"/>
        <v>1.060283688</v>
      </c>
      <c r="N468" s="9">
        <f t="shared" si="3"/>
        <v>0.05188679245</v>
      </c>
      <c r="O468" s="9">
        <f t="shared" si="4"/>
        <v>0.5952702703</v>
      </c>
      <c r="P468" s="9">
        <f>IFERROR(__xludf.DUMMYFUNCTION("GOOGLEFINANCE(A468, ""pe"")"),186.33)</f>
        <v>186.33</v>
      </c>
      <c r="Q468" s="9">
        <f>IFERROR(__xludf.DUMMYFUNCTION("IFERROR(GOOGLEFINANCE(A468, ""volume"") / GOOGLEFINANCE(A468, ""volumeavg""), 0)"),0.0)</f>
        <v>0</v>
      </c>
      <c r="R468" s="9">
        <f>IFERROR(__xludf.DUMMYFUNCTION("AVERAGE(INDEX(GOOGLEFINANCE(A468, ""price"", TODAY()-30, TODAY()), 0, 2))"),626.5369565217393)</f>
        <v>626.5369565</v>
      </c>
      <c r="S468" s="9">
        <f>IFERROR(__xludf.DUMMYFUNCTION("AVERAGE(INDEX(GOOGLEFINANCE(A468, ""price"", TODAY()-75, TODAY()), 0, 2))"),546.3566037735849)</f>
        <v>546.3566038</v>
      </c>
      <c r="T468" s="9">
        <f>IFERROR(__xludf.DUMMYFUNCTION("AVERAGE(INDEX(GOOGLEFINANCE(A468, ""price"", TODAY()-300, TODAY()), 0, 2))"),443.42481751824806)</f>
        <v>443.4248175</v>
      </c>
      <c r="U468" s="9">
        <f t="shared" si="5"/>
        <v>0.02005156016</v>
      </c>
      <c r="V468" s="15">
        <f>IFERROR(__xludf.DUMMYFUNCTION("LET(hist, GOOGLEFINANCE(A468,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rs))))))"),45.710594315245466)</f>
        <v>45.71059432</v>
      </c>
      <c r="W468" s="16" t="str">
        <f>IFERROR(__xludf.DUMMYFUNCTION("IFERROR(GOOGLEFINANCE(A468, ""volume"") / GOOGLEFINANCE(A468, ""volumeavg""), )"),"")</f>
        <v/>
      </c>
      <c r="X468" s="9">
        <f>IFERROR(__xludf.DUMMYFUNCTION("B468 * GOOGLEFINANCE(A468, ""volume"")"),1.199686565E8)</f>
        <v>119968656.5</v>
      </c>
      <c r="Y468" s="9">
        <f>IFERROR(__xludf.DUMMYFUNCTION("IFERROR(((B468 - GOOGLEFINANCE(A468, ""priceopen"")) / GOOGLEFINANCE(A468, ""priceopen"")) * GOOGLEFINANCE(A468, ""volume""), 0)"),-7039.312499999994)</f>
        <v>-7039.3125</v>
      </c>
    </row>
    <row r="469">
      <c r="A469" s="4" t="s">
        <v>2262</v>
      </c>
      <c r="B469" s="7">
        <f>IFERROR(__xludf.DUMMYFUNCTION("GOOGLEFINANCE(A469, ""price"")"),3450.0)</f>
        <v>3450</v>
      </c>
      <c r="C469" s="7">
        <f>IFERROR(__xludf.DUMMYFUNCTION("GOOGLEFINANCE(A469, ""changepct"")"),-0.23)</f>
        <v>-0.23</v>
      </c>
      <c r="D469" s="9">
        <f>IFERROR(__xludf.DUMMYFUNCTION("GOOGLEFINANCE(A469, ""priceopen"")"),3457.9)</f>
        <v>3457.9</v>
      </c>
      <c r="E469" s="9">
        <f>IFERROR(__xludf.DUMMYFUNCTION("GOOGLEFINANCE(A469, ""high"")"),3496.3)</f>
        <v>3496.3</v>
      </c>
      <c r="F469" s="9">
        <f>IFERROR(__xludf.DUMMYFUNCTION("GOOGLEFINANCE(A469, ""low"")"),3402.5)</f>
        <v>3402.5</v>
      </c>
      <c r="G469" s="9">
        <f>IFERROR(__xludf.DUMMYFUNCTION("GOOGLEFINANCE(A469, ""price"")"),3450.0)</f>
        <v>3450</v>
      </c>
      <c r="H469" s="9">
        <f>IFERROR(__xludf.DUMMYFUNCTION("MAX(INDEX(GOOGLEFINANCE(A469, ""high"", TODAY()-30, TODAY()), 0, 2))"),3615.2)</f>
        <v>3615.2</v>
      </c>
      <c r="I469" s="9">
        <f>IFERROR(__xludf.DUMMYFUNCTION("MIN(INDEX(GOOGLEFINANCE(A469, ""low"", TODAY()-30, TODAY()), 0, 2))"),2666.3)</f>
        <v>2666.3</v>
      </c>
      <c r="J469" s="9">
        <f>IFERROR(__xludf.DUMMYFUNCTION("GOOGLEFINANCE(A469, ""high52"")"),3615.2)</f>
        <v>3615.2</v>
      </c>
      <c r="K469" s="9">
        <f>IFERROR(__xludf.DUMMYFUNCTION("GOOGLEFINANCE(A469, ""low52"")"),1683.8)</f>
        <v>1683.8</v>
      </c>
      <c r="L469" s="9">
        <f t="shared" si="1"/>
        <v>0.04569595043</v>
      </c>
      <c r="M469" s="9">
        <f t="shared" si="2"/>
        <v>1.048936928</v>
      </c>
      <c r="N469" s="9">
        <f t="shared" si="3"/>
        <v>0.02756796473</v>
      </c>
      <c r="O469" s="9">
        <f t="shared" si="4"/>
        <v>0.8259036779</v>
      </c>
      <c r="P469" s="9">
        <f>IFERROR(__xludf.DUMMYFUNCTION("GOOGLEFINANCE(A469, ""pe"")"),93.67)</f>
        <v>93.67</v>
      </c>
      <c r="Q469" s="9">
        <f>IFERROR(__xludf.DUMMYFUNCTION("IFERROR(GOOGLEFINANCE(A469, ""volume"") / GOOGLEFINANCE(A469, ""volumeavg""), 0)"),0.0)</f>
        <v>0</v>
      </c>
      <c r="R469" s="9">
        <f>IFERROR(__xludf.DUMMYFUNCTION("AVERAGE(INDEX(GOOGLEFINANCE(A469, ""price"", TODAY()-30, TODAY()), 0, 2))"),3020.5434782608695)</f>
        <v>3020.543478</v>
      </c>
      <c r="S469" s="9">
        <f>IFERROR(__xludf.DUMMYFUNCTION("AVERAGE(INDEX(GOOGLEFINANCE(A469, ""price"", TODAY()-75, TODAY()), 0, 2))"),2961.467924528302)</f>
        <v>2961.467925</v>
      </c>
      <c r="T469" s="9">
        <f>IFERROR(__xludf.DUMMYFUNCTION("AVERAGE(INDEX(GOOGLEFINANCE(A469, ""price"", TODAY()-300, TODAY()), 0, 2))"),2464.5688118811877)</f>
        <v>2464.568812</v>
      </c>
      <c r="U469" s="9">
        <f t="shared" si="5"/>
        <v>0.1421785599</v>
      </c>
      <c r="V469" s="15">
        <f>IFERROR(__xludf.DUMMYFUNCTION("LET(hist, GOOGLEFINANCE(A469,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rs))))))"),74.22213271573858)</f>
        <v>74.22213272</v>
      </c>
      <c r="W469" s="16" t="str">
        <f>IFERROR(__xludf.DUMMYFUNCTION("IFERROR(GOOGLEFINANCE(A469, ""volume"") / GOOGLEFINANCE(A469, ""volumeavg""), )"),"")</f>
        <v/>
      </c>
      <c r="X469" s="9">
        <f>IFERROR(__xludf.DUMMYFUNCTION("B469 * GOOGLEFINANCE(A469, ""volume"")"),5.22054E8)</f>
        <v>522054000</v>
      </c>
      <c r="Y469" s="9">
        <f>IFERROR(__xludf.DUMMYFUNCTION("IFERROR(((B469 - GOOGLEFINANCE(A469, ""priceopen"")) / GOOGLEFINANCE(A469, ""priceopen"")) * GOOGLEFINANCE(A469, ""volume""), 0)"),-345.70924549582514)</f>
        <v>-345.7092455</v>
      </c>
    </row>
    <row r="470">
      <c r="A470" s="4" t="s">
        <v>2263</v>
      </c>
      <c r="B470" s="7">
        <f>IFERROR(__xludf.DUMMYFUNCTION("GOOGLEFINANCE(A470, ""price"")"),825.1)</f>
        <v>825.1</v>
      </c>
      <c r="C470" s="7">
        <f>IFERROR(__xludf.DUMMYFUNCTION("GOOGLEFINANCE(A470, ""changepct"")"),-0.39)</f>
        <v>-0.39</v>
      </c>
      <c r="D470" s="9">
        <f>IFERROR(__xludf.DUMMYFUNCTION("GOOGLEFINANCE(A470, ""priceopen"")"),828.0)</f>
        <v>828</v>
      </c>
      <c r="E470" s="9">
        <f>IFERROR(__xludf.DUMMYFUNCTION("GOOGLEFINANCE(A470, ""high"")"),832.75)</f>
        <v>832.75</v>
      </c>
      <c r="F470" s="9">
        <f>IFERROR(__xludf.DUMMYFUNCTION("GOOGLEFINANCE(A470, ""low"")"),812.15)</f>
        <v>812.15</v>
      </c>
      <c r="G470" s="9">
        <f>IFERROR(__xludf.DUMMYFUNCTION("GOOGLEFINANCE(A470, ""price"")"),825.1)</f>
        <v>825.1</v>
      </c>
      <c r="H470" s="9">
        <f>IFERROR(__xludf.DUMMYFUNCTION("MAX(INDEX(GOOGLEFINANCE(A470, ""high"", TODAY()-30, TODAY()), 0, 2))"),900.0)</f>
        <v>900</v>
      </c>
      <c r="I470" s="9">
        <f>IFERROR(__xludf.DUMMYFUNCTION("MIN(INDEX(GOOGLEFINANCE(A470, ""low"", TODAY()-30, TODAY()), 0, 2))"),760.7)</f>
        <v>760.7</v>
      </c>
      <c r="J470" s="9">
        <f>IFERROR(__xludf.DUMMYFUNCTION("GOOGLEFINANCE(A470, ""high52"")"),1118.0)</f>
        <v>1118</v>
      </c>
      <c r="K470" s="9">
        <f>IFERROR(__xludf.DUMMYFUNCTION("GOOGLEFINANCE(A470, ""low52"")"),733.7)</f>
        <v>733.7</v>
      </c>
      <c r="L470" s="9">
        <f t="shared" si="1"/>
        <v>0.2619856887</v>
      </c>
      <c r="M470" s="9">
        <f t="shared" si="2"/>
        <v>0.1245740766</v>
      </c>
      <c r="N470" s="9">
        <f t="shared" si="3"/>
        <v>0.02536477252</v>
      </c>
      <c r="O470" s="9">
        <f t="shared" si="4"/>
        <v>0.4623115578</v>
      </c>
      <c r="P470" s="9">
        <f>IFERROR(__xludf.DUMMYFUNCTION("GOOGLEFINANCE(A470, ""pe"")"),44.55)</f>
        <v>44.55</v>
      </c>
      <c r="Q470" s="9">
        <f>IFERROR(__xludf.DUMMYFUNCTION("IFERROR(GOOGLEFINANCE(A470, ""volume"") / GOOGLEFINANCE(A470, ""volumeavg""), 0)"),0.0)</f>
        <v>0</v>
      </c>
      <c r="R470" s="9">
        <f>IFERROR(__xludf.DUMMYFUNCTION("AVERAGE(INDEX(GOOGLEFINANCE(A470, ""price"", TODAY()-30, TODAY()), 0, 2))"),827.5586956521737)</f>
        <v>827.5586957</v>
      </c>
      <c r="S470" s="9">
        <f>IFERROR(__xludf.DUMMYFUNCTION("AVERAGE(INDEX(GOOGLEFINANCE(A470, ""price"", TODAY()-75, TODAY()), 0, 2))"),889.4915094339625)</f>
        <v>889.4915094</v>
      </c>
      <c r="T470" s="9">
        <f>IFERROR(__xludf.DUMMYFUNCTION("AVERAGE(INDEX(GOOGLEFINANCE(A470, ""price"", TODAY()-300, TODAY()), 0, 2))"),883.1634453781514)</f>
        <v>883.1634454</v>
      </c>
      <c r="U470" s="9">
        <f t="shared" si="5"/>
        <v>-0.002971022678</v>
      </c>
      <c r="V470" s="15">
        <f>IFERROR(__xludf.DUMMYFUNCTION("LET(hist, GOOGLEFINANCE(A470,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rs))))))"),42.28686058174522)</f>
        <v>42.28686058</v>
      </c>
      <c r="W470" s="16" t="str">
        <f>IFERROR(__xludf.DUMMYFUNCTION("IFERROR(GOOGLEFINANCE(A470, ""volume"") / GOOGLEFINANCE(A470, ""volumeavg""), )"),"")</f>
        <v/>
      </c>
      <c r="X470" s="9">
        <f>IFERROR(__xludf.DUMMYFUNCTION("B470 * GOOGLEFINANCE(A470, ""volume"")"),1.218482927E8)</f>
        <v>121848292.7</v>
      </c>
      <c r="Y470" s="9">
        <f>IFERROR(__xludf.DUMMYFUNCTION("IFERROR(((B470 - GOOGLEFINANCE(A470, ""priceopen"")) / GOOGLEFINANCE(A470, ""priceopen"")) * GOOGLEFINANCE(A470, ""volume""), 0)"),-517.2262077294645)</f>
        <v>-517.2262077</v>
      </c>
    </row>
    <row r="471">
      <c r="A471" s="4" t="s">
        <v>2264</v>
      </c>
      <c r="B471" s="7">
        <f>IFERROR(__xludf.DUMMYFUNCTION("GOOGLEFINANCE(A471, ""price"")"),72.35)</f>
        <v>72.35</v>
      </c>
      <c r="C471" s="7">
        <f>IFERROR(__xludf.DUMMYFUNCTION("GOOGLEFINANCE(A471, ""changepct"")"),3.15)</f>
        <v>3.15</v>
      </c>
      <c r="D471" s="9">
        <f>IFERROR(__xludf.DUMMYFUNCTION("GOOGLEFINANCE(A471, ""priceopen"")"),70.39)</f>
        <v>70.39</v>
      </c>
      <c r="E471" s="9">
        <f>IFERROR(__xludf.DUMMYFUNCTION("GOOGLEFINANCE(A471, ""high"")"),72.68)</f>
        <v>72.68</v>
      </c>
      <c r="F471" s="9">
        <f>IFERROR(__xludf.DUMMYFUNCTION("GOOGLEFINANCE(A471, ""low"")"),70.23)</f>
        <v>70.23</v>
      </c>
      <c r="G471" s="9">
        <f>IFERROR(__xludf.DUMMYFUNCTION("GOOGLEFINANCE(A471, ""price"")"),72.35)</f>
        <v>72.35</v>
      </c>
      <c r="H471" s="9">
        <f>IFERROR(__xludf.DUMMYFUNCTION("MAX(INDEX(GOOGLEFINANCE(A471, ""high"", TODAY()-30, TODAY()), 0, 2))"),73.29)</f>
        <v>73.29</v>
      </c>
      <c r="I471" s="9">
        <f>IFERROR(__xludf.DUMMYFUNCTION("MIN(INDEX(GOOGLEFINANCE(A471, ""low"", TODAY()-30, TODAY()), 0, 2))"),61.75)</f>
        <v>61.75</v>
      </c>
      <c r="J471" s="9">
        <f>IFERROR(__xludf.DUMMYFUNCTION("GOOGLEFINANCE(A471, ""high52"")"),73.29)</f>
        <v>73.29</v>
      </c>
      <c r="K471" s="9">
        <f>IFERROR(__xludf.DUMMYFUNCTION("GOOGLEFINANCE(A471, ""low52"")"),41.32)</f>
        <v>41.32</v>
      </c>
      <c r="L471" s="9">
        <f t="shared" si="1"/>
        <v>0.01282576068</v>
      </c>
      <c r="M471" s="9">
        <f t="shared" si="2"/>
        <v>0.7509680542</v>
      </c>
      <c r="N471" s="9">
        <f t="shared" si="3"/>
        <v>0.03488537662</v>
      </c>
      <c r="O471" s="9">
        <f t="shared" si="4"/>
        <v>0.9185441941</v>
      </c>
      <c r="P471" s="9">
        <f>IFERROR(__xludf.DUMMYFUNCTION("GOOGLEFINANCE(A471, ""pe"")"),15.8)</f>
        <v>15.8</v>
      </c>
      <c r="Q471" s="9">
        <f>IFERROR(__xludf.DUMMYFUNCTION("IFERROR(GOOGLEFINANCE(A471, ""volume"") / GOOGLEFINANCE(A471, ""volumeavg""), 0)"),0.0)</f>
        <v>0</v>
      </c>
      <c r="R471" s="9">
        <f>IFERROR(__xludf.DUMMYFUNCTION("AVERAGE(INDEX(GOOGLEFINANCE(A471, ""price"", TODAY()-30, TODAY()), 0, 2))"),68.84652173913042)</f>
        <v>68.84652174</v>
      </c>
      <c r="S471" s="9">
        <f>IFERROR(__xludf.DUMMYFUNCTION("AVERAGE(INDEX(GOOGLEFINANCE(A471, ""price"", TODAY()-75, TODAY()), 0, 2))"),62.12924528301888)</f>
        <v>62.12924528</v>
      </c>
      <c r="T471" s="9">
        <f>IFERROR(__xludf.DUMMYFUNCTION("AVERAGE(INDEX(GOOGLEFINANCE(A471, ""price"", TODAY()-300, TODAY()), 0, 2))"),57.80782178217821)</f>
        <v>57.80782178</v>
      </c>
      <c r="U471" s="9">
        <f t="shared" si="5"/>
        <v>0.05088823912</v>
      </c>
      <c r="V471" s="15">
        <f>IFERROR(__xludf.DUMMYFUNCTION("LET(hist, GOOGLEFINANCE(A471,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rs))))))"),61.6279069767442)</f>
        <v>61.62790698</v>
      </c>
      <c r="W471" s="16" t="str">
        <f>IFERROR(__xludf.DUMMYFUNCTION("IFERROR(GOOGLEFINANCE(A471, ""volume"") / GOOGLEFINANCE(A471, ""volumeavg""), )"),"")</f>
        <v/>
      </c>
      <c r="X471" s="9">
        <f>IFERROR(__xludf.DUMMYFUNCTION("B471 * GOOGLEFINANCE(A471, ""volume"")"),1.30682657775E9)</f>
        <v>1306826578</v>
      </c>
      <c r="Y471" s="9">
        <f>IFERROR(__xludf.DUMMYFUNCTION("IFERROR(((B471 - GOOGLEFINANCE(A471, ""priceopen"")) / GOOGLEFINANCE(A471, ""priceopen"")) * GOOGLEFINANCE(A471, ""volume""), 0)"),502949.6718283831)</f>
        <v>502949.6718</v>
      </c>
    </row>
    <row r="472">
      <c r="A472" s="4" t="s">
        <v>2265</v>
      </c>
      <c r="B472" s="7">
        <f>IFERROR(__xludf.DUMMYFUNCTION("GOOGLEFINANCE(A472, ""price"")"),379.0)</f>
        <v>379</v>
      </c>
      <c r="C472" s="7">
        <f>IFERROR(__xludf.DUMMYFUNCTION("GOOGLEFINANCE(A472, ""changepct"")"),-2.5)</f>
        <v>-2.5</v>
      </c>
      <c r="D472" s="9">
        <f>IFERROR(__xludf.DUMMYFUNCTION("GOOGLEFINANCE(A472, ""priceopen"")"),389.7)</f>
        <v>389.7</v>
      </c>
      <c r="E472" s="9">
        <f>IFERROR(__xludf.DUMMYFUNCTION("GOOGLEFINANCE(A472, ""high"")"),391.0)</f>
        <v>391</v>
      </c>
      <c r="F472" s="9">
        <f>IFERROR(__xludf.DUMMYFUNCTION("GOOGLEFINANCE(A472, ""low"")"),378.0)</f>
        <v>378</v>
      </c>
      <c r="G472" s="9">
        <f>IFERROR(__xludf.DUMMYFUNCTION("GOOGLEFINANCE(A472, ""price"")"),379.0)</f>
        <v>379</v>
      </c>
      <c r="H472" s="9">
        <f>IFERROR(__xludf.DUMMYFUNCTION("MAX(INDEX(GOOGLEFINANCE(A472, ""high"", TODAY()-30, TODAY()), 0, 2))"),412.5)</f>
        <v>412.5</v>
      </c>
      <c r="I472" s="9">
        <f>IFERROR(__xludf.DUMMYFUNCTION("MIN(INDEX(GOOGLEFINANCE(A472, ""low"", TODAY()-30, TODAY()), 0, 2))"),374.0)</f>
        <v>374</v>
      </c>
      <c r="J472" s="9">
        <f>IFERROR(__xludf.DUMMYFUNCTION("GOOGLEFINANCE(A472, ""high52"")"),466.5)</f>
        <v>466.5</v>
      </c>
      <c r="K472" s="9">
        <f>IFERROR(__xludf.DUMMYFUNCTION("GOOGLEFINANCE(A472, ""low52"")"),179.5)</f>
        <v>179.5</v>
      </c>
      <c r="L472" s="9">
        <f t="shared" si="1"/>
        <v>0.1875669882</v>
      </c>
      <c r="M472" s="9">
        <f t="shared" si="2"/>
        <v>1.111420613</v>
      </c>
      <c r="N472" s="9">
        <f t="shared" si="3"/>
        <v>0.03439153439</v>
      </c>
      <c r="O472" s="9">
        <f t="shared" si="4"/>
        <v>0.1298701299</v>
      </c>
      <c r="P472" s="9">
        <f>IFERROR(__xludf.DUMMYFUNCTION("GOOGLEFINANCE(A472, ""pe"")"),111.8)</f>
        <v>111.8</v>
      </c>
      <c r="Q472" s="9">
        <f>IFERROR(__xludf.DUMMYFUNCTION("IFERROR(GOOGLEFINANCE(A472, ""volume"") / GOOGLEFINANCE(A472, ""volumeavg""), 0)"),0.0)</f>
        <v>0</v>
      </c>
      <c r="R472" s="9">
        <f>IFERROR(__xludf.DUMMYFUNCTION("AVERAGE(INDEX(GOOGLEFINANCE(A472, ""price"", TODAY()-30, TODAY()), 0, 2))"),394.3369565217392)</f>
        <v>394.3369565</v>
      </c>
      <c r="S472" s="9">
        <f>IFERROR(__xludf.DUMMYFUNCTION("AVERAGE(INDEX(GOOGLEFINANCE(A472, ""price"", TODAY()-75, TODAY()), 0, 2))"),405.84999999999985)</f>
        <v>405.85</v>
      </c>
      <c r="T472" s="9">
        <f>IFERROR(__xludf.DUMMYFUNCTION("AVERAGE(INDEX(GOOGLEFINANCE(A472, ""price"", TODAY()-300, TODAY()), 0, 2))"),297.76425742574264)</f>
        <v>297.7642574</v>
      </c>
      <c r="U472" s="9">
        <f t="shared" si="5"/>
        <v>-0.03889302351</v>
      </c>
      <c r="V472" s="15">
        <f>IFERROR(__xludf.DUMMYFUNCTION("LET(hist, GOOGLEFINANCE(A472,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rs))))))"),39.83105912930475)</f>
        <v>39.83105913</v>
      </c>
      <c r="W472" s="16" t="str">
        <f>IFERROR(__xludf.DUMMYFUNCTION("IFERROR(GOOGLEFINANCE(A472, ""volume"") / GOOGLEFINANCE(A472, ""volumeavg""), )"),"")</f>
        <v/>
      </c>
      <c r="X472" s="9">
        <f>IFERROR(__xludf.DUMMYFUNCTION("B472 * GOOGLEFINANCE(A472, ""volume"")"),1.338950529E9)</f>
        <v>1338950529</v>
      </c>
      <c r="Y472" s="9">
        <f>IFERROR(__xludf.DUMMYFUNCTION("IFERROR(((B472 - GOOGLEFINANCE(A472, ""priceopen"")) / GOOGLEFINANCE(A472, ""priceopen"")) * GOOGLEFINANCE(A472, ""volume""), 0)"),-97001.55427251721)</f>
        <v>-97001.55427</v>
      </c>
    </row>
    <row r="473">
      <c r="A473" s="4" t="s">
        <v>2266</v>
      </c>
      <c r="B473" s="7">
        <f>IFERROR(__xludf.DUMMYFUNCTION("GOOGLEFINANCE(A473, ""price"")"),147.9)</f>
        <v>147.9</v>
      </c>
      <c r="C473" s="7">
        <f>IFERROR(__xludf.DUMMYFUNCTION("GOOGLEFINANCE(A473, ""changepct"")"),-0.97)</f>
        <v>-0.97</v>
      </c>
      <c r="D473" s="9">
        <f>IFERROR(__xludf.DUMMYFUNCTION("GOOGLEFINANCE(A473, ""priceopen"")"),149.0)</f>
        <v>149</v>
      </c>
      <c r="E473" s="9">
        <f>IFERROR(__xludf.DUMMYFUNCTION("GOOGLEFINANCE(A473, ""high"")"),150.29)</f>
        <v>150.29</v>
      </c>
      <c r="F473" s="9">
        <f>IFERROR(__xludf.DUMMYFUNCTION("GOOGLEFINANCE(A473, ""low"")"),146.91)</f>
        <v>146.91</v>
      </c>
      <c r="G473" s="9">
        <f>IFERROR(__xludf.DUMMYFUNCTION("GOOGLEFINANCE(A473, ""price"")"),147.9)</f>
        <v>147.9</v>
      </c>
      <c r="H473" s="9">
        <f>IFERROR(__xludf.DUMMYFUNCTION("MAX(INDEX(GOOGLEFINANCE(A473, ""high"", TODAY()-30, TODAY()), 0, 2))"),166.69)</f>
        <v>166.69</v>
      </c>
      <c r="I473" s="9">
        <f>IFERROR(__xludf.DUMMYFUNCTION("MIN(INDEX(GOOGLEFINANCE(A473, ""low"", TODAY()-30, TODAY()), 0, 2))"),140.0)</f>
        <v>140</v>
      </c>
      <c r="J473" s="9">
        <f>IFERROR(__xludf.DUMMYFUNCTION("GOOGLEFINANCE(A473, ""high52"")"),166.69)</f>
        <v>166.69</v>
      </c>
      <c r="K473" s="9">
        <f>IFERROR(__xludf.DUMMYFUNCTION("GOOGLEFINANCE(A473, ""low52"")"),106.0)</f>
        <v>106</v>
      </c>
      <c r="L473" s="9">
        <f t="shared" si="1"/>
        <v>0.1127242186</v>
      </c>
      <c r="M473" s="9">
        <f t="shared" si="2"/>
        <v>0.3952830189</v>
      </c>
      <c r="N473" s="9">
        <f t="shared" si="3"/>
        <v>0.02300728337</v>
      </c>
      <c r="O473" s="9">
        <f t="shared" si="4"/>
        <v>0.2959910079</v>
      </c>
      <c r="P473" s="9">
        <f>IFERROR(__xludf.DUMMYFUNCTION("GOOGLEFINANCE(A473, ""pe"")"),106.99)</f>
        <v>106.99</v>
      </c>
      <c r="Q473" s="9">
        <f>IFERROR(__xludf.DUMMYFUNCTION("IFERROR(GOOGLEFINANCE(A473, ""volume"") / GOOGLEFINANCE(A473, ""volumeavg""), 0)"),0.0)</f>
        <v>0</v>
      </c>
      <c r="R473" s="9">
        <f>IFERROR(__xludf.DUMMYFUNCTION("AVERAGE(INDEX(GOOGLEFINANCE(A473, ""price"", TODAY()-30, TODAY()), 0, 2))"),149.24043478260867)</f>
        <v>149.2404348</v>
      </c>
      <c r="S473" s="9">
        <f>IFERROR(__xludf.DUMMYFUNCTION("AVERAGE(INDEX(GOOGLEFINANCE(A473, ""price"", TODAY()-75, TODAY()), 0, 2))"),143.815283018868)</f>
        <v>143.815283</v>
      </c>
      <c r="T473" s="9">
        <f>IFERROR(__xludf.DUMMYFUNCTION("AVERAGE(INDEX(GOOGLEFINANCE(A473, ""price"", TODAY()-300, TODAY()), 0, 2))"),139.21696517412934)</f>
        <v>139.2169652</v>
      </c>
      <c r="U473" s="9">
        <f t="shared" si="5"/>
        <v>-0.008981713197</v>
      </c>
      <c r="V473" s="15">
        <f>IFERROR(__xludf.DUMMYFUNCTION("LET(hist, GOOGLEFINANCE(A473,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rs))))))"),41.76233322991002)</f>
        <v>41.76233323</v>
      </c>
      <c r="W473" s="16" t="str">
        <f>IFERROR(__xludf.DUMMYFUNCTION("IFERROR(GOOGLEFINANCE(A473, ""volume"") / GOOGLEFINANCE(A473, ""volumeavg""), )"),"")</f>
        <v/>
      </c>
      <c r="X473" s="9">
        <f>IFERROR(__xludf.DUMMYFUNCTION("B473 * GOOGLEFINANCE(A473, ""volume"")"),5.7466840800000004E7)</f>
        <v>57466840.8</v>
      </c>
      <c r="Y473" s="9">
        <f>IFERROR(__xludf.DUMMYFUNCTION("IFERROR(((B473 - GOOGLEFINANCE(A473, ""priceopen"")) / GOOGLEFINANCE(A473, ""priceopen"")) * GOOGLEFINANCE(A473, ""volume""), 0)"),-2868.5046979865624)</f>
        <v>-2868.504698</v>
      </c>
    </row>
    <row r="474">
      <c r="A474" s="4" t="s">
        <v>2267</v>
      </c>
      <c r="B474" s="7">
        <f>IFERROR(__xludf.DUMMYFUNCTION("GOOGLEFINANCE(A474, ""price"")"),38.25)</f>
        <v>38.25</v>
      </c>
      <c r="C474" s="7">
        <f>IFERROR(__xludf.DUMMYFUNCTION("GOOGLEFINANCE(A474, ""changepct"")"),-3.58)</f>
        <v>-3.58</v>
      </c>
      <c r="D474" s="9">
        <f>IFERROR(__xludf.DUMMYFUNCTION("GOOGLEFINANCE(A474, ""priceopen"")"),39.7)</f>
        <v>39.7</v>
      </c>
      <c r="E474" s="9">
        <f>IFERROR(__xludf.DUMMYFUNCTION("GOOGLEFINANCE(A474, ""high"")"),40.26)</f>
        <v>40.26</v>
      </c>
      <c r="F474" s="9">
        <f>IFERROR(__xludf.DUMMYFUNCTION("GOOGLEFINANCE(A474, ""low"")"),38.0)</f>
        <v>38</v>
      </c>
      <c r="G474" s="9">
        <f>IFERROR(__xludf.DUMMYFUNCTION("GOOGLEFINANCE(A474, ""price"")"),38.25)</f>
        <v>38.25</v>
      </c>
      <c r="H474" s="9">
        <f>IFERROR(__xludf.DUMMYFUNCTION("MAX(INDEX(GOOGLEFINANCE(A474, ""high"", TODAY()-30, TODAY()), 0, 2))"),41.3)</f>
        <v>41.3</v>
      </c>
      <c r="I474" s="9">
        <f>IFERROR(__xludf.DUMMYFUNCTION("MIN(INDEX(GOOGLEFINANCE(A474, ""low"", TODAY()-30, TODAY()), 0, 2))"),32.12)</f>
        <v>32.12</v>
      </c>
      <c r="J474" s="9">
        <f>IFERROR(__xludf.DUMMYFUNCTION("GOOGLEFINANCE(A474, ""high52"")"),47.6)</f>
        <v>47.6</v>
      </c>
      <c r="K474" s="9">
        <f>IFERROR(__xludf.DUMMYFUNCTION("GOOGLEFINANCE(A474, ""low52"")"),30.42)</f>
        <v>30.42</v>
      </c>
      <c r="L474" s="9">
        <f t="shared" si="1"/>
        <v>0.1964285714</v>
      </c>
      <c r="M474" s="9">
        <f t="shared" si="2"/>
        <v>0.2573964497</v>
      </c>
      <c r="N474" s="9">
        <f t="shared" si="3"/>
        <v>0.05947368421</v>
      </c>
      <c r="O474" s="9">
        <f t="shared" si="4"/>
        <v>0.6677559913</v>
      </c>
      <c r="P474" s="9" t="str">
        <f>IFERROR(__xludf.DUMMYFUNCTION("GOOGLEFINANCE(A474, ""pe"")"),"#N/A")</f>
        <v>#N/A</v>
      </c>
      <c r="Q474" s="9">
        <f>IFERROR(__xludf.DUMMYFUNCTION("IFERROR(GOOGLEFINANCE(A474, ""volume"") / GOOGLEFINANCE(A474, ""volumeavg""), 0)"),0.0)</f>
        <v>0</v>
      </c>
      <c r="R474" s="9">
        <f>IFERROR(__xludf.DUMMYFUNCTION("AVERAGE(INDEX(GOOGLEFINANCE(A474, ""price"", TODAY()-30, TODAY()), 0, 2))"),36.010869565217384)</f>
        <v>36.01086957</v>
      </c>
      <c r="S474" s="9">
        <f>IFERROR(__xludf.DUMMYFUNCTION("AVERAGE(INDEX(GOOGLEFINANCE(A474, ""price"", TODAY()-75, TODAY()), 0, 2))"),35.96476190476191)</f>
        <v>35.9647619</v>
      </c>
      <c r="T474" s="9">
        <f>IFERROR(__xludf.DUMMYFUNCTION("AVERAGE(INDEX(GOOGLEFINANCE(A474, ""price"", TODAY()-300, TODAY()), 0, 2))"),35.96476190476191)</f>
        <v>35.9647619</v>
      </c>
      <c r="U474" s="9">
        <f t="shared" si="5"/>
        <v>0.06217929369</v>
      </c>
      <c r="V474" s="15">
        <f>IFERROR(__xludf.DUMMYFUNCTION("LET(hist, GOOGLEFINANCE(A474,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rs))))))"),64.91507430997876)</f>
        <v>64.91507431</v>
      </c>
      <c r="W474" s="16" t="str">
        <f>IFERROR(__xludf.DUMMYFUNCTION("IFERROR(GOOGLEFINANCE(A474, ""volume"") / GOOGLEFINANCE(A474, ""volumeavg""), )"),"")</f>
        <v/>
      </c>
      <c r="X474" s="9">
        <f>IFERROR(__xludf.DUMMYFUNCTION("B474 * GOOGLEFINANCE(A474, ""volume"")"),2.74748369175E9)</f>
        <v>2747483692</v>
      </c>
      <c r="Y474" s="9">
        <f>IFERROR(__xludf.DUMMYFUNCTION("IFERROR(((B474 - GOOGLEFINANCE(A474, ""priceopen"")) / GOOGLEFINANCE(A474, ""priceopen"")) * GOOGLEFINANCE(A474, ""volume""), 0)"),-2623500.668765748)</f>
        <v>-2623500.669</v>
      </c>
    </row>
    <row r="475">
      <c r="A475" s="4" t="s">
        <v>2268</v>
      </c>
      <c r="B475" s="7">
        <f>IFERROR(__xludf.DUMMYFUNCTION("GOOGLEFINANCE(A475, ""price"")"),3725.0)</f>
        <v>3725</v>
      </c>
      <c r="C475" s="7">
        <f>IFERROR(__xludf.DUMMYFUNCTION("GOOGLEFINANCE(A475, ""changepct"")"),-0.67)</f>
        <v>-0.67</v>
      </c>
      <c r="D475" s="9">
        <f>IFERROR(__xludf.DUMMYFUNCTION("GOOGLEFINANCE(A475, ""priceopen"")"),3763.0)</f>
        <v>3763</v>
      </c>
      <c r="E475" s="9">
        <f>IFERROR(__xludf.DUMMYFUNCTION("GOOGLEFINANCE(A475, ""high"")"),3773.7)</f>
        <v>3773.7</v>
      </c>
      <c r="F475" s="9">
        <f>IFERROR(__xludf.DUMMYFUNCTION("GOOGLEFINANCE(A475, ""low"")"),3707.4)</f>
        <v>3707.4</v>
      </c>
      <c r="G475" s="9">
        <f>IFERROR(__xludf.DUMMYFUNCTION("GOOGLEFINANCE(A475, ""price"")"),3725.0)</f>
        <v>3725</v>
      </c>
      <c r="H475" s="9">
        <f>IFERROR(__xludf.DUMMYFUNCTION("MAX(INDEX(GOOGLEFINANCE(A475, ""high"", TODAY()-30, TODAY()), 0, 2))"),3904.3)</f>
        <v>3904.3</v>
      </c>
      <c r="I475" s="9">
        <f>IFERROR(__xludf.DUMMYFUNCTION("MIN(INDEX(GOOGLEFINANCE(A475, ""low"", TODAY()-30, TODAY()), 0, 2))"),3309.1)</f>
        <v>3309.1</v>
      </c>
      <c r="J475" s="9">
        <f>IFERROR(__xludf.DUMMYFUNCTION("GOOGLEFINANCE(A475, ""high52"")"),4438.0)</f>
        <v>4438</v>
      </c>
      <c r="K475" s="9">
        <f>IFERROR(__xludf.DUMMYFUNCTION("GOOGLEFINANCE(A475, ""low52"")"),3000.5)</f>
        <v>3000.5</v>
      </c>
      <c r="L475" s="9">
        <f t="shared" si="1"/>
        <v>0.160657954</v>
      </c>
      <c r="M475" s="9">
        <f t="shared" si="2"/>
        <v>0.2414597567</v>
      </c>
      <c r="N475" s="9">
        <f t="shared" si="3"/>
        <v>0.01788315261</v>
      </c>
      <c r="O475" s="9">
        <f t="shared" si="4"/>
        <v>0.6987567204</v>
      </c>
      <c r="P475" s="9">
        <f>IFERROR(__xludf.DUMMYFUNCTION("GOOGLEFINANCE(A475, ""pe"")"),25.5)</f>
        <v>25.5</v>
      </c>
      <c r="Q475" s="9">
        <f>IFERROR(__xludf.DUMMYFUNCTION("IFERROR(GOOGLEFINANCE(A475, ""volume"") / GOOGLEFINANCE(A475, ""volumeavg""), 0)"),0.0)</f>
        <v>0</v>
      </c>
      <c r="R475" s="9">
        <f>IFERROR(__xludf.DUMMYFUNCTION("AVERAGE(INDEX(GOOGLEFINANCE(A475, ""price"", TODAY()-30, TODAY()), 0, 2))"),3577.8869565217396)</f>
        <v>3577.886957</v>
      </c>
      <c r="S475" s="9">
        <f>IFERROR(__xludf.DUMMYFUNCTION("AVERAGE(INDEX(GOOGLEFINANCE(A475, ""price"", TODAY()-75, TODAY()), 0, 2))"),3511.845283018869)</f>
        <v>3511.845283</v>
      </c>
      <c r="T475" s="9">
        <f>IFERROR(__xludf.DUMMYFUNCTION("AVERAGE(INDEX(GOOGLEFINANCE(A475, ""price"", TODAY()-300, TODAY()), 0, 2))"),3655.2084158415832)</f>
        <v>3655.208416</v>
      </c>
      <c r="U475" s="9">
        <f t="shared" si="5"/>
        <v>0.0411172978</v>
      </c>
      <c r="V475" s="15">
        <f>IFERROR(__xludf.DUMMYFUNCTION("LET(hist, GOOGLEFINANCE(A475,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rs))))))"),77.66734872844197)</f>
        <v>77.66734873</v>
      </c>
      <c r="W475" s="16" t="str">
        <f>IFERROR(__xludf.DUMMYFUNCTION("IFERROR(GOOGLEFINANCE(A475, ""volume"") / GOOGLEFINANCE(A475, ""volumeavg""), )"),"")</f>
        <v/>
      </c>
      <c r="X475" s="9">
        <f>IFERROR(__xludf.DUMMYFUNCTION("B475 * GOOGLEFINANCE(A475, ""volume"")"),2.25887725E8)</f>
        <v>225887725</v>
      </c>
      <c r="Y475" s="9">
        <f>IFERROR(__xludf.DUMMYFUNCTION("IFERROR(((B475 - GOOGLEFINANCE(A475, ""priceopen"")) / GOOGLEFINANCE(A475, ""priceopen"")) * GOOGLEFINANCE(A475, ""volume""), 0)"),-612.3725750730799)</f>
        <v>-612.3725751</v>
      </c>
    </row>
    <row r="476">
      <c r="A476" s="4" t="s">
        <v>2269</v>
      </c>
      <c r="B476" s="7">
        <f>IFERROR(__xludf.DUMMYFUNCTION("GOOGLEFINANCE(A476, ""price"")"),1524.9)</f>
        <v>1524.9</v>
      </c>
      <c r="C476" s="7">
        <f>IFERROR(__xludf.DUMMYFUNCTION("GOOGLEFINANCE(A476, ""changepct"")"),6.77)</f>
        <v>6.77</v>
      </c>
      <c r="D476" s="9">
        <f>IFERROR(__xludf.DUMMYFUNCTION("GOOGLEFINANCE(A476, ""priceopen"")"),1428.2)</f>
        <v>1428.2</v>
      </c>
      <c r="E476" s="9">
        <f>IFERROR(__xludf.DUMMYFUNCTION("GOOGLEFINANCE(A476, ""high"")"),1525.0)</f>
        <v>1525</v>
      </c>
      <c r="F476" s="9">
        <f>IFERROR(__xludf.DUMMYFUNCTION("GOOGLEFINANCE(A476, ""low"")"),1421.1)</f>
        <v>1421.1</v>
      </c>
      <c r="G476" s="9">
        <f>IFERROR(__xludf.DUMMYFUNCTION("GOOGLEFINANCE(A476, ""price"")"),1524.9)</f>
        <v>1524.9</v>
      </c>
      <c r="H476" s="9">
        <f>IFERROR(__xludf.DUMMYFUNCTION("MAX(INDEX(GOOGLEFINANCE(A476, ""high"", TODAY()-30, TODAY()), 0, 2))"),1525.0)</f>
        <v>1525</v>
      </c>
      <c r="I476" s="9">
        <f>IFERROR(__xludf.DUMMYFUNCTION("MIN(INDEX(GOOGLEFINANCE(A476, ""low"", TODAY()-30, TODAY()), 0, 2))"),1291.0)</f>
        <v>1291</v>
      </c>
      <c r="J476" s="9">
        <f>IFERROR(__xludf.DUMMYFUNCTION("GOOGLEFINANCE(A476, ""high52"")"),1525.0)</f>
        <v>1525</v>
      </c>
      <c r="K476" s="9">
        <f>IFERROR(__xludf.DUMMYFUNCTION("GOOGLEFINANCE(A476, ""low52"")"),848.0)</f>
        <v>848</v>
      </c>
      <c r="L476" s="9">
        <f t="shared" si="1"/>
        <v>0.00006557377049</v>
      </c>
      <c r="M476" s="9">
        <f t="shared" si="2"/>
        <v>0.7982311321</v>
      </c>
      <c r="N476" s="9">
        <f t="shared" si="3"/>
        <v>0.07311237774</v>
      </c>
      <c r="O476" s="9">
        <f t="shared" si="4"/>
        <v>0.9995726496</v>
      </c>
      <c r="P476" s="9">
        <f>IFERROR(__xludf.DUMMYFUNCTION("GOOGLEFINANCE(A476, ""pe"")"),83.83)</f>
        <v>83.83</v>
      </c>
      <c r="Q476" s="9">
        <f>IFERROR(__xludf.DUMMYFUNCTION("IFERROR(GOOGLEFINANCE(A476, ""volume"") / GOOGLEFINANCE(A476, ""volumeavg""), 0)"),0.0)</f>
        <v>0</v>
      </c>
      <c r="R476" s="9">
        <f>IFERROR(__xludf.DUMMYFUNCTION("AVERAGE(INDEX(GOOGLEFINANCE(A476, ""price"", TODAY()-30, TODAY()), 0, 2))"),1369.2999999999995)</f>
        <v>1369.3</v>
      </c>
      <c r="S476" s="9">
        <f>IFERROR(__xludf.DUMMYFUNCTION("AVERAGE(INDEX(GOOGLEFINANCE(A476, ""price"", TODAY()-75, TODAY()), 0, 2))"),1344.137735849057)</f>
        <v>1344.137736</v>
      </c>
      <c r="T476" s="9">
        <f>IFERROR(__xludf.DUMMYFUNCTION("AVERAGE(INDEX(GOOGLEFINANCE(A476, ""price"", TODAY()-300, TODAY()), 0, 2))"),1110.1866336633666)</f>
        <v>1110.186634</v>
      </c>
      <c r="U476" s="9">
        <f t="shared" si="5"/>
        <v>0.1136347039</v>
      </c>
      <c r="V476" s="15">
        <f>IFERROR(__xludf.DUMMYFUNCTION("LET(hist, GOOGLEFINANCE(A476,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rs))))))"),78.72977831036553)</f>
        <v>78.72977831</v>
      </c>
      <c r="W476" s="16" t="str">
        <f>IFERROR(__xludf.DUMMYFUNCTION("IFERROR(GOOGLEFINANCE(A476, ""volume"") / GOOGLEFINANCE(A476, ""volumeavg""), )"),"")</f>
        <v/>
      </c>
      <c r="X476" s="9">
        <f>IFERROR(__xludf.DUMMYFUNCTION("B476 * GOOGLEFINANCE(A476, ""volume"")"),2.1347227590000002E9)</f>
        <v>2134722759</v>
      </c>
      <c r="Y476" s="9">
        <f>IFERROR(__xludf.DUMMYFUNCTION("IFERROR(((B476 - GOOGLEFINANCE(A476, ""priceopen"")) / GOOGLEFINANCE(A476, ""priceopen"")) * GOOGLEFINANCE(A476, ""volume""), 0)"),94784.55188348975)</f>
        <v>94784.55188</v>
      </c>
    </row>
    <row r="477">
      <c r="A477" s="4" t="s">
        <v>2270</v>
      </c>
      <c r="B477" s="7">
        <f>IFERROR(__xludf.DUMMYFUNCTION("GOOGLEFINANCE(A477, ""price"")"),1201.9)</f>
        <v>1201.9</v>
      </c>
      <c r="C477" s="7">
        <f>IFERROR(__xludf.DUMMYFUNCTION("GOOGLEFINANCE(A477, ""changepct"")"),-0.61)</f>
        <v>-0.61</v>
      </c>
      <c r="D477" s="9">
        <f>IFERROR(__xludf.DUMMYFUNCTION("GOOGLEFINANCE(A477, ""priceopen"")"),1205.5)</f>
        <v>1205.5</v>
      </c>
      <c r="E477" s="9">
        <f>IFERROR(__xludf.DUMMYFUNCTION("GOOGLEFINANCE(A477, ""high"")"),1212.9)</f>
        <v>1212.9</v>
      </c>
      <c r="F477" s="9">
        <f>IFERROR(__xludf.DUMMYFUNCTION("GOOGLEFINANCE(A477, ""low"")"),1194.7)</f>
        <v>1194.7</v>
      </c>
      <c r="G477" s="9">
        <f>IFERROR(__xludf.DUMMYFUNCTION("GOOGLEFINANCE(A477, ""price"")"),1201.9)</f>
        <v>1201.9</v>
      </c>
      <c r="H477" s="9">
        <f>IFERROR(__xludf.DUMMYFUNCTION("MAX(INDEX(GOOGLEFINANCE(A477, ""high"", TODAY()-30, TODAY()), 0, 2))"),1294.5)</f>
        <v>1294.5</v>
      </c>
      <c r="I477" s="9">
        <f>IFERROR(__xludf.DUMMYFUNCTION("MIN(INDEX(GOOGLEFINANCE(A477, ""low"", TODAY()-30, TODAY()), 0, 2))"),1194.7)</f>
        <v>1194.7</v>
      </c>
      <c r="J477" s="9">
        <f>IFERROR(__xludf.DUMMYFUNCTION("GOOGLEFINANCE(A477, ""high52"")"),1415.0)</f>
        <v>1415</v>
      </c>
      <c r="K477" s="9">
        <f>IFERROR(__xludf.DUMMYFUNCTION("GOOGLEFINANCE(A477, ""low52"")"),1045.2)</f>
        <v>1045.2</v>
      </c>
      <c r="L477" s="9">
        <f t="shared" si="1"/>
        <v>0.1506007067</v>
      </c>
      <c r="M477" s="9">
        <f t="shared" si="2"/>
        <v>0.1499234596</v>
      </c>
      <c r="N477" s="9">
        <f t="shared" si="3"/>
        <v>0.01523394995</v>
      </c>
      <c r="O477" s="9">
        <f t="shared" si="4"/>
        <v>0.07214428858</v>
      </c>
      <c r="P477" s="9">
        <f>IFERROR(__xludf.DUMMYFUNCTION("GOOGLEFINANCE(A477, ""pe"")"),79.65)</f>
        <v>79.65</v>
      </c>
      <c r="Q477" s="9">
        <f>IFERROR(__xludf.DUMMYFUNCTION("IFERROR(GOOGLEFINANCE(A477, ""volume"") / GOOGLEFINANCE(A477, ""volumeavg""), 0)"),0.0)</f>
        <v>0</v>
      </c>
      <c r="R477" s="9">
        <f>IFERROR(__xludf.DUMMYFUNCTION("AVERAGE(INDEX(GOOGLEFINANCE(A477, ""price"", TODAY()-30, TODAY()), 0, 2))"),1234.1217391304347)</f>
        <v>1234.121739</v>
      </c>
      <c r="S477" s="9">
        <f>IFERROR(__xludf.DUMMYFUNCTION("AVERAGE(INDEX(GOOGLEFINANCE(A477, ""price"", TODAY()-75, TODAY()), 0, 2))"),1261.7603773584906)</f>
        <v>1261.760377</v>
      </c>
      <c r="T477" s="9">
        <f>IFERROR(__xludf.DUMMYFUNCTION("AVERAGE(INDEX(GOOGLEFINANCE(A477, ""price"", TODAY()-300, TODAY()), 0, 2))"),1260.9222772277224)</f>
        <v>1260.922277</v>
      </c>
      <c r="U477" s="9">
        <f t="shared" si="5"/>
        <v>-0.02610904428</v>
      </c>
      <c r="V477" s="15">
        <f>IFERROR(__xludf.DUMMYFUNCTION("LET(hist, GOOGLEFINANCE(A477,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rs))))))"),28.12105926860029)</f>
        <v>28.12105927</v>
      </c>
      <c r="W477" s="16" t="str">
        <f>IFERROR(__xludf.DUMMYFUNCTION("IFERROR(GOOGLEFINANCE(A477, ""volume"") / GOOGLEFINANCE(A477, ""volumeavg""), )"),"")</f>
        <v/>
      </c>
      <c r="X477" s="9">
        <f>IFERROR(__xludf.DUMMYFUNCTION("B477 * GOOGLEFINANCE(A477, ""volume"")"),1.7586561370000002E8)</f>
        <v>175865613.7</v>
      </c>
      <c r="Y477" s="9">
        <f>IFERROR(__xludf.DUMMYFUNCTION("IFERROR(((B477 - GOOGLEFINANCE(A477, ""priceopen"")) / GOOGLEFINANCE(A477, ""priceopen"")) * GOOGLEFINANCE(A477, ""volume""), 0)"),-436.9662380754763)</f>
        <v>-436.9662381</v>
      </c>
    </row>
    <row r="478">
      <c r="A478" s="4" t="s">
        <v>2271</v>
      </c>
      <c r="B478" s="7">
        <f>IFERROR(__xludf.DUMMYFUNCTION("GOOGLEFINANCE(A478, ""price"")"),332.0)</f>
        <v>332</v>
      </c>
      <c r="C478" s="7">
        <f>IFERROR(__xludf.DUMMYFUNCTION("GOOGLEFINANCE(A478, ""changepct"")"),2.37)</f>
        <v>2.37</v>
      </c>
      <c r="D478" s="9">
        <f>IFERROR(__xludf.DUMMYFUNCTION("GOOGLEFINANCE(A478, ""priceopen"")"),323.8)</f>
        <v>323.8</v>
      </c>
      <c r="E478" s="9">
        <f>IFERROR(__xludf.DUMMYFUNCTION("GOOGLEFINANCE(A478, ""high"")"),336.7)</f>
        <v>336.7</v>
      </c>
      <c r="F478" s="9">
        <f>IFERROR(__xludf.DUMMYFUNCTION("GOOGLEFINANCE(A478, ""low"")"),321.9)</f>
        <v>321.9</v>
      </c>
      <c r="G478" s="9">
        <f>IFERROR(__xludf.DUMMYFUNCTION("GOOGLEFINANCE(A478, ""price"")"),332.0)</f>
        <v>332</v>
      </c>
      <c r="H478" s="9">
        <f>IFERROR(__xludf.DUMMYFUNCTION("MAX(INDEX(GOOGLEFINANCE(A478, ""high"", TODAY()-30, TODAY()), 0, 2))"),338.8)</f>
        <v>338.8</v>
      </c>
      <c r="I478" s="9">
        <f>IFERROR(__xludf.DUMMYFUNCTION("MIN(INDEX(GOOGLEFINANCE(A478, ""low"", TODAY()-30, TODAY()), 0, 2))"),288.8)</f>
        <v>288.8</v>
      </c>
      <c r="J478" s="9">
        <f>IFERROR(__xludf.DUMMYFUNCTION("GOOGLEFINANCE(A478, ""high52"")"),392.2)</f>
        <v>392.2</v>
      </c>
      <c r="K478" s="9">
        <f>IFERROR(__xludf.DUMMYFUNCTION("GOOGLEFINANCE(A478, ""low52"")"),288.8)</f>
        <v>288.8</v>
      </c>
      <c r="L478" s="9">
        <f t="shared" si="1"/>
        <v>0.1534931158</v>
      </c>
      <c r="M478" s="9">
        <f t="shared" si="2"/>
        <v>0.1495844875</v>
      </c>
      <c r="N478" s="9">
        <f t="shared" si="3"/>
        <v>0.04597701149</v>
      </c>
      <c r="O478" s="9">
        <f t="shared" si="4"/>
        <v>0.864</v>
      </c>
      <c r="P478" s="9">
        <f>IFERROR(__xludf.DUMMYFUNCTION("GOOGLEFINANCE(A478, ""pe"")"),40.05)</f>
        <v>40.05</v>
      </c>
      <c r="Q478" s="9">
        <f>IFERROR(__xludf.DUMMYFUNCTION("IFERROR(GOOGLEFINANCE(A478, ""volume"") / GOOGLEFINANCE(A478, ""volumeavg""), 0)"),0.0)</f>
        <v>0</v>
      </c>
      <c r="R478" s="9">
        <f>IFERROR(__xludf.DUMMYFUNCTION("AVERAGE(INDEX(GOOGLEFINANCE(A478, ""price"", TODAY()-30, TODAY()), 0, 2))"),307.36739130434785)</f>
        <v>307.3673913</v>
      </c>
      <c r="S478" s="9">
        <f>IFERROR(__xludf.DUMMYFUNCTION("AVERAGE(INDEX(GOOGLEFINANCE(A478, ""price"", TODAY()-75, TODAY()), 0, 2))"),305.88773584905664)</f>
        <v>305.8877358</v>
      </c>
      <c r="T478" s="9">
        <f>IFERROR(__xludf.DUMMYFUNCTION("AVERAGE(INDEX(GOOGLEFINANCE(A478, ""price"", TODAY()-300, TODAY()), 0, 2))"),324.9183168316831)</f>
        <v>324.9183168</v>
      </c>
      <c r="U478" s="9">
        <f t="shared" si="5"/>
        <v>0.080140605</v>
      </c>
      <c r="V478" s="15">
        <f>IFERROR(__xludf.DUMMYFUNCTION("LET(hist, GOOGLEFINANCE(A478,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rs))))))"),77.76951672862461)</f>
        <v>77.76951673</v>
      </c>
      <c r="W478" s="16" t="str">
        <f>IFERROR(__xludf.DUMMYFUNCTION("IFERROR(GOOGLEFINANCE(A478, ""volume"") / GOOGLEFINANCE(A478, ""volumeavg""), )"),"")</f>
        <v/>
      </c>
      <c r="X478" s="9">
        <f>IFERROR(__xludf.DUMMYFUNCTION("B478 * GOOGLEFINANCE(A478, ""volume"")"),6.57367968E8)</f>
        <v>657367968</v>
      </c>
      <c r="Y478" s="9">
        <f>IFERROR(__xludf.DUMMYFUNCTION("IFERROR(((B478 - GOOGLEFINANCE(A478, ""priceopen"")) / GOOGLEFINANCE(A478, ""priceopen"")) * GOOGLEFINANCE(A478, ""volume""), 0)"),50142.67078443476)</f>
        <v>50142.67078</v>
      </c>
    </row>
    <row r="479">
      <c r="A479" s="4" t="s">
        <v>2272</v>
      </c>
      <c r="B479" s="7">
        <f>IFERROR(__xludf.DUMMYFUNCTION("GOOGLEFINANCE(A479, ""price"")"),2238.1)</f>
        <v>2238.1</v>
      </c>
      <c r="C479" s="7">
        <f>IFERROR(__xludf.DUMMYFUNCTION("GOOGLEFINANCE(A479, ""changepct"")"),0.28)</f>
        <v>0.28</v>
      </c>
      <c r="D479" s="9">
        <f>IFERROR(__xludf.DUMMYFUNCTION("GOOGLEFINANCE(A479, ""priceopen"")"),2231.8)</f>
        <v>2231.8</v>
      </c>
      <c r="E479" s="9">
        <f>IFERROR(__xludf.DUMMYFUNCTION("GOOGLEFINANCE(A479, ""high"")"),2247.0)</f>
        <v>2247</v>
      </c>
      <c r="F479" s="9">
        <f>IFERROR(__xludf.DUMMYFUNCTION("GOOGLEFINANCE(A479, ""low"")"),2219.3)</f>
        <v>2219.3</v>
      </c>
      <c r="G479" s="9">
        <f>IFERROR(__xludf.DUMMYFUNCTION("GOOGLEFINANCE(A479, ""price"")"),2238.1)</f>
        <v>2238.1</v>
      </c>
      <c r="H479" s="9">
        <f>IFERROR(__xludf.DUMMYFUNCTION("MAX(INDEX(GOOGLEFINANCE(A479, ""high"", TODAY()-30, TODAY()), 0, 2))"),2385.0)</f>
        <v>2385</v>
      </c>
      <c r="I479" s="9">
        <f>IFERROR(__xludf.DUMMYFUNCTION("MIN(INDEX(GOOGLEFINANCE(A479, ""low"", TODAY()-30, TODAY()), 0, 2))"),2175.0)</f>
        <v>2175</v>
      </c>
      <c r="J479" s="9">
        <f>IFERROR(__xludf.DUMMYFUNCTION("GOOGLEFINANCE(A479, ""high52"")"),2770.0)</f>
        <v>2770</v>
      </c>
      <c r="K479" s="9">
        <f>IFERROR(__xludf.DUMMYFUNCTION("GOOGLEFINANCE(A479, ""low52"")"),2023.9)</f>
        <v>2023.9</v>
      </c>
      <c r="L479" s="9">
        <f t="shared" si="1"/>
        <v>0.1920216606</v>
      </c>
      <c r="M479" s="9">
        <f t="shared" si="2"/>
        <v>0.1058352685</v>
      </c>
      <c r="N479" s="9">
        <f t="shared" si="3"/>
        <v>0.01248141306</v>
      </c>
      <c r="O479" s="9">
        <f t="shared" si="4"/>
        <v>0.3004761905</v>
      </c>
      <c r="P479" s="9">
        <f>IFERROR(__xludf.DUMMYFUNCTION("GOOGLEFINANCE(A479, ""pe"")"),62.67)</f>
        <v>62.67</v>
      </c>
      <c r="Q479" s="9">
        <f>IFERROR(__xludf.DUMMYFUNCTION("IFERROR(GOOGLEFINANCE(A479, ""volume"") / GOOGLEFINANCE(A479, ""volumeavg""), 0)"),0.0)</f>
        <v>0</v>
      </c>
      <c r="R479" s="9">
        <f>IFERROR(__xludf.DUMMYFUNCTION("AVERAGE(INDEX(GOOGLEFINANCE(A479, ""price"", TODAY()-30, TODAY()), 0, 2))"),2264.7)</f>
        <v>2264.7</v>
      </c>
      <c r="S479" s="9">
        <f>IFERROR(__xludf.DUMMYFUNCTION("AVERAGE(INDEX(GOOGLEFINANCE(A479, ""price"", TODAY()-75, TODAY()), 0, 2))"),2255.6867924528306)</f>
        <v>2255.686792</v>
      </c>
      <c r="T479" s="9">
        <f>IFERROR(__xludf.DUMMYFUNCTION("AVERAGE(INDEX(GOOGLEFINANCE(A479, ""price"", TODAY()-300, TODAY()), 0, 2))"),2371.703465346535)</f>
        <v>2371.703465</v>
      </c>
      <c r="U479" s="9">
        <f t="shared" si="5"/>
        <v>-0.01174548505</v>
      </c>
      <c r="V479" s="15">
        <f>IFERROR(__xludf.DUMMYFUNCTION("LET(hist, GOOGLEFINANCE(A479,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rs))))))"),52.68623024830703)</f>
        <v>52.68623025</v>
      </c>
      <c r="W479" s="16" t="str">
        <f>IFERROR(__xludf.DUMMYFUNCTION("IFERROR(GOOGLEFINANCE(A479, ""volume"") / GOOGLEFINANCE(A479, ""volumeavg""), )"),"")</f>
        <v/>
      </c>
      <c r="X479" s="9">
        <f>IFERROR(__xludf.DUMMYFUNCTION("B479 * GOOGLEFINANCE(A479, ""volume"")"),5.42403535E7)</f>
        <v>54240353.5</v>
      </c>
      <c r="Y479" s="9">
        <f>IFERROR(__xludf.DUMMYFUNCTION("IFERROR(((B479 - GOOGLEFINANCE(A479, ""priceopen"")) / GOOGLEFINANCE(A479, ""priceopen"")) * GOOGLEFINANCE(A479, ""volume""), 0)"),68.4113719867342)</f>
        <v>68.41137199</v>
      </c>
    </row>
    <row r="480">
      <c r="A480" s="4" t="s">
        <v>2273</v>
      </c>
      <c r="B480" s="7">
        <f>IFERROR(__xludf.DUMMYFUNCTION("GOOGLEFINANCE(A480, ""price"")"),4275.0)</f>
        <v>4275</v>
      </c>
      <c r="C480" s="7">
        <f>IFERROR(__xludf.DUMMYFUNCTION("GOOGLEFINANCE(A480, ""changepct"")"),-0.8)</f>
        <v>-0.8</v>
      </c>
      <c r="D480" s="9">
        <f>IFERROR(__xludf.DUMMYFUNCTION("GOOGLEFINANCE(A480, ""priceopen"")"),4305.0)</f>
        <v>4305</v>
      </c>
      <c r="E480" s="9">
        <f>IFERROR(__xludf.DUMMYFUNCTION("GOOGLEFINANCE(A480, ""high"")"),4340.0)</f>
        <v>4340</v>
      </c>
      <c r="F480" s="9">
        <f>IFERROR(__xludf.DUMMYFUNCTION("GOOGLEFINANCE(A480, ""low"")"),4275.0)</f>
        <v>4275</v>
      </c>
      <c r="G480" s="9">
        <f>IFERROR(__xludf.DUMMYFUNCTION("GOOGLEFINANCE(A480, ""price"")"),4275.0)</f>
        <v>4275</v>
      </c>
      <c r="H480" s="9">
        <f>IFERROR(__xludf.DUMMYFUNCTION("MAX(INDEX(GOOGLEFINANCE(A480, ""high"", TODAY()-30, TODAY()), 0, 2))"),4719.9)</f>
        <v>4719.9</v>
      </c>
      <c r="I480" s="9">
        <f>IFERROR(__xludf.DUMMYFUNCTION("MIN(INDEX(GOOGLEFINANCE(A480, ""low"", TODAY()-30, TODAY()), 0, 2))"),4230.4)</f>
        <v>4230.4</v>
      </c>
      <c r="J480" s="9">
        <f>IFERROR(__xludf.DUMMYFUNCTION("GOOGLEFINANCE(A480, ""high52"")"),4756.2)</f>
        <v>4756.2</v>
      </c>
      <c r="K480" s="9">
        <f>IFERROR(__xludf.DUMMYFUNCTION("GOOGLEFINANCE(A480, ""low52"")"),3063.3)</f>
        <v>3063.3</v>
      </c>
      <c r="L480" s="9">
        <f t="shared" si="1"/>
        <v>0.1011732055</v>
      </c>
      <c r="M480" s="9">
        <f t="shared" si="2"/>
        <v>0.3955538145</v>
      </c>
      <c r="N480" s="9">
        <f t="shared" si="3"/>
        <v>0.01520467836</v>
      </c>
      <c r="O480" s="9">
        <f t="shared" si="4"/>
        <v>0.091113381</v>
      </c>
      <c r="P480" s="9">
        <f>IFERROR(__xludf.DUMMYFUNCTION("GOOGLEFINANCE(A480, ""pe"")"),52.71)</f>
        <v>52.71</v>
      </c>
      <c r="Q480" s="9">
        <f>IFERROR(__xludf.DUMMYFUNCTION("IFERROR(GOOGLEFINANCE(A480, ""volume"") / GOOGLEFINANCE(A480, ""volumeavg""), 0)"),0.0)</f>
        <v>0</v>
      </c>
      <c r="R480" s="9">
        <f>IFERROR(__xludf.DUMMYFUNCTION("AVERAGE(INDEX(GOOGLEFINANCE(A480, ""price"", TODAY()-30, TODAY()), 0, 2))"),4390.356521739129)</f>
        <v>4390.356522</v>
      </c>
      <c r="S480" s="9">
        <f>IFERROR(__xludf.DUMMYFUNCTION("AVERAGE(INDEX(GOOGLEFINANCE(A480, ""price"", TODAY()-75, TODAY()), 0, 2))"),4333.735849056603)</f>
        <v>4333.735849</v>
      </c>
      <c r="T480" s="9">
        <f>IFERROR(__xludf.DUMMYFUNCTION("AVERAGE(INDEX(GOOGLEFINANCE(A480, ""price"", TODAY()-300, TODAY()), 0, 2))"),3921.2376237623785)</f>
        <v>3921.237624</v>
      </c>
      <c r="U480" s="9">
        <f t="shared" si="5"/>
        <v>-0.02627497816</v>
      </c>
      <c r="V480" s="15">
        <f>IFERROR(__xludf.DUMMYFUNCTION("LET(hist, GOOGLEFINANCE(A480,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rs))))))"),42.797806944675195)</f>
        <v>42.79780694</v>
      </c>
      <c r="W480" s="16" t="str">
        <f>IFERROR(__xludf.DUMMYFUNCTION("IFERROR(GOOGLEFINANCE(A480, ""volume"") / GOOGLEFINANCE(A480, ""volumeavg""), )"),"")</f>
        <v/>
      </c>
      <c r="X480" s="9">
        <f>IFERROR(__xludf.DUMMYFUNCTION("B480 * GOOGLEFINANCE(A480, ""volume"")"),1.7916525E7)</f>
        <v>17916525</v>
      </c>
      <c r="Y480" s="9">
        <f>IFERROR(__xludf.DUMMYFUNCTION("IFERROR(((B480 - GOOGLEFINANCE(A480, ""priceopen"")) / GOOGLEFINANCE(A480, ""priceopen"")) * GOOGLEFINANCE(A480, ""volume""), 0)"),-29.205574912891986)</f>
        <v>-29.20557491</v>
      </c>
    </row>
    <row r="481">
      <c r="A481" s="4" t="s">
        <v>2274</v>
      </c>
      <c r="B481" s="7">
        <f>IFERROR(__xludf.DUMMYFUNCTION("GOOGLEFINANCE(A481, ""price"")"),3340.0)</f>
        <v>3340</v>
      </c>
      <c r="C481" s="7">
        <f>IFERROR(__xludf.DUMMYFUNCTION("GOOGLEFINANCE(A481, ""changepct"")"),-1.81)</f>
        <v>-1.81</v>
      </c>
      <c r="D481" s="9">
        <f>IFERROR(__xludf.DUMMYFUNCTION("GOOGLEFINANCE(A481, ""priceopen"")"),3404.0)</f>
        <v>3404</v>
      </c>
      <c r="E481" s="9">
        <f>IFERROR(__xludf.DUMMYFUNCTION("GOOGLEFINANCE(A481, ""high"")"),3429.9)</f>
        <v>3429.9</v>
      </c>
      <c r="F481" s="9">
        <f>IFERROR(__xludf.DUMMYFUNCTION("GOOGLEFINANCE(A481, ""low"")"),3340.0)</f>
        <v>3340</v>
      </c>
      <c r="G481" s="9">
        <f>IFERROR(__xludf.DUMMYFUNCTION("GOOGLEFINANCE(A481, ""price"")"),3340.0)</f>
        <v>3340</v>
      </c>
      <c r="H481" s="9">
        <f>IFERROR(__xludf.DUMMYFUNCTION("MAX(INDEX(GOOGLEFINANCE(A481, ""high"", TODAY()-30, TODAY()), 0, 2))"),3434.0)</f>
        <v>3434</v>
      </c>
      <c r="I481" s="9">
        <f>IFERROR(__xludf.DUMMYFUNCTION("MIN(INDEX(GOOGLEFINANCE(A481, ""low"", TODAY()-30, TODAY()), 0, 2))"),2762.0)</f>
        <v>2762</v>
      </c>
      <c r="J481" s="9">
        <f>IFERROR(__xludf.DUMMYFUNCTION("GOOGLEFINANCE(A481, ""high52"")"),3434.0)</f>
        <v>3434</v>
      </c>
      <c r="K481" s="9">
        <f>IFERROR(__xludf.DUMMYFUNCTION("GOOGLEFINANCE(A481, ""low52"")"),2121.0)</f>
        <v>2121</v>
      </c>
      <c r="L481" s="9">
        <f t="shared" si="1"/>
        <v>0.02737332557</v>
      </c>
      <c r="M481" s="9">
        <f t="shared" si="2"/>
        <v>0.5747289015</v>
      </c>
      <c r="N481" s="9">
        <f t="shared" si="3"/>
        <v>0.02691616766</v>
      </c>
      <c r="O481" s="9">
        <f t="shared" si="4"/>
        <v>0.8601190476</v>
      </c>
      <c r="P481" s="9">
        <f>IFERROR(__xludf.DUMMYFUNCTION("GOOGLEFINANCE(A481, ""pe"")"),56.44)</f>
        <v>56.44</v>
      </c>
      <c r="Q481" s="9">
        <f>IFERROR(__xludf.DUMMYFUNCTION("IFERROR(GOOGLEFINANCE(A481, ""volume"") / GOOGLEFINANCE(A481, ""volumeavg""), 0)"),0.0)</f>
        <v>0</v>
      </c>
      <c r="R481" s="9">
        <f>IFERROR(__xludf.DUMMYFUNCTION("AVERAGE(INDEX(GOOGLEFINANCE(A481, ""price"", TODAY()-30, TODAY()), 0, 2))"),3108.252173913043)</f>
        <v>3108.252174</v>
      </c>
      <c r="S481" s="9">
        <f>IFERROR(__xludf.DUMMYFUNCTION("AVERAGE(INDEX(GOOGLEFINANCE(A481, ""price"", TODAY()-75, TODAY()), 0, 2))"),2987.3698113207547)</f>
        <v>2987.369811</v>
      </c>
      <c r="T481" s="9">
        <f>IFERROR(__xludf.DUMMYFUNCTION("AVERAGE(INDEX(GOOGLEFINANCE(A481, ""price"", TODAY()-300, TODAY()), 0, 2))"),2658.183168316831)</f>
        <v>2658.183168</v>
      </c>
      <c r="U481" s="9">
        <f t="shared" si="5"/>
        <v>0.07455888812</v>
      </c>
      <c r="V481" s="15">
        <f>IFERROR(__xludf.DUMMYFUNCTION("LET(hist, GOOGLEFINANCE(A481,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rs))))))"),79.08404154863075)</f>
        <v>79.08404155</v>
      </c>
      <c r="W481" s="16" t="str">
        <f>IFERROR(__xludf.DUMMYFUNCTION("IFERROR(GOOGLEFINANCE(A481, ""volume"") / GOOGLEFINANCE(A481, ""volumeavg""), )"),"")</f>
        <v/>
      </c>
      <c r="X481" s="9">
        <f>IFERROR(__xludf.DUMMYFUNCTION("B481 * GOOGLEFINANCE(A481, ""volume"")"),5.267848E7)</f>
        <v>52678480</v>
      </c>
      <c r="Y481" s="9">
        <f>IFERROR(__xludf.DUMMYFUNCTION("IFERROR(((B481 - GOOGLEFINANCE(A481, ""priceopen"")) / GOOGLEFINANCE(A481, ""priceopen"")) * GOOGLEFINANCE(A481, ""volume""), 0)"),-296.5358401880141)</f>
        <v>-296.5358402</v>
      </c>
    </row>
    <row r="482">
      <c r="A482" s="4" t="s">
        <v>2275</v>
      </c>
      <c r="B482" s="7">
        <f>IFERROR(__xludf.DUMMYFUNCTION("GOOGLEFINANCE(A482, ""price"")"),297.3)</f>
        <v>297.3</v>
      </c>
      <c r="C482" s="7">
        <f>IFERROR(__xludf.DUMMYFUNCTION("GOOGLEFINANCE(A482, ""changepct"")"),1.14)</f>
        <v>1.14</v>
      </c>
      <c r="D482" s="9">
        <f>IFERROR(__xludf.DUMMYFUNCTION("GOOGLEFINANCE(A482, ""priceopen"")"),294.0)</f>
        <v>294</v>
      </c>
      <c r="E482" s="9">
        <f>IFERROR(__xludf.DUMMYFUNCTION("GOOGLEFINANCE(A482, ""high"")"),300.95)</f>
        <v>300.95</v>
      </c>
      <c r="F482" s="9">
        <f>IFERROR(__xludf.DUMMYFUNCTION("GOOGLEFINANCE(A482, ""low"")"),293.35)</f>
        <v>293.35</v>
      </c>
      <c r="G482" s="9">
        <f>IFERROR(__xludf.DUMMYFUNCTION("GOOGLEFINANCE(A482, ""price"")"),297.3)</f>
        <v>297.3</v>
      </c>
      <c r="H482" s="9">
        <f>IFERROR(__xludf.DUMMYFUNCTION("MAX(INDEX(GOOGLEFINANCE(A482, ""high"", TODAY()-30, TODAY()), 0, 2))"),320.0)</f>
        <v>320</v>
      </c>
      <c r="I482" s="9">
        <f>IFERROR(__xludf.DUMMYFUNCTION("MIN(INDEX(GOOGLEFINANCE(A482, ""low"", TODAY()-30, TODAY()), 0, 2))"),260.2)</f>
        <v>260.2</v>
      </c>
      <c r="J482" s="9">
        <f>IFERROR(__xludf.DUMMYFUNCTION("GOOGLEFINANCE(A482, ""high52"")"),368.75)</f>
        <v>368.75</v>
      </c>
      <c r="K482" s="9">
        <f>IFERROR(__xludf.DUMMYFUNCTION("GOOGLEFINANCE(A482, ""low52"")"),195.55)</f>
        <v>195.55</v>
      </c>
      <c r="L482" s="9">
        <f t="shared" si="1"/>
        <v>0.1937627119</v>
      </c>
      <c r="M482" s="9">
        <f t="shared" si="2"/>
        <v>0.520327282</v>
      </c>
      <c r="N482" s="9">
        <f t="shared" si="3"/>
        <v>0.02590761889</v>
      </c>
      <c r="O482" s="9">
        <f t="shared" si="4"/>
        <v>0.6204013378</v>
      </c>
      <c r="P482" s="9">
        <f>IFERROR(__xludf.DUMMYFUNCTION("GOOGLEFINANCE(A482, ""pe"")"),10.23)</f>
        <v>10.23</v>
      </c>
      <c r="Q482" s="9">
        <f>IFERROR(__xludf.DUMMYFUNCTION("IFERROR(GOOGLEFINANCE(A482, ""volume"") / GOOGLEFINANCE(A482, ""volumeavg""), 0)"),0.0)</f>
        <v>0</v>
      </c>
      <c r="R482" s="9">
        <f>IFERROR(__xludf.DUMMYFUNCTION("AVERAGE(INDEX(GOOGLEFINANCE(A482, ""price"", TODAY()-30, TODAY()), 0, 2))"),287.2978260869565)</f>
        <v>287.2978261</v>
      </c>
      <c r="S482" s="9">
        <f>IFERROR(__xludf.DUMMYFUNCTION("AVERAGE(INDEX(GOOGLEFINANCE(A482, ""price"", TODAY()-75, TODAY()), 0, 2))"),295.00566037735854)</f>
        <v>295.0056604</v>
      </c>
      <c r="T482" s="9">
        <f>IFERROR(__xludf.DUMMYFUNCTION("AVERAGE(INDEX(GOOGLEFINANCE(A482, ""price"", TODAY()-300, TODAY()), 0, 2))"),263.6508415841585)</f>
        <v>263.6508416</v>
      </c>
      <c r="U482" s="9">
        <f t="shared" si="5"/>
        <v>0.03481465227</v>
      </c>
      <c r="V482" s="15">
        <f>IFERROR(__xludf.DUMMYFUNCTION("LET(hist, GOOGLEFINANCE(A482,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rs))))))"),71.3881019830028)</f>
        <v>71.38810198</v>
      </c>
      <c r="W482" s="16" t="str">
        <f>IFERROR(__xludf.DUMMYFUNCTION("IFERROR(GOOGLEFINANCE(A482, ""volume"") / GOOGLEFINANCE(A482, ""volumeavg""), )"),"")</f>
        <v/>
      </c>
      <c r="X482" s="9">
        <f>IFERROR(__xludf.DUMMYFUNCTION("B482 * GOOGLEFINANCE(A482, ""volume"")"),6.410028813000001E8)</f>
        <v>641002881.3</v>
      </c>
      <c r="Y482" s="9">
        <f>IFERROR(__xludf.DUMMYFUNCTION("IFERROR(((B482 - GOOGLEFINANCE(A482, ""priceopen"")) / GOOGLEFINANCE(A482, ""priceopen"")) * GOOGLEFINANCE(A482, ""volume""), 0)"),24200.909183673553)</f>
        <v>24200.90918</v>
      </c>
    </row>
    <row r="483">
      <c r="A483" s="4" t="s">
        <v>2276</v>
      </c>
      <c r="B483" s="7">
        <f>IFERROR(__xludf.DUMMYFUNCTION("GOOGLEFINANCE(A483, ""price"")"),2625.0)</f>
        <v>2625</v>
      </c>
      <c r="C483" s="7">
        <f>IFERROR(__xludf.DUMMYFUNCTION("GOOGLEFINANCE(A483, ""changepct"")"),-3.85)</f>
        <v>-3.85</v>
      </c>
      <c r="D483" s="9">
        <f>IFERROR(__xludf.DUMMYFUNCTION("GOOGLEFINANCE(A483, ""priceopen"")"),2640.1)</f>
        <v>2640.1</v>
      </c>
      <c r="E483" s="9">
        <f>IFERROR(__xludf.DUMMYFUNCTION("GOOGLEFINANCE(A483, ""high"")"),2754.0)</f>
        <v>2754</v>
      </c>
      <c r="F483" s="9">
        <f>IFERROR(__xludf.DUMMYFUNCTION("GOOGLEFINANCE(A483, ""low"")"),2605.1)</f>
        <v>2605.1</v>
      </c>
      <c r="G483" s="9">
        <f>IFERROR(__xludf.DUMMYFUNCTION("GOOGLEFINANCE(A483, ""price"")"),2625.0)</f>
        <v>2625</v>
      </c>
      <c r="H483" s="9">
        <f>IFERROR(__xludf.DUMMYFUNCTION("MAX(INDEX(GOOGLEFINANCE(A483, ""high"", TODAY()-30, TODAY()), 0, 2))"),2860.6)</f>
        <v>2860.6</v>
      </c>
      <c r="I483" s="9">
        <f>IFERROR(__xludf.DUMMYFUNCTION("MIN(INDEX(GOOGLEFINANCE(A483, ""low"", TODAY()-30, TODAY()), 0, 2))"),2578.1)</f>
        <v>2578.1</v>
      </c>
      <c r="J483" s="9">
        <f>IFERROR(__xludf.DUMMYFUNCTION("GOOGLEFINANCE(A483, ""high52"")"),3041.0)</f>
        <v>3041</v>
      </c>
      <c r="K483" s="9">
        <f>IFERROR(__xludf.DUMMYFUNCTION("GOOGLEFINANCE(A483, ""low52"")"),1994.1)</f>
        <v>1994.1</v>
      </c>
      <c r="L483" s="9">
        <f t="shared" si="1"/>
        <v>0.1367971062</v>
      </c>
      <c r="M483" s="9">
        <f t="shared" si="2"/>
        <v>0.3163833308</v>
      </c>
      <c r="N483" s="9">
        <f t="shared" si="3"/>
        <v>0.05715711489</v>
      </c>
      <c r="O483" s="9">
        <f t="shared" si="4"/>
        <v>0.1660176991</v>
      </c>
      <c r="P483" s="9">
        <f>IFERROR(__xludf.DUMMYFUNCTION("GOOGLEFINANCE(A483, ""pe"")"),59.66)</f>
        <v>59.66</v>
      </c>
      <c r="Q483" s="9">
        <f>IFERROR(__xludf.DUMMYFUNCTION("IFERROR(GOOGLEFINANCE(A483, ""volume"") / GOOGLEFINANCE(A483, ""volumeavg""), 0)"),0.0)</f>
        <v>0</v>
      </c>
      <c r="R483" s="9">
        <f>IFERROR(__xludf.DUMMYFUNCTION("AVERAGE(INDEX(GOOGLEFINANCE(A483, ""price"", TODAY()-30, TODAY()), 0, 2))"),2723.7347826086957)</f>
        <v>2723.734783</v>
      </c>
      <c r="S483" s="9">
        <f>IFERROR(__xludf.DUMMYFUNCTION("AVERAGE(INDEX(GOOGLEFINANCE(A483, ""price"", TODAY()-75, TODAY()), 0, 2))"),2655.9905660377353)</f>
        <v>2655.990566</v>
      </c>
      <c r="T483" s="9">
        <f>IFERROR(__xludf.DUMMYFUNCTION("AVERAGE(INDEX(GOOGLEFINANCE(A483, ""price"", TODAY()-300, TODAY()), 0, 2))"),2472.073214285715)</f>
        <v>2472.073214</v>
      </c>
      <c r="U483" s="9">
        <f t="shared" si="5"/>
        <v>-0.03624977852</v>
      </c>
      <c r="V483" s="15">
        <f>IFERROR(__xludf.DUMMYFUNCTION("LET(hist, GOOGLEFINANCE(A483,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rs))))))"),45.16755706653719)</f>
        <v>45.16755707</v>
      </c>
      <c r="W483" s="16" t="str">
        <f>IFERROR(__xludf.DUMMYFUNCTION("IFERROR(GOOGLEFINANCE(A483, ""volume"") / GOOGLEFINANCE(A483, ""volumeavg""), )"),"")</f>
        <v/>
      </c>
      <c r="X483" s="9">
        <f>IFERROR(__xludf.DUMMYFUNCTION("B483 * GOOGLEFINANCE(A483, ""volume"")"),2.10926625E8)</f>
        <v>210926625</v>
      </c>
      <c r="Y483" s="9">
        <f>IFERROR(__xludf.DUMMYFUNCTION("IFERROR(((B483 - GOOGLEFINANCE(A483, ""priceopen"")) / GOOGLEFINANCE(A483, ""priceopen"")) * GOOGLEFINANCE(A483, ""volume""), 0)"),-459.57740237111955)</f>
        <v>-459.5774024</v>
      </c>
    </row>
    <row r="484">
      <c r="A484" s="4" t="s">
        <v>2277</v>
      </c>
      <c r="B484" s="7">
        <f>IFERROR(__xludf.DUMMYFUNCTION("GOOGLEFINANCE(A484, ""price"")"),771.0)</f>
        <v>771</v>
      </c>
      <c r="C484" s="7">
        <f>IFERROR(__xludf.DUMMYFUNCTION("GOOGLEFINANCE(A484, ""changepct"")"),-2.22)</f>
        <v>-2.22</v>
      </c>
      <c r="D484" s="9">
        <f>IFERROR(__xludf.DUMMYFUNCTION("GOOGLEFINANCE(A484, ""priceopen"")"),788.0)</f>
        <v>788</v>
      </c>
      <c r="E484" s="9">
        <f>IFERROR(__xludf.DUMMYFUNCTION("GOOGLEFINANCE(A484, ""high"")"),791.85)</f>
        <v>791.85</v>
      </c>
      <c r="F484" s="9">
        <f>IFERROR(__xludf.DUMMYFUNCTION("GOOGLEFINANCE(A484, ""low"")"),759.0)</f>
        <v>759</v>
      </c>
      <c r="G484" s="9">
        <f>IFERROR(__xludf.DUMMYFUNCTION("GOOGLEFINANCE(A484, ""price"")"),771.0)</f>
        <v>771</v>
      </c>
      <c r="H484" s="9">
        <f>IFERROR(__xludf.DUMMYFUNCTION("MAX(INDEX(GOOGLEFINANCE(A484, ""high"", TODAY()-30, TODAY()), 0, 2))"),828.0)</f>
        <v>828</v>
      </c>
      <c r="I484" s="9">
        <f>IFERROR(__xludf.DUMMYFUNCTION("MIN(INDEX(GOOGLEFINANCE(A484, ""low"", TODAY()-30, TODAY()), 0, 2))"),745.55)</f>
        <v>745.55</v>
      </c>
      <c r="J484" s="9">
        <f>IFERROR(__xludf.DUMMYFUNCTION("GOOGLEFINANCE(A484, ""high52"")"),1196.4)</f>
        <v>1196.4</v>
      </c>
      <c r="K484" s="9">
        <f>IFERROR(__xludf.DUMMYFUNCTION("GOOGLEFINANCE(A484, ""low52"")"),698.2)</f>
        <v>698.2</v>
      </c>
      <c r="L484" s="9">
        <f t="shared" si="1"/>
        <v>0.3555667001</v>
      </c>
      <c r="M484" s="9">
        <f t="shared" si="2"/>
        <v>0.104268118</v>
      </c>
      <c r="N484" s="9">
        <f t="shared" si="3"/>
        <v>0.04328063241</v>
      </c>
      <c r="O484" s="9">
        <f t="shared" si="4"/>
        <v>0.3086719224</v>
      </c>
      <c r="P484" s="9">
        <f>IFERROR(__xludf.DUMMYFUNCTION("GOOGLEFINANCE(A484, ""pe"")"),24.09)</f>
        <v>24.09</v>
      </c>
      <c r="Q484" s="9">
        <f>IFERROR(__xludf.DUMMYFUNCTION("IFERROR(GOOGLEFINANCE(A484, ""volume"") / GOOGLEFINANCE(A484, ""volumeavg""), 0)"),0.0)</f>
        <v>0</v>
      </c>
      <c r="R484" s="9">
        <f>IFERROR(__xludf.DUMMYFUNCTION("AVERAGE(INDEX(GOOGLEFINANCE(A484, ""price"", TODAY()-30, TODAY()), 0, 2))"),777.8978260869566)</f>
        <v>777.8978261</v>
      </c>
      <c r="S484" s="9">
        <f>IFERROR(__xludf.DUMMYFUNCTION("AVERAGE(INDEX(GOOGLEFINANCE(A484, ""price"", TODAY()-75, TODAY()), 0, 2))"),751.8047169811323)</f>
        <v>751.804717</v>
      </c>
      <c r="T484" s="9">
        <f>IFERROR(__xludf.DUMMYFUNCTION("AVERAGE(INDEX(GOOGLEFINANCE(A484, ""price"", TODAY()-300, TODAY()), 0, 2))"),877.8603960396039)</f>
        <v>877.860396</v>
      </c>
      <c r="U484" s="9">
        <f t="shared" si="5"/>
        <v>-0.008867264897</v>
      </c>
      <c r="V484" s="15">
        <f>IFERROR(__xludf.DUMMYFUNCTION("LET(hist, GOOGLEFINANCE(A484,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rs))))))"),54.149829033260815)</f>
        <v>54.14982903</v>
      </c>
      <c r="W484" s="16" t="str">
        <f>IFERROR(__xludf.DUMMYFUNCTION("IFERROR(GOOGLEFINANCE(A484, ""volume"") / GOOGLEFINANCE(A484, ""volumeavg""), )"),"")</f>
        <v/>
      </c>
      <c r="X484" s="9">
        <f>IFERROR(__xludf.DUMMYFUNCTION("B484 * GOOGLEFINANCE(A484, ""volume"")"),5.65470675E8)</f>
        <v>565470675</v>
      </c>
      <c r="Y484" s="9">
        <f>IFERROR(__xludf.DUMMYFUNCTION("IFERROR(((B484 - GOOGLEFINANCE(A484, ""priceopen"")) / GOOGLEFINANCE(A484, ""priceopen"")) * GOOGLEFINANCE(A484, ""volume""), 0)"),-15822.620558375633)</f>
        <v>-15822.62056</v>
      </c>
    </row>
    <row r="485">
      <c r="A485" s="4" t="s">
        <v>2278</v>
      </c>
      <c r="B485" s="7">
        <f>IFERROR(__xludf.DUMMYFUNCTION("GOOGLEFINANCE(A485, ""price"")"),1327.0)</f>
        <v>1327</v>
      </c>
      <c r="C485" s="7">
        <f>IFERROR(__xludf.DUMMYFUNCTION("GOOGLEFINANCE(A485, ""changepct"")"),0.89)</f>
        <v>0.89</v>
      </c>
      <c r="D485" s="9">
        <f>IFERROR(__xludf.DUMMYFUNCTION("GOOGLEFINANCE(A485, ""priceopen"")"),1310.0)</f>
        <v>1310</v>
      </c>
      <c r="E485" s="9">
        <f>IFERROR(__xludf.DUMMYFUNCTION("GOOGLEFINANCE(A485, ""high"")"),1335.6)</f>
        <v>1335.6</v>
      </c>
      <c r="F485" s="9">
        <f>IFERROR(__xludf.DUMMYFUNCTION("GOOGLEFINANCE(A485, ""low"")"),1300.2)</f>
        <v>1300.2</v>
      </c>
      <c r="G485" s="9">
        <f>IFERROR(__xludf.DUMMYFUNCTION("GOOGLEFINANCE(A485, ""price"")"),1327.0)</f>
        <v>1327</v>
      </c>
      <c r="H485" s="9">
        <f>IFERROR(__xludf.DUMMYFUNCTION("MAX(INDEX(GOOGLEFINANCE(A485, ""high"", TODAY()-30, TODAY()), 0, 2))"),1362.0)</f>
        <v>1362</v>
      </c>
      <c r="I485" s="9">
        <f>IFERROR(__xludf.DUMMYFUNCTION("MIN(INDEX(GOOGLEFINANCE(A485, ""low"", TODAY()-30, TODAY()), 0, 2))"),1270.5)</f>
        <v>1270.5</v>
      </c>
      <c r="J485" s="9">
        <f>IFERROR(__xludf.DUMMYFUNCTION("GOOGLEFINANCE(A485, ""high52"")"),1849.9)</f>
        <v>1849.9</v>
      </c>
      <c r="K485" s="9">
        <f>IFERROR(__xludf.DUMMYFUNCTION("GOOGLEFINANCE(A485, ""low52"")"),1203.0)</f>
        <v>1203</v>
      </c>
      <c r="L485" s="9">
        <f t="shared" si="1"/>
        <v>0.2826639278</v>
      </c>
      <c r="M485" s="9">
        <f t="shared" si="2"/>
        <v>0.1030756442</v>
      </c>
      <c r="N485" s="9">
        <f t="shared" si="3"/>
        <v>0.02722658053</v>
      </c>
      <c r="O485" s="9">
        <f t="shared" si="4"/>
        <v>0.6174863388</v>
      </c>
      <c r="P485" s="9">
        <f>IFERROR(__xludf.DUMMYFUNCTION("GOOGLEFINANCE(A485, ""pe"")"),30.67)</f>
        <v>30.67</v>
      </c>
      <c r="Q485" s="9">
        <f>IFERROR(__xludf.DUMMYFUNCTION("IFERROR(GOOGLEFINANCE(A485, ""volume"") / GOOGLEFINANCE(A485, ""volumeavg""), 0)"),0.0)</f>
        <v>0</v>
      </c>
      <c r="R485" s="9">
        <f>IFERROR(__xludf.DUMMYFUNCTION("AVERAGE(INDEX(GOOGLEFINANCE(A485, ""price"", TODAY()-30, TODAY()), 0, 2))"),1317.2478260869564)</f>
        <v>1317.247826</v>
      </c>
      <c r="S485" s="9">
        <f>IFERROR(__xludf.DUMMYFUNCTION("AVERAGE(INDEX(GOOGLEFINANCE(A485, ""price"", TODAY()-75, TODAY()), 0, 2))"),1321.1452830188675)</f>
        <v>1321.145283</v>
      </c>
      <c r="T485" s="9">
        <f>IFERROR(__xludf.DUMMYFUNCTION("AVERAGE(INDEX(GOOGLEFINANCE(A485, ""price"", TODAY()-300, TODAY()), 0, 2))"),1446.893069306931)</f>
        <v>1446.893069</v>
      </c>
      <c r="U485" s="9">
        <f t="shared" si="5"/>
        <v>0.00740344658</v>
      </c>
      <c r="V485" s="15">
        <f>IFERROR(__xludf.DUMMYFUNCTION("LET(hist, GOOGLEFINANCE(A485,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rs))))))"),61.04938271604947)</f>
        <v>61.04938272</v>
      </c>
      <c r="W485" s="16" t="str">
        <f>IFERROR(__xludf.DUMMYFUNCTION("IFERROR(GOOGLEFINANCE(A485, ""volume"") / GOOGLEFINANCE(A485, ""volumeavg""), )"),"")</f>
        <v/>
      </c>
      <c r="X485" s="9">
        <f>IFERROR(__xludf.DUMMYFUNCTION("B485 * GOOGLEFINANCE(A485, ""volume"")"),3.65400066E8)</f>
        <v>365400066</v>
      </c>
      <c r="Y485" s="9">
        <f>IFERROR(__xludf.DUMMYFUNCTION("IFERROR(((B485 - GOOGLEFINANCE(A485, ""priceopen"")) / GOOGLEFINANCE(A485, ""priceopen"")) * GOOGLEFINANCE(A485, ""volume""), 0)"),3573.3480916030535)</f>
        <v>3573.348092</v>
      </c>
    </row>
    <row r="486">
      <c r="A486" s="4" t="s">
        <v>2279</v>
      </c>
      <c r="B486" s="7">
        <f>IFERROR(__xludf.DUMMYFUNCTION("GOOGLEFINANCE(A486, ""price"")"),74.0)</f>
        <v>74</v>
      </c>
      <c r="C486" s="7">
        <f>IFERROR(__xludf.DUMMYFUNCTION("GOOGLEFINANCE(A486, ""changepct"")"),-0.54)</f>
        <v>-0.54</v>
      </c>
      <c r="D486" s="9">
        <f>IFERROR(__xludf.DUMMYFUNCTION("GOOGLEFINANCE(A486, ""priceopen"")"),74.27)</f>
        <v>74.27</v>
      </c>
      <c r="E486" s="9">
        <f>IFERROR(__xludf.DUMMYFUNCTION("GOOGLEFINANCE(A486, ""high"")"),74.84)</f>
        <v>74.84</v>
      </c>
      <c r="F486" s="9">
        <f>IFERROR(__xludf.DUMMYFUNCTION("GOOGLEFINANCE(A486, ""low"")"),73.55)</f>
        <v>73.55</v>
      </c>
      <c r="G486" s="9">
        <f>IFERROR(__xludf.DUMMYFUNCTION("GOOGLEFINANCE(A486, ""price"")"),74.0)</f>
        <v>74</v>
      </c>
      <c r="H486" s="9">
        <f>IFERROR(__xludf.DUMMYFUNCTION("MAX(INDEX(GOOGLEFINANCE(A486, ""high"", TODAY()-30, TODAY()), 0, 2))"),82.3)</f>
        <v>82.3</v>
      </c>
      <c r="I486" s="9">
        <f>IFERROR(__xludf.DUMMYFUNCTION("MIN(INDEX(GOOGLEFINANCE(A486, ""low"", TODAY()-30, TODAY()), 0, 2))"),72.7)</f>
        <v>72.7</v>
      </c>
      <c r="J486" s="9">
        <f>IFERROR(__xludf.DUMMYFUNCTION("GOOGLEFINANCE(A486, ""high52"")"),159.3)</f>
        <v>159.3</v>
      </c>
      <c r="K486" s="9">
        <f>IFERROR(__xludf.DUMMYFUNCTION("GOOGLEFINANCE(A486, ""low52"")"),72.7)</f>
        <v>72.7</v>
      </c>
      <c r="L486" s="9">
        <f t="shared" si="1"/>
        <v>0.5354676711</v>
      </c>
      <c r="M486" s="9">
        <f t="shared" si="2"/>
        <v>0.01788170564</v>
      </c>
      <c r="N486" s="9">
        <f t="shared" si="3"/>
        <v>0.01753908906</v>
      </c>
      <c r="O486" s="9">
        <f t="shared" si="4"/>
        <v>0.1354166667</v>
      </c>
      <c r="P486" s="9">
        <f>IFERROR(__xludf.DUMMYFUNCTION("GOOGLEFINANCE(A486, ""pe"")"),30.71)</f>
        <v>30.71</v>
      </c>
      <c r="Q486" s="9">
        <f>IFERROR(__xludf.DUMMYFUNCTION("IFERROR(GOOGLEFINANCE(A486, ""volume"") / GOOGLEFINANCE(A486, ""volumeavg""), 0)"),0.0)</f>
        <v>0</v>
      </c>
      <c r="R486" s="9">
        <f>IFERROR(__xludf.DUMMYFUNCTION("AVERAGE(INDEX(GOOGLEFINANCE(A486, ""price"", TODAY()-30, TODAY()), 0, 2))"),77.56869565217391)</f>
        <v>77.56869565</v>
      </c>
      <c r="S486" s="9">
        <f>IFERROR(__xludf.DUMMYFUNCTION("AVERAGE(INDEX(GOOGLEFINANCE(A486, ""price"", TODAY()-75, TODAY()), 0, 2))"),83.11188679245282)</f>
        <v>83.11188679</v>
      </c>
      <c r="T486" s="9">
        <f>IFERROR(__xludf.DUMMYFUNCTION("AVERAGE(INDEX(GOOGLEFINANCE(A486, ""price"", TODAY()-300, TODAY()), 0, 2))"),104.47178217821775)</f>
        <v>104.4717822</v>
      </c>
      <c r="U486" s="9">
        <f t="shared" si="5"/>
        <v>-0.04600690552</v>
      </c>
      <c r="V486" s="15">
        <f>IFERROR(__xludf.DUMMYFUNCTION("LET(hist, GOOGLEFINANCE(A486,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rs))))))"),43.80257992148067)</f>
        <v>43.80257992</v>
      </c>
      <c r="W486" s="16" t="str">
        <f>IFERROR(__xludf.DUMMYFUNCTION("IFERROR(GOOGLEFINANCE(A486, ""volume"") / GOOGLEFINANCE(A486, ""volumeavg""), )"),"")</f>
        <v/>
      </c>
      <c r="X486" s="9">
        <f>IFERROR(__xludf.DUMMYFUNCTION("B486 * GOOGLEFINANCE(A486, ""volume"")"),6.14174692E8)</f>
        <v>614174692</v>
      </c>
      <c r="Y486" s="9">
        <f>IFERROR(__xludf.DUMMYFUNCTION("IFERROR(((B486 - GOOGLEFINANCE(A486, ""priceopen"")) / GOOGLEFINANCE(A486, ""priceopen"")) * GOOGLEFINANCE(A486, ""volume""), 0)"),-30172.447286925635)</f>
        <v>-30172.44729</v>
      </c>
    </row>
    <row r="487">
      <c r="A487" s="4" t="s">
        <v>2280</v>
      </c>
      <c r="B487" s="7">
        <f>IFERROR(__xludf.DUMMYFUNCTION("GOOGLEFINANCE(A487, ""price"")"),36.77)</f>
        <v>36.77</v>
      </c>
      <c r="C487" s="7">
        <f>IFERROR(__xludf.DUMMYFUNCTION("GOOGLEFINANCE(A487, ""changepct"")"),0.44)</f>
        <v>0.44</v>
      </c>
      <c r="D487" s="9">
        <f>IFERROR(__xludf.DUMMYFUNCTION("GOOGLEFINANCE(A487, ""priceopen"")"),36.5)</f>
        <v>36.5</v>
      </c>
      <c r="E487" s="9">
        <f>IFERROR(__xludf.DUMMYFUNCTION("GOOGLEFINANCE(A487, ""high"")"),37.15)</f>
        <v>37.15</v>
      </c>
      <c r="F487" s="9">
        <f>IFERROR(__xludf.DUMMYFUNCTION("GOOGLEFINANCE(A487, ""low"")"),36.36)</f>
        <v>36.36</v>
      </c>
      <c r="G487" s="9">
        <f>IFERROR(__xludf.DUMMYFUNCTION("GOOGLEFINANCE(A487, ""price"")"),36.77)</f>
        <v>36.77</v>
      </c>
      <c r="H487" s="9">
        <f>IFERROR(__xludf.DUMMYFUNCTION("MAX(INDEX(GOOGLEFINANCE(A487, ""high"", TODAY()-30, TODAY()), 0, 2))"),42.49)</f>
        <v>42.49</v>
      </c>
      <c r="I487" s="9">
        <f>IFERROR(__xludf.DUMMYFUNCTION("MIN(INDEX(GOOGLEFINANCE(A487, ""low"", TODAY()-30, TODAY()), 0, 2))"),33.06)</f>
        <v>33.06</v>
      </c>
      <c r="J487" s="9">
        <f>IFERROR(__xludf.DUMMYFUNCTION("GOOGLEFINANCE(A487, ""high52"")"),49.88)</f>
        <v>49.88</v>
      </c>
      <c r="K487" s="9">
        <f>IFERROR(__xludf.DUMMYFUNCTION("GOOGLEFINANCE(A487, ""low52"")"),33.06)</f>
        <v>33.06</v>
      </c>
      <c r="L487" s="9">
        <f t="shared" si="1"/>
        <v>0.2628307939</v>
      </c>
      <c r="M487" s="9">
        <f t="shared" si="2"/>
        <v>0.1122202057</v>
      </c>
      <c r="N487" s="9">
        <f t="shared" si="3"/>
        <v>0.02172717272</v>
      </c>
      <c r="O487" s="9">
        <f t="shared" si="4"/>
        <v>0.3934252386</v>
      </c>
      <c r="P487" s="9" t="str">
        <f>IFERROR(__xludf.DUMMYFUNCTION("GOOGLEFINANCE(A487, ""pe"")"),"#N/A")</f>
        <v>#N/A</v>
      </c>
      <c r="Q487" s="9">
        <f>IFERROR(__xludf.DUMMYFUNCTION("IFERROR(GOOGLEFINANCE(A487, ""volume"") / GOOGLEFINANCE(A487, ""volumeavg""), 0)"),0.0)</f>
        <v>0</v>
      </c>
      <c r="R487" s="9">
        <f>IFERROR(__xludf.DUMMYFUNCTION("AVERAGE(INDEX(GOOGLEFINANCE(A487, ""price"", TODAY()-30, TODAY()), 0, 2))"),36.63913043478261)</f>
        <v>36.63913043</v>
      </c>
      <c r="S487" s="9">
        <f>IFERROR(__xludf.DUMMYFUNCTION("AVERAGE(INDEX(GOOGLEFINANCE(A487, ""price"", TODAY()-75, TODAY()), 0, 2))"),39.26428571428571)</f>
        <v>39.26428571</v>
      </c>
      <c r="T487" s="9">
        <f>IFERROR(__xludf.DUMMYFUNCTION("AVERAGE(INDEX(GOOGLEFINANCE(A487, ""price"", TODAY()-300, TODAY()), 0, 2))"),39.26428571428571)</f>
        <v>39.26428571</v>
      </c>
      <c r="U487" s="9">
        <f t="shared" si="5"/>
        <v>0.003571852379</v>
      </c>
      <c r="V487" s="15">
        <f>IFERROR(__xludf.DUMMYFUNCTION("LET(hist, GOOGLEFINANCE(A487,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rs))))))"),61.24197002141329)</f>
        <v>61.24197002</v>
      </c>
      <c r="W487" s="16" t="str">
        <f>IFERROR(__xludf.DUMMYFUNCTION("IFERROR(GOOGLEFINANCE(A487, ""volume"") / GOOGLEFINANCE(A487, ""volumeavg""), )"),"")</f>
        <v/>
      </c>
      <c r="X487" s="9">
        <f>IFERROR(__xludf.DUMMYFUNCTION("B487 * GOOGLEFINANCE(A487, ""volume"")"),8.414380614000001E8)</f>
        <v>841438061.4</v>
      </c>
      <c r="Y487" s="9">
        <f>IFERROR(__xludf.DUMMYFUNCTION("IFERROR(((B487 - GOOGLEFINANCE(A487, ""priceopen"")) / GOOGLEFINANCE(A487, ""priceopen"")) * GOOGLEFINANCE(A487, ""volume""), 0)"),169277.57260274168)</f>
        <v>169277.5726</v>
      </c>
    </row>
    <row r="488">
      <c r="A488" s="4" t="s">
        <v>2281</v>
      </c>
      <c r="B488" s="7">
        <f>IFERROR(__xludf.DUMMYFUNCTION("GOOGLEFINANCE(A488, ""price"")"),857.0)</f>
        <v>857</v>
      </c>
      <c r="C488" s="7">
        <f>IFERROR(__xludf.DUMMYFUNCTION("GOOGLEFINANCE(A488, ""changepct"")"),-1.15)</f>
        <v>-1.15</v>
      </c>
      <c r="D488" s="9">
        <f>IFERROR(__xludf.DUMMYFUNCTION("GOOGLEFINANCE(A488, ""priceopen"")"),832.95)</f>
        <v>832.95</v>
      </c>
      <c r="E488" s="9">
        <f>IFERROR(__xludf.DUMMYFUNCTION("GOOGLEFINANCE(A488, ""high"")"),871.95)</f>
        <v>871.95</v>
      </c>
      <c r="F488" s="9">
        <f>IFERROR(__xludf.DUMMYFUNCTION("GOOGLEFINANCE(A488, ""low"")"),832.95)</f>
        <v>832.95</v>
      </c>
      <c r="G488" s="9">
        <f>IFERROR(__xludf.DUMMYFUNCTION("GOOGLEFINANCE(A488, ""price"")"),857.0)</f>
        <v>857</v>
      </c>
      <c r="H488" s="9">
        <f>IFERROR(__xludf.DUMMYFUNCTION("MAX(INDEX(GOOGLEFINANCE(A488, ""high"", TODAY()-30, TODAY()), 0, 2))"),917.0)</f>
        <v>917</v>
      </c>
      <c r="I488" s="9">
        <f>IFERROR(__xludf.DUMMYFUNCTION("MIN(INDEX(GOOGLEFINANCE(A488, ""low"", TODAY()-30, TODAY()), 0, 2))"),777.15)</f>
        <v>777.15</v>
      </c>
      <c r="J488" s="9">
        <f>IFERROR(__xludf.DUMMYFUNCTION("GOOGLEFINANCE(A488, ""high52"")"),917.0)</f>
        <v>917</v>
      </c>
      <c r="K488" s="9">
        <f>IFERROR(__xludf.DUMMYFUNCTION("GOOGLEFINANCE(A488, ""low52"")"),411.8)</f>
        <v>411.8</v>
      </c>
      <c r="L488" s="9">
        <f t="shared" si="1"/>
        <v>0.06543075245</v>
      </c>
      <c r="M488" s="9">
        <f t="shared" si="2"/>
        <v>1.081107334</v>
      </c>
      <c r="N488" s="9">
        <f t="shared" si="3"/>
        <v>0.04682153791</v>
      </c>
      <c r="O488" s="9">
        <f t="shared" si="4"/>
        <v>0.5709688952</v>
      </c>
      <c r="P488" s="9">
        <f>IFERROR(__xludf.DUMMYFUNCTION("GOOGLEFINANCE(A488, ""pe"")"),9.4)</f>
        <v>9.4</v>
      </c>
      <c r="Q488" s="9">
        <f>IFERROR(__xludf.DUMMYFUNCTION("IFERROR(GOOGLEFINANCE(A488, ""volume"") / GOOGLEFINANCE(A488, ""volumeavg""), 0)"),0.0)</f>
        <v>0</v>
      </c>
      <c r="R488" s="9">
        <f>IFERROR(__xludf.DUMMYFUNCTION("AVERAGE(INDEX(GOOGLEFINANCE(A488, ""price"", TODAY()-30, TODAY()), 0, 2))"),839.6456521739128)</f>
        <v>839.6456522</v>
      </c>
      <c r="S488" s="9">
        <f>IFERROR(__xludf.DUMMYFUNCTION("AVERAGE(INDEX(GOOGLEFINANCE(A488, ""price"", TODAY()-75, TODAY()), 0, 2))"),792.6933962264151)</f>
        <v>792.6933962</v>
      </c>
      <c r="T488" s="9">
        <f>IFERROR(__xludf.DUMMYFUNCTION("AVERAGE(INDEX(GOOGLEFINANCE(A488, ""price"", TODAY()-300, TODAY()), 0, 2))"),643.4643564356436)</f>
        <v>643.4643564</v>
      </c>
      <c r="U488" s="9">
        <f t="shared" si="5"/>
        <v>0.02066865681</v>
      </c>
      <c r="V488" s="15">
        <f>IFERROR(__xludf.DUMMYFUNCTION("LET(hist, GOOGLEFINANCE(A488,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rs))))))"),63.30462375339984)</f>
        <v>63.30462375</v>
      </c>
      <c r="W488" s="16" t="str">
        <f>IFERROR(__xludf.DUMMYFUNCTION("IFERROR(GOOGLEFINANCE(A488, ""volume"") / GOOGLEFINANCE(A488, ""volumeavg""), )"),"")</f>
        <v/>
      </c>
      <c r="X488" s="9">
        <f>IFERROR(__xludf.DUMMYFUNCTION("B488 * GOOGLEFINANCE(A488, ""volume"")"),1.20272237E8)</f>
        <v>120272237</v>
      </c>
      <c r="Y488" s="9">
        <f>IFERROR(__xludf.DUMMYFUNCTION("IFERROR(((B488 - GOOGLEFINANCE(A488, ""priceopen"")) / GOOGLEFINANCE(A488, ""priceopen"")) * GOOGLEFINANCE(A488, ""volume""), 0)"),4052.1052284050584)</f>
        <v>4052.105228</v>
      </c>
    </row>
    <row r="489">
      <c r="A489" s="4" t="s">
        <v>2282</v>
      </c>
      <c r="B489" s="7">
        <f>IFERROR(__xludf.DUMMYFUNCTION("GOOGLEFINANCE(A489, ""price"")"),3100.1)</f>
        <v>3100.1</v>
      </c>
      <c r="C489" s="7">
        <f>IFERROR(__xludf.DUMMYFUNCTION("GOOGLEFINANCE(A489, ""changepct"")"),-1.8)</f>
        <v>-1.8</v>
      </c>
      <c r="D489" s="9">
        <f>IFERROR(__xludf.DUMMYFUNCTION("GOOGLEFINANCE(A489, ""priceopen"")"),3169.9)</f>
        <v>3169.9</v>
      </c>
      <c r="E489" s="9">
        <f>IFERROR(__xludf.DUMMYFUNCTION("GOOGLEFINANCE(A489, ""high"")"),3169.9)</f>
        <v>3169.9</v>
      </c>
      <c r="F489" s="9">
        <f>IFERROR(__xludf.DUMMYFUNCTION("GOOGLEFINANCE(A489, ""low"")"),3080.0)</f>
        <v>3080</v>
      </c>
      <c r="G489" s="9">
        <f>IFERROR(__xludf.DUMMYFUNCTION("GOOGLEFINANCE(A489, ""price"")"),3100.1)</f>
        <v>3100.1</v>
      </c>
      <c r="H489" s="9">
        <f>IFERROR(__xludf.DUMMYFUNCTION("MAX(INDEX(GOOGLEFINANCE(A489, ""high"", TODAY()-30, TODAY()), 0, 2))"),3195.0)</f>
        <v>3195</v>
      </c>
      <c r="I489" s="9">
        <f>IFERROR(__xludf.DUMMYFUNCTION("MIN(INDEX(GOOGLEFINANCE(A489, ""low"", TODAY()-30, TODAY()), 0, 2))"),2862.0)</f>
        <v>2862</v>
      </c>
      <c r="J489" s="9">
        <f>IFERROR(__xludf.DUMMYFUNCTION("GOOGLEFINANCE(A489, ""high52"")"),3376.2)</f>
        <v>3376.2</v>
      </c>
      <c r="K489" s="9">
        <f>IFERROR(__xludf.DUMMYFUNCTION("GOOGLEFINANCE(A489, ""low52"")"),2857.0)</f>
        <v>2857</v>
      </c>
      <c r="L489" s="9">
        <f t="shared" si="1"/>
        <v>0.08177833067</v>
      </c>
      <c r="M489" s="9">
        <f t="shared" si="2"/>
        <v>0.08508925446</v>
      </c>
      <c r="N489" s="9">
        <f t="shared" si="3"/>
        <v>0.02918831169</v>
      </c>
      <c r="O489" s="9">
        <f t="shared" si="4"/>
        <v>0.715015015</v>
      </c>
      <c r="P489" s="9" t="str">
        <f>IFERROR(__xludf.DUMMYFUNCTION("GOOGLEFINANCE(A489, ""pe"")"),"#N/A")</f>
        <v>#N/A</v>
      </c>
      <c r="Q489" s="9">
        <f>IFERROR(__xludf.DUMMYFUNCTION("IFERROR(GOOGLEFINANCE(A489, ""volume"") / GOOGLEFINANCE(A489, ""volumeavg""), 0)"),0.0)</f>
        <v>0</v>
      </c>
      <c r="R489" s="9">
        <f>IFERROR(__xludf.DUMMYFUNCTION("AVERAGE(INDEX(GOOGLEFINANCE(A489, ""price"", TODAY()-30, TODAY()), 0, 2))"),2998.578260869565)</f>
        <v>2998.578261</v>
      </c>
      <c r="S489" s="9">
        <f>IFERROR(__xludf.DUMMYFUNCTION("AVERAGE(INDEX(GOOGLEFINANCE(A489, ""price"", TODAY()-75, TODAY()), 0, 2))"),3095.8283018867924)</f>
        <v>3095.828302</v>
      </c>
      <c r="T489" s="9">
        <f>IFERROR(__xludf.DUMMYFUNCTION("AVERAGE(INDEX(GOOGLEFINANCE(A489, ""price"", TODAY()-300, TODAY()), 0, 2))"),3042.2409638554223)</f>
        <v>3042.240964</v>
      </c>
      <c r="U489" s="9">
        <f t="shared" si="5"/>
        <v>0.03385662481</v>
      </c>
      <c r="V489" s="15">
        <f>IFERROR(__xludf.DUMMYFUNCTION("LET(hist, GOOGLEFINANCE(A489,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rs))))))"),65.8327501749475)</f>
        <v>65.83275017</v>
      </c>
      <c r="W489" s="16" t="str">
        <f>IFERROR(__xludf.DUMMYFUNCTION("IFERROR(GOOGLEFINANCE(A489, ""volume"") / GOOGLEFINANCE(A489, ""volumeavg""), )"),"")</f>
        <v/>
      </c>
      <c r="X489" s="9">
        <f>IFERROR(__xludf.DUMMYFUNCTION("B489 * GOOGLEFINANCE(A489, ""volume"")"),1.224012483E8)</f>
        <v>122401248.3</v>
      </c>
      <c r="Y489" s="9">
        <f>IFERROR(__xludf.DUMMYFUNCTION("IFERROR(((B489 - GOOGLEFINANCE(A489, ""priceopen"")) / GOOGLEFINANCE(A489, ""priceopen"")) * GOOGLEFINANCE(A489, ""volume""), 0)"),-869.4007381936361)</f>
        <v>-869.4007382</v>
      </c>
    </row>
    <row r="490">
      <c r="A490" s="4" t="s">
        <v>2283</v>
      </c>
      <c r="B490" s="7">
        <f>IFERROR(__xludf.DUMMYFUNCTION("GOOGLEFINANCE(A490, ""price"")"),756.6)</f>
        <v>756.6</v>
      </c>
      <c r="C490" s="7">
        <f>IFERROR(__xludf.DUMMYFUNCTION("GOOGLEFINANCE(A490, ""changepct"")"),1.78)</f>
        <v>1.78</v>
      </c>
      <c r="D490" s="9">
        <f>IFERROR(__xludf.DUMMYFUNCTION("GOOGLEFINANCE(A490, ""priceopen"")"),729.0)</f>
        <v>729</v>
      </c>
      <c r="E490" s="9">
        <f>IFERROR(__xludf.DUMMYFUNCTION("GOOGLEFINANCE(A490, ""high"")"),795.0)</f>
        <v>795</v>
      </c>
      <c r="F490" s="9">
        <f>IFERROR(__xludf.DUMMYFUNCTION("GOOGLEFINANCE(A490, ""low"")"),721.5)</f>
        <v>721.5</v>
      </c>
      <c r="G490" s="9">
        <f>IFERROR(__xludf.DUMMYFUNCTION("GOOGLEFINANCE(A490, ""price"")"),756.6)</f>
        <v>756.6</v>
      </c>
      <c r="H490" s="9">
        <f>IFERROR(__xludf.DUMMYFUNCTION("MAX(INDEX(GOOGLEFINANCE(A490, ""high"", TODAY()-30, TODAY()), 0, 2))"),918.0)</f>
        <v>918</v>
      </c>
      <c r="I490" s="9">
        <f>IFERROR(__xludf.DUMMYFUNCTION("MIN(INDEX(GOOGLEFINANCE(A490, ""low"", TODAY()-30, TODAY()), 0, 2))"),721.5)</f>
        <v>721.5</v>
      </c>
      <c r="J490" s="9">
        <f>IFERROR(__xludf.DUMMYFUNCTION("GOOGLEFINANCE(A490, ""high52"")"),1103.0)</f>
        <v>1103</v>
      </c>
      <c r="K490" s="9">
        <f>IFERROR(__xludf.DUMMYFUNCTION("GOOGLEFINANCE(A490, ""low52"")"),435.05)</f>
        <v>435.05</v>
      </c>
      <c r="L490" s="9">
        <f t="shared" si="1"/>
        <v>0.3140525839</v>
      </c>
      <c r="M490" s="9">
        <f t="shared" si="2"/>
        <v>0.7391104471</v>
      </c>
      <c r="N490" s="9">
        <f t="shared" si="3"/>
        <v>0.1018711019</v>
      </c>
      <c r="O490" s="9">
        <f t="shared" si="4"/>
        <v>0.1786259542</v>
      </c>
      <c r="P490" s="9">
        <f>IFERROR(__xludf.DUMMYFUNCTION("GOOGLEFINANCE(A490, ""pe"")"),59.72)</f>
        <v>59.72</v>
      </c>
      <c r="Q490" s="9">
        <f>IFERROR(__xludf.DUMMYFUNCTION("IFERROR(GOOGLEFINANCE(A490, ""volume"") / GOOGLEFINANCE(A490, ""volumeavg""), 0)"),0.0)</f>
        <v>0</v>
      </c>
      <c r="R490" s="9">
        <f>IFERROR(__xludf.DUMMYFUNCTION("AVERAGE(INDEX(GOOGLEFINANCE(A490, ""price"", TODAY()-30, TODAY()), 0, 2))"),785.7326086956521)</f>
        <v>785.7326087</v>
      </c>
      <c r="S490" s="9">
        <f>IFERROR(__xludf.DUMMYFUNCTION("AVERAGE(INDEX(GOOGLEFINANCE(A490, ""price"", TODAY()-75, TODAY()), 0, 2))"),905.5896226415094)</f>
        <v>905.5896226</v>
      </c>
      <c r="T490" s="9">
        <f>IFERROR(__xludf.DUMMYFUNCTION("AVERAGE(INDEX(GOOGLEFINANCE(A490, ""price"", TODAY()-300, TODAY()), 0, 2))"),656.1534653465344)</f>
        <v>656.1534653</v>
      </c>
      <c r="U490" s="9">
        <f t="shared" si="5"/>
        <v>-0.03707700097</v>
      </c>
      <c r="V490" s="15">
        <f>IFERROR(__xludf.DUMMYFUNCTION("LET(hist, GOOGLEFINANCE(A490,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rs))))))"),45.91549295774647)</f>
        <v>45.91549296</v>
      </c>
      <c r="W490" s="16" t="str">
        <f>IFERROR(__xludf.DUMMYFUNCTION("IFERROR(GOOGLEFINANCE(A490, ""volume"") / GOOGLEFINANCE(A490, ""volumeavg""), )"),"")</f>
        <v/>
      </c>
      <c r="X490" s="9">
        <f>IFERROR(__xludf.DUMMYFUNCTION("B490 * GOOGLEFINANCE(A490, ""volume"")"),4.1675722140000004E8)</f>
        <v>416757221.4</v>
      </c>
      <c r="Y490" s="9">
        <f>IFERROR(__xludf.DUMMYFUNCTION("IFERROR(((B490 - GOOGLEFINANCE(A490, ""priceopen"")) / GOOGLEFINANCE(A490, ""priceopen"")) * GOOGLEFINANCE(A490, ""volume""), 0)"),20854.431275720184)</f>
        <v>20854.43128</v>
      </c>
    </row>
    <row r="491">
      <c r="A491" s="4" t="s">
        <v>2284</v>
      </c>
      <c r="B491" s="7">
        <f>IFERROR(__xludf.DUMMYFUNCTION("GOOGLEFINANCE(A491, ""price"")"),728.65)</f>
        <v>728.65</v>
      </c>
      <c r="C491" s="7">
        <f>IFERROR(__xludf.DUMMYFUNCTION("GOOGLEFINANCE(A491, ""changepct"")"),6.33)</f>
        <v>6.33</v>
      </c>
      <c r="D491" s="9">
        <f>IFERROR(__xludf.DUMMYFUNCTION("GOOGLEFINANCE(A491, ""priceopen"")"),685.9)</f>
        <v>685.9</v>
      </c>
      <c r="E491" s="9">
        <f>IFERROR(__xludf.DUMMYFUNCTION("GOOGLEFINANCE(A491, ""high"")"),731.7)</f>
        <v>731.7</v>
      </c>
      <c r="F491" s="9">
        <f>IFERROR(__xludf.DUMMYFUNCTION("GOOGLEFINANCE(A491, ""low"")"),684.55)</f>
        <v>684.55</v>
      </c>
      <c r="G491" s="9">
        <f>IFERROR(__xludf.DUMMYFUNCTION("GOOGLEFINANCE(A491, ""price"")"),728.65)</f>
        <v>728.65</v>
      </c>
      <c r="H491" s="9">
        <f>IFERROR(__xludf.DUMMYFUNCTION("MAX(INDEX(GOOGLEFINANCE(A491, ""high"", TODAY()-30, TODAY()), 0, 2))"),783.8)</f>
        <v>783.8</v>
      </c>
      <c r="I491" s="9">
        <f>IFERROR(__xludf.DUMMYFUNCTION("MIN(INDEX(GOOGLEFINANCE(A491, ""low"", TODAY()-30, TODAY()), 0, 2))"),678.35)</f>
        <v>678.35</v>
      </c>
      <c r="J491" s="9">
        <f>IFERROR(__xludf.DUMMYFUNCTION("GOOGLEFINANCE(A491, ""high52"")"),979.0)</f>
        <v>979</v>
      </c>
      <c r="K491" s="9">
        <f>IFERROR(__xludf.DUMMYFUNCTION("GOOGLEFINANCE(A491, ""low52"")"),462.3)</f>
        <v>462.3</v>
      </c>
      <c r="L491" s="9">
        <f t="shared" si="1"/>
        <v>0.2557201226</v>
      </c>
      <c r="M491" s="9">
        <f t="shared" si="2"/>
        <v>0.576141034</v>
      </c>
      <c r="N491" s="9">
        <f t="shared" si="3"/>
        <v>0.06887736469</v>
      </c>
      <c r="O491" s="9">
        <f t="shared" si="4"/>
        <v>0.4770033191</v>
      </c>
      <c r="P491" s="9">
        <f>IFERROR(__xludf.DUMMYFUNCTION("GOOGLEFINANCE(A491, ""pe"")"),28.28)</f>
        <v>28.28</v>
      </c>
      <c r="Q491" s="9">
        <f>IFERROR(__xludf.DUMMYFUNCTION("IFERROR(GOOGLEFINANCE(A491, ""volume"") / GOOGLEFINANCE(A491, ""volumeavg""), 0)"),0.0)</f>
        <v>0</v>
      </c>
      <c r="R491" s="9">
        <f>IFERROR(__xludf.DUMMYFUNCTION("AVERAGE(INDEX(GOOGLEFINANCE(A491, ""price"", TODAY()-30, TODAY()), 0, 2))"),718.1652173913043)</f>
        <v>718.1652174</v>
      </c>
      <c r="S491" s="9">
        <f>IFERROR(__xludf.DUMMYFUNCTION("AVERAGE(INDEX(GOOGLEFINANCE(A491, ""price"", TODAY()-75, TODAY()), 0, 2))"),715.4160377358492)</f>
        <v>715.4160377</v>
      </c>
      <c r="T491" s="9">
        <f>IFERROR(__xludf.DUMMYFUNCTION("AVERAGE(INDEX(GOOGLEFINANCE(A491, ""price"", TODAY()-300, TODAY()), 0, 2))"),683.3668316831682)</f>
        <v>683.3668317</v>
      </c>
      <c r="U491" s="9">
        <f t="shared" si="5"/>
        <v>0.01459940186</v>
      </c>
      <c r="V491" s="15">
        <f>IFERROR(__xludf.DUMMYFUNCTION("LET(hist, GOOGLEFINANCE(A491,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rs))))))"),47.07985697258639)</f>
        <v>47.07985697</v>
      </c>
      <c r="W491" s="16" t="str">
        <f>IFERROR(__xludf.DUMMYFUNCTION("IFERROR(GOOGLEFINANCE(A491, ""volume"") / GOOGLEFINANCE(A491, ""volumeavg""), )"),"")</f>
        <v/>
      </c>
      <c r="X491" s="9">
        <f>IFERROR(__xludf.DUMMYFUNCTION("B491 * GOOGLEFINANCE(A491, ""volume"")"),3.66190344E8)</f>
        <v>366190344</v>
      </c>
      <c r="Y491" s="9">
        <f>IFERROR(__xludf.DUMMYFUNCTION("IFERROR(((B491 - GOOGLEFINANCE(A491, ""priceopen"")) / GOOGLEFINANCE(A491, ""priceopen"")) * GOOGLEFINANCE(A491, ""volume""), 0)"),31322.991689750692)</f>
        <v>31322.99169</v>
      </c>
    </row>
    <row r="492">
      <c r="A492" s="4" t="s">
        <v>2285</v>
      </c>
      <c r="B492" s="7">
        <f>IFERROR(__xludf.DUMMYFUNCTION("GOOGLEFINANCE(A492, ""price"")"),2714.9)</f>
        <v>2714.9</v>
      </c>
      <c r="C492" s="7">
        <f>IFERROR(__xludf.DUMMYFUNCTION("GOOGLEFINANCE(A492, ""changepct"")"),-1.76)</f>
        <v>-1.76</v>
      </c>
      <c r="D492" s="9">
        <f>IFERROR(__xludf.DUMMYFUNCTION("GOOGLEFINANCE(A492, ""priceopen"")"),2778.0)</f>
        <v>2778</v>
      </c>
      <c r="E492" s="9">
        <f>IFERROR(__xludf.DUMMYFUNCTION("GOOGLEFINANCE(A492, ""high"")"),2789.0)</f>
        <v>2789</v>
      </c>
      <c r="F492" s="9">
        <f>IFERROR(__xludf.DUMMYFUNCTION("GOOGLEFINANCE(A492, ""low"")"),2705.0)</f>
        <v>2705</v>
      </c>
      <c r="G492" s="9">
        <f>IFERROR(__xludf.DUMMYFUNCTION("GOOGLEFINANCE(A492, ""price"")"),2714.9)</f>
        <v>2714.9</v>
      </c>
      <c r="H492" s="9">
        <f>IFERROR(__xludf.DUMMYFUNCTION("MAX(INDEX(GOOGLEFINANCE(A492, ""high"", TODAY()-30, TODAY()), 0, 2))"),3081.5)</f>
        <v>3081.5</v>
      </c>
      <c r="I492" s="9">
        <f>IFERROR(__xludf.DUMMYFUNCTION("MIN(INDEX(GOOGLEFINANCE(A492, ""low"", TODAY()-30, TODAY()), 0, 2))"),2635.6)</f>
        <v>2635.6</v>
      </c>
      <c r="J492" s="9">
        <f>IFERROR(__xludf.DUMMYFUNCTION("GOOGLEFINANCE(A492, ""high52"")"),3290.5)</f>
        <v>3290.5</v>
      </c>
      <c r="K492" s="9">
        <f>IFERROR(__xludf.DUMMYFUNCTION("GOOGLEFINANCE(A492, ""low52"")"),1600.0)</f>
        <v>1600</v>
      </c>
      <c r="L492" s="9">
        <f t="shared" si="1"/>
        <v>0.1749278225</v>
      </c>
      <c r="M492" s="9">
        <f t="shared" si="2"/>
        <v>0.6968125</v>
      </c>
      <c r="N492" s="9">
        <f t="shared" si="3"/>
        <v>0.03105360444</v>
      </c>
      <c r="O492" s="9">
        <f t="shared" si="4"/>
        <v>0.1778425656</v>
      </c>
      <c r="P492" s="9">
        <f>IFERROR(__xludf.DUMMYFUNCTION("GOOGLEFINANCE(A492, ""pe"")"),58.69)</f>
        <v>58.69</v>
      </c>
      <c r="Q492" s="9">
        <f>IFERROR(__xludf.DUMMYFUNCTION("IFERROR(GOOGLEFINANCE(A492, ""volume"") / GOOGLEFINANCE(A492, ""volumeavg""), 0)"),0.0)</f>
        <v>0</v>
      </c>
      <c r="R492" s="9">
        <f>IFERROR(__xludf.DUMMYFUNCTION("AVERAGE(INDEX(GOOGLEFINANCE(A492, ""price"", TODAY()-30, TODAY()), 0, 2))"),2792.8217391304347)</f>
        <v>2792.821739</v>
      </c>
      <c r="S492" s="9">
        <f>IFERROR(__xludf.DUMMYFUNCTION("AVERAGE(INDEX(GOOGLEFINANCE(A492, ""price"", TODAY()-75, TODAY()), 0, 2))"),2590.3018867924525)</f>
        <v>2590.301887</v>
      </c>
      <c r="T492" s="9">
        <f>IFERROR(__xludf.DUMMYFUNCTION("AVERAGE(INDEX(GOOGLEFINANCE(A492, ""price"", TODAY()-300, TODAY()), 0, 2))"),2390.41089108911)</f>
        <v>2390.410891</v>
      </c>
      <c r="U492" s="9">
        <f t="shared" si="5"/>
        <v>-0.02790072064</v>
      </c>
      <c r="V492" s="15">
        <f>IFERROR(__xludf.DUMMYFUNCTION("LET(hist, GOOGLEFINANCE(A492,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rs))))))"),51.273595633386414)</f>
        <v>51.27359563</v>
      </c>
      <c r="W492" s="16" t="str">
        <f>IFERROR(__xludf.DUMMYFUNCTION("IFERROR(GOOGLEFINANCE(A492, ""volume"") / GOOGLEFINANCE(A492, ""volumeavg""), )"),"")</f>
        <v/>
      </c>
      <c r="X492" s="9">
        <f>IFERROR(__xludf.DUMMYFUNCTION("B492 * GOOGLEFINANCE(A492, ""volume"")"),4.505186507E8)</f>
        <v>450518650.7</v>
      </c>
      <c r="Y492" s="9">
        <f>IFERROR(__xludf.DUMMYFUNCTION("IFERROR(((B492 - GOOGLEFINANCE(A492, ""priceopen"")) / GOOGLEFINANCE(A492, ""priceopen"")) * GOOGLEFINANCE(A492, ""volume""), 0)"),-3769.259647228216)</f>
        <v>-3769.259647</v>
      </c>
    </row>
    <row r="493">
      <c r="A493" s="4" t="s">
        <v>2286</v>
      </c>
      <c r="B493" s="7">
        <f>IFERROR(__xludf.DUMMYFUNCTION("GOOGLEFINANCE(A493, ""price"")"),254.3)</f>
        <v>254.3</v>
      </c>
      <c r="C493" s="7">
        <f>IFERROR(__xludf.DUMMYFUNCTION("GOOGLEFINANCE(A493, ""changepct"")"),-0.93)</f>
        <v>-0.93</v>
      </c>
      <c r="D493" s="9">
        <f>IFERROR(__xludf.DUMMYFUNCTION("GOOGLEFINANCE(A493, ""priceopen"")"),258.0)</f>
        <v>258</v>
      </c>
      <c r="E493" s="9">
        <f>IFERROR(__xludf.DUMMYFUNCTION("GOOGLEFINANCE(A493, ""high"")"),258.15)</f>
        <v>258.15</v>
      </c>
      <c r="F493" s="9">
        <f>IFERROR(__xludf.DUMMYFUNCTION("GOOGLEFINANCE(A493, ""low"")"),253.05)</f>
        <v>253.05</v>
      </c>
      <c r="G493" s="9">
        <f>IFERROR(__xludf.DUMMYFUNCTION("GOOGLEFINANCE(A493, ""price"")"),254.3)</f>
        <v>254.3</v>
      </c>
      <c r="H493" s="9">
        <f>IFERROR(__xludf.DUMMYFUNCTION("MAX(INDEX(GOOGLEFINANCE(A493, ""high"", TODAY()-30, TODAY()), 0, 2))"),309.0)</f>
        <v>309</v>
      </c>
      <c r="I493" s="9">
        <f>IFERROR(__xludf.DUMMYFUNCTION("MIN(INDEX(GOOGLEFINANCE(A493, ""low"", TODAY()-30, TODAY()), 0, 2))"),251.0)</f>
        <v>251</v>
      </c>
      <c r="J493" s="9">
        <f>IFERROR(__xludf.DUMMYFUNCTION("GOOGLEFINANCE(A493, ""high52"")"),364.0)</f>
        <v>364</v>
      </c>
      <c r="K493" s="9">
        <f>IFERROR(__xludf.DUMMYFUNCTION("GOOGLEFINANCE(A493, ""low52"")"),193.03)</f>
        <v>193.03</v>
      </c>
      <c r="L493" s="9">
        <f t="shared" si="1"/>
        <v>0.3013736264</v>
      </c>
      <c r="M493" s="9">
        <f t="shared" si="2"/>
        <v>0.3174118013</v>
      </c>
      <c r="N493" s="9">
        <f t="shared" si="3"/>
        <v>0.02015411974</v>
      </c>
      <c r="O493" s="9">
        <f t="shared" si="4"/>
        <v>0.05689655172</v>
      </c>
      <c r="P493" s="9">
        <f>IFERROR(__xludf.DUMMYFUNCTION("GOOGLEFINANCE(A493, ""pe"")"),12.94)</f>
        <v>12.94</v>
      </c>
      <c r="Q493" s="9">
        <f>IFERROR(__xludf.DUMMYFUNCTION("IFERROR(GOOGLEFINANCE(A493, ""volume"") / GOOGLEFINANCE(A493, ""volumeavg""), 0)"),0.0)</f>
        <v>0</v>
      </c>
      <c r="R493" s="9">
        <f>IFERROR(__xludf.DUMMYFUNCTION("AVERAGE(INDEX(GOOGLEFINANCE(A493, ""price"", TODAY()-30, TODAY()), 0, 2))"),278.27391304347833)</f>
        <v>278.273913</v>
      </c>
      <c r="S493" s="9">
        <f>IFERROR(__xludf.DUMMYFUNCTION("AVERAGE(INDEX(GOOGLEFINANCE(A493, ""price"", TODAY()-75, TODAY()), 0, 2))"),273.55849056603773)</f>
        <v>273.5584906</v>
      </c>
      <c r="T493" s="9">
        <f>IFERROR(__xludf.DUMMYFUNCTION("AVERAGE(INDEX(GOOGLEFINANCE(A493, ""price"", TODAY()-300, TODAY()), 0, 2))"),266.69752475247526)</f>
        <v>266.6975248</v>
      </c>
      <c r="U493" s="9">
        <f t="shared" si="5"/>
        <v>-0.08615221162</v>
      </c>
      <c r="V493" s="15">
        <f>IFERROR(__xludf.DUMMYFUNCTION("LET(hist, GOOGLEFINANCE(A493,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rs))))))"),24.379811804961562)</f>
        <v>24.3798118</v>
      </c>
      <c r="W493" s="16" t="str">
        <f>IFERROR(__xludf.DUMMYFUNCTION("IFERROR(GOOGLEFINANCE(A493, ""volume"") / GOOGLEFINANCE(A493, ""volumeavg""), )"),"")</f>
        <v/>
      </c>
      <c r="X493" s="9">
        <f>IFERROR(__xludf.DUMMYFUNCTION("B493 * GOOGLEFINANCE(A493, ""volume"")"),4.261066058E8)</f>
        <v>426106605.8</v>
      </c>
      <c r="Y493" s="9">
        <f>IFERROR(__xludf.DUMMYFUNCTION("IFERROR(((B493 - GOOGLEFINANCE(A493, ""priceopen"")) / GOOGLEFINANCE(A493, ""priceopen"")) * GOOGLEFINANCE(A493, ""volume""), 0)"),-24030.00852713171)</f>
        <v>-24030.00853</v>
      </c>
    </row>
    <row r="494">
      <c r="A494" s="4" t="s">
        <v>2287</v>
      </c>
      <c r="B494" s="7">
        <f>IFERROR(__xludf.DUMMYFUNCTION("GOOGLEFINANCE(A494, ""price"")"),2489.9)</f>
        <v>2489.9</v>
      </c>
      <c r="C494" s="7">
        <f>IFERROR(__xludf.DUMMYFUNCTION("GOOGLEFINANCE(A494, ""changepct"")"),-3.26)</f>
        <v>-3.26</v>
      </c>
      <c r="D494" s="9">
        <f>IFERROR(__xludf.DUMMYFUNCTION("GOOGLEFINANCE(A494, ""priceopen"")"),2568.0)</f>
        <v>2568</v>
      </c>
      <c r="E494" s="9">
        <f>IFERROR(__xludf.DUMMYFUNCTION("GOOGLEFINANCE(A494, ""high"")"),2568.0)</f>
        <v>2568</v>
      </c>
      <c r="F494" s="9">
        <f>IFERROR(__xludf.DUMMYFUNCTION("GOOGLEFINANCE(A494, ""low"")"),2445.2)</f>
        <v>2445.2</v>
      </c>
      <c r="G494" s="9">
        <f>IFERROR(__xludf.DUMMYFUNCTION("GOOGLEFINANCE(A494, ""price"")"),2489.9)</f>
        <v>2489.9</v>
      </c>
      <c r="H494" s="9">
        <f>IFERROR(__xludf.DUMMYFUNCTION("MAX(INDEX(GOOGLEFINANCE(A494, ""high"", TODAY()-30, TODAY()), 0, 2))"),2750.0)</f>
        <v>2750</v>
      </c>
      <c r="I494" s="9">
        <f>IFERROR(__xludf.DUMMYFUNCTION("MIN(INDEX(GOOGLEFINANCE(A494, ""low"", TODAY()-30, TODAY()), 0, 2))"),2164.0)</f>
        <v>2164</v>
      </c>
      <c r="J494" s="9">
        <f>IFERROR(__xludf.DUMMYFUNCTION("GOOGLEFINANCE(A494, ""high52"")"),2750.0)</f>
        <v>2750</v>
      </c>
      <c r="K494" s="9">
        <f>IFERROR(__xludf.DUMMYFUNCTION("GOOGLEFINANCE(A494, ""low52"")"),372.0)</f>
        <v>372</v>
      </c>
      <c r="L494" s="9">
        <f t="shared" si="1"/>
        <v>0.09458181818</v>
      </c>
      <c r="M494" s="9">
        <f t="shared" si="2"/>
        <v>5.69327957</v>
      </c>
      <c r="N494" s="9">
        <f t="shared" si="3"/>
        <v>0.05022084083</v>
      </c>
      <c r="O494" s="9">
        <f t="shared" si="4"/>
        <v>0.5561433447</v>
      </c>
      <c r="P494" s="9" t="str">
        <f>IFERROR(__xludf.DUMMYFUNCTION("GOOGLEFINANCE(A494, ""pe"")"),"#N/A")</f>
        <v>#N/A</v>
      </c>
      <c r="Q494" s="9">
        <f>IFERROR(__xludf.DUMMYFUNCTION("IFERROR(GOOGLEFINANCE(A494, ""volume"") / GOOGLEFINANCE(A494, ""volumeavg""), 0)"),0.0)</f>
        <v>0</v>
      </c>
      <c r="R494" s="9">
        <f>IFERROR(__xludf.DUMMYFUNCTION("AVERAGE(INDEX(GOOGLEFINANCE(A494, ""price"", TODAY()-30, TODAY()), 0, 2))"),2421.3695652173915)</f>
        <v>2421.369565</v>
      </c>
      <c r="S494" s="9">
        <f>IFERROR(__xludf.DUMMYFUNCTION("AVERAGE(INDEX(GOOGLEFINANCE(A494, ""price"", TODAY()-75, TODAY()), 0, 2))"),2247.3509433962267)</f>
        <v>2247.350943</v>
      </c>
      <c r="T494" s="9">
        <f>IFERROR(__xludf.DUMMYFUNCTION("AVERAGE(INDEX(GOOGLEFINANCE(A494, ""price"", TODAY()-300, TODAY()), 0, 2))"),1926.5518115942027)</f>
        <v>1926.551812</v>
      </c>
      <c r="U494" s="9">
        <f t="shared" si="5"/>
        <v>0.02830234416</v>
      </c>
      <c r="V494" s="15">
        <f>IFERROR(__xludf.DUMMYFUNCTION("LET(hist, GOOGLEFINANCE(A494,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rs))))))"),52.663578459756785)</f>
        <v>52.66357846</v>
      </c>
      <c r="W494" s="16" t="str">
        <f>IFERROR(__xludf.DUMMYFUNCTION("IFERROR(GOOGLEFINANCE(A494, ""volume"") / GOOGLEFINANCE(A494, ""volumeavg""), )"),"")</f>
        <v/>
      </c>
      <c r="X494" s="9">
        <f>IFERROR(__xludf.DUMMYFUNCTION("B494 * GOOGLEFINANCE(A494, ""volume"")"),9.50917709E7)</f>
        <v>95091770.9</v>
      </c>
      <c r="Y494" s="9">
        <f>IFERROR(__xludf.DUMMYFUNCTION("IFERROR(((B494 - GOOGLEFINANCE(A494, ""priceopen"")) / GOOGLEFINANCE(A494, ""priceopen"")) * GOOGLEFINANCE(A494, ""volume""), 0)"),-1161.4941978193133)</f>
        <v>-1161.494198</v>
      </c>
    </row>
    <row r="495">
      <c r="A495" s="4" t="s">
        <v>2288</v>
      </c>
      <c r="B495" s="7">
        <f>IFERROR(__xludf.DUMMYFUNCTION("GOOGLEFINANCE(A495, ""price"")"),2129.8)</f>
        <v>2129.8</v>
      </c>
      <c r="C495" s="7">
        <f>IFERROR(__xludf.DUMMYFUNCTION("GOOGLEFINANCE(A495, ""changepct"")"),1.34)</f>
        <v>1.34</v>
      </c>
      <c r="D495" s="9">
        <f>IFERROR(__xludf.DUMMYFUNCTION("GOOGLEFINANCE(A495, ""priceopen"")"),2099.0)</f>
        <v>2099</v>
      </c>
      <c r="E495" s="9">
        <f>IFERROR(__xludf.DUMMYFUNCTION("GOOGLEFINANCE(A495, ""high"")"),2144.9)</f>
        <v>2144.9</v>
      </c>
      <c r="F495" s="9">
        <f>IFERROR(__xludf.DUMMYFUNCTION("GOOGLEFINANCE(A495, ""low"")"),2099.0)</f>
        <v>2099</v>
      </c>
      <c r="G495" s="9">
        <f>IFERROR(__xludf.DUMMYFUNCTION("GOOGLEFINANCE(A495, ""price"")"),2129.8)</f>
        <v>2129.8</v>
      </c>
      <c r="H495" s="9">
        <f>IFERROR(__xludf.DUMMYFUNCTION("MAX(INDEX(GOOGLEFINANCE(A495, ""high"", TODAY()-30, TODAY()), 0, 2))"),2270.1)</f>
        <v>2270.1</v>
      </c>
      <c r="I495" s="9">
        <f>IFERROR(__xludf.DUMMYFUNCTION("MIN(INDEX(GOOGLEFINANCE(A495, ""low"", TODAY()-30, TODAY()), 0, 2))"),2014.5)</f>
        <v>2014.5</v>
      </c>
      <c r="J495" s="9">
        <f>IFERROR(__xludf.DUMMYFUNCTION("GOOGLEFINANCE(A495, ""high52"")"),2270.1)</f>
        <v>2270.1</v>
      </c>
      <c r="K495" s="9">
        <f>IFERROR(__xludf.DUMMYFUNCTION("GOOGLEFINANCE(A495, ""low52"")"),1336.6)</f>
        <v>1336.6</v>
      </c>
      <c r="L495" s="9">
        <f t="shared" si="1"/>
        <v>0.06180344478</v>
      </c>
      <c r="M495" s="9">
        <f t="shared" si="2"/>
        <v>0.5934460572</v>
      </c>
      <c r="N495" s="9">
        <f t="shared" si="3"/>
        <v>0.02186755598</v>
      </c>
      <c r="O495" s="9">
        <f t="shared" si="4"/>
        <v>0.4510954617</v>
      </c>
      <c r="P495" s="9">
        <f>IFERROR(__xludf.DUMMYFUNCTION("GOOGLEFINANCE(A495, ""pe"")"),65.46)</f>
        <v>65.46</v>
      </c>
      <c r="Q495" s="9">
        <f>IFERROR(__xludf.DUMMYFUNCTION("IFERROR(GOOGLEFINANCE(A495, ""volume"") / GOOGLEFINANCE(A495, ""volumeavg""), 0)"),0.0)</f>
        <v>0</v>
      </c>
      <c r="R495" s="9">
        <f>IFERROR(__xludf.DUMMYFUNCTION("AVERAGE(INDEX(GOOGLEFINANCE(A495, ""price"", TODAY()-30, TODAY()), 0, 2))"),2081.0434782608695)</f>
        <v>2081.043478</v>
      </c>
      <c r="S495" s="9">
        <f>IFERROR(__xludf.DUMMYFUNCTION("AVERAGE(INDEX(GOOGLEFINANCE(A495, ""price"", TODAY()-75, TODAY()), 0, 2))"),1948.411320754717)</f>
        <v>1948.411321</v>
      </c>
      <c r="T495" s="9">
        <f>IFERROR(__xludf.DUMMYFUNCTION("AVERAGE(INDEX(GOOGLEFINANCE(A495, ""price"", TODAY()-300, TODAY()), 0, 2))"),1687.7530864197531)</f>
        <v>1687.753086</v>
      </c>
      <c r="U495" s="9">
        <f t="shared" si="5"/>
        <v>0.02342888183</v>
      </c>
      <c r="V495" s="15">
        <f>IFERROR(__xludf.DUMMYFUNCTION("LET(hist, GOOGLEFINANCE(A495,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rs))))))"),61.70118995152049)</f>
        <v>61.70118995</v>
      </c>
      <c r="W495" s="16" t="str">
        <f>IFERROR(__xludf.DUMMYFUNCTION("IFERROR(GOOGLEFINANCE(A495, ""volume"") / GOOGLEFINANCE(A495, ""volumeavg""), )"),"")</f>
        <v/>
      </c>
      <c r="X495" s="9">
        <f>IFERROR(__xludf.DUMMYFUNCTION("B495 * GOOGLEFINANCE(A495, ""volume"")"),3.54909872E7)</f>
        <v>35490987.2</v>
      </c>
      <c r="Y495" s="9">
        <f>IFERROR(__xludf.DUMMYFUNCTION("IFERROR(((B495 - GOOGLEFINANCE(A495, ""priceopen"")) / GOOGLEFINANCE(A495, ""priceopen"")) * GOOGLEFINANCE(A495, ""volume""), 0)"),244.52177227251218)</f>
        <v>244.5217723</v>
      </c>
    </row>
    <row r="496">
      <c r="A496" s="4" t="s">
        <v>2289</v>
      </c>
      <c r="B496" s="7">
        <f>IFERROR(__xludf.DUMMYFUNCTION("GOOGLEFINANCE(A496, ""price"")"),724.0)</f>
        <v>724</v>
      </c>
      <c r="C496" s="7">
        <f>IFERROR(__xludf.DUMMYFUNCTION("GOOGLEFINANCE(A496, ""changepct"")"),-0.94)</f>
        <v>-0.94</v>
      </c>
      <c r="D496" s="9">
        <f>IFERROR(__xludf.DUMMYFUNCTION("GOOGLEFINANCE(A496, ""priceopen"")"),730.1)</f>
        <v>730.1</v>
      </c>
      <c r="E496" s="9">
        <f>IFERROR(__xludf.DUMMYFUNCTION("GOOGLEFINANCE(A496, ""high"")"),742.0)</f>
        <v>742</v>
      </c>
      <c r="F496" s="9">
        <f>IFERROR(__xludf.DUMMYFUNCTION("GOOGLEFINANCE(A496, ""low"")"),721.0)</f>
        <v>721</v>
      </c>
      <c r="G496" s="9">
        <f>IFERROR(__xludf.DUMMYFUNCTION("GOOGLEFINANCE(A496, ""price"")"),724.0)</f>
        <v>724</v>
      </c>
      <c r="H496" s="9">
        <f>IFERROR(__xludf.DUMMYFUNCTION("MAX(INDEX(GOOGLEFINANCE(A496, ""high"", TODAY()-30, TODAY()), 0, 2))"),744.8)</f>
        <v>744.8</v>
      </c>
      <c r="I496" s="9">
        <f>IFERROR(__xludf.DUMMYFUNCTION("MIN(INDEX(GOOGLEFINANCE(A496, ""low"", TODAY()-30, TODAY()), 0, 2))"),605.1)</f>
        <v>605.1</v>
      </c>
      <c r="J496" s="9">
        <f>IFERROR(__xludf.DUMMYFUNCTION("GOOGLEFINANCE(A496, ""high52"")"),802.4)</f>
        <v>802.4</v>
      </c>
      <c r="K496" s="9">
        <f>IFERROR(__xludf.DUMMYFUNCTION("GOOGLEFINANCE(A496, ""low52"")"),505.8)</f>
        <v>505.8</v>
      </c>
      <c r="L496" s="9">
        <f t="shared" si="1"/>
        <v>0.09770687936</v>
      </c>
      <c r="M496" s="9">
        <f t="shared" si="2"/>
        <v>0.4313958086</v>
      </c>
      <c r="N496" s="9">
        <f t="shared" si="3"/>
        <v>0.02912621359</v>
      </c>
      <c r="O496" s="9">
        <f t="shared" si="4"/>
        <v>0.8511095204</v>
      </c>
      <c r="P496" s="9">
        <f>IFERROR(__xludf.DUMMYFUNCTION("GOOGLEFINANCE(A496, ""pe"")"),66.28)</f>
        <v>66.28</v>
      </c>
      <c r="Q496" s="9">
        <f>IFERROR(__xludf.DUMMYFUNCTION("IFERROR(GOOGLEFINANCE(A496, ""volume"") / GOOGLEFINANCE(A496, ""volumeavg""), 0)"),0.0)</f>
        <v>0</v>
      </c>
      <c r="R496" s="9">
        <f>IFERROR(__xludf.DUMMYFUNCTION("AVERAGE(INDEX(GOOGLEFINANCE(A496, ""price"", TODAY()-30, TODAY()), 0, 2))"),669.3217391304348)</f>
        <v>669.3217391</v>
      </c>
      <c r="S496" s="9">
        <f>IFERROR(__xludf.DUMMYFUNCTION("AVERAGE(INDEX(GOOGLEFINANCE(A496, ""price"", TODAY()-75, TODAY()), 0, 2))"),656.8254716981132)</f>
        <v>656.8254717</v>
      </c>
      <c r="T496" s="9">
        <f>IFERROR(__xludf.DUMMYFUNCTION("AVERAGE(INDEX(GOOGLEFINANCE(A496, ""price"", TODAY()-300, TODAY()), 0, 2))"),640.2572139303485)</f>
        <v>640.2572139</v>
      </c>
      <c r="U496" s="9">
        <f t="shared" si="5"/>
        <v>0.08169204386</v>
      </c>
      <c r="V496" s="15">
        <f>IFERROR(__xludf.DUMMYFUNCTION("LET(hist, GOOGLEFINANCE(A496,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rs))))))"),69.81733835894464)</f>
        <v>69.81733836</v>
      </c>
      <c r="W496" s="16" t="str">
        <f>IFERROR(__xludf.DUMMYFUNCTION("IFERROR(GOOGLEFINANCE(A496, ""volume"") / GOOGLEFINANCE(A496, ""volumeavg""), )"),"")</f>
        <v/>
      </c>
      <c r="X496" s="9">
        <f>IFERROR(__xludf.DUMMYFUNCTION("B496 * GOOGLEFINANCE(A496, ""volume"")"),4.87002944E8)</f>
        <v>487002944</v>
      </c>
      <c r="Y496" s="9">
        <f>IFERROR(__xludf.DUMMYFUNCTION("IFERROR(((B496 - GOOGLEFINANCE(A496, ""priceopen"")) / GOOGLEFINANCE(A496, ""priceopen"")) * GOOGLEFINANCE(A496, ""volume""), 0)"),-5620.054239145344)</f>
        <v>-5620.054239</v>
      </c>
    </row>
    <row r="497">
      <c r="A497" s="4" t="s">
        <v>2290</v>
      </c>
      <c r="B497" s="7">
        <f>IFERROR(__xludf.DUMMYFUNCTION("GOOGLEFINANCE(A497, ""price"")"),92.7)</f>
        <v>92.7</v>
      </c>
      <c r="C497" s="7">
        <f>IFERROR(__xludf.DUMMYFUNCTION("GOOGLEFINANCE(A497, ""changepct"")"),-0.37)</f>
        <v>-0.37</v>
      </c>
      <c r="D497" s="9">
        <f>IFERROR(__xludf.DUMMYFUNCTION("GOOGLEFINANCE(A497, ""priceopen"")"),93.75)</f>
        <v>93.75</v>
      </c>
      <c r="E497" s="9">
        <f>IFERROR(__xludf.DUMMYFUNCTION("GOOGLEFINANCE(A497, ""high"")"),94.25)</f>
        <v>94.25</v>
      </c>
      <c r="F497" s="9">
        <f>IFERROR(__xludf.DUMMYFUNCTION("GOOGLEFINANCE(A497, ""low"")"),91.0)</f>
        <v>91</v>
      </c>
      <c r="G497" s="9">
        <f>IFERROR(__xludf.DUMMYFUNCTION("GOOGLEFINANCE(A497, ""price"")"),92.7)</f>
        <v>92.7</v>
      </c>
      <c r="H497" s="9">
        <f>IFERROR(__xludf.DUMMYFUNCTION("MAX(INDEX(GOOGLEFINANCE(A497, ""high"", TODAY()-30, TODAY()), 0, 2))"),99.75)</f>
        <v>99.75</v>
      </c>
      <c r="I497" s="9">
        <f>IFERROR(__xludf.DUMMYFUNCTION("MIN(INDEX(GOOGLEFINANCE(A497, ""low"", TODAY()-30, TODAY()), 0, 2))"),84.88)</f>
        <v>84.88</v>
      </c>
      <c r="J497" s="9">
        <f>IFERROR(__xludf.DUMMYFUNCTION("GOOGLEFINANCE(A497, ""high52"")"),99.75)</f>
        <v>99.75</v>
      </c>
      <c r="K497" s="9">
        <f>IFERROR(__xludf.DUMMYFUNCTION("GOOGLEFINANCE(A497, ""low52"")"),37.4)</f>
        <v>37.4</v>
      </c>
      <c r="L497" s="9">
        <f t="shared" si="1"/>
        <v>0.07067669173</v>
      </c>
      <c r="M497" s="9">
        <f t="shared" si="2"/>
        <v>1.478609626</v>
      </c>
      <c r="N497" s="9">
        <f t="shared" si="3"/>
        <v>0.03571428571</v>
      </c>
      <c r="O497" s="9">
        <f t="shared" si="4"/>
        <v>0.5258910558</v>
      </c>
      <c r="P497" s="9">
        <f>IFERROR(__xludf.DUMMYFUNCTION("GOOGLEFINANCE(A497, ""pe"")"),64.65)</f>
        <v>64.65</v>
      </c>
      <c r="Q497" s="9">
        <f>IFERROR(__xludf.DUMMYFUNCTION("IFERROR(GOOGLEFINANCE(A497, ""volume"") / GOOGLEFINANCE(A497, ""volumeavg""), 0)"),0.0)</f>
        <v>0</v>
      </c>
      <c r="R497" s="9">
        <f>IFERROR(__xludf.DUMMYFUNCTION("AVERAGE(INDEX(GOOGLEFINANCE(A497, ""price"", TODAY()-30, TODAY()), 0, 2))"),90.54086956521738)</f>
        <v>90.54086957</v>
      </c>
      <c r="S497" s="9">
        <f>IFERROR(__xludf.DUMMYFUNCTION("AVERAGE(INDEX(GOOGLEFINANCE(A497, ""price"", TODAY()-75, TODAY()), 0, 2))"),84.55283018867925)</f>
        <v>84.55283019</v>
      </c>
      <c r="T497" s="9">
        <f>IFERROR(__xludf.DUMMYFUNCTION("AVERAGE(INDEX(GOOGLEFINANCE(A497, ""price"", TODAY()-300, TODAY()), 0, 2))"),61.83159203980104)</f>
        <v>61.83159204</v>
      </c>
      <c r="U497" s="9">
        <f t="shared" si="5"/>
        <v>0.0238470256</v>
      </c>
      <c r="V497" s="15">
        <f>IFERROR(__xludf.DUMMYFUNCTION("LET(hist, GOOGLEFINANCE(A497,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rs))))))"),58.37479270315091)</f>
        <v>58.3747927</v>
      </c>
      <c r="W497" s="16" t="str">
        <f>IFERROR(__xludf.DUMMYFUNCTION("IFERROR(GOOGLEFINANCE(A497, ""volume"") / GOOGLEFINANCE(A497, ""volumeavg""), )"),"")</f>
        <v/>
      </c>
      <c r="X497" s="9">
        <f>IFERROR(__xludf.DUMMYFUNCTION("B497 * GOOGLEFINANCE(A497, ""volume"")"),7.347480795E8)</f>
        <v>734748079.5</v>
      </c>
      <c r="Y497" s="9">
        <f>IFERROR(__xludf.DUMMYFUNCTION("IFERROR(((B497 - GOOGLEFINANCE(A497, ""priceopen"")) / GOOGLEFINANCE(A497, ""priceopen"")) * GOOGLEFINANCE(A497, ""volume""), 0)"),-88772.15199999977)</f>
        <v>-88772.152</v>
      </c>
    </row>
    <row r="498">
      <c r="A498" s="4" t="s">
        <v>2291</v>
      </c>
      <c r="B498" s="7">
        <f>IFERROR(__xludf.DUMMYFUNCTION("GOOGLEFINANCE(A498, ""price"")"),1097.9)</f>
        <v>1097.9</v>
      </c>
      <c r="C498" s="7">
        <f>IFERROR(__xludf.DUMMYFUNCTION("GOOGLEFINANCE(A498, ""changepct"")"),2.29)</f>
        <v>2.29</v>
      </c>
      <c r="D498" s="9">
        <f>IFERROR(__xludf.DUMMYFUNCTION("GOOGLEFINANCE(A498, ""priceopen"")"),1073.3)</f>
        <v>1073.3</v>
      </c>
      <c r="E498" s="9">
        <f>IFERROR(__xludf.DUMMYFUNCTION("GOOGLEFINANCE(A498, ""high"")"),1103.6)</f>
        <v>1103.6</v>
      </c>
      <c r="F498" s="9">
        <f>IFERROR(__xludf.DUMMYFUNCTION("GOOGLEFINANCE(A498, ""low"")"),1062.3)</f>
        <v>1062.3</v>
      </c>
      <c r="G498" s="9">
        <f>IFERROR(__xludf.DUMMYFUNCTION("GOOGLEFINANCE(A498, ""price"")"),1097.9)</f>
        <v>1097.9</v>
      </c>
      <c r="H498" s="9">
        <f>IFERROR(__xludf.DUMMYFUNCTION("MAX(INDEX(GOOGLEFINANCE(A498, ""high"", TODAY()-30, TODAY()), 0, 2))"),1149.0)</f>
        <v>1149</v>
      </c>
      <c r="I498" s="9">
        <f>IFERROR(__xludf.DUMMYFUNCTION("MIN(INDEX(GOOGLEFINANCE(A498, ""low"", TODAY()-30, TODAY()), 0, 2))"),957.8)</f>
        <v>957.8</v>
      </c>
      <c r="J498" s="9">
        <f>IFERROR(__xludf.DUMMYFUNCTION("GOOGLEFINANCE(A498, ""high52"")"),1170.0)</f>
        <v>1170</v>
      </c>
      <c r="K498" s="9">
        <f>IFERROR(__xludf.DUMMYFUNCTION("GOOGLEFINANCE(A498, ""low52"")"),745.1)</f>
        <v>745.1</v>
      </c>
      <c r="L498" s="9">
        <f t="shared" si="1"/>
        <v>0.06162393162</v>
      </c>
      <c r="M498" s="9">
        <f t="shared" si="2"/>
        <v>0.4734934908</v>
      </c>
      <c r="N498" s="9">
        <f t="shared" si="3"/>
        <v>0.03887790643</v>
      </c>
      <c r="O498" s="9">
        <f t="shared" si="4"/>
        <v>0.7327405858</v>
      </c>
      <c r="P498" s="9">
        <f>IFERROR(__xludf.DUMMYFUNCTION("GOOGLEFINANCE(A498, ""pe"")"),29.92)</f>
        <v>29.92</v>
      </c>
      <c r="Q498" s="9">
        <f>IFERROR(__xludf.DUMMYFUNCTION("IFERROR(GOOGLEFINANCE(A498, ""volume"") / GOOGLEFINANCE(A498, ""volumeavg""), 0)"),0.0)</f>
        <v>0</v>
      </c>
      <c r="R498" s="9">
        <f>IFERROR(__xludf.DUMMYFUNCTION("AVERAGE(INDEX(GOOGLEFINANCE(A498, ""price"", TODAY()-30, TODAY()), 0, 2))"),1049.9869565217389)</f>
        <v>1049.986957</v>
      </c>
      <c r="S498" s="9">
        <f>IFERROR(__xludf.DUMMYFUNCTION("AVERAGE(INDEX(GOOGLEFINANCE(A498, ""price"", TODAY()-75, TODAY()), 0, 2))"),993.2000000000003)</f>
        <v>993.2</v>
      </c>
      <c r="T498" s="9">
        <f>IFERROR(__xludf.DUMMYFUNCTION("AVERAGE(INDEX(GOOGLEFINANCE(A498, ""price"", TODAY()-300, TODAY()), 0, 2))"),938.8512376237626)</f>
        <v>938.8512376</v>
      </c>
      <c r="U498" s="9">
        <f t="shared" si="5"/>
        <v>0.04563203684</v>
      </c>
      <c r="V498" s="15">
        <f>IFERROR(__xludf.DUMMYFUNCTION("LET(hist, GOOGLEFINANCE(A498,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rs))))))"),66.68566543174691)</f>
        <v>66.68566543</v>
      </c>
      <c r="W498" s="16" t="str">
        <f>IFERROR(__xludf.DUMMYFUNCTION("IFERROR(GOOGLEFINANCE(A498, ""volume"") / GOOGLEFINANCE(A498, ""volumeavg""), )"),"")</f>
        <v/>
      </c>
      <c r="X498" s="9">
        <f>IFERROR(__xludf.DUMMYFUNCTION("B498 * GOOGLEFINANCE(A498, ""volume"")"),3.356082678E8)</f>
        <v>335608267.8</v>
      </c>
      <c r="Y498" s="9">
        <f>IFERROR(__xludf.DUMMYFUNCTION("IFERROR(((B498 - GOOGLEFINANCE(A498, ""priceopen"")) / GOOGLEFINANCE(A498, ""priceopen"")) * GOOGLEFINANCE(A498, ""volume""), 0)"),7006.2211869934235)</f>
        <v>7006.221187</v>
      </c>
    </row>
    <row r="499">
      <c r="A499" s="4" t="s">
        <v>2292</v>
      </c>
      <c r="B499" s="7">
        <f>IFERROR(__xludf.DUMMYFUNCTION("GOOGLEFINANCE(A499, ""price"")"),672.35)</f>
        <v>672.35</v>
      </c>
      <c r="C499" s="7">
        <f>IFERROR(__xludf.DUMMYFUNCTION("GOOGLEFINANCE(A499, ""changepct"")"),-0.87)</f>
        <v>-0.87</v>
      </c>
      <c r="D499" s="9">
        <f>IFERROR(__xludf.DUMMYFUNCTION("GOOGLEFINANCE(A499, ""priceopen"")"),678.25)</f>
        <v>678.25</v>
      </c>
      <c r="E499" s="9">
        <f>IFERROR(__xludf.DUMMYFUNCTION("GOOGLEFINANCE(A499, ""high"")"),686.4)</f>
        <v>686.4</v>
      </c>
      <c r="F499" s="9">
        <f>IFERROR(__xludf.DUMMYFUNCTION("GOOGLEFINANCE(A499, ""low"")"),671.0)</f>
        <v>671</v>
      </c>
      <c r="G499" s="9">
        <f>IFERROR(__xludf.DUMMYFUNCTION("GOOGLEFINANCE(A499, ""price"")"),672.35)</f>
        <v>672.35</v>
      </c>
      <c r="H499" s="9">
        <f>IFERROR(__xludf.DUMMYFUNCTION("MAX(INDEX(GOOGLEFINANCE(A499, ""high"", TODAY()-30, TODAY()), 0, 2))"),698.0)</f>
        <v>698</v>
      </c>
      <c r="I499" s="9">
        <f>IFERROR(__xludf.DUMMYFUNCTION("MIN(INDEX(GOOGLEFINANCE(A499, ""low"", TODAY()-30, TODAY()), 0, 2))"),538.0)</f>
        <v>538</v>
      </c>
      <c r="J499" s="9">
        <f>IFERROR(__xludf.DUMMYFUNCTION("GOOGLEFINANCE(A499, ""high52"")"),698.0)</f>
        <v>698</v>
      </c>
      <c r="K499" s="9">
        <f>IFERROR(__xludf.DUMMYFUNCTION("GOOGLEFINANCE(A499, ""low52"")"),459.8)</f>
        <v>459.8</v>
      </c>
      <c r="L499" s="9">
        <f t="shared" si="1"/>
        <v>0.036747851</v>
      </c>
      <c r="M499" s="9">
        <f t="shared" si="2"/>
        <v>0.4622662027</v>
      </c>
      <c r="N499" s="9">
        <f t="shared" si="3"/>
        <v>0.02295081967</v>
      </c>
      <c r="O499" s="9">
        <f t="shared" si="4"/>
        <v>0.8396875</v>
      </c>
      <c r="P499" s="9">
        <f>IFERROR(__xludf.DUMMYFUNCTION("GOOGLEFINANCE(A499, ""pe"")"),36.16)</f>
        <v>36.16</v>
      </c>
      <c r="Q499" s="9">
        <f>IFERROR(__xludf.DUMMYFUNCTION("IFERROR(GOOGLEFINANCE(A499, ""volume"") / GOOGLEFINANCE(A499, ""volumeavg""), 0)"),0.0)</f>
        <v>0</v>
      </c>
      <c r="R499" s="9">
        <f>IFERROR(__xludf.DUMMYFUNCTION("AVERAGE(INDEX(GOOGLEFINANCE(A499, ""price"", TODAY()-30, TODAY()), 0, 2))"),639.4239130434784)</f>
        <v>639.423913</v>
      </c>
      <c r="S499" s="9">
        <f>IFERROR(__xludf.DUMMYFUNCTION("AVERAGE(INDEX(GOOGLEFINANCE(A499, ""price"", TODAY()-75, TODAY()), 0, 2))"),579.511320754717)</f>
        <v>579.5113208</v>
      </c>
      <c r="T499" s="9">
        <f>IFERROR(__xludf.DUMMYFUNCTION("AVERAGE(INDEX(GOOGLEFINANCE(A499, ""price"", TODAY()-300, TODAY()), 0, 2))"),563.8216417910446)</f>
        <v>563.8216418</v>
      </c>
      <c r="U499" s="9">
        <f t="shared" si="5"/>
        <v>0.05149336189</v>
      </c>
      <c r="V499" s="15">
        <f>IFERROR(__xludf.DUMMYFUNCTION("LET(hist, GOOGLEFINANCE(A499,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rs))))))"),69.86624704956725)</f>
        <v>69.86624705</v>
      </c>
      <c r="W499" s="16" t="str">
        <f>IFERROR(__xludf.DUMMYFUNCTION("IFERROR(GOOGLEFINANCE(A499, ""volume"") / GOOGLEFINANCE(A499, ""volumeavg""), )"),"")</f>
        <v/>
      </c>
      <c r="X499" s="9">
        <f>IFERROR(__xludf.DUMMYFUNCTION("B499 * GOOGLEFINANCE(A499, ""volume"")"),5.7948434565E8)</f>
        <v>579484345.7</v>
      </c>
      <c r="Y499" s="9">
        <f>IFERROR(__xludf.DUMMYFUNCTION("IFERROR(((B499 - GOOGLEFINANCE(A499, ""priceopen"")) / GOOGLEFINANCE(A499, ""priceopen"")) * GOOGLEFINANCE(A499, ""volume""), 0)"),-7497.362476962742)</f>
        <v>-7497.362477</v>
      </c>
    </row>
    <row r="500">
      <c r="A500" s="4" t="s">
        <v>2293</v>
      </c>
      <c r="B500" s="7">
        <f>IFERROR(__xludf.DUMMYFUNCTION("GOOGLEFINANCE(A500, ""price"")"),283.2)</f>
        <v>283.2</v>
      </c>
      <c r="C500" s="7">
        <f>IFERROR(__xludf.DUMMYFUNCTION("GOOGLEFINANCE(A500, ""changepct"")"),0.23)</f>
        <v>0.23</v>
      </c>
      <c r="D500" s="9">
        <f>IFERROR(__xludf.DUMMYFUNCTION("GOOGLEFINANCE(A500, ""priceopen"")"),282.55)</f>
        <v>282.55</v>
      </c>
      <c r="E500" s="9">
        <f>IFERROR(__xludf.DUMMYFUNCTION("GOOGLEFINANCE(A500, ""high"")"),288.35)</f>
        <v>288.35</v>
      </c>
      <c r="F500" s="9">
        <f>IFERROR(__xludf.DUMMYFUNCTION("GOOGLEFINANCE(A500, ""low"")"),281.0)</f>
        <v>281</v>
      </c>
      <c r="G500" s="9">
        <f>IFERROR(__xludf.DUMMYFUNCTION("GOOGLEFINANCE(A500, ""price"")"),283.2)</f>
        <v>283.2</v>
      </c>
      <c r="H500" s="9">
        <f>IFERROR(__xludf.DUMMYFUNCTION("MAX(INDEX(GOOGLEFINANCE(A500, ""high"", TODAY()-30, TODAY()), 0, 2))"),302.8)</f>
        <v>302.8</v>
      </c>
      <c r="I500" s="9">
        <f>IFERROR(__xludf.DUMMYFUNCTION("MIN(INDEX(GOOGLEFINANCE(A500, ""low"", TODAY()-30, TODAY()), 0, 2))"),269.0)</f>
        <v>269</v>
      </c>
      <c r="J500" s="9">
        <f>IFERROR(__xludf.DUMMYFUNCTION("GOOGLEFINANCE(A500, ""high52"")"),305.0)</f>
        <v>305</v>
      </c>
      <c r="K500" s="9">
        <f>IFERROR(__xludf.DUMMYFUNCTION("GOOGLEFINANCE(A500, ""low52"")"),138.1)</f>
        <v>138.1</v>
      </c>
      <c r="L500" s="9">
        <f t="shared" si="1"/>
        <v>0.07147540984</v>
      </c>
      <c r="M500" s="9">
        <f t="shared" si="2"/>
        <v>1.050687907</v>
      </c>
      <c r="N500" s="9">
        <f t="shared" si="3"/>
        <v>0.02615658363</v>
      </c>
      <c r="O500" s="9">
        <f t="shared" si="4"/>
        <v>0.4201183432</v>
      </c>
      <c r="P500" s="9" t="str">
        <f>IFERROR(__xludf.DUMMYFUNCTION("GOOGLEFINANCE(A500, ""pe"")"),"#N/A")</f>
        <v>#N/A</v>
      </c>
      <c r="Q500" s="9">
        <f>IFERROR(__xludf.DUMMYFUNCTION("IFERROR(GOOGLEFINANCE(A500, ""volume"") / GOOGLEFINANCE(A500, ""volumeavg""), 0)"),0.0)</f>
        <v>0</v>
      </c>
      <c r="R500" s="9">
        <f>IFERROR(__xludf.DUMMYFUNCTION("AVERAGE(INDEX(GOOGLEFINANCE(A500, ""price"", TODAY()-30, TODAY()), 0, 2))"),284.05652173913046)</f>
        <v>284.0565217</v>
      </c>
      <c r="S500" s="9">
        <f>IFERROR(__xludf.DUMMYFUNCTION("AVERAGE(INDEX(GOOGLEFINANCE(A500, ""price"", TODAY()-75, TODAY()), 0, 2))"),283.141320754717)</f>
        <v>283.1413208</v>
      </c>
      <c r="T500" s="9">
        <f>IFERROR(__xludf.DUMMYFUNCTION("AVERAGE(INDEX(GOOGLEFINANCE(A500, ""price"", TODAY()-300, TODAY()), 0, 2))"),222.70468749999995)</f>
        <v>222.7046875</v>
      </c>
      <c r="U500" s="9">
        <f t="shared" si="5"/>
        <v>-0.003015321507</v>
      </c>
      <c r="V500" s="15">
        <f>IFERROR(__xludf.DUMMYFUNCTION("LET(hist, GOOGLEFINANCE(A500,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rs))))))"),49.38144329896905)</f>
        <v>49.3814433</v>
      </c>
      <c r="W500" s="16" t="str">
        <f>IFERROR(__xludf.DUMMYFUNCTION("IFERROR(GOOGLEFINANCE(A500, ""volume"") / GOOGLEFINANCE(A500, ""volumeavg""), )"),"")</f>
        <v/>
      </c>
      <c r="X500" s="9">
        <f>IFERROR(__xludf.DUMMYFUNCTION("B500 * GOOGLEFINANCE(A500, ""volume"")"),1.565659872E8)</f>
        <v>156565987.2</v>
      </c>
      <c r="Y500" s="9">
        <f>IFERROR(__xludf.DUMMYFUNCTION("IFERROR(((B500 - GOOGLEFINANCE(A500, ""priceopen"")) / GOOGLEFINANCE(A500, ""priceopen"")) * GOOGLEFINANCE(A500, ""volume""), 0)"),1271.8099451424082)</f>
        <v>1271.809945</v>
      </c>
    </row>
    <row r="501">
      <c r="A501" s="4" t="s">
        <v>2294</v>
      </c>
      <c r="B501" s="7">
        <f>IFERROR(__xludf.DUMMYFUNCTION("GOOGLEFINANCE(A501, ""price"")"),38.93)</f>
        <v>38.93</v>
      </c>
      <c r="C501" s="7">
        <f>IFERROR(__xludf.DUMMYFUNCTION("GOOGLEFINANCE(A501, ""changepct"")"),0.31)</f>
        <v>0.31</v>
      </c>
      <c r="D501" s="9">
        <f>IFERROR(__xludf.DUMMYFUNCTION("GOOGLEFINANCE(A501, ""priceopen"")"),38.8)</f>
        <v>38.8</v>
      </c>
      <c r="E501" s="9">
        <f>IFERROR(__xludf.DUMMYFUNCTION("GOOGLEFINANCE(A501, ""high"")"),40.7)</f>
        <v>40.7</v>
      </c>
      <c r="F501" s="9">
        <f>IFERROR(__xludf.DUMMYFUNCTION("GOOGLEFINANCE(A501, ""low"")"),38.55)</f>
        <v>38.55</v>
      </c>
      <c r="G501" s="9">
        <f>IFERROR(__xludf.DUMMYFUNCTION("GOOGLEFINANCE(A501, ""price"")"),38.93)</f>
        <v>38.93</v>
      </c>
      <c r="H501" s="9">
        <f>IFERROR(__xludf.DUMMYFUNCTION("MAX(INDEX(GOOGLEFINANCE(A501, ""high"", TODAY()-30, TODAY()), 0, 2))"),40.7)</f>
        <v>40.7</v>
      </c>
      <c r="I501" s="9">
        <f>IFERROR(__xludf.DUMMYFUNCTION("MIN(INDEX(GOOGLEFINANCE(A501, ""low"", TODAY()-30, TODAY()), 0, 2))"),29.25)</f>
        <v>29.25</v>
      </c>
      <c r="J501" s="9">
        <f>IFERROR(__xludf.DUMMYFUNCTION("GOOGLEFINANCE(A501, ""high52"")"),44.78)</f>
        <v>44.78</v>
      </c>
      <c r="K501" s="9">
        <f>IFERROR(__xludf.DUMMYFUNCTION("GOOGLEFINANCE(A501, ""low52"")"),19.06)</f>
        <v>19.06</v>
      </c>
      <c r="L501" s="9">
        <f t="shared" si="1"/>
        <v>0.130638678</v>
      </c>
      <c r="M501" s="9">
        <f t="shared" si="2"/>
        <v>1.042497377</v>
      </c>
      <c r="N501" s="9">
        <f t="shared" si="3"/>
        <v>0.05577172503</v>
      </c>
      <c r="O501" s="9">
        <f t="shared" si="4"/>
        <v>0.8454148472</v>
      </c>
      <c r="P501" s="9" t="str">
        <f>IFERROR(__xludf.DUMMYFUNCTION("GOOGLEFINANCE(A501, ""pe"")"),"#N/A")</f>
        <v>#N/A</v>
      </c>
      <c r="Q501" s="9">
        <f>IFERROR(__xludf.DUMMYFUNCTION("IFERROR(GOOGLEFINANCE(A501, ""volume"") / GOOGLEFINANCE(A501, ""volumeavg""), 0)"),0.0)</f>
        <v>0</v>
      </c>
      <c r="R501" s="9">
        <f>IFERROR(__xludf.DUMMYFUNCTION("AVERAGE(INDEX(GOOGLEFINANCE(A501, ""price"", TODAY()-30, TODAY()), 0, 2))"),33.794782608695655)</f>
        <v>33.79478261</v>
      </c>
      <c r="S501" s="9">
        <f>IFERROR(__xludf.DUMMYFUNCTION("AVERAGE(INDEX(GOOGLEFINANCE(A501, ""price"", TODAY()-75, TODAY()), 0, 2))"),32.7597619047619)</f>
        <v>32.7597619</v>
      </c>
      <c r="T501" s="9">
        <f>IFERROR(__xludf.DUMMYFUNCTION("AVERAGE(INDEX(GOOGLEFINANCE(A501, ""price"", TODAY()-300, TODAY()), 0, 2))"),32.7597619047619)</f>
        <v>32.7597619</v>
      </c>
      <c r="U501" s="9">
        <f t="shared" si="5"/>
        <v>0.1519529642</v>
      </c>
      <c r="V501" s="15">
        <f>IFERROR(__xludf.DUMMYFUNCTION("LET(hist, GOOGLEFINANCE(A501,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rs))))))"),78.74639769452449)</f>
        <v>78.74639769</v>
      </c>
      <c r="W501" s="16" t="str">
        <f>IFERROR(__xludf.DUMMYFUNCTION("IFERROR(GOOGLEFINANCE(A501, ""volume"") / GOOGLEFINANCE(A501, ""volumeavg""), )"),"")</f>
        <v/>
      </c>
      <c r="X501" s="9">
        <f>IFERROR(__xludf.DUMMYFUNCTION("B501 * GOOGLEFINANCE(A501, ""volume"")"),2.53656216572E9)</f>
        <v>2536562166</v>
      </c>
      <c r="Y501" s="9">
        <f>IFERROR(__xludf.DUMMYFUNCTION("IFERROR(((B501 - GOOGLEFINANCE(A501, ""priceopen"")) / GOOGLEFINANCE(A501, ""priceopen"")) * GOOGLEFINANCE(A501, ""volume""), 0)"),218309.5494845404)</f>
        <v>218309.5495</v>
      </c>
    </row>
    <row r="502">
      <c r="A502" s="4" t="s">
        <v>2295</v>
      </c>
      <c r="B502" s="7">
        <f>IFERROR(__xludf.DUMMYFUNCTION("GOOGLEFINANCE(A502, ""price"")"),43.8)</f>
        <v>43.8</v>
      </c>
      <c r="C502" s="7">
        <f>IFERROR(__xludf.DUMMYFUNCTION("GOOGLEFINANCE(A502, ""changepct"")"),-0.79)</f>
        <v>-0.79</v>
      </c>
      <c r="D502" s="9">
        <f>IFERROR(__xludf.DUMMYFUNCTION("GOOGLEFINANCE(A502, ""priceopen"")"),44.2)</f>
        <v>44.2</v>
      </c>
      <c r="E502" s="9">
        <f>IFERROR(__xludf.DUMMYFUNCTION("GOOGLEFINANCE(A502, ""high"")"),44.65)</f>
        <v>44.65</v>
      </c>
      <c r="F502" s="9">
        <f>IFERROR(__xludf.DUMMYFUNCTION("GOOGLEFINANCE(A502, ""low"")"),43.7)</f>
        <v>43.7</v>
      </c>
      <c r="G502" s="9">
        <f>IFERROR(__xludf.DUMMYFUNCTION("GOOGLEFINANCE(A502, ""price"")"),43.8)</f>
        <v>43.8</v>
      </c>
      <c r="H502" s="9">
        <f>IFERROR(__xludf.DUMMYFUNCTION("MAX(INDEX(GOOGLEFINANCE(A502, ""high"", TODAY()-30, TODAY()), 0, 2))"),45.4)</f>
        <v>45.4</v>
      </c>
      <c r="I502" s="9">
        <f>IFERROR(__xludf.DUMMYFUNCTION("MIN(INDEX(GOOGLEFINANCE(A502, ""low"", TODAY()-30, TODAY()), 0, 2))"),40.66)</f>
        <v>40.66</v>
      </c>
      <c r="J502" s="9">
        <f>IFERROR(__xludf.DUMMYFUNCTION("GOOGLEFINANCE(A502, ""high52"")"),53.75)</f>
        <v>53.75</v>
      </c>
      <c r="K502" s="9">
        <f>IFERROR(__xludf.DUMMYFUNCTION("GOOGLEFINANCE(A502, ""low52"")"),33.01)</f>
        <v>33.01</v>
      </c>
      <c r="L502" s="9">
        <f t="shared" si="1"/>
        <v>0.1851162791</v>
      </c>
      <c r="M502" s="9">
        <f t="shared" si="2"/>
        <v>0.3268706453</v>
      </c>
      <c r="N502" s="9">
        <f t="shared" si="3"/>
        <v>0.02173913043</v>
      </c>
      <c r="O502" s="9">
        <f t="shared" si="4"/>
        <v>0.6624472574</v>
      </c>
      <c r="P502" s="9">
        <f>IFERROR(__xludf.DUMMYFUNCTION("GOOGLEFINANCE(A502, ""pe"")"),219.0)</f>
        <v>219</v>
      </c>
      <c r="Q502" s="9">
        <f>IFERROR(__xludf.DUMMYFUNCTION("IFERROR(GOOGLEFINANCE(A502, ""volume"") / GOOGLEFINANCE(A502, ""volumeavg""), 0)"),0.0)</f>
        <v>0</v>
      </c>
      <c r="R502" s="9">
        <f>IFERROR(__xludf.DUMMYFUNCTION("AVERAGE(INDEX(GOOGLEFINANCE(A502, ""price"", TODAY()-30, TODAY()), 0, 2))"),43.21086956521739)</f>
        <v>43.21086957</v>
      </c>
      <c r="S502" s="9">
        <f>IFERROR(__xludf.DUMMYFUNCTION("AVERAGE(INDEX(GOOGLEFINANCE(A502, ""price"", TODAY()-75, TODAY()), 0, 2))"),44.95150943396228)</f>
        <v>44.95150943</v>
      </c>
      <c r="T502" s="9">
        <f>IFERROR(__xludf.DUMMYFUNCTION("AVERAGE(INDEX(GOOGLEFINANCE(A502, ""price"", TODAY()-300, TODAY()), 0, 2))"),42.34673267326733)</f>
        <v>42.34673267</v>
      </c>
      <c r="U502" s="9">
        <f t="shared" si="5"/>
        <v>0.01363384817</v>
      </c>
      <c r="V502" s="15">
        <f>IFERROR(__xludf.DUMMYFUNCTION("LET(hist, GOOGLEFINANCE(A502,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rs))))))"),66.43356643356641)</f>
        <v>66.43356643</v>
      </c>
      <c r="W502" s="16" t="str">
        <f>IFERROR(__xludf.DUMMYFUNCTION("IFERROR(GOOGLEFINANCE(A502, ""volume"") / GOOGLEFINANCE(A502, ""volumeavg""), )"),"")</f>
        <v/>
      </c>
      <c r="X502" s="9">
        <f>IFERROR(__xludf.DUMMYFUNCTION("B502 * GOOGLEFINANCE(A502, ""volume"")"),1.2276167639999999E8)</f>
        <v>122761676.4</v>
      </c>
      <c r="Y502" s="9">
        <f>IFERROR(__xludf.DUMMYFUNCTION("IFERROR(((B502 - GOOGLEFINANCE(A502, ""priceopen"")) / GOOGLEFINANCE(A502, ""priceopen"")) * GOOGLEFINANCE(A502, ""volume""), 0)"),-25364.506787330673)</f>
        <v>-25364.50679</v>
      </c>
    </row>
    <row r="503">
      <c r="A503" s="4" t="s">
        <v>2296</v>
      </c>
      <c r="B503" s="7">
        <f>IFERROR(__xludf.DUMMYFUNCTION("GOOGLEFINANCE(A503, ""price"")"),24.7)</f>
        <v>24.7</v>
      </c>
      <c r="C503" s="7">
        <f>IFERROR(__xludf.DUMMYFUNCTION("GOOGLEFINANCE(A503, ""changepct"")"),-0.52)</f>
        <v>-0.52</v>
      </c>
      <c r="D503" s="9">
        <f>IFERROR(__xludf.DUMMYFUNCTION("GOOGLEFINANCE(A503, ""priceopen"")"),24.83)</f>
        <v>24.83</v>
      </c>
      <c r="E503" s="9">
        <f>IFERROR(__xludf.DUMMYFUNCTION("GOOGLEFINANCE(A503, ""high"")"),24.91)</f>
        <v>24.91</v>
      </c>
      <c r="F503" s="9">
        <f>IFERROR(__xludf.DUMMYFUNCTION("GOOGLEFINANCE(A503, ""low"")"),24.61)</f>
        <v>24.61</v>
      </c>
      <c r="G503" s="9">
        <f>IFERROR(__xludf.DUMMYFUNCTION("GOOGLEFINANCE(A503, ""price"")"),24.7)</f>
        <v>24.7</v>
      </c>
      <c r="H503" s="9">
        <f>IFERROR(__xludf.DUMMYFUNCTION("MAX(INDEX(GOOGLEFINANCE(A503, ""high"", TODAY()-30, TODAY()), 0, 2))"),26.8)</f>
        <v>26.8</v>
      </c>
      <c r="I503" s="9">
        <f>IFERROR(__xludf.DUMMYFUNCTION("MIN(INDEX(GOOGLEFINANCE(A503, ""low"", TODAY()-30, TODAY()), 0, 2))"),24.61)</f>
        <v>24.61</v>
      </c>
      <c r="J503" s="9">
        <f>IFERROR(__xludf.DUMMYFUNCTION("GOOGLEFINANCE(A503, ""high52"")"),30.94)</f>
        <v>30.94</v>
      </c>
      <c r="K503" s="9">
        <f>IFERROR(__xludf.DUMMYFUNCTION("GOOGLEFINANCE(A503, ""low52"")"),21.98)</f>
        <v>21.98</v>
      </c>
      <c r="L503" s="9">
        <f t="shared" si="1"/>
        <v>0.2016806723</v>
      </c>
      <c r="M503" s="9">
        <f t="shared" si="2"/>
        <v>0.1237488626</v>
      </c>
      <c r="N503" s="9">
        <f t="shared" si="3"/>
        <v>0.0121901666</v>
      </c>
      <c r="O503" s="9">
        <f t="shared" si="4"/>
        <v>0.04109589041</v>
      </c>
      <c r="P503" s="9">
        <f>IFERROR(__xludf.DUMMYFUNCTION("GOOGLEFINANCE(A503, ""pe"")"),31.65)</f>
        <v>31.65</v>
      </c>
      <c r="Q503" s="9">
        <f>IFERROR(__xludf.DUMMYFUNCTION("IFERROR(GOOGLEFINANCE(A503, ""volume"") / GOOGLEFINANCE(A503, ""volumeavg""), 0)"),0.0)</f>
        <v>0</v>
      </c>
      <c r="R503" s="9">
        <f>IFERROR(__xludf.DUMMYFUNCTION("AVERAGE(INDEX(GOOGLEFINANCE(A503, ""price"", TODAY()-30, TODAY()), 0, 2))"),25.0595652173913)</f>
        <v>25.05956522</v>
      </c>
      <c r="S503" s="9">
        <f>IFERROR(__xludf.DUMMYFUNCTION("AVERAGE(INDEX(GOOGLEFINANCE(A503, ""price"", TODAY()-75, TODAY()), 0, 2))"),25.15264150943397)</f>
        <v>25.15264151</v>
      </c>
      <c r="T503" s="9">
        <f>IFERROR(__xludf.DUMMYFUNCTION("AVERAGE(INDEX(GOOGLEFINANCE(A503, ""price"", TODAY()-300, TODAY()), 0, 2))"),25.99524752475247)</f>
        <v>25.99524752</v>
      </c>
      <c r="U503" s="9">
        <f t="shared" si="5"/>
        <v>-0.01434842202</v>
      </c>
      <c r="V503" s="15">
        <f>IFERROR(__xludf.DUMMYFUNCTION("LET(hist, GOOGLEFINANCE(A503,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rs))))))"),35.35911602209937)</f>
        <v>35.35911602</v>
      </c>
      <c r="W503" s="16" t="str">
        <f>IFERROR(__xludf.DUMMYFUNCTION("IFERROR(GOOGLEFINANCE(A503, ""volume"") / GOOGLEFINANCE(A503, ""volumeavg""), )"),"")</f>
        <v/>
      </c>
      <c r="X503" s="9">
        <f>IFERROR(__xludf.DUMMYFUNCTION("B503 * GOOGLEFINANCE(A503, ""volume"")"),4.8265059699999996E7)</f>
        <v>48265059.7</v>
      </c>
      <c r="Y503" s="9">
        <f>IFERROR(__xludf.DUMMYFUNCTION("IFERROR(((B503 - GOOGLEFINANCE(A503, ""priceopen"")) / GOOGLEFINANCE(A503, ""priceopen"")) * GOOGLEFINANCE(A503, ""volume""), 0)"),-10230.633507853327)</f>
        <v>-10230.63351</v>
      </c>
    </row>
    <row r="504">
      <c r="A504" s="4" t="s">
        <v>2297</v>
      </c>
      <c r="B504" s="7">
        <f>IFERROR(__xludf.DUMMYFUNCTION("GOOGLEFINANCE(A504, ""price"")"),353.0)</f>
        <v>353</v>
      </c>
      <c r="C504" s="7">
        <f>IFERROR(__xludf.DUMMYFUNCTION("GOOGLEFINANCE(A504, ""changepct"")"),-0.68)</f>
        <v>-0.68</v>
      </c>
      <c r="D504" s="9">
        <f>IFERROR(__xludf.DUMMYFUNCTION("GOOGLEFINANCE(A504, ""priceopen"")"),354.55)</f>
        <v>354.55</v>
      </c>
      <c r="E504" s="9">
        <f>IFERROR(__xludf.DUMMYFUNCTION("GOOGLEFINANCE(A504, ""high"")"),358.0)</f>
        <v>358</v>
      </c>
      <c r="F504" s="9">
        <f>IFERROR(__xludf.DUMMYFUNCTION("GOOGLEFINANCE(A504, ""low"")"),350.0)</f>
        <v>350</v>
      </c>
      <c r="G504" s="9">
        <f>IFERROR(__xludf.DUMMYFUNCTION("GOOGLEFINANCE(A504, ""price"")"),353.0)</f>
        <v>353</v>
      </c>
      <c r="H504" s="9">
        <f>IFERROR(__xludf.DUMMYFUNCTION("MAX(INDEX(GOOGLEFINANCE(A504, ""high"", TODAY()-30, TODAY()), 0, 2))"),362.0)</f>
        <v>362</v>
      </c>
      <c r="I504" s="9">
        <f>IFERROR(__xludf.DUMMYFUNCTION("MIN(INDEX(GOOGLEFINANCE(A504, ""low"", TODAY()-30, TODAY()), 0, 2))"),295.3)</f>
        <v>295.3</v>
      </c>
      <c r="J504" s="9">
        <f>IFERROR(__xludf.DUMMYFUNCTION("GOOGLEFINANCE(A504, ""high52"")"),363.25)</f>
        <v>363.25</v>
      </c>
      <c r="K504" s="9">
        <f>IFERROR(__xludf.DUMMYFUNCTION("GOOGLEFINANCE(A504, ""low52"")"),215.7)</f>
        <v>215.7</v>
      </c>
      <c r="L504" s="9">
        <f t="shared" si="1"/>
        <v>0.02821748107</v>
      </c>
      <c r="M504" s="9">
        <f t="shared" si="2"/>
        <v>0.6365322207</v>
      </c>
      <c r="N504" s="9">
        <f t="shared" si="3"/>
        <v>0.02285714286</v>
      </c>
      <c r="O504" s="9">
        <f t="shared" si="4"/>
        <v>0.8650674663</v>
      </c>
      <c r="P504" s="9" t="str">
        <f>IFERROR(__xludf.DUMMYFUNCTION("GOOGLEFINANCE(A504, ""pe"")"),"#N/A")</f>
        <v>#N/A</v>
      </c>
      <c r="Q504" s="9">
        <f>IFERROR(__xludf.DUMMYFUNCTION("IFERROR(GOOGLEFINANCE(A504, ""volume"") / GOOGLEFINANCE(A504, ""volumeavg""), 0)"),0.0)</f>
        <v>0</v>
      </c>
      <c r="R504" s="9">
        <f>IFERROR(__xludf.DUMMYFUNCTION("AVERAGE(INDEX(GOOGLEFINANCE(A504, ""price"", TODAY()-30, TODAY()), 0, 2))"),322.91304347826093)</f>
        <v>322.9130435</v>
      </c>
      <c r="S504" s="9">
        <f>IFERROR(__xludf.DUMMYFUNCTION("AVERAGE(INDEX(GOOGLEFINANCE(A504, ""price"", TODAY()-75, TODAY()), 0, 2))"),304.8915094339622)</f>
        <v>304.8915094</v>
      </c>
      <c r="T504" s="9">
        <f>IFERROR(__xludf.DUMMYFUNCTION("AVERAGE(INDEX(GOOGLEFINANCE(A504, ""price"", TODAY()-300, TODAY()), 0, 2))"),272.8646039603962)</f>
        <v>272.864604</v>
      </c>
      <c r="U504" s="9">
        <f t="shared" si="5"/>
        <v>0.09317355594</v>
      </c>
      <c r="V504" s="15">
        <f>IFERROR(__xludf.DUMMYFUNCTION("LET(hist, GOOGLEFINANCE(A504,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rs))))))"),89.15171288743886)</f>
        <v>89.15171289</v>
      </c>
      <c r="W504" s="16" t="str">
        <f>IFERROR(__xludf.DUMMYFUNCTION("IFERROR(GOOGLEFINANCE(A504, ""volume"") / GOOGLEFINANCE(A504, ""volumeavg""), )"),"")</f>
        <v/>
      </c>
      <c r="X504" s="9">
        <f>IFERROR(__xludf.DUMMYFUNCTION("B504 * GOOGLEFINANCE(A504, ""volume"")"),2.38270764E8)</f>
        <v>238270764</v>
      </c>
      <c r="Y504" s="9">
        <f>IFERROR(__xludf.DUMMYFUNCTION("IFERROR(((B504 - GOOGLEFINANCE(A504, ""priceopen"")) / GOOGLEFINANCE(A504, ""priceopen"")) * GOOGLEFINANCE(A504, ""volume""), 0)"),-2950.8712452404675)</f>
        <v>-2950.871245</v>
      </c>
    </row>
    <row r="505">
      <c r="A505" s="4" t="s">
        <v>2298</v>
      </c>
      <c r="B505" s="7">
        <f>IFERROR(__xludf.DUMMYFUNCTION("GOOGLEFINANCE(A505, ""price"")"),17.83)</f>
        <v>17.83</v>
      </c>
      <c r="C505" s="7">
        <f>IFERROR(__xludf.DUMMYFUNCTION("GOOGLEFINANCE(A505, ""changepct"")"),0.45)</f>
        <v>0.45</v>
      </c>
      <c r="D505" s="9">
        <f>IFERROR(__xludf.DUMMYFUNCTION("GOOGLEFINANCE(A505, ""priceopen"")"),17.72)</f>
        <v>17.72</v>
      </c>
      <c r="E505" s="9">
        <f>IFERROR(__xludf.DUMMYFUNCTION("GOOGLEFINANCE(A505, ""high"")"),17.84)</f>
        <v>17.84</v>
      </c>
      <c r="F505" s="9">
        <f>IFERROR(__xludf.DUMMYFUNCTION("GOOGLEFINANCE(A505, ""low"")"),17.55)</f>
        <v>17.55</v>
      </c>
      <c r="G505" s="9">
        <f>IFERROR(__xludf.DUMMYFUNCTION("GOOGLEFINANCE(A505, ""price"")"),17.83)</f>
        <v>17.83</v>
      </c>
      <c r="H505" s="9">
        <f>IFERROR(__xludf.DUMMYFUNCTION("MAX(INDEX(GOOGLEFINANCE(A505, ""high"", TODAY()-30, TODAY()), 0, 2))"),19.28)</f>
        <v>19.28</v>
      </c>
      <c r="I505" s="9">
        <f>IFERROR(__xludf.DUMMYFUNCTION("MIN(INDEX(GOOGLEFINANCE(A505, ""low"", TODAY()-30, TODAY()), 0, 2))"),16.65)</f>
        <v>16.65</v>
      </c>
      <c r="J505" s="9">
        <f>IFERROR(__xludf.DUMMYFUNCTION("GOOGLEFINANCE(A505, ""high52"")"),24.5)</f>
        <v>24.5</v>
      </c>
      <c r="K505" s="9">
        <f>IFERROR(__xludf.DUMMYFUNCTION("GOOGLEFINANCE(A505, ""low52"")"),13.15)</f>
        <v>13.15</v>
      </c>
      <c r="L505" s="9">
        <f t="shared" si="1"/>
        <v>0.272244898</v>
      </c>
      <c r="M505" s="9">
        <f t="shared" si="2"/>
        <v>0.3558935361</v>
      </c>
      <c r="N505" s="9">
        <f t="shared" si="3"/>
        <v>0.01652421652</v>
      </c>
      <c r="O505" s="9">
        <f t="shared" si="4"/>
        <v>0.4486692015</v>
      </c>
      <c r="P505" s="9" t="str">
        <f>IFERROR(__xludf.DUMMYFUNCTION("GOOGLEFINANCE(A505, ""pe"")"),"#N/A")</f>
        <v>#N/A</v>
      </c>
      <c r="Q505" s="9">
        <f>IFERROR(__xludf.DUMMYFUNCTION("IFERROR(GOOGLEFINANCE(A505, ""volume"") / GOOGLEFINANCE(A505, ""volumeavg""), 0)"),0.0)</f>
        <v>0</v>
      </c>
      <c r="R505" s="9">
        <f>IFERROR(__xludf.DUMMYFUNCTION("AVERAGE(INDEX(GOOGLEFINANCE(A505, ""price"", TODAY()-30, TODAY()), 0, 2))"),17.47391304347826)</f>
        <v>17.47391304</v>
      </c>
      <c r="S505" s="9">
        <f>IFERROR(__xludf.DUMMYFUNCTION("AVERAGE(INDEX(GOOGLEFINANCE(A505, ""price"", TODAY()-75, TODAY()), 0, 2))"),17.89358490566038)</f>
        <v>17.89358491</v>
      </c>
      <c r="T505" s="9">
        <f>IFERROR(__xludf.DUMMYFUNCTION("AVERAGE(INDEX(GOOGLEFINANCE(A505, ""price"", TODAY()-300, TODAY()), 0, 2))"),17.332524752475248)</f>
        <v>17.33252475</v>
      </c>
      <c r="U505" s="9">
        <f t="shared" si="5"/>
        <v>0.02037820353</v>
      </c>
      <c r="V505" s="15">
        <f>IFERROR(__xludf.DUMMYFUNCTION("LET(hist, GOOGLEFINANCE(A505,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rs))))))"),60.18237082066872)</f>
        <v>60.18237082</v>
      </c>
      <c r="W505" s="16" t="str">
        <f>IFERROR(__xludf.DUMMYFUNCTION("IFERROR(GOOGLEFINANCE(A505, ""volume"") / GOOGLEFINANCE(A505, ""volumeavg""), )"),"")</f>
        <v/>
      </c>
      <c r="X505" s="9">
        <f>IFERROR(__xludf.DUMMYFUNCTION("B505 * GOOGLEFINANCE(A505, ""volume"")"),4.4398923400999993E8)</f>
        <v>443989234</v>
      </c>
      <c r="Y505" s="9">
        <f>IFERROR(__xludf.DUMMYFUNCTION("IFERROR(((B505 - GOOGLEFINANCE(A505, ""priceopen"")) / GOOGLEFINANCE(A505, ""priceopen"")) * GOOGLEFINANCE(A505, ""volume""), 0)"),154578.84706546197)</f>
        <v>154578.8471</v>
      </c>
    </row>
    <row r="506">
      <c r="A506" s="4" t="s">
        <v>2299</v>
      </c>
      <c r="B506" s="7">
        <f>IFERROR(__xludf.DUMMYFUNCTION("GOOGLEFINANCE(A506, ""price"")"),313.5)</f>
        <v>313.5</v>
      </c>
      <c r="C506" s="7">
        <f>IFERROR(__xludf.DUMMYFUNCTION("GOOGLEFINANCE(A506, ""changepct"")"),-2.69)</f>
        <v>-2.69</v>
      </c>
      <c r="D506" s="9">
        <f>IFERROR(__xludf.DUMMYFUNCTION("GOOGLEFINANCE(A506, ""priceopen"")"),323.0)</f>
        <v>323</v>
      </c>
      <c r="E506" s="9">
        <f>IFERROR(__xludf.DUMMYFUNCTION("GOOGLEFINANCE(A506, ""high"")"),323.55)</f>
        <v>323.55</v>
      </c>
      <c r="F506" s="9">
        <f>IFERROR(__xludf.DUMMYFUNCTION("GOOGLEFINANCE(A506, ""low"")"),313.0)</f>
        <v>313</v>
      </c>
      <c r="G506" s="9">
        <f>IFERROR(__xludf.DUMMYFUNCTION("GOOGLEFINANCE(A506, ""price"")"),313.5)</f>
        <v>313.5</v>
      </c>
      <c r="H506" s="9">
        <f>IFERROR(__xludf.DUMMYFUNCTION("MAX(INDEX(GOOGLEFINANCE(A506, ""high"", TODAY()-30, TODAY()), 0, 2))"),374.0)</f>
        <v>374</v>
      </c>
      <c r="I506" s="9">
        <f>IFERROR(__xludf.DUMMYFUNCTION("MIN(INDEX(GOOGLEFINANCE(A506, ""low"", TODAY()-30, TODAY()), 0, 2))"),304.5)</f>
        <v>304.5</v>
      </c>
      <c r="J506" s="9">
        <f>IFERROR(__xludf.DUMMYFUNCTION("GOOGLEFINANCE(A506, ""high52"")"),425.95)</f>
        <v>425.95</v>
      </c>
      <c r="K506" s="9">
        <f>IFERROR(__xludf.DUMMYFUNCTION("GOOGLEFINANCE(A506, ""low52"")"),226.5)</f>
        <v>226.5</v>
      </c>
      <c r="L506" s="9">
        <f t="shared" si="1"/>
        <v>0.2639981218</v>
      </c>
      <c r="M506" s="9">
        <f t="shared" si="2"/>
        <v>0.3841059603</v>
      </c>
      <c r="N506" s="9">
        <f t="shared" si="3"/>
        <v>0.03370607029</v>
      </c>
      <c r="O506" s="9">
        <f t="shared" si="4"/>
        <v>0.1294964029</v>
      </c>
      <c r="P506" s="9">
        <f>IFERROR(__xludf.DUMMYFUNCTION("GOOGLEFINANCE(A506, ""pe"")"),47.29)</f>
        <v>47.29</v>
      </c>
      <c r="Q506" s="9">
        <f>IFERROR(__xludf.DUMMYFUNCTION("IFERROR(GOOGLEFINANCE(A506, ""volume"") / GOOGLEFINANCE(A506, ""volumeavg""), 0)"),0.0)</f>
        <v>0</v>
      </c>
      <c r="R506" s="9">
        <f>IFERROR(__xludf.DUMMYFUNCTION("AVERAGE(INDEX(GOOGLEFINANCE(A506, ""price"", TODAY()-30, TODAY()), 0, 2))"),324.645652173913)</f>
        <v>324.6456522</v>
      </c>
      <c r="S506" s="9">
        <f>IFERROR(__xludf.DUMMYFUNCTION("AVERAGE(INDEX(GOOGLEFINANCE(A506, ""price"", TODAY()-75, TODAY()), 0, 2))"),312.48207547169795)</f>
        <v>312.4820755</v>
      </c>
      <c r="T506" s="9">
        <f>IFERROR(__xludf.DUMMYFUNCTION("AVERAGE(INDEX(GOOGLEFINANCE(A506, ""price"", TODAY()-300, TODAY()), 0, 2))"),303.1900990099013)</f>
        <v>303.190099</v>
      </c>
      <c r="U506" s="9">
        <f t="shared" si="5"/>
        <v>-0.03433174632</v>
      </c>
      <c r="V506" s="15">
        <f>IFERROR(__xludf.DUMMYFUNCTION("LET(hist, GOOGLEFINANCE(A506,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rs))))))"),48.94188780651662)</f>
        <v>48.94188781</v>
      </c>
      <c r="W506" s="16" t="str">
        <f>IFERROR(__xludf.DUMMYFUNCTION("IFERROR(GOOGLEFINANCE(A506, ""volume"") / GOOGLEFINANCE(A506, ""volumeavg""), )"),"")</f>
        <v/>
      </c>
      <c r="X506" s="9">
        <f>IFERROR(__xludf.DUMMYFUNCTION("B506 * GOOGLEFINANCE(A506, ""volume"")"),2.660953515E8)</f>
        <v>266095351.5</v>
      </c>
      <c r="Y506" s="9">
        <f>IFERROR(__xludf.DUMMYFUNCTION("IFERROR(((B506 - GOOGLEFINANCE(A506, ""priceopen"")) / GOOGLEFINANCE(A506, ""priceopen"")) * GOOGLEFINANCE(A506, ""volume""), 0)"),-24964.382352941175)</f>
        <v>-24964.38235</v>
      </c>
    </row>
    <row r="507">
      <c r="A507" s="4" t="s">
        <v>2300</v>
      </c>
      <c r="B507" s="7">
        <f>IFERROR(__xludf.DUMMYFUNCTION("GOOGLEFINANCE(A507, ""price"")"),239.0)</f>
        <v>239</v>
      </c>
      <c r="C507" s="7">
        <f>IFERROR(__xludf.DUMMYFUNCTION("GOOGLEFINANCE(A507, ""changepct"")"),-1.64)</f>
        <v>-1.64</v>
      </c>
      <c r="D507" s="9">
        <f>IFERROR(__xludf.DUMMYFUNCTION("GOOGLEFINANCE(A507, ""priceopen"")"),243.35)</f>
        <v>243.35</v>
      </c>
      <c r="E507" s="9">
        <f>IFERROR(__xludf.DUMMYFUNCTION("GOOGLEFINANCE(A507, ""high"")"),246.8)</f>
        <v>246.8</v>
      </c>
      <c r="F507" s="9">
        <f>IFERROR(__xludf.DUMMYFUNCTION("GOOGLEFINANCE(A507, ""low"")"),238.0)</f>
        <v>238</v>
      </c>
      <c r="G507" s="9">
        <f>IFERROR(__xludf.DUMMYFUNCTION("GOOGLEFINANCE(A507, ""price"")"),239.0)</f>
        <v>239</v>
      </c>
      <c r="H507" s="9">
        <f>IFERROR(__xludf.DUMMYFUNCTION("MAX(INDEX(GOOGLEFINANCE(A507, ""high"", TODAY()-30, TODAY()), 0, 2))"),249.8)</f>
        <v>249.8</v>
      </c>
      <c r="I507" s="9">
        <f>IFERROR(__xludf.DUMMYFUNCTION("MIN(INDEX(GOOGLEFINANCE(A507, ""low"", TODAY()-30, TODAY()), 0, 2))"),219.44)</f>
        <v>219.44</v>
      </c>
      <c r="J507" s="9">
        <f>IFERROR(__xludf.DUMMYFUNCTION("GOOGLEFINANCE(A507, ""high52"")"),267.0)</f>
        <v>267</v>
      </c>
      <c r="K507" s="9">
        <f>IFERROR(__xludf.DUMMYFUNCTION("GOOGLEFINANCE(A507, ""low52"")"),163.55)</f>
        <v>163.55</v>
      </c>
      <c r="L507" s="9">
        <f t="shared" si="1"/>
        <v>0.1048689139</v>
      </c>
      <c r="M507" s="9">
        <f t="shared" si="2"/>
        <v>0.4613268114</v>
      </c>
      <c r="N507" s="9">
        <f t="shared" si="3"/>
        <v>0.03697478992</v>
      </c>
      <c r="O507" s="9">
        <f t="shared" si="4"/>
        <v>0.6442687747</v>
      </c>
      <c r="P507" s="9">
        <f>IFERROR(__xludf.DUMMYFUNCTION("GOOGLEFINANCE(A507, ""pe"")"),19.43)</f>
        <v>19.43</v>
      </c>
      <c r="Q507" s="9">
        <f>IFERROR(__xludf.DUMMYFUNCTION("IFERROR(GOOGLEFINANCE(A507, ""volume"") / GOOGLEFINANCE(A507, ""volumeavg""), 0)"),0.0)</f>
        <v>0</v>
      </c>
      <c r="R507" s="9">
        <f>IFERROR(__xludf.DUMMYFUNCTION("AVERAGE(INDEX(GOOGLEFINANCE(A507, ""price"", TODAY()-30, TODAY()), 0, 2))"),230.94478260869568)</f>
        <v>230.9447826</v>
      </c>
      <c r="S507" s="9">
        <f>IFERROR(__xludf.DUMMYFUNCTION("AVERAGE(INDEX(GOOGLEFINANCE(A507, ""price"", TODAY()-75, TODAY()), 0, 2))"),235.8571698113207)</f>
        <v>235.8571698</v>
      </c>
      <c r="T507" s="9">
        <f>IFERROR(__xludf.DUMMYFUNCTION("AVERAGE(INDEX(GOOGLEFINANCE(A507, ""price"", TODAY()-300, TODAY()), 0, 2))"),213.99855721393027)</f>
        <v>213.9985572</v>
      </c>
      <c r="U507" s="9">
        <f t="shared" si="5"/>
        <v>0.0348794084</v>
      </c>
      <c r="V507" s="15">
        <f>IFERROR(__xludf.DUMMYFUNCTION("LET(hist, GOOGLEFINANCE(A507,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rs))))))"),63.667946608155034)</f>
        <v>63.66794661</v>
      </c>
      <c r="W507" s="16" t="str">
        <f>IFERROR(__xludf.DUMMYFUNCTION("IFERROR(GOOGLEFINANCE(A507, ""volume"") / GOOGLEFINANCE(A507, ""volumeavg""), )"),"")</f>
        <v/>
      </c>
      <c r="X507" s="9">
        <f>IFERROR(__xludf.DUMMYFUNCTION("B507 * GOOGLEFINANCE(A507, ""volume"")"),3.02295804E8)</f>
        <v>302295804</v>
      </c>
      <c r="Y507" s="9">
        <f>IFERROR(__xludf.DUMMYFUNCTION("IFERROR(((B507 - GOOGLEFINANCE(A507, ""priceopen"")) / GOOGLEFINANCE(A507, ""priceopen"")) * GOOGLEFINANCE(A507, ""volume""), 0)"),-22609.560715019492)</f>
        <v>-22609.56072</v>
      </c>
    </row>
    <row r="508">
      <c r="A508" s="4" t="s">
        <v>2301</v>
      </c>
      <c r="B508" s="7">
        <f>IFERROR(__xludf.DUMMYFUNCTION("GOOGLEFINANCE(A508, ""price"")"),11533.0)</f>
        <v>11533</v>
      </c>
      <c r="C508" s="7">
        <f>IFERROR(__xludf.DUMMYFUNCTION("GOOGLEFINANCE(A508, ""changepct"")"),-3.42)</f>
        <v>-3.42</v>
      </c>
      <c r="D508" s="9">
        <f>IFERROR(__xludf.DUMMYFUNCTION("GOOGLEFINANCE(A508, ""priceopen"")"),11889.0)</f>
        <v>11889</v>
      </c>
      <c r="E508" s="9">
        <f>IFERROR(__xludf.DUMMYFUNCTION("GOOGLEFINANCE(A508, ""high"")"),11902.0)</f>
        <v>11902</v>
      </c>
      <c r="F508" s="9">
        <f>IFERROR(__xludf.DUMMYFUNCTION("GOOGLEFINANCE(A508, ""low"")"),11531.0)</f>
        <v>11531</v>
      </c>
      <c r="G508" s="9">
        <f>IFERROR(__xludf.DUMMYFUNCTION("GOOGLEFINANCE(A508, ""price"")"),11533.0)</f>
        <v>11533</v>
      </c>
      <c r="H508" s="9">
        <f>IFERROR(__xludf.DUMMYFUNCTION("MAX(INDEX(GOOGLEFINANCE(A508, ""high"", TODAY()-30, TODAY()), 0, 2))"),12453.0)</f>
        <v>12453</v>
      </c>
      <c r="I508" s="9">
        <f>IFERROR(__xludf.DUMMYFUNCTION("MIN(INDEX(GOOGLEFINANCE(A508, ""low"", TODAY()-30, TODAY()), 0, 2))"),10530.0)</f>
        <v>10530</v>
      </c>
      <c r="J508" s="9">
        <f>IFERROR(__xludf.DUMMYFUNCTION("GOOGLEFINANCE(A508, ""high52"")"),22790.0)</f>
        <v>22790</v>
      </c>
      <c r="K508" s="9">
        <f>IFERROR(__xludf.DUMMYFUNCTION("GOOGLEFINANCE(A508, ""low52"")"),10530.0)</f>
        <v>10530</v>
      </c>
      <c r="L508" s="9">
        <f t="shared" si="1"/>
        <v>0.4939447126</v>
      </c>
      <c r="M508" s="9">
        <f t="shared" si="2"/>
        <v>0.09525166192</v>
      </c>
      <c r="N508" s="9">
        <f t="shared" si="3"/>
        <v>0.03217413928</v>
      </c>
      <c r="O508" s="9">
        <f t="shared" si="4"/>
        <v>0.5215808632</v>
      </c>
      <c r="P508" s="9">
        <f>IFERROR(__xludf.DUMMYFUNCTION("GOOGLEFINANCE(A508, ""pe"")"),93.19)</f>
        <v>93.19</v>
      </c>
      <c r="Q508" s="9">
        <f>IFERROR(__xludf.DUMMYFUNCTION("IFERROR(GOOGLEFINANCE(A508, ""volume"") / GOOGLEFINANCE(A508, ""volumeavg""), 0)"),0.0)</f>
        <v>0</v>
      </c>
      <c r="R508" s="9">
        <f>IFERROR(__xludf.DUMMYFUNCTION("AVERAGE(INDEX(GOOGLEFINANCE(A508, ""price"", TODAY()-30, TODAY()), 0, 2))"),11392.521739130434)</f>
        <v>11392.52174</v>
      </c>
      <c r="S508" s="9">
        <f>IFERROR(__xludf.DUMMYFUNCTION("AVERAGE(INDEX(GOOGLEFINANCE(A508, ""price"", TODAY()-75, TODAY()), 0, 2))"),11892.867924528302)</f>
        <v>11892.86792</v>
      </c>
      <c r="T508" s="9">
        <f>IFERROR(__xludf.DUMMYFUNCTION("AVERAGE(INDEX(GOOGLEFINANCE(A508, ""price"", TODAY()-300, TODAY()), 0, 2))"),15292.321782178218)</f>
        <v>15292.32178</v>
      </c>
      <c r="U508" s="9">
        <f t="shared" si="5"/>
        <v>0.01233074328</v>
      </c>
      <c r="V508" s="15">
        <f>IFERROR(__xludf.DUMMYFUNCTION("LET(hist, GOOGLEFINANCE(A508,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rs))))))"),67.3608481635744)</f>
        <v>67.36084816</v>
      </c>
      <c r="W508" s="16" t="str">
        <f>IFERROR(__xludf.DUMMYFUNCTION("IFERROR(GOOGLEFINANCE(A508, ""volume"") / GOOGLEFINANCE(A508, ""volumeavg""), )"),"")</f>
        <v/>
      </c>
      <c r="X508" s="9">
        <f>IFERROR(__xludf.DUMMYFUNCTION("B508 * GOOGLEFINANCE(A508, ""volume"")"),3.4472137E7)</f>
        <v>34472137</v>
      </c>
      <c r="Y508" s="9">
        <f>IFERROR(__xludf.DUMMYFUNCTION("IFERROR(((B508 - GOOGLEFINANCE(A508, ""priceopen"")) / GOOGLEFINANCE(A508, ""priceopen"")) * GOOGLEFINANCE(A508, ""volume""), 0)"),-89.50155606022373)</f>
        <v>-89.50155606</v>
      </c>
    </row>
    <row r="509">
      <c r="A509" s="4" t="s">
        <v>2302</v>
      </c>
      <c r="B509" s="7">
        <f>IFERROR(__xludf.DUMMYFUNCTION("GOOGLEFINANCE(A509, ""price"")"),443.0)</f>
        <v>443</v>
      </c>
      <c r="C509" s="7">
        <f>IFERROR(__xludf.DUMMYFUNCTION("GOOGLEFINANCE(A509, ""changepct"")"),-1.72)</f>
        <v>-1.72</v>
      </c>
      <c r="D509" s="9">
        <f>IFERROR(__xludf.DUMMYFUNCTION("GOOGLEFINANCE(A509, ""priceopen"")"),450.8)</f>
        <v>450.8</v>
      </c>
      <c r="E509" s="9">
        <f>IFERROR(__xludf.DUMMYFUNCTION("GOOGLEFINANCE(A509, ""high"")"),453.7)</f>
        <v>453.7</v>
      </c>
      <c r="F509" s="9">
        <f>IFERROR(__xludf.DUMMYFUNCTION("GOOGLEFINANCE(A509, ""low"")"),439.85)</f>
        <v>439.85</v>
      </c>
      <c r="G509" s="9">
        <f>IFERROR(__xludf.DUMMYFUNCTION("GOOGLEFINANCE(A509, ""price"")"),443.0)</f>
        <v>443</v>
      </c>
      <c r="H509" s="9">
        <f>IFERROR(__xludf.DUMMYFUNCTION("MAX(INDEX(GOOGLEFINANCE(A509, ""high"", TODAY()-30, TODAY()), 0, 2))"),514.4)</f>
        <v>514.4</v>
      </c>
      <c r="I509" s="9">
        <f>IFERROR(__xludf.DUMMYFUNCTION("MIN(INDEX(GOOGLEFINANCE(A509, ""low"", TODAY()-30, TODAY()), 0, 2))"),439.85)</f>
        <v>439.85</v>
      </c>
      <c r="J509" s="9">
        <f>IFERROR(__xludf.DUMMYFUNCTION("GOOGLEFINANCE(A509, ""high52"")"),937.8)</f>
        <v>937.8</v>
      </c>
      <c r="K509" s="9">
        <f>IFERROR(__xludf.DUMMYFUNCTION("GOOGLEFINANCE(A509, ""low52"")"),439.85)</f>
        <v>439.85</v>
      </c>
      <c r="L509" s="9">
        <f t="shared" si="1"/>
        <v>0.527617829</v>
      </c>
      <c r="M509" s="9">
        <f t="shared" si="2"/>
        <v>0.007161532341</v>
      </c>
      <c r="N509" s="9">
        <f t="shared" si="3"/>
        <v>0.03148800728</v>
      </c>
      <c r="O509" s="9">
        <f t="shared" si="4"/>
        <v>0.04225352113</v>
      </c>
      <c r="P509" s="9">
        <f>IFERROR(__xludf.DUMMYFUNCTION("GOOGLEFINANCE(A509, ""pe"")"),19.47)</f>
        <v>19.47</v>
      </c>
      <c r="Q509" s="9">
        <f>IFERROR(__xludf.DUMMYFUNCTION("IFERROR(GOOGLEFINANCE(A509, ""volume"") / GOOGLEFINANCE(A509, ""volumeavg""), 0)"),0.0)</f>
        <v>0</v>
      </c>
      <c r="R509" s="9">
        <f>IFERROR(__xludf.DUMMYFUNCTION("AVERAGE(INDEX(GOOGLEFINANCE(A509, ""price"", TODAY()-30, TODAY()), 0, 2))"),477.6956521739131)</f>
        <v>477.6956522</v>
      </c>
      <c r="S509" s="9">
        <f>IFERROR(__xludf.DUMMYFUNCTION("AVERAGE(INDEX(GOOGLEFINANCE(A509, ""price"", TODAY()-75, TODAY()), 0, 2))"),496.0867924528301)</f>
        <v>496.0867925</v>
      </c>
      <c r="T509" s="9">
        <f>IFERROR(__xludf.DUMMYFUNCTION("AVERAGE(INDEX(GOOGLEFINANCE(A509, ""price"", TODAY()-300, TODAY()), 0, 2))"),606.2)</f>
        <v>606.2</v>
      </c>
      <c r="U509" s="9">
        <f t="shared" si="5"/>
        <v>-0.07263129153</v>
      </c>
      <c r="V509" s="15">
        <f>IFERROR(__xludf.DUMMYFUNCTION("LET(hist, GOOGLEFINANCE(A509,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rs))))))"),32.00462160600809)</f>
        <v>32.00462161</v>
      </c>
      <c r="W509" s="16" t="str">
        <f>IFERROR(__xludf.DUMMYFUNCTION("IFERROR(GOOGLEFINANCE(A509, ""volume"") / GOOGLEFINANCE(A509, ""volumeavg""), )"),"")</f>
        <v/>
      </c>
      <c r="X509" s="9">
        <f>IFERROR(__xludf.DUMMYFUNCTION("B509 * GOOGLEFINANCE(A509, ""volume"")"),7.08199735E8)</f>
        <v>708199735</v>
      </c>
      <c r="Y509" s="9">
        <f>IFERROR(__xludf.DUMMYFUNCTION("IFERROR(((B509 - GOOGLEFINANCE(A509, ""priceopen"")) / GOOGLEFINANCE(A509, ""priceopen"")) * GOOGLEFINANCE(A509, ""volume""), 0)"),-27660.672138420625)</f>
        <v>-27660.67214</v>
      </c>
    </row>
    <row r="510">
      <c r="A510" s="4" t="s">
        <v>2303</v>
      </c>
      <c r="B510" s="7">
        <f>IFERROR(__xludf.DUMMYFUNCTION("GOOGLEFINANCE(A510, ""price"")"),906.05)</f>
        <v>906.05</v>
      </c>
      <c r="C510" s="7">
        <f>IFERROR(__xludf.DUMMYFUNCTION("GOOGLEFINANCE(A510, ""changepct"")"),8.14)</f>
        <v>8.14</v>
      </c>
      <c r="D510" s="9">
        <f>IFERROR(__xludf.DUMMYFUNCTION("GOOGLEFINANCE(A510, ""priceopen"")"),846.0)</f>
        <v>846</v>
      </c>
      <c r="E510" s="9">
        <f>IFERROR(__xludf.DUMMYFUNCTION("GOOGLEFINANCE(A510, ""high"")"),911.0)</f>
        <v>911</v>
      </c>
      <c r="F510" s="9">
        <f>IFERROR(__xludf.DUMMYFUNCTION("GOOGLEFINANCE(A510, ""low"")"),830.05)</f>
        <v>830.05</v>
      </c>
      <c r="G510" s="9">
        <f>IFERROR(__xludf.DUMMYFUNCTION("GOOGLEFINANCE(A510, ""price"")"),906.05)</f>
        <v>906.05</v>
      </c>
      <c r="H510" s="9">
        <f>IFERROR(__xludf.DUMMYFUNCTION("MAX(INDEX(GOOGLEFINANCE(A510, ""high"", TODAY()-30, TODAY()), 0, 2))"),911.0)</f>
        <v>911</v>
      </c>
      <c r="I510" s="9">
        <f>IFERROR(__xludf.DUMMYFUNCTION("MIN(INDEX(GOOGLEFINANCE(A510, ""low"", TODAY()-30, TODAY()), 0, 2))"),571.65)</f>
        <v>571.65</v>
      </c>
      <c r="J510" s="9">
        <f>IFERROR(__xludf.DUMMYFUNCTION("GOOGLEFINANCE(A510, ""high52"")"),911.0)</f>
        <v>911</v>
      </c>
      <c r="K510" s="9">
        <f>IFERROR(__xludf.DUMMYFUNCTION("GOOGLEFINANCE(A510, ""low52"")"),399.8)</f>
        <v>399.8</v>
      </c>
      <c r="L510" s="9">
        <f t="shared" si="1"/>
        <v>0.005433589462</v>
      </c>
      <c r="M510" s="9">
        <f t="shared" si="2"/>
        <v>1.266258129</v>
      </c>
      <c r="N510" s="9">
        <f t="shared" si="3"/>
        <v>0.09752424553</v>
      </c>
      <c r="O510" s="9">
        <f t="shared" si="4"/>
        <v>0.9854132901</v>
      </c>
      <c r="P510" s="9">
        <f>IFERROR(__xludf.DUMMYFUNCTION("GOOGLEFINANCE(A510, ""pe"")"),280.51)</f>
        <v>280.51</v>
      </c>
      <c r="Q510" s="9">
        <f>IFERROR(__xludf.DUMMYFUNCTION("IFERROR(GOOGLEFINANCE(A510, ""volume"") / GOOGLEFINANCE(A510, ""volumeavg""), 0)"),0.0)</f>
        <v>0</v>
      </c>
      <c r="R510" s="9">
        <f>IFERROR(__xludf.DUMMYFUNCTION("AVERAGE(INDEX(GOOGLEFINANCE(A510, ""price"", TODAY()-30, TODAY()), 0, 2))"),752.045652173913)</f>
        <v>752.0456522</v>
      </c>
      <c r="S510" s="9">
        <f>IFERROR(__xludf.DUMMYFUNCTION("AVERAGE(INDEX(GOOGLEFINANCE(A510, ""price"", TODAY()-75, TODAY()), 0, 2))"),629.4896226415096)</f>
        <v>629.4896226</v>
      </c>
      <c r="T510" s="9">
        <f>IFERROR(__xludf.DUMMYFUNCTION("AVERAGE(INDEX(GOOGLEFINANCE(A510, ""price"", TODAY()-300, TODAY()), 0, 2))"),544.4334158415841)</f>
        <v>544.4334158</v>
      </c>
      <c r="U510" s="9">
        <f t="shared" si="5"/>
        <v>0.204780584</v>
      </c>
      <c r="V510" s="15">
        <f>IFERROR(__xludf.DUMMYFUNCTION("LET(hist, GOOGLEFINANCE(A510,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rs))))))"),68.44672336168084)</f>
        <v>68.44672336</v>
      </c>
      <c r="W510" s="16" t="str">
        <f>IFERROR(__xludf.DUMMYFUNCTION("IFERROR(GOOGLEFINANCE(A510, ""volume"") / GOOGLEFINANCE(A510, ""volumeavg""), )"),"")</f>
        <v/>
      </c>
      <c r="X510" s="9">
        <f>IFERROR(__xludf.DUMMYFUNCTION("B510 * GOOGLEFINANCE(A510, ""volume"")"),6.7852526094E9)</f>
        <v>6785252609</v>
      </c>
      <c r="Y510" s="9">
        <f>IFERROR(__xludf.DUMMYFUNCTION("IFERROR(((B510 - GOOGLEFINANCE(A510, ""priceopen"")) / GOOGLEFINANCE(A510, ""priceopen"")) * GOOGLEFINANCE(A510, ""volume""), 0)"),531565.1553191486)</f>
        <v>531565.1553</v>
      </c>
    </row>
    <row r="511">
      <c r="A511" s="4" t="s">
        <v>2304</v>
      </c>
      <c r="B511" s="7">
        <f>IFERROR(__xludf.DUMMYFUNCTION("GOOGLEFINANCE(A511, ""price"")"),1184.9)</f>
        <v>1184.9</v>
      </c>
      <c r="C511" s="7">
        <f>IFERROR(__xludf.DUMMYFUNCTION("GOOGLEFINANCE(A511, ""changepct"")"),0.76)</f>
        <v>0.76</v>
      </c>
      <c r="D511" s="9">
        <f>IFERROR(__xludf.DUMMYFUNCTION("GOOGLEFINANCE(A511, ""priceopen"")"),1173.7)</f>
        <v>1173.7</v>
      </c>
      <c r="E511" s="9">
        <f>IFERROR(__xludf.DUMMYFUNCTION("GOOGLEFINANCE(A511, ""high"")"),1187.0)</f>
        <v>1187</v>
      </c>
      <c r="F511" s="9">
        <f>IFERROR(__xludf.DUMMYFUNCTION("GOOGLEFINANCE(A511, ""low"")"),1167.3)</f>
        <v>1167.3</v>
      </c>
      <c r="G511" s="9">
        <f>IFERROR(__xludf.DUMMYFUNCTION("GOOGLEFINANCE(A511, ""price"")"),1184.9)</f>
        <v>1184.9</v>
      </c>
      <c r="H511" s="9">
        <f>IFERROR(__xludf.DUMMYFUNCTION("MAX(INDEX(GOOGLEFINANCE(A511, ""high"", TODAY()-30, TODAY()), 0, 2))"),1289.6)</f>
        <v>1289.6</v>
      </c>
      <c r="I511" s="9">
        <f>IFERROR(__xludf.DUMMYFUNCTION("MIN(INDEX(GOOGLEFINANCE(A511, ""low"", TODAY()-30, TODAY()), 0, 2))"),1150.0)</f>
        <v>1150</v>
      </c>
      <c r="J511" s="9">
        <f>IFERROR(__xludf.DUMMYFUNCTION("GOOGLEFINANCE(A511, ""high52"")"),1375.0)</f>
        <v>1375</v>
      </c>
      <c r="K511" s="9">
        <f>IFERROR(__xludf.DUMMYFUNCTION("GOOGLEFINANCE(A511, ""low52"")"),893.7)</f>
        <v>893.7</v>
      </c>
      <c r="L511" s="9">
        <f t="shared" si="1"/>
        <v>0.1382545455</v>
      </c>
      <c r="M511" s="9">
        <f t="shared" si="2"/>
        <v>0.3258364104</v>
      </c>
      <c r="N511" s="9">
        <f t="shared" si="3"/>
        <v>0.01687655273</v>
      </c>
      <c r="O511" s="9">
        <f t="shared" si="4"/>
        <v>0.25</v>
      </c>
      <c r="P511" s="9">
        <f>IFERROR(__xludf.DUMMYFUNCTION("GOOGLEFINANCE(A511, ""pe"")"),21.46)</f>
        <v>21.46</v>
      </c>
      <c r="Q511" s="9">
        <f>IFERROR(__xludf.DUMMYFUNCTION("IFERROR(GOOGLEFINANCE(A511, ""volume"") / GOOGLEFINANCE(A511, ""volumeavg""), 0)"),0.0)</f>
        <v>0</v>
      </c>
      <c r="R511" s="9">
        <f>IFERROR(__xludf.DUMMYFUNCTION("AVERAGE(INDEX(GOOGLEFINANCE(A511, ""price"", TODAY()-30, TODAY()), 0, 2))"),1205.1)</f>
        <v>1205.1</v>
      </c>
      <c r="S511" s="9">
        <f>IFERROR(__xludf.DUMMYFUNCTION("AVERAGE(INDEX(GOOGLEFINANCE(A511, ""price"", TODAY()-75, TODAY()), 0, 2))"),1164.3603773584903)</f>
        <v>1164.360377</v>
      </c>
      <c r="T511" s="9">
        <f>IFERROR(__xludf.DUMMYFUNCTION("AVERAGE(INDEX(GOOGLEFINANCE(A511, ""price"", TODAY()-300, TODAY()), 0, 2))"),1131.8636815920402)</f>
        <v>1131.863682</v>
      </c>
      <c r="U511" s="9">
        <f t="shared" si="5"/>
        <v>-0.01676209443</v>
      </c>
      <c r="V511" s="15">
        <f>IFERROR(__xludf.DUMMYFUNCTION("LET(hist, GOOGLEFINANCE(A511,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rs))))))"),41.60700079554497)</f>
        <v>41.6070008</v>
      </c>
      <c r="W511" s="16" t="str">
        <f>IFERROR(__xludf.DUMMYFUNCTION("IFERROR(GOOGLEFINANCE(A511, ""volume"") / GOOGLEFINANCE(A511, ""volumeavg""), )"),"")</f>
        <v/>
      </c>
      <c r="X511" s="9">
        <f>IFERROR(__xludf.DUMMYFUNCTION("B511 * GOOGLEFINANCE(A511, ""volume"")"),1.0877382000000001E8)</f>
        <v>108773820</v>
      </c>
      <c r="Y511" s="9">
        <f>IFERROR(__xludf.DUMMYFUNCTION("IFERROR(((B511 - GOOGLEFINANCE(A511, ""priceopen"")) / GOOGLEFINANCE(A511, ""priceopen"")) * GOOGLEFINANCE(A511, ""volume""), 0)"),875.9989775922331)</f>
        <v>875.9989776</v>
      </c>
    </row>
    <row r="512">
      <c r="A512" s="4" t="s">
        <v>2305</v>
      </c>
      <c r="B512" s="7">
        <f>IFERROR(__xludf.DUMMYFUNCTION("GOOGLEFINANCE(A512, ""price"")"),567.55)</f>
        <v>567.55</v>
      </c>
      <c r="C512" s="7">
        <f>IFERROR(__xludf.DUMMYFUNCTION("GOOGLEFINANCE(A512, ""changepct"")"),-0.01)</f>
        <v>-0.01</v>
      </c>
      <c r="D512" s="9">
        <f>IFERROR(__xludf.DUMMYFUNCTION("GOOGLEFINANCE(A512, ""priceopen"")"),569.9)</f>
        <v>569.9</v>
      </c>
      <c r="E512" s="9">
        <f>IFERROR(__xludf.DUMMYFUNCTION("GOOGLEFINANCE(A512, ""high"")"),577.7)</f>
        <v>577.7</v>
      </c>
      <c r="F512" s="9">
        <f>IFERROR(__xludf.DUMMYFUNCTION("GOOGLEFINANCE(A512, ""low"")"),562.8)</f>
        <v>562.8</v>
      </c>
      <c r="G512" s="9">
        <f>IFERROR(__xludf.DUMMYFUNCTION("GOOGLEFINANCE(A512, ""price"")"),567.55)</f>
        <v>567.55</v>
      </c>
      <c r="H512" s="9">
        <f>IFERROR(__xludf.DUMMYFUNCTION("MAX(INDEX(GOOGLEFINANCE(A512, ""high"", TODAY()-30, TODAY()), 0, 2))"),583.6)</f>
        <v>583.6</v>
      </c>
      <c r="I512" s="9">
        <f>IFERROR(__xludf.DUMMYFUNCTION("MIN(INDEX(GOOGLEFINANCE(A512, ""low"", TODAY()-30, TODAY()), 0, 2))"),481.95)</f>
        <v>481.95</v>
      </c>
      <c r="J512" s="9">
        <f>IFERROR(__xludf.DUMMYFUNCTION("GOOGLEFINANCE(A512, ""high52"")"),596.8)</f>
        <v>596.8</v>
      </c>
      <c r="K512" s="9">
        <f>IFERROR(__xludf.DUMMYFUNCTION("GOOGLEFINANCE(A512, ""low52"")"),414.0)</f>
        <v>414</v>
      </c>
      <c r="L512" s="9">
        <f t="shared" si="1"/>
        <v>0.0490113941</v>
      </c>
      <c r="M512" s="9">
        <f t="shared" si="2"/>
        <v>0.3708937198</v>
      </c>
      <c r="N512" s="9">
        <f t="shared" si="3"/>
        <v>0.02647476901</v>
      </c>
      <c r="O512" s="9">
        <f t="shared" si="4"/>
        <v>0.8421052632</v>
      </c>
      <c r="P512" s="9">
        <f>IFERROR(__xludf.DUMMYFUNCTION("GOOGLEFINANCE(A512, ""pe"")"),34.15)</f>
        <v>34.15</v>
      </c>
      <c r="Q512" s="9">
        <f>IFERROR(__xludf.DUMMYFUNCTION("IFERROR(GOOGLEFINANCE(A512, ""volume"") / GOOGLEFINANCE(A512, ""volumeavg""), 0)"),0.0)</f>
        <v>0</v>
      </c>
      <c r="R512" s="9">
        <f>IFERROR(__xludf.DUMMYFUNCTION("AVERAGE(INDEX(GOOGLEFINANCE(A512, ""price"", TODAY()-30, TODAY()), 0, 2))"),524.2739130434783)</f>
        <v>524.273913</v>
      </c>
      <c r="S512" s="9">
        <f>IFERROR(__xludf.DUMMYFUNCTION("AVERAGE(INDEX(GOOGLEFINANCE(A512, ""price"", TODAY()-75, TODAY()), 0, 2))"),519.2037735849057)</f>
        <v>519.2037736</v>
      </c>
      <c r="T512" s="9">
        <f>IFERROR(__xludf.DUMMYFUNCTION("AVERAGE(INDEX(GOOGLEFINANCE(A512, ""price"", TODAY()-300, TODAY()), 0, 2))"),506.67054455445543)</f>
        <v>506.6705446</v>
      </c>
      <c r="U512" s="9">
        <f t="shared" si="5"/>
        <v>0.08254480316</v>
      </c>
      <c r="V512" s="15">
        <f>IFERROR(__xludf.DUMMYFUNCTION("LET(hist, GOOGLEFINANCE(A512,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rs))))))"),79.96882307092748)</f>
        <v>79.96882307</v>
      </c>
      <c r="W512" s="16" t="str">
        <f>IFERROR(__xludf.DUMMYFUNCTION("IFERROR(GOOGLEFINANCE(A512, ""volume"") / GOOGLEFINANCE(A512, ""volumeavg""), )"),"")</f>
        <v/>
      </c>
      <c r="X512" s="9">
        <f>IFERROR(__xludf.DUMMYFUNCTION("B512 * GOOGLEFINANCE(A512, ""volume"")"),2.494631972E8)</f>
        <v>249463197.2</v>
      </c>
      <c r="Y512" s="9">
        <f>IFERROR(__xludf.DUMMYFUNCTION("IFERROR(((B512 - GOOGLEFINANCE(A512, ""priceopen"")) / GOOGLEFINANCE(A512, ""priceopen"")) * GOOGLEFINANCE(A512, ""volume""), 0)"),-1812.4730654500966)</f>
        <v>-1812.473065</v>
      </c>
    </row>
    <row r="513">
      <c r="A513" s="4" t="s">
        <v>2306</v>
      </c>
      <c r="B513" s="7">
        <f>IFERROR(__xludf.DUMMYFUNCTION("GOOGLEFINANCE(A513, ""price"")"),601.95)</f>
        <v>601.95</v>
      </c>
      <c r="C513" s="7">
        <f>IFERROR(__xludf.DUMMYFUNCTION("GOOGLEFINANCE(A513, ""changepct"")"),-4.12)</f>
        <v>-4.12</v>
      </c>
      <c r="D513" s="9">
        <f>IFERROR(__xludf.DUMMYFUNCTION("GOOGLEFINANCE(A513, ""priceopen"")"),623.0)</f>
        <v>623</v>
      </c>
      <c r="E513" s="9">
        <f>IFERROR(__xludf.DUMMYFUNCTION("GOOGLEFINANCE(A513, ""high"")"),626.1)</f>
        <v>626.1</v>
      </c>
      <c r="F513" s="9">
        <f>IFERROR(__xludf.DUMMYFUNCTION("GOOGLEFINANCE(A513, ""low"")"),592.55)</f>
        <v>592.55</v>
      </c>
      <c r="G513" s="9">
        <f>IFERROR(__xludf.DUMMYFUNCTION("GOOGLEFINANCE(A513, ""price"")"),601.95)</f>
        <v>601.95</v>
      </c>
      <c r="H513" s="9">
        <f>IFERROR(__xludf.DUMMYFUNCTION("MAX(INDEX(GOOGLEFINANCE(A513, ""high"", TODAY()-30, TODAY()), 0, 2))"),665.5)</f>
        <v>665.5</v>
      </c>
      <c r="I513" s="9">
        <f>IFERROR(__xludf.DUMMYFUNCTION("MIN(INDEX(GOOGLEFINANCE(A513, ""low"", TODAY()-30, TODAY()), 0, 2))"),566.2)</f>
        <v>566.2</v>
      </c>
      <c r="J513" s="9">
        <f>IFERROR(__xludf.DUMMYFUNCTION("GOOGLEFINANCE(A513, ""high52"")"),665.5)</f>
        <v>665.5</v>
      </c>
      <c r="K513" s="9">
        <f>IFERROR(__xludf.DUMMYFUNCTION("GOOGLEFINANCE(A513, ""low52"")"),393.55)</f>
        <v>393.55</v>
      </c>
      <c r="L513" s="9">
        <f t="shared" si="1"/>
        <v>0.09549211119</v>
      </c>
      <c r="M513" s="9">
        <f t="shared" si="2"/>
        <v>0.5295388134</v>
      </c>
      <c r="N513" s="9">
        <f t="shared" si="3"/>
        <v>0.05661969454</v>
      </c>
      <c r="O513" s="9">
        <f t="shared" si="4"/>
        <v>0.360020141</v>
      </c>
      <c r="P513" s="9">
        <f>IFERROR(__xludf.DUMMYFUNCTION("GOOGLEFINANCE(A513, ""pe"")"),32.38)</f>
        <v>32.38</v>
      </c>
      <c r="Q513" s="9">
        <f>IFERROR(__xludf.DUMMYFUNCTION("IFERROR(GOOGLEFINANCE(A513, ""volume"") / GOOGLEFINANCE(A513, ""volumeavg""), 0)"),0.0)</f>
        <v>0</v>
      </c>
      <c r="R513" s="9">
        <f>IFERROR(__xludf.DUMMYFUNCTION("AVERAGE(INDEX(GOOGLEFINANCE(A513, ""price"", TODAY()-30, TODAY()), 0, 2))"),614.6217391304348)</f>
        <v>614.6217391</v>
      </c>
      <c r="S513" s="9">
        <f>IFERROR(__xludf.DUMMYFUNCTION("AVERAGE(INDEX(GOOGLEFINANCE(A513, ""price"", TODAY()-75, TODAY()), 0, 2))"),575.6009433962264)</f>
        <v>575.6009434</v>
      </c>
      <c r="T513" s="9">
        <f>IFERROR(__xludf.DUMMYFUNCTION("AVERAGE(INDEX(GOOGLEFINANCE(A513, ""price"", TODAY()-300, TODAY()), 0, 2))"),497.0935643564355)</f>
        <v>497.0935644</v>
      </c>
      <c r="U513" s="9">
        <f t="shared" si="5"/>
        <v>-0.02061713461</v>
      </c>
      <c r="V513" s="15">
        <f>IFERROR(__xludf.DUMMYFUNCTION("LET(hist, GOOGLEFINANCE(A513,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rs))))))"),48.0723465016659)</f>
        <v>48.0723465</v>
      </c>
      <c r="W513" s="16" t="str">
        <f>IFERROR(__xludf.DUMMYFUNCTION("IFERROR(GOOGLEFINANCE(A513, ""volume"") / GOOGLEFINANCE(A513, ""volumeavg""), )"),"")</f>
        <v/>
      </c>
      <c r="X513" s="9">
        <f>IFERROR(__xludf.DUMMYFUNCTION("B513 * GOOGLEFINANCE(A513, ""volume"")"),6.5981605545E8)</f>
        <v>659816055.5</v>
      </c>
      <c r="Y513" s="9">
        <f>IFERROR(__xludf.DUMMYFUNCTION("IFERROR(((B513 - GOOGLEFINANCE(A513, ""priceopen"")) / GOOGLEFINANCE(A513, ""priceopen"")) * GOOGLEFINANCE(A513, ""volume""), 0)"),-37036.20794542528)</f>
        <v>-37036.20795</v>
      </c>
    </row>
    <row r="514">
      <c r="A514" s="4" t="s">
        <v>2307</v>
      </c>
      <c r="B514" s="7">
        <f>IFERROR(__xludf.DUMMYFUNCTION("GOOGLEFINANCE(A514, ""price"")"),1899.0)</f>
        <v>1899</v>
      </c>
      <c r="C514" s="7">
        <f>IFERROR(__xludf.DUMMYFUNCTION("GOOGLEFINANCE(A514, ""changepct"")"),-2.62)</f>
        <v>-2.62</v>
      </c>
      <c r="D514" s="9">
        <f>IFERROR(__xludf.DUMMYFUNCTION("GOOGLEFINANCE(A514, ""priceopen"")"),1950.0)</f>
        <v>1950</v>
      </c>
      <c r="E514" s="9">
        <f>IFERROR(__xludf.DUMMYFUNCTION("GOOGLEFINANCE(A514, ""high"")"),1965.0)</f>
        <v>1965</v>
      </c>
      <c r="F514" s="9">
        <f>IFERROR(__xludf.DUMMYFUNCTION("GOOGLEFINANCE(A514, ""low"")"),1875.0)</f>
        <v>1875</v>
      </c>
      <c r="G514" s="9">
        <f>IFERROR(__xludf.DUMMYFUNCTION("GOOGLEFINANCE(A514, ""price"")"),1899.0)</f>
        <v>1899</v>
      </c>
      <c r="H514" s="9">
        <f>IFERROR(__xludf.DUMMYFUNCTION("MAX(INDEX(GOOGLEFINANCE(A514, ""high"", TODAY()-30, TODAY()), 0, 2))"),2253.5)</f>
        <v>2253.5</v>
      </c>
      <c r="I514" s="9">
        <f>IFERROR(__xludf.DUMMYFUNCTION("MIN(INDEX(GOOGLEFINANCE(A514, ""low"", TODAY()-30, TODAY()), 0, 2))"),1856.0)</f>
        <v>1856</v>
      </c>
      <c r="J514" s="9">
        <f>IFERROR(__xludf.DUMMYFUNCTION("GOOGLEFINANCE(A514, ""high52"")"),2253.5)</f>
        <v>2253.5</v>
      </c>
      <c r="K514" s="9">
        <f>IFERROR(__xludf.DUMMYFUNCTION("GOOGLEFINANCE(A514, ""low52"")"),1033.0)</f>
        <v>1033</v>
      </c>
      <c r="L514" s="9">
        <f t="shared" si="1"/>
        <v>0.1573108498</v>
      </c>
      <c r="M514" s="9">
        <f t="shared" si="2"/>
        <v>0.8383349468</v>
      </c>
      <c r="N514" s="9">
        <f t="shared" si="3"/>
        <v>0.048</v>
      </c>
      <c r="O514" s="9">
        <f t="shared" si="4"/>
        <v>0.1081761006</v>
      </c>
      <c r="P514" s="9">
        <f>IFERROR(__xludf.DUMMYFUNCTION("GOOGLEFINANCE(A514, ""pe"")"),32.34)</f>
        <v>32.34</v>
      </c>
      <c r="Q514" s="9">
        <f>IFERROR(__xludf.DUMMYFUNCTION("IFERROR(GOOGLEFINANCE(A514, ""volume"") / GOOGLEFINANCE(A514, ""volumeavg""), 0)"),0.0)</f>
        <v>0</v>
      </c>
      <c r="R514" s="9">
        <f>IFERROR(__xludf.DUMMYFUNCTION("AVERAGE(INDEX(GOOGLEFINANCE(A514, ""price"", TODAY()-30, TODAY()), 0, 2))"),2009.4086956521737)</f>
        <v>2009.408696</v>
      </c>
      <c r="S514" s="9">
        <f>IFERROR(__xludf.DUMMYFUNCTION("AVERAGE(INDEX(GOOGLEFINANCE(A514, ""price"", TODAY()-75, TODAY()), 0, 2))"),1919.0245283018867)</f>
        <v>1919.024528</v>
      </c>
      <c r="T514" s="9">
        <f>IFERROR(__xludf.DUMMYFUNCTION("AVERAGE(INDEX(GOOGLEFINANCE(A514, ""price"", TODAY()-300, TODAY()), 0, 2))"),1475.23910891089)</f>
        <v>1475.239109</v>
      </c>
      <c r="U514" s="9">
        <f t="shared" si="5"/>
        <v>-0.05494586337</v>
      </c>
      <c r="V514" s="15">
        <f>IFERROR(__xludf.DUMMYFUNCTION("LET(hist, GOOGLEFINANCE(A514,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rs))))))"),36.25469504560899)</f>
        <v>36.25469505</v>
      </c>
      <c r="W514" s="16" t="str">
        <f>IFERROR(__xludf.DUMMYFUNCTION("IFERROR(GOOGLEFINANCE(A514, ""volume"") / GOOGLEFINANCE(A514, ""volumeavg""), )"),"")</f>
        <v/>
      </c>
      <c r="X514" s="9">
        <f>IFERROR(__xludf.DUMMYFUNCTION("B514 * GOOGLEFINANCE(A514, ""volume"")"),1.560789999E9)</f>
        <v>1560789999</v>
      </c>
      <c r="Y514" s="9">
        <f>IFERROR(__xludf.DUMMYFUNCTION("IFERROR(((B514 - GOOGLEFINANCE(A514, ""priceopen"")) / GOOGLEFINANCE(A514, ""priceopen"")) * GOOGLEFINANCE(A514, ""volume""), 0)"),-21495.872307692305)</f>
        <v>-21495.87231</v>
      </c>
    </row>
    <row r="515">
      <c r="A515" s="4" t="s">
        <v>2308</v>
      </c>
      <c r="B515" s="7">
        <f>IFERROR(__xludf.DUMMYFUNCTION("GOOGLEFINANCE(A515, ""price"")"),383.5)</f>
        <v>383.5</v>
      </c>
      <c r="C515" s="7">
        <f>IFERROR(__xludf.DUMMYFUNCTION("GOOGLEFINANCE(A515, ""changepct"")"),-0.08)</f>
        <v>-0.08</v>
      </c>
      <c r="D515" s="9">
        <f>IFERROR(__xludf.DUMMYFUNCTION("GOOGLEFINANCE(A515, ""priceopen"")"),385.0)</f>
        <v>385</v>
      </c>
      <c r="E515" s="9">
        <f>IFERROR(__xludf.DUMMYFUNCTION("GOOGLEFINANCE(A515, ""high"")"),390.0)</f>
        <v>390</v>
      </c>
      <c r="F515" s="9">
        <f>IFERROR(__xludf.DUMMYFUNCTION("GOOGLEFINANCE(A515, ""low"")"),383.35)</f>
        <v>383.35</v>
      </c>
      <c r="G515" s="9">
        <f>IFERROR(__xludf.DUMMYFUNCTION("GOOGLEFINANCE(A515, ""price"")"),383.5)</f>
        <v>383.5</v>
      </c>
      <c r="H515" s="9">
        <f>IFERROR(__xludf.DUMMYFUNCTION("MAX(INDEX(GOOGLEFINANCE(A515, ""high"", TODAY()-30, TODAY()), 0, 2))"),416.4)</f>
        <v>416.4</v>
      </c>
      <c r="I515" s="9">
        <f>IFERROR(__xludf.DUMMYFUNCTION("MIN(INDEX(GOOGLEFINANCE(A515, ""low"", TODAY()-30, TODAY()), 0, 2))"),374.1)</f>
        <v>374.1</v>
      </c>
      <c r="J515" s="9">
        <f>IFERROR(__xludf.DUMMYFUNCTION("GOOGLEFINANCE(A515, ""high52"")"),485.8)</f>
        <v>485.8</v>
      </c>
      <c r="K515" s="9">
        <f>IFERROR(__xludf.DUMMYFUNCTION("GOOGLEFINANCE(A515, ""low52"")"),342.35)</f>
        <v>342.35</v>
      </c>
      <c r="L515" s="9">
        <f t="shared" si="1"/>
        <v>0.2105804858</v>
      </c>
      <c r="M515" s="9">
        <f t="shared" si="2"/>
        <v>0.1201986271</v>
      </c>
      <c r="N515" s="9">
        <f t="shared" si="3"/>
        <v>0.01734707187</v>
      </c>
      <c r="O515" s="9">
        <f t="shared" si="4"/>
        <v>0.2222222222</v>
      </c>
      <c r="P515" s="9">
        <f>IFERROR(__xludf.DUMMYFUNCTION("GOOGLEFINANCE(A515, ""pe"")"),115.05)</f>
        <v>115.05</v>
      </c>
      <c r="Q515" s="9">
        <f>IFERROR(__xludf.DUMMYFUNCTION("IFERROR(GOOGLEFINANCE(A515, ""volume"") / GOOGLEFINANCE(A515, ""volumeavg""), 0)"),0.0)</f>
        <v>0</v>
      </c>
      <c r="R515" s="9">
        <f>IFERROR(__xludf.DUMMYFUNCTION("AVERAGE(INDEX(GOOGLEFINANCE(A515, ""price"", TODAY()-30, TODAY()), 0, 2))"),395.2217391304346)</f>
        <v>395.2217391</v>
      </c>
      <c r="S515" s="9">
        <f>IFERROR(__xludf.DUMMYFUNCTION("AVERAGE(INDEX(GOOGLEFINANCE(A515, ""price"", TODAY()-75, TODAY()), 0, 2))"),387.333962264151)</f>
        <v>387.3339623</v>
      </c>
      <c r="T515" s="9">
        <f>IFERROR(__xludf.DUMMYFUNCTION("AVERAGE(INDEX(GOOGLEFINANCE(A515, ""price"", TODAY()-300, TODAY()), 0, 2))"),404.5200495049503)</f>
        <v>404.5200495</v>
      </c>
      <c r="U515" s="9">
        <f t="shared" si="5"/>
        <v>-0.02965863962</v>
      </c>
      <c r="V515" s="15">
        <f>IFERROR(__xludf.DUMMYFUNCTION("LET(hist, GOOGLEFINANCE(A515,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rs))))))"),30.892255892255875)</f>
        <v>30.89225589</v>
      </c>
      <c r="W515" s="16" t="str">
        <f>IFERROR(__xludf.DUMMYFUNCTION("IFERROR(GOOGLEFINANCE(A515, ""volume"") / GOOGLEFINANCE(A515, ""volumeavg""), )"),"")</f>
        <v/>
      </c>
      <c r="X515" s="9">
        <f>IFERROR(__xludf.DUMMYFUNCTION("B515 * GOOGLEFINANCE(A515, ""volume"")"),4.79064365E7)</f>
        <v>47906436.5</v>
      </c>
      <c r="Y515" s="9">
        <f>IFERROR(__xludf.DUMMYFUNCTION("IFERROR(((B515 - GOOGLEFINANCE(A515, ""priceopen"")) / GOOGLEFINANCE(A515, ""priceopen"")) * GOOGLEFINANCE(A515, ""volume""), 0)"),-486.6974025974026)</f>
        <v>-486.6974026</v>
      </c>
    </row>
    <row r="516">
      <c r="A516" s="4" t="s">
        <v>2309</v>
      </c>
      <c r="B516" s="7">
        <f>IFERROR(__xludf.DUMMYFUNCTION("GOOGLEFINANCE(A516, ""price"")"),333.2)</f>
        <v>333.2</v>
      </c>
      <c r="C516" s="7">
        <f>IFERROR(__xludf.DUMMYFUNCTION("GOOGLEFINANCE(A516, ""changepct"")"),0.59)</f>
        <v>0.59</v>
      </c>
      <c r="D516" s="9">
        <f>IFERROR(__xludf.DUMMYFUNCTION("GOOGLEFINANCE(A516, ""priceopen"")"),331.25)</f>
        <v>331.25</v>
      </c>
      <c r="E516" s="9">
        <f>IFERROR(__xludf.DUMMYFUNCTION("GOOGLEFINANCE(A516, ""high"")"),334.65)</f>
        <v>334.65</v>
      </c>
      <c r="F516" s="9">
        <f>IFERROR(__xludf.DUMMYFUNCTION("GOOGLEFINANCE(A516, ""low"")"),326.4)</f>
        <v>326.4</v>
      </c>
      <c r="G516" s="9">
        <f>IFERROR(__xludf.DUMMYFUNCTION("GOOGLEFINANCE(A516, ""price"")"),333.2)</f>
        <v>333.2</v>
      </c>
      <c r="H516" s="9">
        <f>IFERROR(__xludf.DUMMYFUNCTION("MAX(INDEX(GOOGLEFINANCE(A516, ""high"", TODAY()-30, TODAY()), 0, 2))"),398.0)</f>
        <v>398</v>
      </c>
      <c r="I516" s="9">
        <f>IFERROR(__xludf.DUMMYFUNCTION("MIN(INDEX(GOOGLEFINANCE(A516, ""low"", TODAY()-30, TODAY()), 0, 2))"),308.65)</f>
        <v>308.65</v>
      </c>
      <c r="J516" s="9">
        <f>IFERROR(__xludf.DUMMYFUNCTION("GOOGLEFINANCE(A516, ""high52"")"),477.5)</f>
        <v>477.5</v>
      </c>
      <c r="K516" s="9">
        <f>IFERROR(__xludf.DUMMYFUNCTION("GOOGLEFINANCE(A516, ""low52"")"),276.25)</f>
        <v>276.25</v>
      </c>
      <c r="L516" s="9">
        <f t="shared" si="1"/>
        <v>0.3021989529</v>
      </c>
      <c r="M516" s="9">
        <f t="shared" si="2"/>
        <v>0.2061538462</v>
      </c>
      <c r="N516" s="9">
        <f t="shared" si="3"/>
        <v>0.02527573529</v>
      </c>
      <c r="O516" s="9">
        <f t="shared" si="4"/>
        <v>0.2747621712</v>
      </c>
      <c r="P516" s="9">
        <f>IFERROR(__xludf.DUMMYFUNCTION("GOOGLEFINANCE(A516, ""pe"")"),30.84)</f>
        <v>30.84</v>
      </c>
      <c r="Q516" s="9">
        <f>IFERROR(__xludf.DUMMYFUNCTION("IFERROR(GOOGLEFINANCE(A516, ""volume"") / GOOGLEFINANCE(A516, ""volumeavg""), 0)"),0.0)</f>
        <v>0</v>
      </c>
      <c r="R516" s="9">
        <f>IFERROR(__xludf.DUMMYFUNCTION("AVERAGE(INDEX(GOOGLEFINANCE(A516, ""price"", TODAY()-30, TODAY()), 0, 2))"),348.74782608695654)</f>
        <v>348.7478261</v>
      </c>
      <c r="S516" s="9">
        <f>IFERROR(__xludf.DUMMYFUNCTION("AVERAGE(INDEX(GOOGLEFINANCE(A516, ""price"", TODAY()-75, TODAY()), 0, 2))"),330.36415094339634)</f>
        <v>330.3641509</v>
      </c>
      <c r="T516" s="9">
        <f>IFERROR(__xludf.DUMMYFUNCTION("AVERAGE(INDEX(GOOGLEFINANCE(A516, ""price"", TODAY()-300, TODAY()), 0, 2))"),337.33613861386135)</f>
        <v>337.3361386</v>
      </c>
      <c r="U516" s="9">
        <f t="shared" si="5"/>
        <v>-0.04458185808</v>
      </c>
      <c r="V516" s="15">
        <f>IFERROR(__xludf.DUMMYFUNCTION("LET(hist, GOOGLEFINANCE(A516,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rs))))))"),27.18367346938777)</f>
        <v>27.18367347</v>
      </c>
      <c r="W516" s="16" t="str">
        <f>IFERROR(__xludf.DUMMYFUNCTION("IFERROR(GOOGLEFINANCE(A516, ""volume"") / GOOGLEFINANCE(A516, ""volumeavg""), )"),"")</f>
        <v/>
      </c>
      <c r="X516" s="9">
        <f>IFERROR(__xludf.DUMMYFUNCTION("B516 * GOOGLEFINANCE(A516, ""volume"")"),1.127961968E8)</f>
        <v>112796196.8</v>
      </c>
      <c r="Y516" s="9">
        <f>IFERROR(__xludf.DUMMYFUNCTION("IFERROR(((B516 - GOOGLEFINANCE(A516, ""priceopen"")) / GOOGLEFINANCE(A516, ""priceopen"")) * GOOGLEFINANCE(A516, ""volume""), 0)"),1992.8205283018751)</f>
        <v>1992.820528</v>
      </c>
    </row>
    <row r="517">
      <c r="A517" s="4" t="s">
        <v>2310</v>
      </c>
      <c r="B517" s="7">
        <f>IFERROR(__xludf.DUMMYFUNCTION("GOOGLEFINANCE(A517, ""price"")"),868.0)</f>
        <v>868</v>
      </c>
      <c r="C517" s="7">
        <f>IFERROR(__xludf.DUMMYFUNCTION("GOOGLEFINANCE(A517, ""changepct"")"),0.95)</f>
        <v>0.95</v>
      </c>
      <c r="D517" s="9">
        <f>IFERROR(__xludf.DUMMYFUNCTION("GOOGLEFINANCE(A517, ""priceopen"")"),844.15)</f>
        <v>844.15</v>
      </c>
      <c r="E517" s="9">
        <f>IFERROR(__xludf.DUMMYFUNCTION("GOOGLEFINANCE(A517, ""high"")"),873.45)</f>
        <v>873.45</v>
      </c>
      <c r="F517" s="9">
        <f>IFERROR(__xludf.DUMMYFUNCTION("GOOGLEFINANCE(A517, ""low"")"),829.9)</f>
        <v>829.9</v>
      </c>
      <c r="G517" s="9">
        <f>IFERROR(__xludf.DUMMYFUNCTION("GOOGLEFINANCE(A517, ""price"")"),868.0)</f>
        <v>868</v>
      </c>
      <c r="H517" s="9">
        <f>IFERROR(__xludf.DUMMYFUNCTION("MAX(INDEX(GOOGLEFINANCE(A517, ""high"", TODAY()-30, TODAY()), 0, 2))"),1064.0)</f>
        <v>1064</v>
      </c>
      <c r="I517" s="9">
        <f>IFERROR(__xludf.DUMMYFUNCTION("MIN(INDEX(GOOGLEFINANCE(A517, ""low"", TODAY()-30, TODAY()), 0, 2))"),829.9)</f>
        <v>829.9</v>
      </c>
      <c r="J517" s="9">
        <f>IFERROR(__xludf.DUMMYFUNCTION("GOOGLEFINANCE(A517, ""high52"")"),1593.8)</f>
        <v>1593.8</v>
      </c>
      <c r="K517" s="9">
        <f>IFERROR(__xludf.DUMMYFUNCTION("GOOGLEFINANCE(A517, ""low52"")"),614.25)</f>
        <v>614.25</v>
      </c>
      <c r="L517" s="9">
        <f t="shared" si="1"/>
        <v>0.4553896348</v>
      </c>
      <c r="M517" s="9">
        <f t="shared" si="2"/>
        <v>0.4131054131</v>
      </c>
      <c r="N517" s="9">
        <f t="shared" si="3"/>
        <v>0.05247620195</v>
      </c>
      <c r="O517" s="9">
        <f t="shared" si="4"/>
        <v>0.1627509611</v>
      </c>
      <c r="P517" s="9">
        <f>IFERROR(__xludf.DUMMYFUNCTION("GOOGLEFINANCE(A517, ""pe"")"),19.55)</f>
        <v>19.55</v>
      </c>
      <c r="Q517" s="9">
        <f>IFERROR(__xludf.DUMMYFUNCTION("IFERROR(GOOGLEFINANCE(A517, ""volume"") / GOOGLEFINANCE(A517, ""volumeavg""), 0)"),0.0)</f>
        <v>0</v>
      </c>
      <c r="R517" s="9">
        <f>IFERROR(__xludf.DUMMYFUNCTION("AVERAGE(INDEX(GOOGLEFINANCE(A517, ""price"", TODAY()-30, TODAY()), 0, 2))"),945.4173913043478)</f>
        <v>945.4173913</v>
      </c>
      <c r="S517" s="9">
        <f>IFERROR(__xludf.DUMMYFUNCTION("AVERAGE(INDEX(GOOGLEFINANCE(A517, ""price"", TODAY()-75, TODAY()), 0, 2))"),982.9471698113207)</f>
        <v>982.9471698</v>
      </c>
      <c r="T517" s="9">
        <f>IFERROR(__xludf.DUMMYFUNCTION("AVERAGE(INDEX(GOOGLEFINANCE(A517, ""price"", TODAY()-300, TODAY()), 0, 2))"),1029.7373762376242)</f>
        <v>1029.737376</v>
      </c>
      <c r="U517" s="9">
        <f t="shared" si="5"/>
        <v>-0.08188699723</v>
      </c>
      <c r="V517" s="15">
        <f>IFERROR(__xludf.DUMMYFUNCTION("LET(hist, GOOGLEFINANCE(A517,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rs))))))"),27.779135108722187)</f>
        <v>27.77913511</v>
      </c>
      <c r="W517" s="16" t="str">
        <f>IFERROR(__xludf.DUMMYFUNCTION("IFERROR(GOOGLEFINANCE(A517, ""volume"") / GOOGLEFINANCE(A517, ""volumeavg""), )"),"")</f>
        <v/>
      </c>
      <c r="X517" s="9">
        <f>IFERROR(__xludf.DUMMYFUNCTION("B517 * GOOGLEFINANCE(A517, ""volume"")"),6.31082872E8)</f>
        <v>631082872</v>
      </c>
      <c r="Y517" s="9">
        <f>IFERROR(__xludf.DUMMYFUNCTION("IFERROR(((B517 - GOOGLEFINANCE(A517, ""priceopen"")) / GOOGLEFINANCE(A517, ""priceopen"")) * GOOGLEFINANCE(A517, ""volume""), 0)"),20541.6548006871)</f>
        <v>20541.6548</v>
      </c>
    </row>
    <row r="518">
      <c r="A518" s="4" t="s">
        <v>2311</v>
      </c>
      <c r="B518" s="7">
        <f>IFERROR(__xludf.DUMMYFUNCTION("GOOGLEFINANCE(A518, ""price"")"),5100.0)</f>
        <v>5100</v>
      </c>
      <c r="C518" s="7">
        <f>IFERROR(__xludf.DUMMYFUNCTION("GOOGLEFINANCE(A518, ""changepct"")"),0.15)</f>
        <v>0.15</v>
      </c>
      <c r="D518" s="9">
        <f>IFERROR(__xludf.DUMMYFUNCTION("GOOGLEFINANCE(A518, ""priceopen"")"),5116.0)</f>
        <v>5116</v>
      </c>
      <c r="E518" s="9">
        <f>IFERROR(__xludf.DUMMYFUNCTION("GOOGLEFINANCE(A518, ""high"")"),5145.5)</f>
        <v>5145.5</v>
      </c>
      <c r="F518" s="9">
        <f>IFERROR(__xludf.DUMMYFUNCTION("GOOGLEFINANCE(A518, ""low"")"),5067.0)</f>
        <v>5067</v>
      </c>
      <c r="G518" s="9">
        <f>IFERROR(__xludf.DUMMYFUNCTION("GOOGLEFINANCE(A518, ""price"")"),5100.0)</f>
        <v>5100</v>
      </c>
      <c r="H518" s="9">
        <f>IFERROR(__xludf.DUMMYFUNCTION("MAX(INDEX(GOOGLEFINANCE(A518, ""high"", TODAY()-30, TODAY()), 0, 2))"),5745.0)</f>
        <v>5745</v>
      </c>
      <c r="I518" s="9">
        <f>IFERROR(__xludf.DUMMYFUNCTION("MIN(INDEX(GOOGLEFINANCE(A518, ""low"", TODAY()-30, TODAY()), 0, 2))"),4716.1)</f>
        <v>4716.1</v>
      </c>
      <c r="J518" s="9">
        <f>IFERROR(__xludf.DUMMYFUNCTION("GOOGLEFINANCE(A518, ""high52"")"),7036.0)</f>
        <v>7036</v>
      </c>
      <c r="K518" s="9">
        <f>IFERROR(__xludf.DUMMYFUNCTION("GOOGLEFINANCE(A518, ""low52"")"),4628.5)</f>
        <v>4628.5</v>
      </c>
      <c r="L518" s="9">
        <f t="shared" si="1"/>
        <v>0.2751563388</v>
      </c>
      <c r="M518" s="9">
        <f t="shared" si="2"/>
        <v>0.101868856</v>
      </c>
      <c r="N518" s="9">
        <f t="shared" si="3"/>
        <v>0.01549240182</v>
      </c>
      <c r="O518" s="9">
        <f t="shared" si="4"/>
        <v>0.373116921</v>
      </c>
      <c r="P518" s="9">
        <f>IFERROR(__xludf.DUMMYFUNCTION("GOOGLEFINANCE(A518, ""pe"")"),42.16)</f>
        <v>42.16</v>
      </c>
      <c r="Q518" s="9">
        <f>IFERROR(__xludf.DUMMYFUNCTION("IFERROR(GOOGLEFINANCE(A518, ""volume"") / GOOGLEFINANCE(A518, ""volumeavg""), 0)"),0.0)</f>
        <v>0</v>
      </c>
      <c r="R518" s="9">
        <f>IFERROR(__xludf.DUMMYFUNCTION("AVERAGE(INDEX(GOOGLEFINANCE(A518, ""price"", TODAY()-30, TODAY()), 0, 2))"),5042.695652173913)</f>
        <v>5042.695652</v>
      </c>
      <c r="S518" s="9">
        <f>IFERROR(__xludf.DUMMYFUNCTION("AVERAGE(INDEX(GOOGLEFINANCE(A518, ""price"", TODAY()-75, TODAY()), 0, 2))"),4925.235849056603)</f>
        <v>4925.235849</v>
      </c>
      <c r="T518" s="9">
        <f>IFERROR(__xludf.DUMMYFUNCTION("AVERAGE(INDEX(GOOGLEFINANCE(A518, ""price"", TODAY()-300, TODAY()), 0, 2))"),5341.396534653467)</f>
        <v>5341.396535</v>
      </c>
      <c r="U518" s="9">
        <f t="shared" si="5"/>
        <v>0.01136383232</v>
      </c>
      <c r="V518" s="15">
        <f>IFERROR(__xludf.DUMMYFUNCTION("LET(hist, GOOGLEFINANCE(A518,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rs))))))"),61.91099476439791)</f>
        <v>61.91099476</v>
      </c>
      <c r="W518" s="16" t="str">
        <f>IFERROR(__xludf.DUMMYFUNCTION("IFERROR(GOOGLEFINANCE(A518, ""volume"") / GOOGLEFINANCE(A518, ""volumeavg""), )"),"")</f>
        <v/>
      </c>
      <c r="X518" s="9">
        <f>IFERROR(__xludf.DUMMYFUNCTION("B518 * GOOGLEFINANCE(A518, ""volume"")"),4.11621E7)</f>
        <v>41162100</v>
      </c>
      <c r="Y518" s="9">
        <f>IFERROR(__xludf.DUMMYFUNCTION("IFERROR(((B518 - GOOGLEFINANCE(A518, ""priceopen"")) / GOOGLEFINANCE(A518, ""priceopen"")) * GOOGLEFINANCE(A518, ""volume""), 0)"),-25.241594996090697)</f>
        <v>-25.241595</v>
      </c>
    </row>
    <row r="519">
      <c r="A519" s="4" t="s">
        <v>2312</v>
      </c>
      <c r="B519" s="7">
        <f>IFERROR(__xludf.DUMMYFUNCTION("GOOGLEFINANCE(A519, ""price"")"),46.26)</f>
        <v>46.26</v>
      </c>
      <c r="C519" s="7">
        <f>IFERROR(__xludf.DUMMYFUNCTION("GOOGLEFINANCE(A519, ""changepct"")"),0.98)</f>
        <v>0.98</v>
      </c>
      <c r="D519" s="9">
        <f>IFERROR(__xludf.DUMMYFUNCTION("GOOGLEFINANCE(A519, ""priceopen"")"),45.81)</f>
        <v>45.81</v>
      </c>
      <c r="E519" s="9">
        <f>IFERROR(__xludf.DUMMYFUNCTION("GOOGLEFINANCE(A519, ""high"")"),46.56)</f>
        <v>46.56</v>
      </c>
      <c r="F519" s="9">
        <f>IFERROR(__xludf.DUMMYFUNCTION("GOOGLEFINANCE(A519, ""low"")"),45.6)</f>
        <v>45.6</v>
      </c>
      <c r="G519" s="9">
        <f>IFERROR(__xludf.DUMMYFUNCTION("GOOGLEFINANCE(A519, ""price"")"),46.26)</f>
        <v>46.26</v>
      </c>
      <c r="H519" s="9">
        <f>IFERROR(__xludf.DUMMYFUNCTION("MAX(INDEX(GOOGLEFINANCE(A519, ""high"", TODAY()-30, TODAY()), 0, 2))"),48.39)</f>
        <v>48.39</v>
      </c>
      <c r="I519" s="9">
        <f>IFERROR(__xludf.DUMMYFUNCTION("MIN(INDEX(GOOGLEFINANCE(A519, ""low"", TODAY()-30, TODAY()), 0, 2))"),43.94)</f>
        <v>43.94</v>
      </c>
      <c r="J519" s="9">
        <f>IFERROR(__xludf.DUMMYFUNCTION("GOOGLEFINANCE(A519, ""high52"")"),49.9)</f>
        <v>49.9</v>
      </c>
      <c r="K519" s="9">
        <f>IFERROR(__xludf.DUMMYFUNCTION("GOOGLEFINANCE(A519, ""low52"")"),28.11)</f>
        <v>28.11</v>
      </c>
      <c r="L519" s="9">
        <f t="shared" si="1"/>
        <v>0.07294589178</v>
      </c>
      <c r="M519" s="9">
        <f t="shared" si="2"/>
        <v>0.6456776948</v>
      </c>
      <c r="N519" s="9">
        <f t="shared" si="3"/>
        <v>0.02105263158</v>
      </c>
      <c r="O519" s="9">
        <f t="shared" si="4"/>
        <v>0.5213483146</v>
      </c>
      <c r="P519" s="9">
        <f>IFERROR(__xludf.DUMMYFUNCTION("GOOGLEFINANCE(A519, ""pe"")"),8.03)</f>
        <v>8.03</v>
      </c>
      <c r="Q519" s="9">
        <f>IFERROR(__xludf.DUMMYFUNCTION("IFERROR(GOOGLEFINANCE(A519, ""volume"") / GOOGLEFINANCE(A519, ""volumeavg""), 0)"),0.0)</f>
        <v>0</v>
      </c>
      <c r="R519" s="9">
        <f>IFERROR(__xludf.DUMMYFUNCTION("AVERAGE(INDEX(GOOGLEFINANCE(A519, ""price"", TODAY()-30, TODAY()), 0, 2))"),46.55608695652174)</f>
        <v>46.55608696</v>
      </c>
      <c r="S519" s="9">
        <f>IFERROR(__xludf.DUMMYFUNCTION("AVERAGE(INDEX(GOOGLEFINANCE(A519, ""price"", TODAY()-75, TODAY()), 0, 2))"),45.92754716981133)</f>
        <v>45.92754717</v>
      </c>
      <c r="T519" s="9">
        <f>IFERROR(__xludf.DUMMYFUNCTION("AVERAGE(INDEX(GOOGLEFINANCE(A519, ""price"", TODAY()-300, TODAY()), 0, 2))"),41.13712871287128)</f>
        <v>41.13712871</v>
      </c>
      <c r="U519" s="9">
        <f t="shared" si="5"/>
        <v>-0.006359790435</v>
      </c>
      <c r="V519" s="15">
        <f>IFERROR(__xludf.DUMMYFUNCTION("LET(hist, GOOGLEFINANCE(A519,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rs))))))"),41.511936339522514)</f>
        <v>41.51193634</v>
      </c>
      <c r="W519" s="16" t="str">
        <f>IFERROR(__xludf.DUMMYFUNCTION("IFERROR(GOOGLEFINANCE(A519, ""volume"") / GOOGLEFINANCE(A519, ""volumeavg""), )"),"")</f>
        <v/>
      </c>
      <c r="X519" s="9">
        <f>IFERROR(__xludf.DUMMYFUNCTION("B519 * GOOGLEFINANCE(A519, ""volume"")"),3.065983272E8)</f>
        <v>306598327.2</v>
      </c>
      <c r="Y519" s="9">
        <f>IFERROR(__xludf.DUMMYFUNCTION("IFERROR(((B519 - GOOGLEFINANCE(A519, ""priceopen"")) / GOOGLEFINANCE(A519, ""priceopen"")) * GOOGLEFINANCE(A519, ""volume""), 0)"),65105.304518663426)</f>
        <v>65105.30452</v>
      </c>
    </row>
    <row r="520">
      <c r="A520" s="4" t="s">
        <v>2313</v>
      </c>
      <c r="B520" s="7">
        <f>IFERROR(__xludf.DUMMYFUNCTION("GOOGLEFINANCE(A520, ""price"")"),1973.7)</f>
        <v>1973.7</v>
      </c>
      <c r="C520" s="7">
        <f>IFERROR(__xludf.DUMMYFUNCTION("GOOGLEFINANCE(A520, ""changepct"")"),1.83)</f>
        <v>1.83</v>
      </c>
      <c r="D520" s="9">
        <f>IFERROR(__xludf.DUMMYFUNCTION("GOOGLEFINANCE(A520, ""priceopen"")"),1940.0)</f>
        <v>1940</v>
      </c>
      <c r="E520" s="9">
        <f>IFERROR(__xludf.DUMMYFUNCTION("GOOGLEFINANCE(A520, ""high"")"),2002.6)</f>
        <v>2002.6</v>
      </c>
      <c r="F520" s="9">
        <f>IFERROR(__xludf.DUMMYFUNCTION("GOOGLEFINANCE(A520, ""low"")"),1927.0)</f>
        <v>1927</v>
      </c>
      <c r="G520" s="9">
        <f>IFERROR(__xludf.DUMMYFUNCTION("GOOGLEFINANCE(A520, ""price"")"),1973.7)</f>
        <v>1973.7</v>
      </c>
      <c r="H520" s="9">
        <f>IFERROR(__xludf.DUMMYFUNCTION("MAX(INDEX(GOOGLEFINANCE(A520, ""high"", TODAY()-30, TODAY()), 0, 2))"),2004.0)</f>
        <v>2004</v>
      </c>
      <c r="I520" s="9">
        <f>IFERROR(__xludf.DUMMYFUNCTION("MIN(INDEX(GOOGLEFINANCE(A520, ""low"", TODAY()-30, TODAY()), 0, 2))"),1629.4)</f>
        <v>1629.4</v>
      </c>
      <c r="J520" s="9">
        <f>IFERROR(__xludf.DUMMYFUNCTION("GOOGLEFINANCE(A520, ""high52"")"),2004.0)</f>
        <v>2004</v>
      </c>
      <c r="K520" s="9">
        <f>IFERROR(__xludf.DUMMYFUNCTION("GOOGLEFINANCE(A520, ""low52"")"),777.3)</f>
        <v>777.3</v>
      </c>
      <c r="L520" s="9">
        <f t="shared" si="1"/>
        <v>0.01511976048</v>
      </c>
      <c r="M520" s="9">
        <f t="shared" si="2"/>
        <v>1.539174064</v>
      </c>
      <c r="N520" s="9">
        <f t="shared" si="3"/>
        <v>0.03923196679</v>
      </c>
      <c r="O520" s="9">
        <f t="shared" si="4"/>
        <v>0.9191137213</v>
      </c>
      <c r="P520" s="9">
        <f>IFERROR(__xludf.DUMMYFUNCTION("GOOGLEFINANCE(A520, ""pe"")"),98.88)</f>
        <v>98.88</v>
      </c>
      <c r="Q520" s="9">
        <f>IFERROR(__xludf.DUMMYFUNCTION("IFERROR(GOOGLEFINANCE(A520, ""volume"") / GOOGLEFINANCE(A520, ""volumeavg""), 0)"),0.0)</f>
        <v>0</v>
      </c>
      <c r="R520" s="9">
        <f>IFERROR(__xludf.DUMMYFUNCTION("AVERAGE(INDEX(GOOGLEFINANCE(A520, ""price"", TODAY()-30, TODAY()), 0, 2))"),1777.6043478260874)</f>
        <v>1777.604348</v>
      </c>
      <c r="S520" s="9">
        <f>IFERROR(__xludf.DUMMYFUNCTION("AVERAGE(INDEX(GOOGLEFINANCE(A520, ""price"", TODAY()-75, TODAY()), 0, 2))"),1723.6301886792448)</f>
        <v>1723.630189</v>
      </c>
      <c r="T520" s="9">
        <f>IFERROR(__xludf.DUMMYFUNCTION("AVERAGE(INDEX(GOOGLEFINANCE(A520, ""price"", TODAY()-300, TODAY()), 0, 2))"),1207.0717821782175)</f>
        <v>1207.071782</v>
      </c>
      <c r="U520" s="9">
        <f t="shared" si="5"/>
        <v>0.110314566</v>
      </c>
      <c r="V520" s="15">
        <f>IFERROR(__xludf.DUMMYFUNCTION("LET(hist, GOOGLEFINANCE(A520,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rs))))))"),65.51676171929337)</f>
        <v>65.51676172</v>
      </c>
      <c r="W520" s="16" t="str">
        <f>IFERROR(__xludf.DUMMYFUNCTION("IFERROR(GOOGLEFINANCE(A520, ""volume"") / GOOGLEFINANCE(A520, ""volumeavg""), )"),"")</f>
        <v/>
      </c>
      <c r="X520" s="9">
        <f>IFERROR(__xludf.DUMMYFUNCTION("B520 * GOOGLEFINANCE(A520, ""volume"")"),8.021629962E8)</f>
        <v>802162996.2</v>
      </c>
      <c r="Y520" s="9">
        <f>IFERROR(__xludf.DUMMYFUNCTION("IFERROR(((B520 - GOOGLEFINANCE(A520, ""priceopen"")) / GOOGLEFINANCE(A520, ""priceopen"")) * GOOGLEFINANCE(A520, ""volume""), 0)"),7060.0805154639265)</f>
        <v>7060.080515</v>
      </c>
    </row>
    <row r="521">
      <c r="A521" s="4" t="s">
        <v>2314</v>
      </c>
      <c r="B521" s="7">
        <f>IFERROR(__xludf.DUMMYFUNCTION("GOOGLEFINANCE(A521, ""price"")"),551.2)</f>
        <v>551.2</v>
      </c>
      <c r="C521" s="7">
        <f>IFERROR(__xludf.DUMMYFUNCTION("GOOGLEFINANCE(A521, ""changepct"")"),-2.66)</f>
        <v>-2.66</v>
      </c>
      <c r="D521" s="9">
        <f>IFERROR(__xludf.DUMMYFUNCTION("GOOGLEFINANCE(A521, ""priceopen"")"),570.0)</f>
        <v>570</v>
      </c>
      <c r="E521" s="9">
        <f>IFERROR(__xludf.DUMMYFUNCTION("GOOGLEFINANCE(A521, ""high"")"),582.4)</f>
        <v>582.4</v>
      </c>
      <c r="F521" s="9">
        <f>IFERROR(__xludf.DUMMYFUNCTION("GOOGLEFINANCE(A521, ""low"")"),550.1)</f>
        <v>550.1</v>
      </c>
      <c r="G521" s="9">
        <f>IFERROR(__xludf.DUMMYFUNCTION("GOOGLEFINANCE(A521, ""price"")"),551.2)</f>
        <v>551.2</v>
      </c>
      <c r="H521" s="9">
        <f>IFERROR(__xludf.DUMMYFUNCTION("MAX(INDEX(GOOGLEFINANCE(A521, ""high"", TODAY()-30, TODAY()), 0, 2))"),609.05)</f>
        <v>609.05</v>
      </c>
      <c r="I521" s="9">
        <f>IFERROR(__xludf.DUMMYFUNCTION("MIN(INDEX(GOOGLEFINANCE(A521, ""low"", TODAY()-30, TODAY()), 0, 2))"),540.05)</f>
        <v>540.05</v>
      </c>
      <c r="J521" s="9">
        <f>IFERROR(__xludf.DUMMYFUNCTION("GOOGLEFINANCE(A521, ""high52"")"),609.05)</f>
        <v>609.05</v>
      </c>
      <c r="K521" s="9">
        <f>IFERROR(__xludf.DUMMYFUNCTION("GOOGLEFINANCE(A521, ""low52"")"),412.25)</f>
        <v>412.25</v>
      </c>
      <c r="L521" s="9">
        <f t="shared" si="1"/>
        <v>0.09498399146</v>
      </c>
      <c r="M521" s="9">
        <f t="shared" si="2"/>
        <v>0.3370527592</v>
      </c>
      <c r="N521" s="9">
        <f t="shared" si="3"/>
        <v>0.05871659698</v>
      </c>
      <c r="O521" s="9">
        <f t="shared" si="4"/>
        <v>0.1615942029</v>
      </c>
      <c r="P521" s="9">
        <f>IFERROR(__xludf.DUMMYFUNCTION("GOOGLEFINANCE(A521, ""pe"")"),56.77)</f>
        <v>56.77</v>
      </c>
      <c r="Q521" s="9">
        <f>IFERROR(__xludf.DUMMYFUNCTION("IFERROR(GOOGLEFINANCE(A521, ""volume"") / GOOGLEFINANCE(A521, ""volumeavg""), 0)"),0.0)</f>
        <v>0</v>
      </c>
      <c r="R521" s="9">
        <f>IFERROR(__xludf.DUMMYFUNCTION("AVERAGE(INDEX(GOOGLEFINANCE(A521, ""price"", TODAY()-30, TODAY()), 0, 2))"),572.5456521739131)</f>
        <v>572.5456522</v>
      </c>
      <c r="S521" s="9">
        <f>IFERROR(__xludf.DUMMYFUNCTION("AVERAGE(INDEX(GOOGLEFINANCE(A521, ""price"", TODAY()-75, TODAY()), 0, 2))"),555.9311320754716)</f>
        <v>555.9311321</v>
      </c>
      <c r="T521" s="9">
        <f>IFERROR(__xludf.DUMMYFUNCTION("AVERAGE(INDEX(GOOGLEFINANCE(A521, ""price"", TODAY()-300, TODAY()), 0, 2))"),500.6494554455445)</f>
        <v>500.6494554</v>
      </c>
      <c r="U521" s="9">
        <f t="shared" si="5"/>
        <v>-0.03728200903</v>
      </c>
      <c r="V521" s="15">
        <f>IFERROR(__xludf.DUMMYFUNCTION("LET(hist, GOOGLEFINANCE(A521,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rs))))))"),43.174603174603135)</f>
        <v>43.17460317</v>
      </c>
      <c r="W521" s="16" t="str">
        <f>IFERROR(__xludf.DUMMYFUNCTION("IFERROR(GOOGLEFINANCE(A521, ""volume"") / GOOGLEFINANCE(A521, ""volumeavg""), )"),"")</f>
        <v/>
      </c>
      <c r="X521" s="9">
        <f>IFERROR(__xludf.DUMMYFUNCTION("B521 * GOOGLEFINANCE(A521, ""volume"")"),2.0130099600000003E8)</f>
        <v>201300996</v>
      </c>
      <c r="Y521" s="9">
        <f>IFERROR(__xludf.DUMMYFUNCTION("IFERROR(((B521 - GOOGLEFINANCE(A521, ""priceopen"")) / GOOGLEFINANCE(A521, ""priceopen"")) * GOOGLEFINANCE(A521, ""volume""), 0)"),-12045.357894736815)</f>
        <v>-12045.35789</v>
      </c>
    </row>
    <row r="522">
      <c r="A522" s="4" t="s">
        <v>2315</v>
      </c>
      <c r="B522" s="7">
        <f>IFERROR(__xludf.DUMMYFUNCTION("GOOGLEFINANCE(A522, ""price"")"),78.03)</f>
        <v>78.03</v>
      </c>
      <c r="C522" s="7">
        <f>IFERROR(__xludf.DUMMYFUNCTION("GOOGLEFINANCE(A522, ""changepct"")"),-3.04)</f>
        <v>-3.04</v>
      </c>
      <c r="D522" s="9">
        <f>IFERROR(__xludf.DUMMYFUNCTION("GOOGLEFINANCE(A522, ""priceopen"")"),80.0)</f>
        <v>80</v>
      </c>
      <c r="E522" s="9">
        <f>IFERROR(__xludf.DUMMYFUNCTION("GOOGLEFINANCE(A522, ""high"")"),80.0)</f>
        <v>80</v>
      </c>
      <c r="F522" s="9">
        <f>IFERROR(__xludf.DUMMYFUNCTION("GOOGLEFINANCE(A522, ""low"")"),77.0)</f>
        <v>77</v>
      </c>
      <c r="G522" s="9">
        <f>IFERROR(__xludf.DUMMYFUNCTION("GOOGLEFINANCE(A522, ""price"")"),78.03)</f>
        <v>78.03</v>
      </c>
      <c r="H522" s="9">
        <f>IFERROR(__xludf.DUMMYFUNCTION("MAX(INDEX(GOOGLEFINANCE(A522, ""high"", TODAY()-30, TODAY()), 0, 2))"),84.7)</f>
        <v>84.7</v>
      </c>
      <c r="I522" s="9">
        <f>IFERROR(__xludf.DUMMYFUNCTION("MIN(INDEX(GOOGLEFINANCE(A522, ""low"", TODAY()-30, TODAY()), 0, 2))"),75.7)</f>
        <v>75.7</v>
      </c>
      <c r="J522" s="9">
        <f>IFERROR(__xludf.DUMMYFUNCTION("GOOGLEFINANCE(A522, ""high52"")"),84.7)</f>
        <v>84.7</v>
      </c>
      <c r="K522" s="9">
        <f>IFERROR(__xludf.DUMMYFUNCTION("GOOGLEFINANCE(A522, ""low52"")"),40.69)</f>
        <v>40.69</v>
      </c>
      <c r="L522" s="9">
        <f t="shared" si="1"/>
        <v>0.0787485242</v>
      </c>
      <c r="M522" s="9">
        <f t="shared" si="2"/>
        <v>0.9176701892</v>
      </c>
      <c r="N522" s="9">
        <f t="shared" si="3"/>
        <v>0.03896103896</v>
      </c>
      <c r="O522" s="9">
        <f t="shared" si="4"/>
        <v>0.2588888889</v>
      </c>
      <c r="P522" s="9">
        <f>IFERROR(__xludf.DUMMYFUNCTION("GOOGLEFINANCE(A522, ""pe"")"),37.27)</f>
        <v>37.27</v>
      </c>
      <c r="Q522" s="9">
        <f>IFERROR(__xludf.DUMMYFUNCTION("IFERROR(GOOGLEFINANCE(A522, ""volume"") / GOOGLEFINANCE(A522, ""volumeavg""), 0)"),0.0)</f>
        <v>0</v>
      </c>
      <c r="R522" s="9">
        <f>IFERROR(__xludf.DUMMYFUNCTION("AVERAGE(INDEX(GOOGLEFINANCE(A522, ""price"", TODAY()-30, TODAY()), 0, 2))"),80.03478260869565)</f>
        <v>80.03478261</v>
      </c>
      <c r="S522" s="9">
        <f>IFERROR(__xludf.DUMMYFUNCTION("AVERAGE(INDEX(GOOGLEFINANCE(A522, ""price"", TODAY()-75, TODAY()), 0, 2))"),75.54245283018868)</f>
        <v>75.54245283</v>
      </c>
      <c r="T522" s="9">
        <f>IFERROR(__xludf.DUMMYFUNCTION("AVERAGE(INDEX(GOOGLEFINANCE(A522, ""price"", TODAY()-300, TODAY()), 0, 2))"),64.29826732673267)</f>
        <v>64.29826733</v>
      </c>
      <c r="U522" s="9">
        <f t="shared" si="5"/>
        <v>-0.02504889179</v>
      </c>
      <c r="V522" s="15">
        <f>IFERROR(__xludf.DUMMYFUNCTION("LET(hist, GOOGLEFINANCE(A522,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rs))))))"),49.79498861047835)</f>
        <v>49.79498861</v>
      </c>
      <c r="W522" s="16" t="str">
        <f>IFERROR(__xludf.DUMMYFUNCTION("IFERROR(GOOGLEFINANCE(A522, ""volume"") / GOOGLEFINANCE(A522, ""volumeavg""), )"),"")</f>
        <v/>
      </c>
      <c r="X522" s="9">
        <f>IFERROR(__xludf.DUMMYFUNCTION("B522 * GOOGLEFINANCE(A522, ""volume"")"),2.5291676628E8)</f>
        <v>252916766.3</v>
      </c>
      <c r="Y522" s="9">
        <f>IFERROR(__xludf.DUMMYFUNCTION("IFERROR(((B522 - GOOGLEFINANCE(A522, ""priceopen"")) / GOOGLEFINANCE(A522, ""priceopen"")) * GOOGLEFINANCE(A522, ""volume""), 0)"),-79816.42149999995)</f>
        <v>-79816.4215</v>
      </c>
    </row>
    <row r="523">
      <c r="A523" s="4" t="s">
        <v>2316</v>
      </c>
      <c r="B523" s="7">
        <f>IFERROR(__xludf.DUMMYFUNCTION("GOOGLEFINANCE(A523, ""price"")"),304.5)</f>
        <v>304.5</v>
      </c>
      <c r="C523" s="7">
        <f>IFERROR(__xludf.DUMMYFUNCTION("GOOGLEFINANCE(A523, ""changepct"")"),2.27)</f>
        <v>2.27</v>
      </c>
      <c r="D523" s="9">
        <f>IFERROR(__xludf.DUMMYFUNCTION("GOOGLEFINANCE(A523, ""priceopen"")"),298.95)</f>
        <v>298.95</v>
      </c>
      <c r="E523" s="9">
        <f>IFERROR(__xludf.DUMMYFUNCTION("GOOGLEFINANCE(A523, ""high"")"),306.0)</f>
        <v>306</v>
      </c>
      <c r="F523" s="9">
        <f>IFERROR(__xludf.DUMMYFUNCTION("GOOGLEFINANCE(A523, ""low"")"),297.0)</f>
        <v>297</v>
      </c>
      <c r="G523" s="9">
        <f>IFERROR(__xludf.DUMMYFUNCTION("GOOGLEFINANCE(A523, ""price"")"),304.5)</f>
        <v>304.5</v>
      </c>
      <c r="H523" s="9">
        <f>IFERROR(__xludf.DUMMYFUNCTION("MAX(INDEX(GOOGLEFINANCE(A523, ""high"", TODAY()-30, TODAY()), 0, 2))"),363.0)</f>
        <v>363</v>
      </c>
      <c r="I523" s="9">
        <f>IFERROR(__xludf.DUMMYFUNCTION("MIN(INDEX(GOOGLEFINANCE(A523, ""low"", TODAY()-30, TODAY()), 0, 2))"),294.0)</f>
        <v>294</v>
      </c>
      <c r="J523" s="9">
        <f>IFERROR(__xludf.DUMMYFUNCTION("GOOGLEFINANCE(A523, ""high52"")"),593.95)</f>
        <v>593.95</v>
      </c>
      <c r="K523" s="9">
        <f>IFERROR(__xludf.DUMMYFUNCTION("GOOGLEFINANCE(A523, ""low52"")"),247.57)</f>
        <v>247.57</v>
      </c>
      <c r="L523" s="9">
        <f t="shared" si="1"/>
        <v>0.4873305834</v>
      </c>
      <c r="M523" s="9">
        <f t="shared" si="2"/>
        <v>0.2299551642</v>
      </c>
      <c r="N523" s="9">
        <f t="shared" si="3"/>
        <v>0.0303030303</v>
      </c>
      <c r="O523" s="9">
        <f t="shared" si="4"/>
        <v>0.152173913</v>
      </c>
      <c r="P523" s="9">
        <f>IFERROR(__xludf.DUMMYFUNCTION("GOOGLEFINANCE(A523, ""pe"")"),29.15)</f>
        <v>29.15</v>
      </c>
      <c r="Q523" s="9">
        <f>IFERROR(__xludf.DUMMYFUNCTION("IFERROR(GOOGLEFINANCE(A523, ""volume"") / GOOGLEFINANCE(A523, ""volumeavg""), 0)"),0.0)</f>
        <v>0</v>
      </c>
      <c r="R523" s="9">
        <f>IFERROR(__xludf.DUMMYFUNCTION("AVERAGE(INDEX(GOOGLEFINANCE(A523, ""price"", TODAY()-30, TODAY()), 0, 2))"),329.5152173913043)</f>
        <v>329.5152174</v>
      </c>
      <c r="S523" s="9">
        <f>IFERROR(__xludf.DUMMYFUNCTION("AVERAGE(INDEX(GOOGLEFINANCE(A523, ""price"", TODAY()-75, TODAY()), 0, 2))"),343.9433962264151)</f>
        <v>343.9433962</v>
      </c>
      <c r="T523" s="9">
        <f>IFERROR(__xludf.DUMMYFUNCTION("AVERAGE(INDEX(GOOGLEFINANCE(A523, ""price"", TODAY()-300, TODAY()), 0, 2))"),396.1364676616913)</f>
        <v>396.1364677</v>
      </c>
      <c r="U523" s="9">
        <f t="shared" si="5"/>
        <v>-0.07591521141</v>
      </c>
      <c r="V523" s="15">
        <f>IFERROR(__xludf.DUMMYFUNCTION("LET(hist, GOOGLEFINANCE(A523,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rs))))))"),29.059829059829042)</f>
        <v>29.05982906</v>
      </c>
      <c r="W523" s="16" t="str">
        <f>IFERROR(__xludf.DUMMYFUNCTION("IFERROR(GOOGLEFINANCE(A523, ""volume"") / GOOGLEFINANCE(A523, ""volumeavg""), )"),"")</f>
        <v/>
      </c>
      <c r="X523" s="9">
        <f>IFERROR(__xludf.DUMMYFUNCTION("B523 * GOOGLEFINANCE(A523, ""volume"")"),3.243433515E8)</f>
        <v>324343351.5</v>
      </c>
      <c r="Y523" s="9">
        <f>IFERROR(__xludf.DUMMYFUNCTION("IFERROR(((B523 - GOOGLEFINANCE(A523, ""priceopen"")) / GOOGLEFINANCE(A523, ""priceopen"")) * GOOGLEFINANCE(A523, ""volume""), 0)"),19774.801304566023)</f>
        <v>19774.8013</v>
      </c>
    </row>
    <row r="524">
      <c r="A524" s="4" t="s">
        <v>2317</v>
      </c>
      <c r="B524" s="7">
        <f>IFERROR(__xludf.DUMMYFUNCTION("GOOGLEFINANCE(A524, ""price"")"),803.65)</f>
        <v>803.65</v>
      </c>
      <c r="C524" s="7">
        <f>IFERROR(__xludf.DUMMYFUNCTION("GOOGLEFINANCE(A524, ""changepct"")"),-1.96)</f>
        <v>-1.96</v>
      </c>
      <c r="D524" s="9">
        <f>IFERROR(__xludf.DUMMYFUNCTION("GOOGLEFINANCE(A524, ""priceopen"")"),819.5)</f>
        <v>819.5</v>
      </c>
      <c r="E524" s="9">
        <f>IFERROR(__xludf.DUMMYFUNCTION("GOOGLEFINANCE(A524, ""high"")"),820.95)</f>
        <v>820.95</v>
      </c>
      <c r="F524" s="9">
        <f>IFERROR(__xludf.DUMMYFUNCTION("GOOGLEFINANCE(A524, ""low"")"),800.1)</f>
        <v>800.1</v>
      </c>
      <c r="G524" s="9">
        <f>IFERROR(__xludf.DUMMYFUNCTION("GOOGLEFINANCE(A524, ""price"")"),803.65)</f>
        <v>803.65</v>
      </c>
      <c r="H524" s="9">
        <f>IFERROR(__xludf.DUMMYFUNCTION("MAX(INDEX(GOOGLEFINANCE(A524, ""high"", TODAY()-30, TODAY()), 0, 2))"),825.4)</f>
        <v>825.4</v>
      </c>
      <c r="I524" s="9">
        <f>IFERROR(__xludf.DUMMYFUNCTION("MIN(INDEX(GOOGLEFINANCE(A524, ""low"", TODAY()-30, TODAY()), 0, 2))"),597.5)</f>
        <v>597.5</v>
      </c>
      <c r="J524" s="9">
        <f>IFERROR(__xludf.DUMMYFUNCTION("GOOGLEFINANCE(A524, ""high52"")"),825.4)</f>
        <v>825.4</v>
      </c>
      <c r="K524" s="9">
        <f>IFERROR(__xludf.DUMMYFUNCTION("GOOGLEFINANCE(A524, ""low52"")"),259.5)</f>
        <v>259.5</v>
      </c>
      <c r="L524" s="9">
        <f t="shared" si="1"/>
        <v>0.02635086019</v>
      </c>
      <c r="M524" s="9">
        <f t="shared" si="2"/>
        <v>2.096917148</v>
      </c>
      <c r="N524" s="9">
        <f t="shared" si="3"/>
        <v>0.02605924259</v>
      </c>
      <c r="O524" s="9">
        <f t="shared" si="4"/>
        <v>0.904563405</v>
      </c>
      <c r="P524" s="9">
        <f>IFERROR(__xludf.DUMMYFUNCTION("GOOGLEFINANCE(A524, ""pe"")"),52.58)</f>
        <v>52.58</v>
      </c>
      <c r="Q524" s="9">
        <f>IFERROR(__xludf.DUMMYFUNCTION("IFERROR(GOOGLEFINANCE(A524, ""volume"") / GOOGLEFINANCE(A524, ""volumeavg""), 0)"),0.0)</f>
        <v>0</v>
      </c>
      <c r="R524" s="9">
        <f>IFERROR(__xludf.DUMMYFUNCTION("AVERAGE(INDEX(GOOGLEFINANCE(A524, ""price"", TODAY()-30, TODAY()), 0, 2))"),661.4108695652175)</f>
        <v>661.4108696</v>
      </c>
      <c r="S524" s="9">
        <f>IFERROR(__xludf.DUMMYFUNCTION("AVERAGE(INDEX(GOOGLEFINANCE(A524, ""price"", TODAY()-75, TODAY()), 0, 2))"),605.5103773584906)</f>
        <v>605.5103774</v>
      </c>
      <c r="T524" s="9">
        <f>IFERROR(__xludf.DUMMYFUNCTION("AVERAGE(INDEX(GOOGLEFINANCE(A524, ""price"", TODAY()-300, TODAY()), 0, 2))"),422.1594059405942)</f>
        <v>422.1594059</v>
      </c>
      <c r="U524" s="9">
        <f t="shared" si="5"/>
        <v>0.2150541169</v>
      </c>
      <c r="V524" s="15">
        <f>IFERROR(__xludf.DUMMYFUNCTION("LET(hist, GOOGLEFINANCE(A524,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rs))))))"),87.90898834148177)</f>
        <v>87.90898834</v>
      </c>
      <c r="W524" s="16" t="str">
        <f>IFERROR(__xludf.DUMMYFUNCTION("IFERROR(GOOGLEFINANCE(A524, ""volume"") / GOOGLEFINANCE(A524, ""volumeavg""), )"),"")</f>
        <v/>
      </c>
      <c r="X524" s="9">
        <f>IFERROR(__xludf.DUMMYFUNCTION("B524 * GOOGLEFINANCE(A524, ""volume"")"),7.8589656785E8)</f>
        <v>785896567.9</v>
      </c>
      <c r="Y524" s="9">
        <f>IFERROR(__xludf.DUMMYFUNCTION("IFERROR(((B524 - GOOGLEFINANCE(A524, ""priceopen"")) / GOOGLEFINANCE(A524, ""priceopen"")) * GOOGLEFINANCE(A524, ""volume""), 0)"),-18913.798230628458)</f>
        <v>-18913.79823</v>
      </c>
    </row>
    <row r="525">
      <c r="A525" s="4" t="s">
        <v>2318</v>
      </c>
      <c r="B525" s="7">
        <f>IFERROR(__xludf.DUMMYFUNCTION("GOOGLEFINANCE(A525, ""price"")"),1820.0)</f>
        <v>1820</v>
      </c>
      <c r="C525" s="7">
        <f>IFERROR(__xludf.DUMMYFUNCTION("GOOGLEFINANCE(A525, ""changepct"")"),1.99)</f>
        <v>1.99</v>
      </c>
      <c r="D525" s="9">
        <f>IFERROR(__xludf.DUMMYFUNCTION("GOOGLEFINANCE(A525, ""priceopen"")"),1789.9)</f>
        <v>1789.9</v>
      </c>
      <c r="E525" s="9">
        <f>IFERROR(__xludf.DUMMYFUNCTION("GOOGLEFINANCE(A525, ""high"")"),1838.9)</f>
        <v>1838.9</v>
      </c>
      <c r="F525" s="9">
        <f>IFERROR(__xludf.DUMMYFUNCTION("GOOGLEFINANCE(A525, ""low"")"),1755.5)</f>
        <v>1755.5</v>
      </c>
      <c r="G525" s="9">
        <f>IFERROR(__xludf.DUMMYFUNCTION("GOOGLEFINANCE(A525, ""price"")"),1820.0)</f>
        <v>1820</v>
      </c>
      <c r="H525" s="9">
        <f>IFERROR(__xludf.DUMMYFUNCTION("MAX(INDEX(GOOGLEFINANCE(A525, ""high"", TODAY()-30, TODAY()), 0, 2))"),1870.0)</f>
        <v>1870</v>
      </c>
      <c r="I525" s="9">
        <f>IFERROR(__xludf.DUMMYFUNCTION("MIN(INDEX(GOOGLEFINANCE(A525, ""low"", TODAY()-30, TODAY()), 0, 2))"),1575.0)</f>
        <v>1575</v>
      </c>
      <c r="J525" s="9">
        <f>IFERROR(__xludf.DUMMYFUNCTION("GOOGLEFINANCE(A525, ""high52"")"),1913.6)</f>
        <v>1913.6</v>
      </c>
      <c r="K525" s="9">
        <f>IFERROR(__xludf.DUMMYFUNCTION("GOOGLEFINANCE(A525, ""low52"")"),1266.9)</f>
        <v>1266.9</v>
      </c>
      <c r="L525" s="9">
        <f t="shared" si="1"/>
        <v>0.04891304348</v>
      </c>
      <c r="M525" s="9">
        <f t="shared" si="2"/>
        <v>0.4365774726</v>
      </c>
      <c r="N525" s="9">
        <f t="shared" si="3"/>
        <v>0.04750783253</v>
      </c>
      <c r="O525" s="9">
        <f t="shared" si="4"/>
        <v>0.8305084746</v>
      </c>
      <c r="P525" s="9">
        <f>IFERROR(__xludf.DUMMYFUNCTION("GOOGLEFINANCE(A525, ""pe"")"),33.82)</f>
        <v>33.82</v>
      </c>
      <c r="Q525" s="9">
        <f>IFERROR(__xludf.DUMMYFUNCTION("IFERROR(GOOGLEFINANCE(A525, ""volume"") / GOOGLEFINANCE(A525, ""volumeavg""), 0)"),0.0)</f>
        <v>0</v>
      </c>
      <c r="R525" s="9">
        <f>IFERROR(__xludf.DUMMYFUNCTION("AVERAGE(INDEX(GOOGLEFINANCE(A525, ""price"", TODAY()-30, TODAY()), 0, 2))"),1746.3869565217392)</f>
        <v>1746.386957</v>
      </c>
      <c r="S525" s="9">
        <f>IFERROR(__xludf.DUMMYFUNCTION("AVERAGE(INDEX(GOOGLEFINANCE(A525, ""price"", TODAY()-75, TODAY()), 0, 2))"),1705.1075471698118)</f>
        <v>1705.107547</v>
      </c>
      <c r="T525" s="9">
        <f>IFERROR(__xludf.DUMMYFUNCTION("AVERAGE(INDEX(GOOGLEFINANCE(A525, ""price"", TODAY()-300, TODAY()), 0, 2))"),1666.3618811881192)</f>
        <v>1666.361881</v>
      </c>
      <c r="U525" s="9">
        <f t="shared" si="5"/>
        <v>0.04215162236</v>
      </c>
      <c r="V525" s="15">
        <f>IFERROR(__xludf.DUMMYFUNCTION("LET(hist, GOOGLEFINANCE(A525,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rs))))))"),56.04395604395602)</f>
        <v>56.04395604</v>
      </c>
      <c r="W525" s="16" t="str">
        <f>IFERROR(__xludf.DUMMYFUNCTION("IFERROR(GOOGLEFINANCE(A525, ""volume"") / GOOGLEFINANCE(A525, ""volumeavg""), )"),"")</f>
        <v/>
      </c>
      <c r="X525" s="9">
        <f>IFERROR(__xludf.DUMMYFUNCTION("B525 * GOOGLEFINANCE(A525, ""volume"")"),3.9571714E8)</f>
        <v>395717140</v>
      </c>
      <c r="Y525" s="9">
        <f>IFERROR(__xludf.DUMMYFUNCTION("IFERROR(((B525 - GOOGLEFINANCE(A525, ""priceopen"")) / GOOGLEFINANCE(A525, ""priceopen"")) * GOOGLEFINANCE(A525, ""volume""), 0)"),3656.3789597184086)</f>
        <v>3656.37896</v>
      </c>
    </row>
    <row r="526">
      <c r="A526" s="4" t="s">
        <v>2319</v>
      </c>
      <c r="B526" s="7">
        <f>IFERROR(__xludf.DUMMYFUNCTION("GOOGLEFINANCE(A526, ""price"")"),3060.0)</f>
        <v>3060</v>
      </c>
      <c r="C526" s="7">
        <f>IFERROR(__xludf.DUMMYFUNCTION("GOOGLEFINANCE(A526, ""changepct"")"),-1.17)</f>
        <v>-1.17</v>
      </c>
      <c r="D526" s="9">
        <f>IFERROR(__xludf.DUMMYFUNCTION("GOOGLEFINANCE(A526, ""priceopen"")"),3120.0)</f>
        <v>3120</v>
      </c>
      <c r="E526" s="9">
        <f>IFERROR(__xludf.DUMMYFUNCTION("GOOGLEFINANCE(A526, ""high"")"),3135.0)</f>
        <v>3135</v>
      </c>
      <c r="F526" s="9">
        <f>IFERROR(__xludf.DUMMYFUNCTION("GOOGLEFINANCE(A526, ""low"")"),3012.6)</f>
        <v>3012.6</v>
      </c>
      <c r="G526" s="9">
        <f>IFERROR(__xludf.DUMMYFUNCTION("GOOGLEFINANCE(A526, ""price"")"),3060.0)</f>
        <v>3060</v>
      </c>
      <c r="H526" s="9">
        <f>IFERROR(__xludf.DUMMYFUNCTION("MAX(INDEX(GOOGLEFINANCE(A526, ""high"", TODAY()-30, TODAY()), 0, 2))"),3135.0)</f>
        <v>3135</v>
      </c>
      <c r="I526" s="9">
        <f>IFERROR(__xludf.DUMMYFUNCTION("MIN(INDEX(GOOGLEFINANCE(A526, ""low"", TODAY()-30, TODAY()), 0, 2))"),2560.0)</f>
        <v>2560</v>
      </c>
      <c r="J526" s="9">
        <f>IFERROR(__xludf.DUMMYFUNCTION("GOOGLEFINANCE(A526, ""high52"")"),3135.0)</f>
        <v>3135</v>
      </c>
      <c r="K526" s="9">
        <f>IFERROR(__xludf.DUMMYFUNCTION("GOOGLEFINANCE(A526, ""low52"")"),1413.1)</f>
        <v>1413.1</v>
      </c>
      <c r="L526" s="9">
        <f t="shared" si="1"/>
        <v>0.02392344498</v>
      </c>
      <c r="M526" s="9">
        <f t="shared" si="2"/>
        <v>1.165451843</v>
      </c>
      <c r="N526" s="9">
        <f t="shared" si="3"/>
        <v>0.0406293567</v>
      </c>
      <c r="O526" s="9">
        <f t="shared" si="4"/>
        <v>0.8695652174</v>
      </c>
      <c r="P526" s="9">
        <f>IFERROR(__xludf.DUMMYFUNCTION("GOOGLEFINANCE(A526, ""pe"")"),113.4)</f>
        <v>113.4</v>
      </c>
      <c r="Q526" s="9">
        <f>IFERROR(__xludf.DUMMYFUNCTION("IFERROR(GOOGLEFINANCE(A526, ""volume"") / GOOGLEFINANCE(A526, ""volumeavg""), 0)"),0.0)</f>
        <v>0</v>
      </c>
      <c r="R526" s="9">
        <f>IFERROR(__xludf.DUMMYFUNCTION("AVERAGE(INDEX(GOOGLEFINANCE(A526, ""price"", TODAY()-30, TODAY()), 0, 2))"),2764.5434782608704)</f>
        <v>2764.543478</v>
      </c>
      <c r="S526" s="9">
        <f>IFERROR(__xludf.DUMMYFUNCTION("AVERAGE(INDEX(GOOGLEFINANCE(A526, ""price"", TODAY()-75, TODAY()), 0, 2))"),2701.930188679245)</f>
        <v>2701.930189</v>
      </c>
      <c r="T526" s="9">
        <f>IFERROR(__xludf.DUMMYFUNCTION("AVERAGE(INDEX(GOOGLEFINANCE(A526, ""price"", TODAY()-300, TODAY()), 0, 2))"),2236.6874999999995)</f>
        <v>2236.6875</v>
      </c>
      <c r="U526" s="9">
        <f t="shared" si="5"/>
        <v>0.1068735305</v>
      </c>
      <c r="V526" s="15">
        <f>IFERROR(__xludf.DUMMYFUNCTION("LET(hist, GOOGLEFINANCE(A526,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rs))))))"),67.10751339642002)</f>
        <v>67.1075134</v>
      </c>
      <c r="W526" s="16" t="str">
        <f>IFERROR(__xludf.DUMMYFUNCTION("IFERROR(GOOGLEFINANCE(A526, ""volume"") / GOOGLEFINANCE(A526, ""volumeavg""), )"),"")</f>
        <v/>
      </c>
      <c r="X526" s="9">
        <f>IFERROR(__xludf.DUMMYFUNCTION("B526 * GOOGLEFINANCE(A526, ""volume"")"),6.2118E8)</f>
        <v>621180000</v>
      </c>
      <c r="Y526" s="9">
        <f>IFERROR(__xludf.DUMMYFUNCTION("IFERROR(((B526 - GOOGLEFINANCE(A526, ""priceopen"")) / GOOGLEFINANCE(A526, ""priceopen"")) * GOOGLEFINANCE(A526, ""volume""), 0)"),-3903.8461538461543)</f>
        <v>-3903.846154</v>
      </c>
    </row>
    <row r="527">
      <c r="A527" s="4" t="s">
        <v>2320</v>
      </c>
      <c r="B527" s="7">
        <f>IFERROR(__xludf.DUMMYFUNCTION("GOOGLEFINANCE(A527, ""price"")"),126.45)</f>
        <v>126.45</v>
      </c>
      <c r="C527" s="7">
        <f>IFERROR(__xludf.DUMMYFUNCTION("GOOGLEFINANCE(A527, ""changepct"")"),-1.32)</f>
        <v>-1.32</v>
      </c>
      <c r="D527" s="9">
        <f>IFERROR(__xludf.DUMMYFUNCTION("GOOGLEFINANCE(A527, ""priceopen"")"),128.14)</f>
        <v>128.14</v>
      </c>
      <c r="E527" s="9">
        <f>IFERROR(__xludf.DUMMYFUNCTION("GOOGLEFINANCE(A527, ""high"")"),129.38)</f>
        <v>129.38</v>
      </c>
      <c r="F527" s="9">
        <f>IFERROR(__xludf.DUMMYFUNCTION("GOOGLEFINANCE(A527, ""low"")"),125.77)</f>
        <v>125.77</v>
      </c>
      <c r="G527" s="9">
        <f>IFERROR(__xludf.DUMMYFUNCTION("GOOGLEFINANCE(A527, ""price"")"),126.45)</f>
        <v>126.45</v>
      </c>
      <c r="H527" s="9">
        <f>IFERROR(__xludf.DUMMYFUNCTION("MAX(INDEX(GOOGLEFINANCE(A527, ""high"", TODAY()-30, TODAY()), 0, 2))"),134.55)</f>
        <v>134.55</v>
      </c>
      <c r="I527" s="9">
        <f>IFERROR(__xludf.DUMMYFUNCTION("MIN(INDEX(GOOGLEFINANCE(A527, ""low"", TODAY()-30, TODAY()), 0, 2))"),123.51)</f>
        <v>123.51</v>
      </c>
      <c r="J527" s="9">
        <f>IFERROR(__xludf.DUMMYFUNCTION("GOOGLEFINANCE(A527, ""high52"")"),189.5)</f>
        <v>189.5</v>
      </c>
      <c r="K527" s="9">
        <f>IFERROR(__xludf.DUMMYFUNCTION("GOOGLEFINANCE(A527, ""low52"")"),114.5)</f>
        <v>114.5</v>
      </c>
      <c r="L527" s="9">
        <f t="shared" si="1"/>
        <v>0.3327176781</v>
      </c>
      <c r="M527" s="9">
        <f t="shared" si="2"/>
        <v>0.1043668122</v>
      </c>
      <c r="N527" s="9">
        <f t="shared" si="3"/>
        <v>0.02870318836</v>
      </c>
      <c r="O527" s="9">
        <f t="shared" si="4"/>
        <v>0.2663043478</v>
      </c>
      <c r="P527" s="9">
        <f>IFERROR(__xludf.DUMMYFUNCTION("GOOGLEFINANCE(A527, ""pe"")"),19.98)</f>
        <v>19.98</v>
      </c>
      <c r="Q527" s="9">
        <f>IFERROR(__xludf.DUMMYFUNCTION("IFERROR(GOOGLEFINANCE(A527, ""volume"") / GOOGLEFINANCE(A527, ""volumeavg""), 0)"),0.0)</f>
        <v>0</v>
      </c>
      <c r="R527" s="9">
        <f>IFERROR(__xludf.DUMMYFUNCTION("AVERAGE(INDEX(GOOGLEFINANCE(A527, ""price"", TODAY()-30, TODAY()), 0, 2))"),128.74043478260867)</f>
        <v>128.7404348</v>
      </c>
      <c r="S527" s="9">
        <f>IFERROR(__xludf.DUMMYFUNCTION("AVERAGE(INDEX(GOOGLEFINANCE(A527, ""price"", TODAY()-75, TODAY()), 0, 2))"),132.21320754716984)</f>
        <v>132.2132075</v>
      </c>
      <c r="T527" s="9">
        <f>IFERROR(__xludf.DUMMYFUNCTION("AVERAGE(INDEX(GOOGLEFINANCE(A527, ""price"", TODAY()-300, TODAY()), 0, 2))"),147.58084158415843)</f>
        <v>147.5808416</v>
      </c>
      <c r="U527" s="9">
        <f t="shared" si="5"/>
        <v>-0.01779110647</v>
      </c>
      <c r="V527" s="15">
        <f>IFERROR(__xludf.DUMMYFUNCTION("LET(hist, GOOGLEFINANCE(A527,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rs))))))"),51.87436676798381)</f>
        <v>51.87436677</v>
      </c>
      <c r="W527" s="16" t="str">
        <f>IFERROR(__xludf.DUMMYFUNCTION("IFERROR(GOOGLEFINANCE(A527, ""volume"") / GOOGLEFINANCE(A527, ""volumeavg""), )"),"")</f>
        <v/>
      </c>
      <c r="X527" s="9">
        <f>IFERROR(__xludf.DUMMYFUNCTION("B527 * GOOGLEFINANCE(A527, ""volume"")"),1.766294064E8)</f>
        <v>176629406.4</v>
      </c>
      <c r="Y527" s="9">
        <f>IFERROR(__xludf.DUMMYFUNCTION("IFERROR(((B527 - GOOGLEFINANCE(A527, ""priceopen"")) / GOOGLEFINANCE(A527, ""priceopen"")) * GOOGLEFINANCE(A527, ""volume""), 0)"),-18422.39800218493)</f>
        <v>-18422.398</v>
      </c>
    </row>
    <row r="528">
      <c r="A528" s="4" t="s">
        <v>2321</v>
      </c>
      <c r="B528" s="7">
        <f>IFERROR(__xludf.DUMMYFUNCTION("GOOGLEFINANCE(A528, ""price"")"),1649.8)</f>
        <v>1649.8</v>
      </c>
      <c r="C528" s="7">
        <f>IFERROR(__xludf.DUMMYFUNCTION("GOOGLEFINANCE(A528, ""changepct"")"),4.0)</f>
        <v>4</v>
      </c>
      <c r="D528" s="9">
        <f>IFERROR(__xludf.DUMMYFUNCTION("GOOGLEFINANCE(A528, ""priceopen"")"),1586.0)</f>
        <v>1586</v>
      </c>
      <c r="E528" s="9">
        <f>IFERROR(__xludf.DUMMYFUNCTION("GOOGLEFINANCE(A528, ""high"")"),1699.0)</f>
        <v>1699</v>
      </c>
      <c r="F528" s="9">
        <f>IFERROR(__xludf.DUMMYFUNCTION("GOOGLEFINANCE(A528, ""low"")"),1586.0)</f>
        <v>1586</v>
      </c>
      <c r="G528" s="9">
        <f>IFERROR(__xludf.DUMMYFUNCTION("GOOGLEFINANCE(A528, ""price"")"),1649.8)</f>
        <v>1649.8</v>
      </c>
      <c r="H528" s="9">
        <f>IFERROR(__xludf.DUMMYFUNCTION("MAX(INDEX(GOOGLEFINANCE(A528, ""high"", TODAY()-30, TODAY()), 0, 2))"),1813.0)</f>
        <v>1813</v>
      </c>
      <c r="I528" s="9">
        <f>IFERROR(__xludf.DUMMYFUNCTION("MIN(INDEX(GOOGLEFINANCE(A528, ""low"", TODAY()-30, TODAY()), 0, 2))"),1493.0)</f>
        <v>1493</v>
      </c>
      <c r="J528" s="9">
        <f>IFERROR(__xludf.DUMMYFUNCTION("GOOGLEFINANCE(A528, ""high52"")"),2152.6)</f>
        <v>2152.6</v>
      </c>
      <c r="K528" s="9">
        <f>IFERROR(__xludf.DUMMYFUNCTION("GOOGLEFINANCE(A528, ""low52"")"),707.6)</f>
        <v>707.6</v>
      </c>
      <c r="L528" s="9">
        <f t="shared" si="1"/>
        <v>0.2335779987</v>
      </c>
      <c r="M528" s="9">
        <f t="shared" si="2"/>
        <v>1.331543245</v>
      </c>
      <c r="N528" s="9">
        <f t="shared" si="3"/>
        <v>0.07124842371</v>
      </c>
      <c r="O528" s="9">
        <f t="shared" si="4"/>
        <v>0.49</v>
      </c>
      <c r="P528" s="9">
        <f>IFERROR(__xludf.DUMMYFUNCTION("GOOGLEFINANCE(A528, ""pe"")"),28.67)</f>
        <v>28.67</v>
      </c>
      <c r="Q528" s="9">
        <f>IFERROR(__xludf.DUMMYFUNCTION("IFERROR(GOOGLEFINANCE(A528, ""volume"") / GOOGLEFINANCE(A528, ""volumeavg""), 0)"),0.0)</f>
        <v>0</v>
      </c>
      <c r="R528" s="9">
        <f>IFERROR(__xludf.DUMMYFUNCTION("AVERAGE(INDEX(GOOGLEFINANCE(A528, ""price"", TODAY()-30, TODAY()), 0, 2))"),1626.5521739130436)</f>
        <v>1626.552174</v>
      </c>
      <c r="S528" s="9">
        <f>IFERROR(__xludf.DUMMYFUNCTION("AVERAGE(INDEX(GOOGLEFINANCE(A528, ""price"", TODAY()-75, TODAY()), 0, 2))"),1757.1566037735854)</f>
        <v>1757.156604</v>
      </c>
      <c r="T528" s="9">
        <f>IFERROR(__xludf.DUMMYFUNCTION("AVERAGE(INDEX(GOOGLEFINANCE(A528, ""price"", TODAY()-300, TODAY()), 0, 2))"),1264.7131188118808)</f>
        <v>1264.713119</v>
      </c>
      <c r="U528" s="9">
        <f t="shared" si="5"/>
        <v>0.01429270236</v>
      </c>
      <c r="V528" s="15">
        <f>IFERROR(__xludf.DUMMYFUNCTION("LET(hist, GOOGLEFINANCE(A528,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rs))))))"),62.99913194444446)</f>
        <v>62.99913194</v>
      </c>
      <c r="W528" s="16" t="str">
        <f>IFERROR(__xludf.DUMMYFUNCTION("IFERROR(GOOGLEFINANCE(A528, ""volume"") / GOOGLEFINANCE(A528, ""volumeavg""), )"),"")</f>
        <v/>
      </c>
      <c r="X528" s="9">
        <f>IFERROR(__xludf.DUMMYFUNCTION("B528 * GOOGLEFINANCE(A528, ""volume"")"),3.6237857E8)</f>
        <v>362378570</v>
      </c>
      <c r="Y528" s="9">
        <f>IFERROR(__xludf.DUMMYFUNCTION("IFERROR(((B528 - GOOGLEFINANCE(A528, ""priceopen"")) / GOOGLEFINANCE(A528, ""priceopen"")) * GOOGLEFINANCE(A528, ""volume""), 0)"),8835.857503152578)</f>
        <v>8835.857503</v>
      </c>
    </row>
    <row r="529">
      <c r="A529" s="4" t="s">
        <v>2322</v>
      </c>
      <c r="B529" s="7">
        <f>IFERROR(__xludf.DUMMYFUNCTION("GOOGLEFINANCE(A529, ""price"")"),684.95)</f>
        <v>684.95</v>
      </c>
      <c r="C529" s="7">
        <f>IFERROR(__xludf.DUMMYFUNCTION("GOOGLEFINANCE(A529, ""changepct"")"),-2.35)</f>
        <v>-2.35</v>
      </c>
      <c r="D529" s="9">
        <f>IFERROR(__xludf.DUMMYFUNCTION("GOOGLEFINANCE(A529, ""priceopen"")"),701.45)</f>
        <v>701.45</v>
      </c>
      <c r="E529" s="9">
        <f>IFERROR(__xludf.DUMMYFUNCTION("GOOGLEFINANCE(A529, ""high"")"),710.0)</f>
        <v>710</v>
      </c>
      <c r="F529" s="9">
        <f>IFERROR(__xludf.DUMMYFUNCTION("GOOGLEFINANCE(A529, ""low"")"),666.4)</f>
        <v>666.4</v>
      </c>
      <c r="G529" s="9">
        <f>IFERROR(__xludf.DUMMYFUNCTION("GOOGLEFINANCE(A529, ""price"")"),684.95)</f>
        <v>684.95</v>
      </c>
      <c r="H529" s="9">
        <f>IFERROR(__xludf.DUMMYFUNCTION("MAX(INDEX(GOOGLEFINANCE(A529, ""high"", TODAY()-30, TODAY()), 0, 2))"),721.5)</f>
        <v>721.5</v>
      </c>
      <c r="I529" s="9">
        <f>IFERROR(__xludf.DUMMYFUNCTION("MIN(INDEX(GOOGLEFINANCE(A529, ""low"", TODAY()-30, TODAY()), 0, 2))"),474.85)</f>
        <v>474.85</v>
      </c>
      <c r="J529" s="9">
        <f>IFERROR(__xludf.DUMMYFUNCTION("GOOGLEFINANCE(A529, ""high52"")"),721.5)</f>
        <v>721.5</v>
      </c>
      <c r="K529" s="9">
        <f>IFERROR(__xludf.DUMMYFUNCTION("GOOGLEFINANCE(A529, ""low52"")"),140.1)</f>
        <v>140.1</v>
      </c>
      <c r="L529" s="9">
        <f t="shared" si="1"/>
        <v>0.05065835066</v>
      </c>
      <c r="M529" s="9">
        <f t="shared" si="2"/>
        <v>3.889007852</v>
      </c>
      <c r="N529" s="9">
        <f t="shared" si="3"/>
        <v>0.06542617047</v>
      </c>
      <c r="O529" s="9">
        <f t="shared" si="4"/>
        <v>0.8518143118</v>
      </c>
      <c r="P529" s="9" t="str">
        <f>IFERROR(__xludf.DUMMYFUNCTION("GOOGLEFINANCE(A529, ""pe"")"),"#N/A")</f>
        <v>#N/A</v>
      </c>
      <c r="Q529" s="9">
        <f>IFERROR(__xludf.DUMMYFUNCTION("IFERROR(GOOGLEFINANCE(A529, ""volume"") / GOOGLEFINANCE(A529, ""volumeavg""), 0)"),0.0)</f>
        <v>0</v>
      </c>
      <c r="R529" s="9">
        <f>IFERROR(__xludf.DUMMYFUNCTION("AVERAGE(INDEX(GOOGLEFINANCE(A529, ""price"", TODAY()-30, TODAY()), 0, 2))"),605.5652173913044)</f>
        <v>605.5652174</v>
      </c>
      <c r="S529" s="9">
        <f>IFERROR(__xludf.DUMMYFUNCTION("AVERAGE(INDEX(GOOGLEFINANCE(A529, ""price"", TODAY()-75, TODAY()), 0, 2))"),550.5009433962264)</f>
        <v>550.5009434</v>
      </c>
      <c r="T529" s="9">
        <f>IFERROR(__xludf.DUMMYFUNCTION("AVERAGE(INDEX(GOOGLEFINANCE(A529, ""price"", TODAY()-300, TODAY()), 0, 2))"),358.53792000000004)</f>
        <v>358.53792</v>
      </c>
      <c r="U529" s="9">
        <f t="shared" si="5"/>
        <v>0.1310920448</v>
      </c>
      <c r="V529" s="15">
        <f>IFERROR(__xludf.DUMMYFUNCTION("LET(hist, GOOGLEFINANCE(A529,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rs))))))"),85.23836875358987)</f>
        <v>85.23836875</v>
      </c>
      <c r="W529" s="16" t="str">
        <f>IFERROR(__xludf.DUMMYFUNCTION("IFERROR(GOOGLEFINANCE(A529, ""volume"") / GOOGLEFINANCE(A529, ""volumeavg""), )"),"")</f>
        <v/>
      </c>
      <c r="X529" s="9">
        <f>IFERROR(__xludf.DUMMYFUNCTION("B529 * GOOGLEFINANCE(A529, ""volume"")"),1.9840056215E8)</f>
        <v>198400562.2</v>
      </c>
      <c r="Y529" s="9">
        <f>IFERROR(__xludf.DUMMYFUNCTION("IFERROR(((B529 - GOOGLEFINANCE(A529, ""priceopen"")) / GOOGLEFINANCE(A529, ""priceopen"")) * GOOGLEFINANCE(A529, ""volume""), 0)"),-6813.515574880605)</f>
        <v>-6813.515575</v>
      </c>
    </row>
    <row r="530">
      <c r="A530" s="4" t="s">
        <v>2323</v>
      </c>
      <c r="B530" s="7">
        <f>IFERROR(__xludf.DUMMYFUNCTION("GOOGLEFINANCE(A530, ""price"")"),125.0)</f>
        <v>125</v>
      </c>
      <c r="C530" s="7">
        <f>IFERROR(__xludf.DUMMYFUNCTION("GOOGLEFINANCE(A530, ""changepct"")"),-0.79)</f>
        <v>-0.79</v>
      </c>
      <c r="D530" s="9">
        <f>IFERROR(__xludf.DUMMYFUNCTION("GOOGLEFINANCE(A530, ""priceopen"")"),127.0)</f>
        <v>127</v>
      </c>
      <c r="E530" s="9">
        <f>IFERROR(__xludf.DUMMYFUNCTION("GOOGLEFINANCE(A530, ""high"")"),127.19)</f>
        <v>127.19</v>
      </c>
      <c r="F530" s="9">
        <f>IFERROR(__xludf.DUMMYFUNCTION("GOOGLEFINANCE(A530, ""low"")"),123.9)</f>
        <v>123.9</v>
      </c>
      <c r="G530" s="9">
        <f>IFERROR(__xludf.DUMMYFUNCTION("GOOGLEFINANCE(A530, ""price"")"),125.0)</f>
        <v>125</v>
      </c>
      <c r="H530" s="9">
        <f>IFERROR(__xludf.DUMMYFUNCTION("MAX(INDEX(GOOGLEFINANCE(A530, ""high"", TODAY()-30, TODAY()), 0, 2))"),134.76)</f>
        <v>134.76</v>
      </c>
      <c r="I530" s="9">
        <f>IFERROR(__xludf.DUMMYFUNCTION("MIN(INDEX(GOOGLEFINANCE(A530, ""low"", TODAY()-30, TODAY()), 0, 2))"),116.26)</f>
        <v>116.26</v>
      </c>
      <c r="J530" s="9">
        <f>IFERROR(__xludf.DUMMYFUNCTION("GOOGLEFINANCE(A530, ""high52"")"),160.27)</f>
        <v>160.27</v>
      </c>
      <c r="K530" s="9">
        <f>IFERROR(__xludf.DUMMYFUNCTION("GOOGLEFINANCE(A530, ""low52"")"),114.6)</f>
        <v>114.6</v>
      </c>
      <c r="L530" s="9">
        <f t="shared" si="1"/>
        <v>0.2200661384</v>
      </c>
      <c r="M530" s="9">
        <f t="shared" si="2"/>
        <v>0.0907504363</v>
      </c>
      <c r="N530" s="9">
        <f t="shared" si="3"/>
        <v>0.02655367232</v>
      </c>
      <c r="O530" s="9">
        <f t="shared" si="4"/>
        <v>0.4724324324</v>
      </c>
      <c r="P530" s="9">
        <f>IFERROR(__xludf.DUMMYFUNCTION("GOOGLEFINANCE(A530, ""pe"")"),21.93)</f>
        <v>21.93</v>
      </c>
      <c r="Q530" s="9">
        <f>IFERROR(__xludf.DUMMYFUNCTION("IFERROR(GOOGLEFINANCE(A530, ""volume"") / GOOGLEFINANCE(A530, ""volumeavg""), 0)"),0.0)</f>
        <v>0</v>
      </c>
      <c r="R530" s="9">
        <f>IFERROR(__xludf.DUMMYFUNCTION("AVERAGE(INDEX(GOOGLEFINANCE(A530, ""price"", TODAY()-30, TODAY()), 0, 2))"),126.07782608695653)</f>
        <v>126.0778261</v>
      </c>
      <c r="S530" s="9">
        <f>IFERROR(__xludf.DUMMYFUNCTION("AVERAGE(INDEX(GOOGLEFINANCE(A530, ""price"", TODAY()-75, TODAY()), 0, 2))"),124.21830188679245)</f>
        <v>124.2183019</v>
      </c>
      <c r="T530" s="9">
        <f>IFERROR(__xludf.DUMMYFUNCTION("AVERAGE(INDEX(GOOGLEFINANCE(A530, ""price"", TODAY()-300, TODAY()), 0, 2))"),130.0581094527363)</f>
        <v>130.0581095</v>
      </c>
      <c r="U530" s="9">
        <f t="shared" si="5"/>
        <v>-0.00854889492</v>
      </c>
      <c r="V530" s="15">
        <f>IFERROR(__xludf.DUMMYFUNCTION("LET(hist, GOOGLEFINANCE(A530,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rs))))))"),57.90927021696253)</f>
        <v>57.90927022</v>
      </c>
      <c r="W530" s="16" t="str">
        <f>IFERROR(__xludf.DUMMYFUNCTION("IFERROR(GOOGLEFINANCE(A530, ""volume"") / GOOGLEFINANCE(A530, ""volumeavg""), )"),"")</f>
        <v/>
      </c>
      <c r="X530" s="9">
        <f>IFERROR(__xludf.DUMMYFUNCTION("B530 * GOOGLEFINANCE(A530, ""volume"")"),3.04533375E8)</f>
        <v>304533375</v>
      </c>
      <c r="Y530" s="9">
        <f>IFERROR(__xludf.DUMMYFUNCTION("IFERROR(((B530 - GOOGLEFINANCE(A530, ""priceopen"")) / GOOGLEFINANCE(A530, ""priceopen"")) * GOOGLEFINANCE(A530, ""volume""), 0)"),-38366.4094488189)</f>
        <v>-38366.40945</v>
      </c>
    </row>
    <row r="531">
      <c r="A531" s="4" t="s">
        <v>2324</v>
      </c>
      <c r="B531" s="7">
        <f>IFERROR(__xludf.DUMMYFUNCTION("GOOGLEFINANCE(A531, ""price"")"),741.7)</f>
        <v>741.7</v>
      </c>
      <c r="C531" s="7">
        <f>IFERROR(__xludf.DUMMYFUNCTION("GOOGLEFINANCE(A531, ""changepct"")"),-1.28)</f>
        <v>-1.28</v>
      </c>
      <c r="D531" s="9">
        <f>IFERROR(__xludf.DUMMYFUNCTION("GOOGLEFINANCE(A531, ""priceopen"")"),755.8)</f>
        <v>755.8</v>
      </c>
      <c r="E531" s="9">
        <f>IFERROR(__xludf.DUMMYFUNCTION("GOOGLEFINANCE(A531, ""high"")"),760.0)</f>
        <v>760</v>
      </c>
      <c r="F531" s="9">
        <f>IFERROR(__xludf.DUMMYFUNCTION("GOOGLEFINANCE(A531, ""low"")"),739.9)</f>
        <v>739.9</v>
      </c>
      <c r="G531" s="9">
        <f>IFERROR(__xludf.DUMMYFUNCTION("GOOGLEFINANCE(A531, ""price"")"),741.7)</f>
        <v>741.7</v>
      </c>
      <c r="H531" s="9">
        <f>IFERROR(__xludf.DUMMYFUNCTION("MAX(INDEX(GOOGLEFINANCE(A531, ""high"", TODAY()-30, TODAY()), 0, 2))"),763.5)</f>
        <v>763.5</v>
      </c>
      <c r="I531" s="9">
        <f>IFERROR(__xludf.DUMMYFUNCTION("MIN(INDEX(GOOGLEFINANCE(A531, ""low"", TODAY()-30, TODAY()), 0, 2))"),550.05)</f>
        <v>550.05</v>
      </c>
      <c r="J531" s="9">
        <f>IFERROR(__xludf.DUMMYFUNCTION("GOOGLEFINANCE(A531, ""high52"")"),763.5)</f>
        <v>763.5</v>
      </c>
      <c r="K531" s="9">
        <f>IFERROR(__xludf.DUMMYFUNCTION("GOOGLEFINANCE(A531, ""low52"")"),460.15)</f>
        <v>460.15</v>
      </c>
      <c r="L531" s="9">
        <f t="shared" si="1"/>
        <v>0.02855271775</v>
      </c>
      <c r="M531" s="9">
        <f t="shared" si="2"/>
        <v>0.611865696</v>
      </c>
      <c r="N531" s="9">
        <f t="shared" si="3"/>
        <v>0.02716583322</v>
      </c>
      <c r="O531" s="9">
        <f t="shared" si="4"/>
        <v>0.8978683532</v>
      </c>
      <c r="P531" s="9">
        <f>IFERROR(__xludf.DUMMYFUNCTION("GOOGLEFINANCE(A531, ""pe"")"),127.6)</f>
        <v>127.6</v>
      </c>
      <c r="Q531" s="9">
        <f>IFERROR(__xludf.DUMMYFUNCTION("IFERROR(GOOGLEFINANCE(A531, ""volume"") / GOOGLEFINANCE(A531, ""volumeavg""), 0)"),0.0)</f>
        <v>0</v>
      </c>
      <c r="R531" s="9">
        <f>IFERROR(__xludf.DUMMYFUNCTION("AVERAGE(INDEX(GOOGLEFINANCE(A531, ""price"", TODAY()-30, TODAY()), 0, 2))"),636.0760869565217)</f>
        <v>636.076087</v>
      </c>
      <c r="S531" s="9">
        <f>IFERROR(__xludf.DUMMYFUNCTION("AVERAGE(INDEX(GOOGLEFINANCE(A531, ""price"", TODAY()-75, TODAY()), 0, 2))"),598.1707547169813)</f>
        <v>598.1707547</v>
      </c>
      <c r="T531" s="9">
        <f>IFERROR(__xludf.DUMMYFUNCTION("AVERAGE(INDEX(GOOGLEFINANCE(A531, ""price"", TODAY()-300, TODAY()), 0, 2))"),554.9646039603958)</f>
        <v>554.964604</v>
      </c>
      <c r="U531" s="9">
        <f t="shared" si="5"/>
        <v>0.1660554692</v>
      </c>
      <c r="V531" s="15">
        <f>IFERROR(__xludf.DUMMYFUNCTION("LET(hist, GOOGLEFINANCE(A531,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rs))))))"),85.30585106382975)</f>
        <v>85.30585106</v>
      </c>
      <c r="W531" s="16" t="str">
        <f>IFERROR(__xludf.DUMMYFUNCTION("IFERROR(GOOGLEFINANCE(A531, ""volume"") / GOOGLEFINANCE(A531, ""volumeavg""), )"),"")</f>
        <v/>
      </c>
      <c r="X531" s="9">
        <f>IFERROR(__xludf.DUMMYFUNCTION("B531 * GOOGLEFINANCE(A531, ""volume"")"),7.256192023000001E8)</f>
        <v>725619202.3</v>
      </c>
      <c r="Y531" s="9">
        <f>IFERROR(__xludf.DUMMYFUNCTION("IFERROR(((B531 - GOOGLEFINANCE(A531, ""priceopen"")) / GOOGLEFINANCE(A531, ""priceopen"")) * GOOGLEFINANCE(A531, ""volume""), 0)"),-18251.254167769133)</f>
        <v>-18251.25417</v>
      </c>
    </row>
    <row r="532">
      <c r="A532" s="4" t="s">
        <v>2325</v>
      </c>
      <c r="B532" s="7">
        <f>IFERROR(__xludf.DUMMYFUNCTION("GOOGLEFINANCE(A532, ""price"")"),717.2)</f>
        <v>717.2</v>
      </c>
      <c r="C532" s="7">
        <f>IFERROR(__xludf.DUMMYFUNCTION("GOOGLEFINANCE(A532, ""changepct"")"),-2.17)</f>
        <v>-2.17</v>
      </c>
      <c r="D532" s="9">
        <f>IFERROR(__xludf.DUMMYFUNCTION("GOOGLEFINANCE(A532, ""priceopen"")"),733.1)</f>
        <v>733.1</v>
      </c>
      <c r="E532" s="9">
        <f>IFERROR(__xludf.DUMMYFUNCTION("GOOGLEFINANCE(A532, ""high"")"),738.2)</f>
        <v>738.2</v>
      </c>
      <c r="F532" s="9">
        <f>IFERROR(__xludf.DUMMYFUNCTION("GOOGLEFINANCE(A532, ""low"")"),714.3)</f>
        <v>714.3</v>
      </c>
      <c r="G532" s="9">
        <f>IFERROR(__xludf.DUMMYFUNCTION("GOOGLEFINANCE(A532, ""price"")"),717.2)</f>
        <v>717.2</v>
      </c>
      <c r="H532" s="9">
        <f>IFERROR(__xludf.DUMMYFUNCTION("MAX(INDEX(GOOGLEFINANCE(A532, ""high"", TODAY()-30, TODAY()), 0, 2))"),795.0)</f>
        <v>795</v>
      </c>
      <c r="I532" s="9">
        <f>IFERROR(__xludf.DUMMYFUNCTION("MIN(INDEX(GOOGLEFINANCE(A532, ""low"", TODAY()-30, TODAY()), 0, 2))"),714.05)</f>
        <v>714.05</v>
      </c>
      <c r="J532" s="9">
        <f>IFERROR(__xludf.DUMMYFUNCTION("GOOGLEFINANCE(A532, ""high52"")"),795.0)</f>
        <v>795</v>
      </c>
      <c r="K532" s="9">
        <f>IFERROR(__xludf.DUMMYFUNCTION("GOOGLEFINANCE(A532, ""low52"")"),537.3)</f>
        <v>537.3</v>
      </c>
      <c r="L532" s="9">
        <f t="shared" si="1"/>
        <v>0.09786163522</v>
      </c>
      <c r="M532" s="9">
        <f t="shared" si="2"/>
        <v>0.3348222594</v>
      </c>
      <c r="N532" s="9">
        <f t="shared" si="3"/>
        <v>0.03345933081</v>
      </c>
      <c r="O532" s="9">
        <f t="shared" si="4"/>
        <v>0.0389129092</v>
      </c>
      <c r="P532" s="9">
        <f>IFERROR(__xludf.DUMMYFUNCTION("GOOGLEFINANCE(A532, ""pe"")"),36.93)</f>
        <v>36.93</v>
      </c>
      <c r="Q532" s="9">
        <f>IFERROR(__xludf.DUMMYFUNCTION("IFERROR(GOOGLEFINANCE(A532, ""volume"") / GOOGLEFINANCE(A532, ""volumeavg""), 0)"),0.0)</f>
        <v>0</v>
      </c>
      <c r="R532" s="9">
        <f>IFERROR(__xludf.DUMMYFUNCTION("AVERAGE(INDEX(GOOGLEFINANCE(A532, ""price"", TODAY()-30, TODAY()), 0, 2))"),740.1065217391306)</f>
        <v>740.1065217</v>
      </c>
      <c r="S532" s="9">
        <f>IFERROR(__xludf.DUMMYFUNCTION("AVERAGE(INDEX(GOOGLEFINANCE(A532, ""price"", TODAY()-75, TODAY()), 0, 2))"),686.3952830188676)</f>
        <v>686.395283</v>
      </c>
      <c r="T532" s="9">
        <f>IFERROR(__xludf.DUMMYFUNCTION("AVERAGE(INDEX(GOOGLEFINANCE(A532, ""price"", TODAY()-300, TODAY()), 0, 2))"),672.2517326732678)</f>
        <v>672.2517327</v>
      </c>
      <c r="U532" s="9">
        <f t="shared" si="5"/>
        <v>-0.03095030386</v>
      </c>
      <c r="V532" s="15">
        <f>IFERROR(__xludf.DUMMYFUNCTION("LET(hist, GOOGLEFINANCE(A532,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rs))))))"),41.63525659611485)</f>
        <v>41.6352566</v>
      </c>
      <c r="W532" s="16" t="str">
        <f>IFERROR(__xludf.DUMMYFUNCTION("IFERROR(GOOGLEFINANCE(A532, ""volume"") / GOOGLEFINANCE(A532, ""volumeavg""), )"),"")</f>
        <v/>
      </c>
      <c r="X532" s="9">
        <f>IFERROR(__xludf.DUMMYFUNCTION("B532 * GOOGLEFINANCE(A532, ""volume"")"),1.824714584E8)</f>
        <v>182471458.4</v>
      </c>
      <c r="Y532" s="9">
        <f>IFERROR(__xludf.DUMMYFUNCTION("IFERROR(((B532 - GOOGLEFINANCE(A532, ""priceopen"")) / GOOGLEFINANCE(A532, ""priceopen"")) * GOOGLEFINANCE(A532, ""volume""), 0)"),-5518.087300504698)</f>
        <v>-5518.087301</v>
      </c>
    </row>
    <row r="533">
      <c r="A533" s="4" t="s">
        <v>2326</v>
      </c>
      <c r="B533" s="7">
        <f>IFERROR(__xludf.DUMMYFUNCTION("GOOGLEFINANCE(A533, ""price"")"),309.7)</f>
        <v>309.7</v>
      </c>
      <c r="C533" s="7">
        <f>IFERROR(__xludf.DUMMYFUNCTION("GOOGLEFINANCE(A533, ""changepct"")"),11.02)</f>
        <v>11.02</v>
      </c>
      <c r="D533" s="9">
        <f>IFERROR(__xludf.DUMMYFUNCTION("GOOGLEFINANCE(A533, ""priceopen"")"),280.0)</f>
        <v>280</v>
      </c>
      <c r="E533" s="9">
        <f>IFERROR(__xludf.DUMMYFUNCTION("GOOGLEFINANCE(A533, ""high"")"),320.0)</f>
        <v>320</v>
      </c>
      <c r="F533" s="9">
        <f>IFERROR(__xludf.DUMMYFUNCTION("GOOGLEFINANCE(A533, ""low"")"),277.45)</f>
        <v>277.45</v>
      </c>
      <c r="G533" s="9">
        <f>IFERROR(__xludf.DUMMYFUNCTION("GOOGLEFINANCE(A533, ""price"")"),309.7)</f>
        <v>309.7</v>
      </c>
      <c r="H533" s="9">
        <f>IFERROR(__xludf.DUMMYFUNCTION("MAX(INDEX(GOOGLEFINANCE(A533, ""high"", TODAY()-30, TODAY()), 0, 2))"),320.0)</f>
        <v>320</v>
      </c>
      <c r="I533" s="9">
        <f>IFERROR(__xludf.DUMMYFUNCTION("MIN(INDEX(GOOGLEFINANCE(A533, ""low"", TODAY()-30, TODAY()), 0, 2))"),239.65)</f>
        <v>239.65</v>
      </c>
      <c r="J533" s="9">
        <f>IFERROR(__xludf.DUMMYFUNCTION("GOOGLEFINANCE(A533, ""high52"")"),320.0)</f>
        <v>320</v>
      </c>
      <c r="K533" s="9">
        <f>IFERROR(__xludf.DUMMYFUNCTION("GOOGLEFINANCE(A533, ""low52"")"),155.0)</f>
        <v>155</v>
      </c>
      <c r="L533" s="9">
        <f t="shared" si="1"/>
        <v>0.0321875</v>
      </c>
      <c r="M533" s="9">
        <f t="shared" si="2"/>
        <v>0.9980645161</v>
      </c>
      <c r="N533" s="9">
        <f t="shared" si="3"/>
        <v>0.1533609659</v>
      </c>
      <c r="O533" s="9">
        <f t="shared" si="4"/>
        <v>0.8718108276</v>
      </c>
      <c r="P533" s="9">
        <f>IFERROR(__xludf.DUMMYFUNCTION("GOOGLEFINANCE(A533, ""pe"")"),33.6)</f>
        <v>33.6</v>
      </c>
      <c r="Q533" s="9">
        <f>IFERROR(__xludf.DUMMYFUNCTION("IFERROR(GOOGLEFINANCE(A533, ""volume"") / GOOGLEFINANCE(A533, ""volumeavg""), 0)"),0.0)</f>
        <v>0</v>
      </c>
      <c r="R533" s="9">
        <f>IFERROR(__xludf.DUMMYFUNCTION("AVERAGE(INDEX(GOOGLEFINANCE(A533, ""price"", TODAY()-30, TODAY()), 0, 2))"),266.23478260869564)</f>
        <v>266.2347826</v>
      </c>
      <c r="S533" s="9">
        <f>IFERROR(__xludf.DUMMYFUNCTION("AVERAGE(INDEX(GOOGLEFINANCE(A533, ""price"", TODAY()-75, TODAY()), 0, 2))"),260.1273584905661)</f>
        <v>260.1273585</v>
      </c>
      <c r="T533" s="9">
        <f>IFERROR(__xludf.DUMMYFUNCTION("AVERAGE(INDEX(GOOGLEFINANCE(A533, ""price"", TODAY()-300, TODAY()), 0, 2))"),203.21980198019784)</f>
        <v>203.219802</v>
      </c>
      <c r="U533" s="9">
        <f t="shared" si="5"/>
        <v>0.1632589738</v>
      </c>
      <c r="V533" s="15">
        <f>IFERROR(__xludf.DUMMYFUNCTION("LET(hist, GOOGLEFINANCE(A533,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rs))))))"),86.74033149171271)</f>
        <v>86.74033149</v>
      </c>
      <c r="W533" s="16" t="str">
        <f>IFERROR(__xludf.DUMMYFUNCTION("IFERROR(GOOGLEFINANCE(A533, ""volume"") / GOOGLEFINANCE(A533, ""volumeavg""), )"),"")</f>
        <v/>
      </c>
      <c r="X533" s="9">
        <f>IFERROR(__xludf.DUMMYFUNCTION("B533 * GOOGLEFINANCE(A533, ""volume"")"),1.48067285076E10)</f>
        <v>14806728508</v>
      </c>
      <c r="Y533" s="9">
        <f>IFERROR(__xludf.DUMMYFUNCTION("IFERROR(((B533 - GOOGLEFINANCE(A533, ""priceopen"")) / GOOGLEFINANCE(A533, ""priceopen"")) * GOOGLEFINANCE(A533, ""volume""), 0)"),5071265.241428569)</f>
        <v>5071265.241</v>
      </c>
    </row>
    <row r="534">
      <c r="A534" s="4" t="s">
        <v>2327</v>
      </c>
      <c r="B534" s="7">
        <f>IFERROR(__xludf.DUMMYFUNCTION("GOOGLEFINANCE(A534, ""price"")"),129.52)</f>
        <v>129.52</v>
      </c>
      <c r="C534" s="7">
        <f>IFERROR(__xludf.DUMMYFUNCTION("GOOGLEFINANCE(A534, ""changepct"")"),2.66)</f>
        <v>2.66</v>
      </c>
      <c r="D534" s="9">
        <f>IFERROR(__xludf.DUMMYFUNCTION("GOOGLEFINANCE(A534, ""priceopen"")"),126.1)</f>
        <v>126.1</v>
      </c>
      <c r="E534" s="9">
        <f>IFERROR(__xludf.DUMMYFUNCTION("GOOGLEFINANCE(A534, ""high"")"),130.13)</f>
        <v>130.13</v>
      </c>
      <c r="F534" s="9">
        <f>IFERROR(__xludf.DUMMYFUNCTION("GOOGLEFINANCE(A534, ""low"")"),126.1)</f>
        <v>126.1</v>
      </c>
      <c r="G534" s="9">
        <f>IFERROR(__xludf.DUMMYFUNCTION("GOOGLEFINANCE(A534, ""price"")"),129.52)</f>
        <v>129.52</v>
      </c>
      <c r="H534" s="9">
        <f>IFERROR(__xludf.DUMMYFUNCTION("MAX(INDEX(GOOGLEFINANCE(A534, ""high"", TODAY()-30, TODAY()), 0, 2))"),131.65)</f>
        <v>131.65</v>
      </c>
      <c r="I534" s="9">
        <f>IFERROR(__xludf.DUMMYFUNCTION("MIN(INDEX(GOOGLEFINANCE(A534, ""low"", TODAY()-30, TODAY()), 0, 2))"),117.7)</f>
        <v>117.7</v>
      </c>
      <c r="J534" s="9">
        <f>IFERROR(__xludf.DUMMYFUNCTION("GOOGLEFINANCE(A534, ""high52"")"),199.8)</f>
        <v>199.8</v>
      </c>
      <c r="K534" s="9">
        <f>IFERROR(__xludf.DUMMYFUNCTION("GOOGLEFINANCE(A534, ""low52"")"),112.0)</f>
        <v>112</v>
      </c>
      <c r="L534" s="9">
        <f t="shared" si="1"/>
        <v>0.3517517518</v>
      </c>
      <c r="M534" s="9">
        <f t="shared" si="2"/>
        <v>0.1564285714</v>
      </c>
      <c r="N534" s="9">
        <f t="shared" si="3"/>
        <v>0.03195876289</v>
      </c>
      <c r="O534" s="9">
        <f t="shared" si="4"/>
        <v>0.847311828</v>
      </c>
      <c r="P534" s="9">
        <f>IFERROR(__xludf.DUMMYFUNCTION("GOOGLEFINANCE(A534, ""pe"")"),11.92)</f>
        <v>11.92</v>
      </c>
      <c r="Q534" s="9">
        <f>IFERROR(__xludf.DUMMYFUNCTION("IFERROR(GOOGLEFINANCE(A534, ""volume"") / GOOGLEFINANCE(A534, ""volumeavg""), 0)"),0.0)</f>
        <v>0</v>
      </c>
      <c r="R534" s="9">
        <f>IFERROR(__xludf.DUMMYFUNCTION("AVERAGE(INDEX(GOOGLEFINANCE(A534, ""price"", TODAY()-30, TODAY()), 0, 2))"),124.64130434782611)</f>
        <v>124.6413043</v>
      </c>
      <c r="S534" s="9">
        <f>IFERROR(__xludf.DUMMYFUNCTION("AVERAGE(INDEX(GOOGLEFINANCE(A534, ""price"", TODAY()-75, TODAY()), 0, 2))"),124.65905660377358)</f>
        <v>124.6590566</v>
      </c>
      <c r="T534" s="9">
        <f>IFERROR(__xludf.DUMMYFUNCTION("AVERAGE(INDEX(GOOGLEFINANCE(A534, ""price"", TODAY()-300, TODAY()), 0, 2))"),135.18752475247516)</f>
        <v>135.1875248</v>
      </c>
      <c r="U534" s="9">
        <f t="shared" si="5"/>
        <v>0.03914188541</v>
      </c>
      <c r="V534" s="15">
        <f>IFERROR(__xludf.DUMMYFUNCTION("LET(hist, GOOGLEFINANCE(A534,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rs))))))"),65.1662611516626)</f>
        <v>65.16626115</v>
      </c>
      <c r="W534" s="16" t="str">
        <f>IFERROR(__xludf.DUMMYFUNCTION("IFERROR(GOOGLEFINANCE(A534, ""volume"") / GOOGLEFINANCE(A534, ""volumeavg""), )"),"")</f>
        <v/>
      </c>
      <c r="X534" s="9">
        <f>IFERROR(__xludf.DUMMYFUNCTION("B534 * GOOGLEFINANCE(A534, ""volume"")"),5.4681932232E8)</f>
        <v>546819322.3</v>
      </c>
      <c r="Y534" s="9">
        <f>IFERROR(__xludf.DUMMYFUNCTION("IFERROR(((B534 - GOOGLEFINANCE(A534, ""priceopen"")) / GOOGLEFINANCE(A534, ""priceopen"")) * GOOGLEFINANCE(A534, ""volume""), 0)"),114503.30864393394)</f>
        <v>114503.3086</v>
      </c>
    </row>
    <row r="535">
      <c r="A535" s="4" t="s">
        <v>2328</v>
      </c>
      <c r="B535" s="7">
        <f>IFERROR(__xludf.DUMMYFUNCTION("GOOGLEFINANCE(A535, ""price"")"),392.0)</f>
        <v>392</v>
      </c>
      <c r="C535" s="7">
        <f>IFERROR(__xludf.DUMMYFUNCTION("GOOGLEFINANCE(A535, ""changepct"")"),-0.67)</f>
        <v>-0.67</v>
      </c>
      <c r="D535" s="9">
        <f>IFERROR(__xludf.DUMMYFUNCTION("GOOGLEFINANCE(A535, ""priceopen"")"),395.95)</f>
        <v>395.95</v>
      </c>
      <c r="E535" s="9">
        <f>IFERROR(__xludf.DUMMYFUNCTION("GOOGLEFINANCE(A535, ""high"")"),398.95)</f>
        <v>398.95</v>
      </c>
      <c r="F535" s="9">
        <f>IFERROR(__xludf.DUMMYFUNCTION("GOOGLEFINANCE(A535, ""low"")"),382.7)</f>
        <v>382.7</v>
      </c>
      <c r="G535" s="9">
        <f>IFERROR(__xludf.DUMMYFUNCTION("GOOGLEFINANCE(A535, ""price"")"),392.0)</f>
        <v>392</v>
      </c>
      <c r="H535" s="9">
        <f>IFERROR(__xludf.DUMMYFUNCTION("MAX(INDEX(GOOGLEFINANCE(A535, ""high"", TODAY()-30, TODAY()), 0, 2))"),424.8)</f>
        <v>424.8</v>
      </c>
      <c r="I535" s="9">
        <f>IFERROR(__xludf.DUMMYFUNCTION("MIN(INDEX(GOOGLEFINANCE(A535, ""low"", TODAY()-30, TODAY()), 0, 2))"),353.5)</f>
        <v>353.5</v>
      </c>
      <c r="J535" s="9">
        <f>IFERROR(__xludf.DUMMYFUNCTION("GOOGLEFINANCE(A535, ""high52"")"),424.8)</f>
        <v>424.8</v>
      </c>
      <c r="K535" s="9">
        <f>IFERROR(__xludf.DUMMYFUNCTION("GOOGLEFINANCE(A535, ""low52"")"),172.0)</f>
        <v>172</v>
      </c>
      <c r="L535" s="9">
        <f t="shared" si="1"/>
        <v>0.07721280603</v>
      </c>
      <c r="M535" s="9">
        <f t="shared" si="2"/>
        <v>1.279069767</v>
      </c>
      <c r="N535" s="9">
        <f t="shared" si="3"/>
        <v>0.04246145806</v>
      </c>
      <c r="O535" s="9">
        <f t="shared" si="4"/>
        <v>0.5399719495</v>
      </c>
      <c r="P535" s="9">
        <f>IFERROR(__xludf.DUMMYFUNCTION("GOOGLEFINANCE(A535, ""pe"")"),38.39)</f>
        <v>38.39</v>
      </c>
      <c r="Q535" s="9">
        <f>IFERROR(__xludf.DUMMYFUNCTION("IFERROR(GOOGLEFINANCE(A535, ""volume"") / GOOGLEFINANCE(A535, ""volumeavg""), 0)"),0.0)</f>
        <v>0</v>
      </c>
      <c r="R535" s="9">
        <f>IFERROR(__xludf.DUMMYFUNCTION("AVERAGE(INDEX(GOOGLEFINANCE(A535, ""price"", TODAY()-30, TODAY()), 0, 2))"),382.38913043478266)</f>
        <v>382.3891304</v>
      </c>
      <c r="S535" s="9">
        <f>IFERROR(__xludf.DUMMYFUNCTION("AVERAGE(INDEX(GOOGLEFINANCE(A535, ""price"", TODAY()-75, TODAY()), 0, 2))"),350.3122641509434)</f>
        <v>350.3122642</v>
      </c>
      <c r="T535" s="9">
        <f>IFERROR(__xludf.DUMMYFUNCTION("AVERAGE(INDEX(GOOGLEFINANCE(A535, ""price"", TODAY()-300, TODAY()), 0, 2))"),260.42681564245805)</f>
        <v>260.4268156</v>
      </c>
      <c r="U535" s="9">
        <f t="shared" si="5"/>
        <v>0.02513374152</v>
      </c>
      <c r="V535" s="15">
        <f>IFERROR(__xludf.DUMMYFUNCTION("LET(hist, GOOGLEFINANCE(A535,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rs))))))"),57.36040609137057)</f>
        <v>57.36040609</v>
      </c>
      <c r="W535" s="16" t="str">
        <f>IFERROR(__xludf.DUMMYFUNCTION("IFERROR(GOOGLEFINANCE(A535, ""volume"") / GOOGLEFINANCE(A535, ""volumeavg""), )"),"")</f>
        <v/>
      </c>
      <c r="X535" s="9">
        <f>IFERROR(__xludf.DUMMYFUNCTION("B535 * GOOGLEFINANCE(A535, ""volume"")"),1.29868032E8)</f>
        <v>129868032</v>
      </c>
      <c r="Y535" s="9">
        <f>IFERROR(__xludf.DUMMYFUNCTION("IFERROR(((B535 - GOOGLEFINANCE(A535, ""priceopen"")) / GOOGLEFINANCE(A535, ""priceopen"")) * GOOGLEFINANCE(A535, ""volume""), 0)"),-3305.0112387927675)</f>
        <v>-3305.011239</v>
      </c>
    </row>
    <row r="536">
      <c r="A536" s="4" t="s">
        <v>2329</v>
      </c>
      <c r="B536" s="7">
        <f>IFERROR(__xludf.DUMMYFUNCTION("GOOGLEFINANCE(A536, ""price"")"),915.0)</f>
        <v>915</v>
      </c>
      <c r="C536" s="7">
        <f>IFERROR(__xludf.DUMMYFUNCTION("GOOGLEFINANCE(A536, ""changepct"")"),1.02)</f>
        <v>1.02</v>
      </c>
      <c r="D536" s="9">
        <f>IFERROR(__xludf.DUMMYFUNCTION("GOOGLEFINANCE(A536, ""priceopen"")"),907.0)</f>
        <v>907</v>
      </c>
      <c r="E536" s="9">
        <f>IFERROR(__xludf.DUMMYFUNCTION("GOOGLEFINANCE(A536, ""high"")"),924.9)</f>
        <v>924.9</v>
      </c>
      <c r="F536" s="9">
        <f>IFERROR(__xludf.DUMMYFUNCTION("GOOGLEFINANCE(A536, ""low"")"),907.0)</f>
        <v>907</v>
      </c>
      <c r="G536" s="9">
        <f>IFERROR(__xludf.DUMMYFUNCTION("GOOGLEFINANCE(A536, ""price"")"),915.0)</f>
        <v>915</v>
      </c>
      <c r="H536" s="9">
        <f>IFERROR(__xludf.DUMMYFUNCTION("MAX(INDEX(GOOGLEFINANCE(A536, ""high"", TODAY()-30, TODAY()), 0, 2))"),1035.9)</f>
        <v>1035.9</v>
      </c>
      <c r="I536" s="9">
        <f>IFERROR(__xludf.DUMMYFUNCTION("MIN(INDEX(GOOGLEFINANCE(A536, ""low"", TODAY()-30, TODAY()), 0, 2))"),876.0)</f>
        <v>876</v>
      </c>
      <c r="J536" s="9">
        <f>IFERROR(__xludf.DUMMYFUNCTION("GOOGLEFINANCE(A536, ""high52"")"),1418.0)</f>
        <v>1418</v>
      </c>
      <c r="K536" s="9">
        <f>IFERROR(__xludf.DUMMYFUNCTION("GOOGLEFINANCE(A536, ""low52"")"),876.0)</f>
        <v>876</v>
      </c>
      <c r="L536" s="9">
        <f t="shared" si="1"/>
        <v>0.3547249647</v>
      </c>
      <c r="M536" s="9">
        <f t="shared" si="2"/>
        <v>0.04452054795</v>
      </c>
      <c r="N536" s="9">
        <f t="shared" si="3"/>
        <v>0.0197353914</v>
      </c>
      <c r="O536" s="9">
        <f t="shared" si="4"/>
        <v>0.243902439</v>
      </c>
      <c r="P536" s="9">
        <f>IFERROR(__xludf.DUMMYFUNCTION("GOOGLEFINANCE(A536, ""pe"")"),25.56)</f>
        <v>25.56</v>
      </c>
      <c r="Q536" s="9">
        <f>IFERROR(__xludf.DUMMYFUNCTION("IFERROR(GOOGLEFINANCE(A536, ""volume"") / GOOGLEFINANCE(A536, ""volumeavg""), 0)"),0.0)</f>
        <v>0</v>
      </c>
      <c r="R536" s="9">
        <f>IFERROR(__xludf.DUMMYFUNCTION("AVERAGE(INDEX(GOOGLEFINANCE(A536, ""price"", TODAY()-30, TODAY()), 0, 2))"),921.2608695652173)</f>
        <v>921.2608696</v>
      </c>
      <c r="S536" s="9">
        <f>IFERROR(__xludf.DUMMYFUNCTION("AVERAGE(INDEX(GOOGLEFINANCE(A536, ""price"", TODAY()-75, TODAY()), 0, 2))"),934.6226415094343)</f>
        <v>934.6226415</v>
      </c>
      <c r="T536" s="9">
        <f>IFERROR(__xludf.DUMMYFUNCTION("AVERAGE(INDEX(GOOGLEFINANCE(A536, ""price"", TODAY()-300, TODAY()), 0, 2))"),1032.7202970297033)</f>
        <v>1032.720297</v>
      </c>
      <c r="U536" s="9">
        <f t="shared" si="5"/>
        <v>-0.006795979046</v>
      </c>
      <c r="V536" s="15">
        <f>IFERROR(__xludf.DUMMYFUNCTION("LET(hist, GOOGLEFINANCE(A536,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rs))))))"),54.94131010980691)</f>
        <v>54.94131011</v>
      </c>
      <c r="W536" s="16" t="str">
        <f>IFERROR(__xludf.DUMMYFUNCTION("IFERROR(GOOGLEFINANCE(A536, ""volume"") / GOOGLEFINANCE(A536, ""volumeavg""), )"),"")</f>
        <v/>
      </c>
      <c r="X536" s="9">
        <f>IFERROR(__xludf.DUMMYFUNCTION("B536 * GOOGLEFINANCE(A536, ""volume"")"),1.7023575E8)</f>
        <v>170235750</v>
      </c>
      <c r="Y536" s="9">
        <f>IFERROR(__xludf.DUMMYFUNCTION("IFERROR(((B536 - GOOGLEFINANCE(A536, ""priceopen"")) / GOOGLEFINANCE(A536, ""priceopen"")) * GOOGLEFINANCE(A536, ""volume""), 0)"),1641.0143329658215)</f>
        <v>1641.014333</v>
      </c>
    </row>
    <row r="537">
      <c r="A537" s="4" t="s">
        <v>2330</v>
      </c>
      <c r="B537" s="7">
        <f>IFERROR(__xludf.DUMMYFUNCTION("GOOGLEFINANCE(A537, ""price"")"),494.5)</f>
        <v>494.5</v>
      </c>
      <c r="C537" s="7">
        <f>IFERROR(__xludf.DUMMYFUNCTION("GOOGLEFINANCE(A537, ""changepct"")"),-1.22)</f>
        <v>-1.22</v>
      </c>
      <c r="D537" s="9">
        <f>IFERROR(__xludf.DUMMYFUNCTION("GOOGLEFINANCE(A537, ""priceopen"")"),502.85)</f>
        <v>502.85</v>
      </c>
      <c r="E537" s="9">
        <f>IFERROR(__xludf.DUMMYFUNCTION("GOOGLEFINANCE(A537, ""high"")"),503.0)</f>
        <v>503</v>
      </c>
      <c r="F537" s="9">
        <f>IFERROR(__xludf.DUMMYFUNCTION("GOOGLEFINANCE(A537, ""low"")"),489.8)</f>
        <v>489.8</v>
      </c>
      <c r="G537" s="9">
        <f>IFERROR(__xludf.DUMMYFUNCTION("GOOGLEFINANCE(A537, ""price"")"),494.5)</f>
        <v>494.5</v>
      </c>
      <c r="H537" s="9">
        <f>IFERROR(__xludf.DUMMYFUNCTION("MAX(INDEX(GOOGLEFINANCE(A537, ""high"", TODAY()-30, TODAY()), 0, 2))"),558.0)</f>
        <v>558</v>
      </c>
      <c r="I537" s="9">
        <f>IFERROR(__xludf.DUMMYFUNCTION("MIN(INDEX(GOOGLEFINANCE(A537, ""low"", TODAY()-30, TODAY()), 0, 2))"),484.0)</f>
        <v>484</v>
      </c>
      <c r="J537" s="9">
        <f>IFERROR(__xludf.DUMMYFUNCTION("GOOGLEFINANCE(A537, ""high52"")"),868.95)</f>
        <v>868.95</v>
      </c>
      <c r="K537" s="9">
        <f>IFERROR(__xludf.DUMMYFUNCTION("GOOGLEFINANCE(A537, ""low52"")"),423.0)</f>
        <v>423</v>
      </c>
      <c r="L537" s="9">
        <f t="shared" si="1"/>
        <v>0.4309223776</v>
      </c>
      <c r="M537" s="9">
        <f t="shared" si="2"/>
        <v>0.1690307329</v>
      </c>
      <c r="N537" s="9">
        <f t="shared" si="3"/>
        <v>0.02694977542</v>
      </c>
      <c r="O537" s="9">
        <f t="shared" si="4"/>
        <v>0.1418918919</v>
      </c>
      <c r="P537" s="9">
        <f>IFERROR(__xludf.DUMMYFUNCTION("GOOGLEFINANCE(A537, ""pe"")"),14.65)</f>
        <v>14.65</v>
      </c>
      <c r="Q537" s="9">
        <f>IFERROR(__xludf.DUMMYFUNCTION("IFERROR(GOOGLEFINANCE(A537, ""volume"") / GOOGLEFINANCE(A537, ""volumeavg""), 0)"),0.0)</f>
        <v>0</v>
      </c>
      <c r="R537" s="9">
        <f>IFERROR(__xludf.DUMMYFUNCTION("AVERAGE(INDEX(GOOGLEFINANCE(A537, ""price"", TODAY()-30, TODAY()), 0, 2))"),512.5652173913044)</f>
        <v>512.5652174</v>
      </c>
      <c r="S537" s="9">
        <f>IFERROR(__xludf.DUMMYFUNCTION("AVERAGE(INDEX(GOOGLEFINANCE(A537, ""price"", TODAY()-75, TODAY()), 0, 2))"),486.1603773584907)</f>
        <v>486.1603774</v>
      </c>
      <c r="T537" s="9">
        <f>IFERROR(__xludf.DUMMYFUNCTION("AVERAGE(INDEX(GOOGLEFINANCE(A537, ""price"", TODAY()-300, TODAY()), 0, 2))"),598.8972772277224)</f>
        <v>598.8972772</v>
      </c>
      <c r="U537" s="9">
        <f t="shared" si="5"/>
        <v>-0.03524471965</v>
      </c>
      <c r="V537" s="15">
        <f>IFERROR(__xludf.DUMMYFUNCTION("LET(hist, GOOGLEFINANCE(A537,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rs))))))"),53.28596802841917)</f>
        <v>53.28596803</v>
      </c>
      <c r="W537" s="16" t="str">
        <f>IFERROR(__xludf.DUMMYFUNCTION("IFERROR(GOOGLEFINANCE(A537, ""volume"") / GOOGLEFINANCE(A537, ""volumeavg""), )"),"")</f>
        <v/>
      </c>
      <c r="X537" s="9">
        <f>IFERROR(__xludf.DUMMYFUNCTION("B537 * GOOGLEFINANCE(A537, ""volume"")"),2.36180123E8)</f>
        <v>236180123</v>
      </c>
      <c r="Y537" s="9">
        <f>IFERROR(__xludf.DUMMYFUNCTION("IFERROR(((B537 - GOOGLEFINANCE(A537, ""priceopen"")) / GOOGLEFINANCE(A537, ""priceopen"")) * GOOGLEFINANCE(A537, ""volume""), 0)"),-7930.9473998210415)</f>
        <v>-7930.9474</v>
      </c>
    </row>
    <row r="538">
      <c r="A538" s="4" t="s">
        <v>2331</v>
      </c>
      <c r="B538" s="7">
        <f>IFERROR(__xludf.DUMMYFUNCTION("GOOGLEFINANCE(A538, ""price"")"),90.5)</f>
        <v>90.5</v>
      </c>
      <c r="C538" s="7">
        <f>IFERROR(__xludf.DUMMYFUNCTION("GOOGLEFINANCE(A538, ""changepct"")"),-1.07)</f>
        <v>-1.07</v>
      </c>
      <c r="D538" s="9">
        <f>IFERROR(__xludf.DUMMYFUNCTION("GOOGLEFINANCE(A538, ""priceopen"")"),91.45)</f>
        <v>91.45</v>
      </c>
      <c r="E538" s="9">
        <f>IFERROR(__xludf.DUMMYFUNCTION("GOOGLEFINANCE(A538, ""high"")"),92.49)</f>
        <v>92.49</v>
      </c>
      <c r="F538" s="9">
        <f>IFERROR(__xludf.DUMMYFUNCTION("GOOGLEFINANCE(A538, ""low"")"),90.02)</f>
        <v>90.02</v>
      </c>
      <c r="G538" s="9">
        <f>IFERROR(__xludf.DUMMYFUNCTION("GOOGLEFINANCE(A538, ""price"")"),90.5)</f>
        <v>90.5</v>
      </c>
      <c r="H538" s="9">
        <f>IFERROR(__xludf.DUMMYFUNCTION("MAX(INDEX(GOOGLEFINANCE(A538, ""high"", TODAY()-30, TODAY()), 0, 2))"),100.04)</f>
        <v>100.04</v>
      </c>
      <c r="I538" s="9">
        <f>IFERROR(__xludf.DUMMYFUNCTION("MIN(INDEX(GOOGLEFINANCE(A538, ""low"", TODAY()-30, TODAY()), 0, 2))"),90.02)</f>
        <v>90.02</v>
      </c>
      <c r="J538" s="9">
        <f>IFERROR(__xludf.DUMMYFUNCTION("GOOGLEFINANCE(A538, ""high52"")"),151.33)</f>
        <v>151.33</v>
      </c>
      <c r="K538" s="9">
        <f>IFERROR(__xludf.DUMMYFUNCTION("GOOGLEFINANCE(A538, ""low52"")"),87.91)</f>
        <v>87.91</v>
      </c>
      <c r="L538" s="9">
        <f t="shared" si="1"/>
        <v>0.4019692064</v>
      </c>
      <c r="M538" s="9">
        <f t="shared" si="2"/>
        <v>0.02946194972</v>
      </c>
      <c r="N538" s="9">
        <f t="shared" si="3"/>
        <v>0.02743834703</v>
      </c>
      <c r="O538" s="9">
        <f t="shared" si="4"/>
        <v>0.04790419162</v>
      </c>
      <c r="P538" s="9">
        <f>IFERROR(__xludf.DUMMYFUNCTION("GOOGLEFINANCE(A538, ""pe"")"),62.19)</f>
        <v>62.19</v>
      </c>
      <c r="Q538" s="9">
        <f>IFERROR(__xludf.DUMMYFUNCTION("IFERROR(GOOGLEFINANCE(A538, ""volume"") / GOOGLEFINANCE(A538, ""volumeavg""), 0)"),0.0)</f>
        <v>0</v>
      </c>
      <c r="R538" s="9">
        <f>IFERROR(__xludf.DUMMYFUNCTION("AVERAGE(INDEX(GOOGLEFINANCE(A538, ""price"", TODAY()-30, TODAY()), 0, 2))"),94.58434782608694)</f>
        <v>94.58434783</v>
      </c>
      <c r="S538" s="9">
        <f>IFERROR(__xludf.DUMMYFUNCTION("AVERAGE(INDEX(GOOGLEFINANCE(A538, ""price"", TODAY()-75, TODAY()), 0, 2))"),96.4752830188679)</f>
        <v>96.47528302</v>
      </c>
      <c r="T538" s="9">
        <f>IFERROR(__xludf.DUMMYFUNCTION("AVERAGE(INDEX(GOOGLEFINANCE(A538, ""price"", TODAY()-300, TODAY()), 0, 2))"),109.84049504950492)</f>
        <v>109.840495</v>
      </c>
      <c r="U538" s="9">
        <f t="shared" si="5"/>
        <v>-0.04318206891</v>
      </c>
      <c r="V538" s="15">
        <f>IFERROR(__xludf.DUMMYFUNCTION("LET(hist, GOOGLEFINANCE(A538,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rs))))))"),40.8701854493581)</f>
        <v>40.87018545</v>
      </c>
      <c r="W538" s="16" t="str">
        <f>IFERROR(__xludf.DUMMYFUNCTION("IFERROR(GOOGLEFINANCE(A538, ""volume"") / GOOGLEFINANCE(A538, ""volumeavg""), )"),"")</f>
        <v/>
      </c>
      <c r="X538" s="9">
        <f>IFERROR(__xludf.DUMMYFUNCTION("B538 * GOOGLEFINANCE(A538, ""volume"")"),5.449005E7)</f>
        <v>54490050</v>
      </c>
      <c r="Y538" s="9">
        <f>IFERROR(__xludf.DUMMYFUNCTION("IFERROR(((B538 - GOOGLEFINANCE(A538, ""priceopen"")) / GOOGLEFINANCE(A538, ""priceopen"")) * GOOGLEFINANCE(A538, ""volume""), 0)"),-6254.729360306197)</f>
        <v>-6254.72936</v>
      </c>
    </row>
    <row r="539">
      <c r="A539" s="4" t="s">
        <v>2332</v>
      </c>
      <c r="B539" s="7">
        <f>IFERROR(__xludf.DUMMYFUNCTION("GOOGLEFINANCE(A539, ""price"")"),805.0)</f>
        <v>805</v>
      </c>
      <c r="C539" s="7">
        <f>IFERROR(__xludf.DUMMYFUNCTION("GOOGLEFINANCE(A539, ""changepct"")"),-1.21)</f>
        <v>-1.21</v>
      </c>
      <c r="D539" s="9">
        <f>IFERROR(__xludf.DUMMYFUNCTION("GOOGLEFINANCE(A539, ""priceopen"")"),814.9)</f>
        <v>814.9</v>
      </c>
      <c r="E539" s="9">
        <f>IFERROR(__xludf.DUMMYFUNCTION("GOOGLEFINANCE(A539, ""high"")"),814.9)</f>
        <v>814.9</v>
      </c>
      <c r="F539" s="9">
        <f>IFERROR(__xludf.DUMMYFUNCTION("GOOGLEFINANCE(A539, ""low"")"),801.05)</f>
        <v>801.05</v>
      </c>
      <c r="G539" s="9">
        <f>IFERROR(__xludf.DUMMYFUNCTION("GOOGLEFINANCE(A539, ""price"")"),805.0)</f>
        <v>805</v>
      </c>
      <c r="H539" s="9">
        <f>IFERROR(__xludf.DUMMYFUNCTION("MAX(INDEX(GOOGLEFINANCE(A539, ""high"", TODAY()-30, TODAY()), 0, 2))"),898.0)</f>
        <v>898</v>
      </c>
      <c r="I539" s="9">
        <f>IFERROR(__xludf.DUMMYFUNCTION("MIN(INDEX(GOOGLEFINANCE(A539, ""low"", TODAY()-30, TODAY()), 0, 2))"),755.0)</f>
        <v>755</v>
      </c>
      <c r="J539" s="9">
        <f>IFERROR(__xludf.DUMMYFUNCTION("GOOGLEFINANCE(A539, ""high52"")"),1158.0)</f>
        <v>1158</v>
      </c>
      <c r="K539" s="9">
        <f>IFERROR(__xludf.DUMMYFUNCTION("GOOGLEFINANCE(A539, ""low52"")"),705.2)</f>
        <v>705.2</v>
      </c>
      <c r="L539" s="9">
        <f t="shared" si="1"/>
        <v>0.304835924</v>
      </c>
      <c r="M539" s="9">
        <f t="shared" si="2"/>
        <v>0.1415201361</v>
      </c>
      <c r="N539" s="9">
        <f t="shared" si="3"/>
        <v>0.01728980713</v>
      </c>
      <c r="O539" s="9">
        <f t="shared" si="4"/>
        <v>0.3496503497</v>
      </c>
      <c r="P539" s="9">
        <f>IFERROR(__xludf.DUMMYFUNCTION("GOOGLEFINANCE(A539, ""pe"")"),10.85)</f>
        <v>10.85</v>
      </c>
      <c r="Q539" s="9">
        <f>IFERROR(__xludf.DUMMYFUNCTION("IFERROR(GOOGLEFINANCE(A539, ""volume"") / GOOGLEFINANCE(A539, ""volumeavg""), 0)"),0.0)</f>
        <v>0</v>
      </c>
      <c r="R539" s="9">
        <f>IFERROR(__xludf.DUMMYFUNCTION("AVERAGE(INDEX(GOOGLEFINANCE(A539, ""price"", TODAY()-30, TODAY()), 0, 2))"),808.9065217391307)</f>
        <v>808.9065217</v>
      </c>
      <c r="S539" s="9">
        <f>IFERROR(__xludf.DUMMYFUNCTION("AVERAGE(INDEX(GOOGLEFINANCE(A539, ""price"", TODAY()-75, TODAY()), 0, 2))"),798.5820754716979)</f>
        <v>798.5820755</v>
      </c>
      <c r="T539" s="9">
        <f>IFERROR(__xludf.DUMMYFUNCTION("AVERAGE(INDEX(GOOGLEFINANCE(A539, ""price"", TODAY()-300, TODAY()), 0, 2))"),919.2297029702967)</f>
        <v>919.229703</v>
      </c>
      <c r="U539" s="9">
        <f t="shared" si="5"/>
        <v>-0.004829385886</v>
      </c>
      <c r="V539" s="15">
        <f>IFERROR(__xludf.DUMMYFUNCTION("LET(hist, GOOGLEFINANCE(A539,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rs))))))"),63.402571711177096)</f>
        <v>63.40257171</v>
      </c>
      <c r="W539" s="16" t="str">
        <f>IFERROR(__xludf.DUMMYFUNCTION("IFERROR(GOOGLEFINANCE(A539, ""volume"") / GOOGLEFINANCE(A539, ""volumeavg""), )"),"")</f>
        <v/>
      </c>
      <c r="X539" s="9">
        <f>IFERROR(__xludf.DUMMYFUNCTION("B539 * GOOGLEFINANCE(A539, ""volume"")"),1.38428605E8)</f>
        <v>138428605</v>
      </c>
      <c r="Y539" s="9">
        <f>IFERROR(__xludf.DUMMYFUNCTION("IFERROR(((B539 - GOOGLEFINANCE(A539, ""priceopen"")) / GOOGLEFINANCE(A539, ""priceopen"")) * GOOGLEFINANCE(A539, ""volume""), 0)"),-2089.1077432813795)</f>
        <v>-2089.107743</v>
      </c>
    </row>
    <row r="540">
      <c r="A540" s="4" t="s">
        <v>2333</v>
      </c>
      <c r="B540" s="7">
        <f>IFERROR(__xludf.DUMMYFUNCTION("GOOGLEFINANCE(A540, ""price"")"),386.0)</f>
        <v>386</v>
      </c>
      <c r="C540" s="7">
        <f>IFERROR(__xludf.DUMMYFUNCTION("GOOGLEFINANCE(A540, ""changepct"")"),-1.24)</f>
        <v>-1.24</v>
      </c>
      <c r="D540" s="9">
        <f>IFERROR(__xludf.DUMMYFUNCTION("GOOGLEFINANCE(A540, ""priceopen"")"),392.95)</f>
        <v>392.95</v>
      </c>
      <c r="E540" s="9">
        <f>IFERROR(__xludf.DUMMYFUNCTION("GOOGLEFINANCE(A540, ""high"")"),392.95)</f>
        <v>392.95</v>
      </c>
      <c r="F540" s="9">
        <f>IFERROR(__xludf.DUMMYFUNCTION("GOOGLEFINANCE(A540, ""low"")"),385.5)</f>
        <v>385.5</v>
      </c>
      <c r="G540" s="9">
        <f>IFERROR(__xludf.DUMMYFUNCTION("GOOGLEFINANCE(A540, ""price"")"),386.0)</f>
        <v>386</v>
      </c>
      <c r="H540" s="9">
        <f>IFERROR(__xludf.DUMMYFUNCTION("MAX(INDEX(GOOGLEFINANCE(A540, ""high"", TODAY()-30, TODAY()), 0, 2))"),423.95)</f>
        <v>423.95</v>
      </c>
      <c r="I540" s="9">
        <f>IFERROR(__xludf.DUMMYFUNCTION("MIN(INDEX(GOOGLEFINANCE(A540, ""low"", TODAY()-30, TODAY()), 0, 2))"),379.05)</f>
        <v>379.05</v>
      </c>
      <c r="J540" s="9">
        <f>IFERROR(__xludf.DUMMYFUNCTION("GOOGLEFINANCE(A540, ""high52"")"),611.9)</f>
        <v>611.9</v>
      </c>
      <c r="K540" s="9">
        <f>IFERROR(__xludf.DUMMYFUNCTION("GOOGLEFINANCE(A540, ""low52"")"),311.0)</f>
        <v>311</v>
      </c>
      <c r="L540" s="9">
        <f t="shared" si="1"/>
        <v>0.3691779703</v>
      </c>
      <c r="M540" s="9">
        <f t="shared" si="2"/>
        <v>0.2411575563</v>
      </c>
      <c r="N540" s="9">
        <f t="shared" si="3"/>
        <v>0.01932555123</v>
      </c>
      <c r="O540" s="9">
        <f t="shared" si="4"/>
        <v>0.1547884187</v>
      </c>
      <c r="P540" s="9">
        <f>IFERROR(__xludf.DUMMYFUNCTION("GOOGLEFINANCE(A540, ""pe"")"),14.17)</f>
        <v>14.17</v>
      </c>
      <c r="Q540" s="9">
        <f>IFERROR(__xludf.DUMMYFUNCTION("IFERROR(GOOGLEFINANCE(A540, ""volume"") / GOOGLEFINANCE(A540, ""volumeavg""), 0)"),0.0)</f>
        <v>0</v>
      </c>
      <c r="R540" s="9">
        <f>IFERROR(__xludf.DUMMYFUNCTION("AVERAGE(INDEX(GOOGLEFINANCE(A540, ""price"", TODAY()-30, TODAY()), 0, 2))"),400.95869565217396)</f>
        <v>400.9586957</v>
      </c>
      <c r="S540" s="9">
        <f>IFERROR(__xludf.DUMMYFUNCTION("AVERAGE(INDEX(GOOGLEFINANCE(A540, ""price"", TODAY()-75, TODAY()), 0, 2))"),396.6481132075472)</f>
        <v>396.6481132</v>
      </c>
      <c r="T540" s="9">
        <f>IFERROR(__xludf.DUMMYFUNCTION("AVERAGE(INDEX(GOOGLEFINANCE(A540, ""price"", TODAY()-300, TODAY()), 0, 2))"),441.07400990099)</f>
        <v>441.0740099</v>
      </c>
      <c r="U540" s="9">
        <f t="shared" si="5"/>
        <v>-0.03730732321</v>
      </c>
      <c r="V540" s="15">
        <f>IFERROR(__xludf.DUMMYFUNCTION("LET(hist, GOOGLEFINANCE(A540,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rs))))))"),49.773755656108584)</f>
        <v>49.77375566</v>
      </c>
      <c r="W540" s="16" t="str">
        <f>IFERROR(__xludf.DUMMYFUNCTION("IFERROR(GOOGLEFINANCE(A540, ""volume"") / GOOGLEFINANCE(A540, ""volumeavg""), )"),"")</f>
        <v/>
      </c>
      <c r="X540" s="9">
        <f>IFERROR(__xludf.DUMMYFUNCTION("B540 * GOOGLEFINANCE(A540, ""volume"")"),1.84996676E8)</f>
        <v>184996676</v>
      </c>
      <c r="Y540" s="9">
        <f>IFERROR(__xludf.DUMMYFUNCTION("IFERROR(((B540 - GOOGLEFINANCE(A540, ""priceopen"")) / GOOGLEFINANCE(A540, ""priceopen"")) * GOOGLEFINANCE(A540, ""volume""), 0)"),-8476.647665097327)</f>
        <v>-8476.647665</v>
      </c>
    </row>
    <row r="541">
      <c r="A541" s="4" t="s">
        <v>2334</v>
      </c>
      <c r="B541" s="7">
        <f>IFERROR(__xludf.DUMMYFUNCTION("GOOGLEFINANCE(A541, ""price"")"),530.0)</f>
        <v>530</v>
      </c>
      <c r="C541" s="7">
        <f>IFERROR(__xludf.DUMMYFUNCTION("GOOGLEFINANCE(A541, ""changepct"")"),1.78)</f>
        <v>1.78</v>
      </c>
      <c r="D541" s="9">
        <f>IFERROR(__xludf.DUMMYFUNCTION("GOOGLEFINANCE(A541, ""priceopen"")"),520.0)</f>
        <v>520</v>
      </c>
      <c r="E541" s="9">
        <f>IFERROR(__xludf.DUMMYFUNCTION("GOOGLEFINANCE(A541, ""high"")"),539.0)</f>
        <v>539</v>
      </c>
      <c r="F541" s="9">
        <f>IFERROR(__xludf.DUMMYFUNCTION("GOOGLEFINANCE(A541, ""low"")"),515.4)</f>
        <v>515.4</v>
      </c>
      <c r="G541" s="9">
        <f>IFERROR(__xludf.DUMMYFUNCTION("GOOGLEFINANCE(A541, ""price"")"),530.0)</f>
        <v>530</v>
      </c>
      <c r="H541" s="9">
        <f>IFERROR(__xludf.DUMMYFUNCTION("MAX(INDEX(GOOGLEFINANCE(A541, ""high"", TODAY()-30, TODAY()), 0, 2))"),539.0)</f>
        <v>539</v>
      </c>
      <c r="I541" s="9">
        <f>IFERROR(__xludf.DUMMYFUNCTION("MIN(INDEX(GOOGLEFINANCE(A541, ""low"", TODAY()-30, TODAY()), 0, 2))"),425.3)</f>
        <v>425.3</v>
      </c>
      <c r="J541" s="9">
        <f>IFERROR(__xludf.DUMMYFUNCTION("GOOGLEFINANCE(A541, ""high52"")"),549.7)</f>
        <v>549.7</v>
      </c>
      <c r="K541" s="9">
        <f>IFERROR(__xludf.DUMMYFUNCTION("GOOGLEFINANCE(A541, ""low52"")"),381.55)</f>
        <v>381.55</v>
      </c>
      <c r="L541" s="9">
        <f t="shared" si="1"/>
        <v>0.03583772967</v>
      </c>
      <c r="M541" s="9">
        <f t="shared" si="2"/>
        <v>0.389070895</v>
      </c>
      <c r="N541" s="9">
        <f t="shared" si="3"/>
        <v>0.04578967792</v>
      </c>
      <c r="O541" s="9">
        <f t="shared" si="4"/>
        <v>0.9208443272</v>
      </c>
      <c r="P541" s="9" t="str">
        <f>IFERROR(__xludf.DUMMYFUNCTION("GOOGLEFINANCE(A541, ""pe"")"),"#N/A")</f>
        <v>#N/A</v>
      </c>
      <c r="Q541" s="9">
        <f>IFERROR(__xludf.DUMMYFUNCTION("IFERROR(GOOGLEFINANCE(A541, ""volume"") / GOOGLEFINANCE(A541, ""volumeavg""), 0)"),0.0)</f>
        <v>0</v>
      </c>
      <c r="R541" s="9">
        <f>IFERROR(__xludf.DUMMYFUNCTION("AVERAGE(INDEX(GOOGLEFINANCE(A541, ""price"", TODAY()-30, TODAY()), 0, 2))"),465.8391304347826)</f>
        <v>465.8391304</v>
      </c>
      <c r="S541" s="9">
        <f>IFERROR(__xludf.DUMMYFUNCTION("AVERAGE(INDEX(GOOGLEFINANCE(A541, ""price"", TODAY()-75, TODAY()), 0, 2))"),450.40377358490576)</f>
        <v>450.4037736</v>
      </c>
      <c r="T541" s="9">
        <f>IFERROR(__xludf.DUMMYFUNCTION("AVERAGE(INDEX(GOOGLEFINANCE(A541, ""price"", TODAY()-300, TODAY()), 0, 2))"),452.61707920792054)</f>
        <v>452.6170792</v>
      </c>
      <c r="U541" s="9">
        <f t="shared" si="5"/>
        <v>0.1377318164</v>
      </c>
      <c r="V541" s="15">
        <f>IFERROR(__xludf.DUMMYFUNCTION("LET(hist, GOOGLEFINANCE(A541,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rs))))))"),86.58008658008657)</f>
        <v>86.58008658</v>
      </c>
      <c r="W541" s="16" t="str">
        <f>IFERROR(__xludf.DUMMYFUNCTION("IFERROR(GOOGLEFINANCE(A541, ""volume"") / GOOGLEFINANCE(A541, ""volumeavg""), )"),"")</f>
        <v/>
      </c>
      <c r="X541" s="9">
        <f>IFERROR(__xludf.DUMMYFUNCTION("B541 * GOOGLEFINANCE(A541, ""volume"")"),9.1869564E8)</f>
        <v>918695640</v>
      </c>
      <c r="Y541" s="9">
        <f>IFERROR(__xludf.DUMMYFUNCTION("IFERROR(((B541 - GOOGLEFINANCE(A541, ""priceopen"")) / GOOGLEFINANCE(A541, ""priceopen"")) * GOOGLEFINANCE(A541, ""volume""), 0)"),33334.38461538462)</f>
        <v>33334.38462</v>
      </c>
    </row>
    <row r="542">
      <c r="A542" s="4" t="s">
        <v>2335</v>
      </c>
      <c r="B542" s="7">
        <f>IFERROR(__xludf.DUMMYFUNCTION("GOOGLEFINANCE(A542, ""price"")"),984.0)</f>
        <v>984</v>
      </c>
      <c r="C542" s="7">
        <f>IFERROR(__xludf.DUMMYFUNCTION("GOOGLEFINANCE(A542, ""changepct"")"),-7.0)</f>
        <v>-7</v>
      </c>
      <c r="D542" s="9">
        <f>IFERROR(__xludf.DUMMYFUNCTION("GOOGLEFINANCE(A542, ""priceopen"")"),976.15)</f>
        <v>976.15</v>
      </c>
      <c r="E542" s="9">
        <f>IFERROR(__xludf.DUMMYFUNCTION("GOOGLEFINANCE(A542, ""high"")"),1009.2)</f>
        <v>1009.2</v>
      </c>
      <c r="F542" s="9">
        <f>IFERROR(__xludf.DUMMYFUNCTION("GOOGLEFINANCE(A542, ""low"")"),975.7)</f>
        <v>975.7</v>
      </c>
      <c r="G542" s="9">
        <f>IFERROR(__xludf.DUMMYFUNCTION("GOOGLEFINANCE(A542, ""price"")"),984.0)</f>
        <v>984</v>
      </c>
      <c r="H542" s="9">
        <f>IFERROR(__xludf.DUMMYFUNCTION("MAX(INDEX(GOOGLEFINANCE(A542, ""high"", TODAY()-30, TODAY()), 0, 2))"),1079.0)</f>
        <v>1079</v>
      </c>
      <c r="I542" s="9">
        <f>IFERROR(__xludf.DUMMYFUNCTION("MIN(INDEX(GOOGLEFINANCE(A542, ""low"", TODAY()-30, TODAY()), 0, 2))"),957.7)</f>
        <v>957.7</v>
      </c>
      <c r="J542" s="9">
        <f>IFERROR(__xludf.DUMMYFUNCTION("GOOGLEFINANCE(A542, ""high52"")"),1575.0)</f>
        <v>1575</v>
      </c>
      <c r="K542" s="9">
        <f>IFERROR(__xludf.DUMMYFUNCTION("GOOGLEFINANCE(A542, ""low52"")"),870.0)</f>
        <v>870</v>
      </c>
      <c r="L542" s="9">
        <f t="shared" si="1"/>
        <v>0.3752380952</v>
      </c>
      <c r="M542" s="9">
        <f t="shared" si="2"/>
        <v>0.1310344828</v>
      </c>
      <c r="N542" s="9">
        <f t="shared" si="3"/>
        <v>0.03433432408</v>
      </c>
      <c r="O542" s="9">
        <f t="shared" si="4"/>
        <v>0.2168178071</v>
      </c>
      <c r="P542" s="9">
        <f>IFERROR(__xludf.DUMMYFUNCTION("GOOGLEFINANCE(A542, ""pe"")"),25.51)</f>
        <v>25.51</v>
      </c>
      <c r="Q542" s="9">
        <f>IFERROR(__xludf.DUMMYFUNCTION("IFERROR(GOOGLEFINANCE(A542, ""volume"") / GOOGLEFINANCE(A542, ""volumeavg""), 0)"),0.0)</f>
        <v>0</v>
      </c>
      <c r="R542" s="9">
        <f>IFERROR(__xludf.DUMMYFUNCTION("AVERAGE(INDEX(GOOGLEFINANCE(A542, ""price"", TODAY()-30, TODAY()), 0, 2))"),1013.9978260869564)</f>
        <v>1013.997826</v>
      </c>
      <c r="S542" s="9">
        <f>IFERROR(__xludf.DUMMYFUNCTION("AVERAGE(INDEX(GOOGLEFINANCE(A542, ""price"", TODAY()-75, TODAY()), 0, 2))"),1039.340566037736)</f>
        <v>1039.340566</v>
      </c>
      <c r="T542" s="9">
        <f>IFERROR(__xludf.DUMMYFUNCTION("AVERAGE(INDEX(GOOGLEFINANCE(A542, ""price"", TODAY()-300, TODAY()), 0, 2))"),1117.3606435643562)</f>
        <v>1117.360644</v>
      </c>
      <c r="U542" s="9">
        <f t="shared" si="5"/>
        <v>-0.02958371834</v>
      </c>
      <c r="V542" s="15">
        <f>IFERROR(__xludf.DUMMYFUNCTION("LET(hist, GOOGLEFINANCE(A542,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rs))))))"),47.780821917808204)</f>
        <v>47.78082192</v>
      </c>
      <c r="W542" s="16" t="str">
        <f>IFERROR(__xludf.DUMMYFUNCTION("IFERROR(GOOGLEFINANCE(A542, ""volume"") / GOOGLEFINANCE(A542, ""volumeavg""), )"),"")</f>
        <v/>
      </c>
      <c r="X542" s="9">
        <f>IFERROR(__xludf.DUMMYFUNCTION("B542 * GOOGLEFINANCE(A542, ""volume"")"),8.3210976E8)</f>
        <v>832109760</v>
      </c>
      <c r="Y542" s="9">
        <f>IFERROR(__xludf.DUMMYFUNCTION("IFERROR(((B542 - GOOGLEFINANCE(A542, ""priceopen"")) / GOOGLEFINANCE(A542, ""priceopen"")) * GOOGLEFINANCE(A542, ""volume""), 0)"),6800.465092455073)</f>
        <v>6800.465092</v>
      </c>
    </row>
    <row r="543">
      <c r="A543" s="4" t="s">
        <v>2336</v>
      </c>
      <c r="B543" s="7">
        <f>IFERROR(__xludf.DUMMYFUNCTION("GOOGLEFINANCE(A543, ""price"")"),1634.0)</f>
        <v>1634</v>
      </c>
      <c r="C543" s="7">
        <f>IFERROR(__xludf.DUMMYFUNCTION("GOOGLEFINANCE(A543, ""changepct"")"),-0.8)</f>
        <v>-0.8</v>
      </c>
      <c r="D543" s="9">
        <f>IFERROR(__xludf.DUMMYFUNCTION("GOOGLEFINANCE(A543, ""priceopen"")"),1656.5)</f>
        <v>1656.5</v>
      </c>
      <c r="E543" s="9">
        <f>IFERROR(__xludf.DUMMYFUNCTION("GOOGLEFINANCE(A543, ""high"")"),1662.9)</f>
        <v>1662.9</v>
      </c>
      <c r="F543" s="9">
        <f>IFERROR(__xludf.DUMMYFUNCTION("GOOGLEFINANCE(A543, ""low"")"),1621.0)</f>
        <v>1621</v>
      </c>
      <c r="G543" s="9">
        <f>IFERROR(__xludf.DUMMYFUNCTION("GOOGLEFINANCE(A543, ""price"")"),1634.0)</f>
        <v>1634</v>
      </c>
      <c r="H543" s="9">
        <f>IFERROR(__xludf.DUMMYFUNCTION("MAX(INDEX(GOOGLEFINANCE(A543, ""high"", TODAY()-30, TODAY()), 0, 2))"),1721.6)</f>
        <v>1721.6</v>
      </c>
      <c r="I543" s="9">
        <f>IFERROR(__xludf.DUMMYFUNCTION("MIN(INDEX(GOOGLEFINANCE(A543, ""low"", TODAY()-30, TODAY()), 0, 2))"),1473.0)</f>
        <v>1473</v>
      </c>
      <c r="J543" s="9">
        <f>IFERROR(__xludf.DUMMYFUNCTION("GOOGLEFINANCE(A543, ""high52"")"),2125.0)</f>
        <v>2125</v>
      </c>
      <c r="K543" s="9">
        <f>IFERROR(__xludf.DUMMYFUNCTION("GOOGLEFINANCE(A543, ""low52"")"),1473.0)</f>
        <v>1473</v>
      </c>
      <c r="L543" s="9">
        <f t="shared" si="1"/>
        <v>0.2310588235</v>
      </c>
      <c r="M543" s="9">
        <f t="shared" si="2"/>
        <v>0.1093007468</v>
      </c>
      <c r="N543" s="9">
        <f t="shared" si="3"/>
        <v>0.02584824183</v>
      </c>
      <c r="O543" s="9">
        <f t="shared" si="4"/>
        <v>0.6476267096</v>
      </c>
      <c r="P543" s="9">
        <f>IFERROR(__xludf.DUMMYFUNCTION("GOOGLEFINANCE(A543, ""pe"")"),79.55)</f>
        <v>79.55</v>
      </c>
      <c r="Q543" s="9">
        <f>IFERROR(__xludf.DUMMYFUNCTION("IFERROR(GOOGLEFINANCE(A543, ""volume"") / GOOGLEFINANCE(A543, ""volumeavg""), 0)"),0.0)</f>
        <v>0</v>
      </c>
      <c r="R543" s="9">
        <f>IFERROR(__xludf.DUMMYFUNCTION("AVERAGE(INDEX(GOOGLEFINANCE(A543, ""price"", TODAY()-30, TODAY()), 0, 2))"),1589.2695652173911)</f>
        <v>1589.269565</v>
      </c>
      <c r="S543" s="9">
        <f>IFERROR(__xludf.DUMMYFUNCTION("AVERAGE(INDEX(GOOGLEFINANCE(A543, ""price"", TODAY()-75, TODAY()), 0, 2))"),1677.490566037736)</f>
        <v>1677.490566</v>
      </c>
      <c r="T543" s="9">
        <f>IFERROR(__xludf.DUMMYFUNCTION("AVERAGE(INDEX(GOOGLEFINANCE(A543, ""price"", TODAY()-300, TODAY()), 0, 2))"),1760.723267326733)</f>
        <v>1760.723267</v>
      </c>
      <c r="U543" s="9">
        <f t="shared" si="5"/>
        <v>0.02814527866</v>
      </c>
      <c r="V543" s="15">
        <f>IFERROR(__xludf.DUMMYFUNCTION("LET(hist, GOOGLEFINANCE(A543,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rs))))))"),62.10244392366922)</f>
        <v>62.10244392</v>
      </c>
      <c r="W543" s="16" t="str">
        <f>IFERROR(__xludf.DUMMYFUNCTION("IFERROR(GOOGLEFINANCE(A543, ""volume"") / GOOGLEFINANCE(A543, ""volumeavg""), )"),"")</f>
        <v/>
      </c>
      <c r="X543" s="9">
        <f>IFERROR(__xludf.DUMMYFUNCTION("B543 * GOOGLEFINANCE(A543, ""volume"")"),5.1807604E7)</f>
        <v>51807604</v>
      </c>
      <c r="Y543" s="9">
        <f>IFERROR(__xludf.DUMMYFUNCTION("IFERROR(((B543 - GOOGLEFINANCE(A543, ""priceopen"")) / GOOGLEFINANCE(A543, ""priceopen"")) * GOOGLEFINANCE(A543, ""volume""), 0)"),-430.6580138846967)</f>
        <v>-430.6580139</v>
      </c>
    </row>
    <row r="544">
      <c r="A544" s="4" t="s">
        <v>2337</v>
      </c>
      <c r="B544" s="7">
        <f>IFERROR(__xludf.DUMMYFUNCTION("GOOGLEFINANCE(A544, ""price"")"),828.0)</f>
        <v>828</v>
      </c>
      <c r="C544" s="7">
        <f>IFERROR(__xludf.DUMMYFUNCTION("GOOGLEFINANCE(A544, ""changepct"")"),-1.99)</f>
        <v>-1.99</v>
      </c>
      <c r="D544" s="9">
        <f>IFERROR(__xludf.DUMMYFUNCTION("GOOGLEFINANCE(A544, ""priceopen"")"),847.1)</f>
        <v>847.1</v>
      </c>
      <c r="E544" s="9">
        <f>IFERROR(__xludf.DUMMYFUNCTION("GOOGLEFINANCE(A544, ""high"")"),848.95)</f>
        <v>848.95</v>
      </c>
      <c r="F544" s="9">
        <f>IFERROR(__xludf.DUMMYFUNCTION("GOOGLEFINANCE(A544, ""low"")"),826.0)</f>
        <v>826</v>
      </c>
      <c r="G544" s="9">
        <f>IFERROR(__xludf.DUMMYFUNCTION("GOOGLEFINANCE(A544, ""price"")"),828.0)</f>
        <v>828</v>
      </c>
      <c r="H544" s="9">
        <f>IFERROR(__xludf.DUMMYFUNCTION("MAX(INDEX(GOOGLEFINANCE(A544, ""high"", TODAY()-30, TODAY()), 0, 2))"),889.8)</f>
        <v>889.8</v>
      </c>
      <c r="I544" s="9">
        <f>IFERROR(__xludf.DUMMYFUNCTION("MIN(INDEX(GOOGLEFINANCE(A544, ""low"", TODAY()-30, TODAY()), 0, 2))"),792.0)</f>
        <v>792</v>
      </c>
      <c r="J544" s="9">
        <f>IFERROR(__xludf.DUMMYFUNCTION("GOOGLEFINANCE(A544, ""high52"")"),971.0)</f>
        <v>971</v>
      </c>
      <c r="K544" s="9">
        <f>IFERROR(__xludf.DUMMYFUNCTION("GOOGLEFINANCE(A544, ""low52"")"),568.7)</f>
        <v>568.7</v>
      </c>
      <c r="L544" s="9">
        <f t="shared" si="1"/>
        <v>0.1472708548</v>
      </c>
      <c r="M544" s="9">
        <f t="shared" si="2"/>
        <v>0.4559521716</v>
      </c>
      <c r="N544" s="9">
        <f t="shared" si="3"/>
        <v>0.02778450363</v>
      </c>
      <c r="O544" s="9">
        <f t="shared" si="4"/>
        <v>0.3680981595</v>
      </c>
      <c r="P544" s="9">
        <f>IFERROR(__xludf.DUMMYFUNCTION("GOOGLEFINANCE(A544, ""pe"")"),91.84)</f>
        <v>91.84</v>
      </c>
      <c r="Q544" s="9">
        <f>IFERROR(__xludf.DUMMYFUNCTION("IFERROR(GOOGLEFINANCE(A544, ""volume"") / GOOGLEFINANCE(A544, ""volumeavg""), 0)"),0.0)</f>
        <v>0</v>
      </c>
      <c r="R544" s="9">
        <f>IFERROR(__xludf.DUMMYFUNCTION("AVERAGE(INDEX(GOOGLEFINANCE(A544, ""price"", TODAY()-30, TODAY()), 0, 2))"),842.9195652173912)</f>
        <v>842.9195652</v>
      </c>
      <c r="S544" s="9">
        <f>IFERROR(__xludf.DUMMYFUNCTION("AVERAGE(INDEX(GOOGLEFINANCE(A544, ""price"", TODAY()-75, TODAY()), 0, 2))"),856.3037735849055)</f>
        <v>856.3037736</v>
      </c>
      <c r="T544" s="9">
        <f>IFERROR(__xludf.DUMMYFUNCTION("AVERAGE(INDEX(GOOGLEFINANCE(A544, ""price"", TODAY()-300, TODAY()), 0, 2))"),800.4628712871289)</f>
        <v>800.4628713</v>
      </c>
      <c r="U544" s="9">
        <f t="shared" si="5"/>
        <v>-0.01769986821</v>
      </c>
      <c r="V544" s="15">
        <f>IFERROR(__xludf.DUMMYFUNCTION("LET(hist, GOOGLEFINANCE(A544,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rs))))))"),56.45796064400714)</f>
        <v>56.45796064</v>
      </c>
      <c r="W544" s="16" t="str">
        <f>IFERROR(__xludf.DUMMYFUNCTION("IFERROR(GOOGLEFINANCE(A544, ""volume"") / GOOGLEFINANCE(A544, ""volumeavg""), )"),"")</f>
        <v/>
      </c>
      <c r="X544" s="9">
        <f>IFERROR(__xludf.DUMMYFUNCTION("B544 * GOOGLEFINANCE(A544, ""volume"")"),1.84534704E8)</f>
        <v>184534704</v>
      </c>
      <c r="Y544" s="9">
        <f>IFERROR(__xludf.DUMMYFUNCTION("IFERROR(((B544 - GOOGLEFINANCE(A544, ""priceopen"")) / GOOGLEFINANCE(A544, ""priceopen"")) * GOOGLEFINANCE(A544, ""volume""), 0)"),-5025.11958446465)</f>
        <v>-5025.119584</v>
      </c>
    </row>
    <row r="545">
      <c r="A545" s="4" t="s">
        <v>2338</v>
      </c>
      <c r="B545" s="7">
        <f>IFERROR(__xludf.DUMMYFUNCTION("GOOGLEFINANCE(A545, ""price"")"),1195.0)</f>
        <v>1195</v>
      </c>
      <c r="C545" s="7">
        <f>IFERROR(__xludf.DUMMYFUNCTION("GOOGLEFINANCE(A545, ""changepct"")"),3.0)</f>
        <v>3</v>
      </c>
      <c r="D545" s="9">
        <f>IFERROR(__xludf.DUMMYFUNCTION("GOOGLEFINANCE(A545, ""priceopen"")"),1155.0)</f>
        <v>1155</v>
      </c>
      <c r="E545" s="9">
        <f>IFERROR(__xludf.DUMMYFUNCTION("GOOGLEFINANCE(A545, ""high"")"),1198.9)</f>
        <v>1198.9</v>
      </c>
      <c r="F545" s="9">
        <f>IFERROR(__xludf.DUMMYFUNCTION("GOOGLEFINANCE(A545, ""low"")"),1155.0)</f>
        <v>1155</v>
      </c>
      <c r="G545" s="9">
        <f>IFERROR(__xludf.DUMMYFUNCTION("GOOGLEFINANCE(A545, ""price"")"),1195.0)</f>
        <v>1195</v>
      </c>
      <c r="H545" s="9">
        <f>IFERROR(__xludf.DUMMYFUNCTION("MAX(INDEX(GOOGLEFINANCE(A545, ""high"", TODAY()-30, TODAY()), 0, 2))"),1198.9)</f>
        <v>1198.9</v>
      </c>
      <c r="I545" s="9">
        <f>IFERROR(__xludf.DUMMYFUNCTION("MIN(INDEX(GOOGLEFINANCE(A545, ""low"", TODAY()-30, TODAY()), 0, 2))"),981.1)</f>
        <v>981.1</v>
      </c>
      <c r="J545" s="9">
        <f>IFERROR(__xludf.DUMMYFUNCTION("GOOGLEFINANCE(A545, ""high52"")"),1249.7)</f>
        <v>1249.7</v>
      </c>
      <c r="K545" s="9">
        <f>IFERROR(__xludf.DUMMYFUNCTION("GOOGLEFINANCE(A545, ""low52"")"),907.4)</f>
        <v>907.4</v>
      </c>
      <c r="L545" s="9">
        <f t="shared" si="1"/>
        <v>0.04377050492</v>
      </c>
      <c r="M545" s="9">
        <f t="shared" si="2"/>
        <v>0.3169495261</v>
      </c>
      <c r="N545" s="9">
        <f t="shared" si="3"/>
        <v>0.03800865801</v>
      </c>
      <c r="O545" s="9">
        <f t="shared" si="4"/>
        <v>0.9820936639</v>
      </c>
      <c r="P545" s="9" t="str">
        <f>IFERROR(__xludf.DUMMYFUNCTION("GOOGLEFINANCE(A545, ""pe"")"),"#N/A")</f>
        <v>#N/A</v>
      </c>
      <c r="Q545" s="9">
        <f>IFERROR(__xludf.DUMMYFUNCTION("IFERROR(GOOGLEFINANCE(A545, ""volume"") / GOOGLEFINANCE(A545, ""volumeavg""), 0)"),0.0)</f>
        <v>0</v>
      </c>
      <c r="R545" s="9">
        <f>IFERROR(__xludf.DUMMYFUNCTION("AVERAGE(INDEX(GOOGLEFINANCE(A545, ""price"", TODAY()-30, TODAY()), 0, 2))"),1089.704347826087)</f>
        <v>1089.704348</v>
      </c>
      <c r="S545" s="9">
        <f>IFERROR(__xludf.DUMMYFUNCTION("AVERAGE(INDEX(GOOGLEFINANCE(A545, ""price"", TODAY()-75, TODAY()), 0, 2))"),1023.7981132075471)</f>
        <v>1023.798113</v>
      </c>
      <c r="T545" s="9">
        <f>IFERROR(__xludf.DUMMYFUNCTION("AVERAGE(INDEX(GOOGLEFINANCE(A545, ""price"", TODAY()-300, TODAY()), 0, 2))"),1033.2076732673263)</f>
        <v>1033.207673</v>
      </c>
      <c r="U545" s="9">
        <f t="shared" si="5"/>
        <v>0.09662772511</v>
      </c>
      <c r="V545" s="15">
        <f>IFERROR(__xludf.DUMMYFUNCTION("LET(hist, GOOGLEFINANCE(A545,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rs))))))"),79.33311855670105)</f>
        <v>79.33311856</v>
      </c>
      <c r="W545" s="16" t="str">
        <f>IFERROR(__xludf.DUMMYFUNCTION("IFERROR(GOOGLEFINANCE(A545, ""volume"") / GOOGLEFINANCE(A545, ""volumeavg""), )"),"")</f>
        <v/>
      </c>
      <c r="X545" s="9">
        <f>IFERROR(__xludf.DUMMYFUNCTION("B545 * GOOGLEFINANCE(A545, ""volume"")"),4.14073475E8)</f>
        <v>414073475</v>
      </c>
      <c r="Y545" s="9">
        <f>IFERROR(__xludf.DUMMYFUNCTION("IFERROR(((B545 - GOOGLEFINANCE(A545, ""priceopen"")) / GOOGLEFINANCE(A545, ""priceopen"")) * GOOGLEFINANCE(A545, ""volume""), 0)"),12000.17316017316)</f>
        <v>12000.17316</v>
      </c>
    </row>
    <row r="546">
      <c r="A546" s="4" t="s">
        <v>2339</v>
      </c>
      <c r="B546" s="7">
        <f>IFERROR(__xludf.DUMMYFUNCTION("GOOGLEFINANCE(A546, ""price"")"),214.8)</f>
        <v>214.8</v>
      </c>
      <c r="C546" s="7">
        <f>IFERROR(__xludf.DUMMYFUNCTION("GOOGLEFINANCE(A546, ""changepct"")"),0.34)</f>
        <v>0.34</v>
      </c>
      <c r="D546" s="9">
        <f>IFERROR(__xludf.DUMMYFUNCTION("GOOGLEFINANCE(A546, ""priceopen"")"),215.05)</f>
        <v>215.05</v>
      </c>
      <c r="E546" s="9">
        <f>IFERROR(__xludf.DUMMYFUNCTION("GOOGLEFINANCE(A546, ""high"")"),216.39)</f>
        <v>216.39</v>
      </c>
      <c r="F546" s="9">
        <f>IFERROR(__xludf.DUMMYFUNCTION("GOOGLEFINANCE(A546, ""low"")"),213.33)</f>
        <v>213.33</v>
      </c>
      <c r="G546" s="9">
        <f>IFERROR(__xludf.DUMMYFUNCTION("GOOGLEFINANCE(A546, ""price"")"),214.8)</f>
        <v>214.8</v>
      </c>
      <c r="H546" s="9">
        <f>IFERROR(__xludf.DUMMYFUNCTION("MAX(INDEX(GOOGLEFINANCE(A546, ""high"", TODAY()-30, TODAY()), 0, 2))"),222.3)</f>
        <v>222.3</v>
      </c>
      <c r="I546" s="9">
        <f>IFERROR(__xludf.DUMMYFUNCTION("MIN(INDEX(GOOGLEFINANCE(A546, ""low"", TODAY()-30, TODAY()), 0, 2))"),204.67)</f>
        <v>204.67</v>
      </c>
      <c r="J546" s="9">
        <f>IFERROR(__xludf.DUMMYFUNCTION("GOOGLEFINANCE(A546, ""high52"")"),438.7)</f>
        <v>438.7</v>
      </c>
      <c r="K546" s="9">
        <f>IFERROR(__xludf.DUMMYFUNCTION("GOOGLEFINANCE(A546, ""low52"")"),202.56)</f>
        <v>202.56</v>
      </c>
      <c r="L546" s="9">
        <f t="shared" si="1"/>
        <v>0.5103715523</v>
      </c>
      <c r="M546" s="9">
        <f t="shared" si="2"/>
        <v>0.06042654028</v>
      </c>
      <c r="N546" s="9">
        <f t="shared" si="3"/>
        <v>0.01434397412</v>
      </c>
      <c r="O546" s="9">
        <f t="shared" si="4"/>
        <v>0.5745887691</v>
      </c>
      <c r="P546" s="9" t="str">
        <f>IFERROR(__xludf.DUMMYFUNCTION("GOOGLEFINANCE(A546, ""pe"")"),"#N/A")</f>
        <v>#N/A</v>
      </c>
      <c r="Q546" s="9">
        <f>IFERROR(__xludf.DUMMYFUNCTION("IFERROR(GOOGLEFINANCE(A546, ""volume"") / GOOGLEFINANCE(A546, ""volumeavg""), 0)"),0.0)</f>
        <v>0</v>
      </c>
      <c r="R546" s="9">
        <f>IFERROR(__xludf.DUMMYFUNCTION("AVERAGE(INDEX(GOOGLEFINANCE(A546, ""price"", TODAY()-30, TODAY()), 0, 2))"),212.68521739130432)</f>
        <v>212.6852174</v>
      </c>
      <c r="S546" s="9">
        <f>IFERROR(__xludf.DUMMYFUNCTION("AVERAGE(INDEX(GOOGLEFINANCE(A546, ""price"", TODAY()-75, TODAY()), 0, 2))"),216.18169811320755)</f>
        <v>216.1816981</v>
      </c>
      <c r="T546" s="9">
        <f>IFERROR(__xludf.DUMMYFUNCTION("AVERAGE(INDEX(GOOGLEFINANCE(A546, ""price"", TODAY()-300, TODAY()), 0, 2))"),255.93975247524764)</f>
        <v>255.9397525</v>
      </c>
      <c r="U546" s="9">
        <f t="shared" si="5"/>
        <v>0.009943251509</v>
      </c>
      <c r="V546" s="15">
        <f>IFERROR(__xludf.DUMMYFUNCTION("LET(hist, GOOGLEFINANCE(A546,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rs))))))"),61.99158485273495)</f>
        <v>61.99158485</v>
      </c>
      <c r="W546" s="16" t="str">
        <f>IFERROR(__xludf.DUMMYFUNCTION("IFERROR(GOOGLEFINANCE(A546, ""volume"") / GOOGLEFINANCE(A546, ""volumeavg""), )"),"")</f>
        <v/>
      </c>
      <c r="X546" s="9">
        <f>IFERROR(__xludf.DUMMYFUNCTION("B546 * GOOGLEFINANCE(A546, ""volume"")"),7.33075884E7)</f>
        <v>73307588.4</v>
      </c>
      <c r="Y546" s="9">
        <f>IFERROR(__xludf.DUMMYFUNCTION("IFERROR(((B546 - GOOGLEFINANCE(A546, ""priceopen"")) / GOOGLEFINANCE(A546, ""priceopen"")) * GOOGLEFINANCE(A546, ""volume""), 0)"),-396.74843059753545)</f>
        <v>-396.7484306</v>
      </c>
    </row>
    <row r="547">
      <c r="A547" s="4" t="s">
        <v>2340</v>
      </c>
      <c r="B547" s="7">
        <f>IFERROR(__xludf.DUMMYFUNCTION("GOOGLEFINANCE(A547, ""price"")"),258.55)</f>
        <v>258.55</v>
      </c>
      <c r="C547" s="7">
        <f>IFERROR(__xludf.DUMMYFUNCTION("GOOGLEFINANCE(A547, ""changepct"")"),-1.47)</f>
        <v>-1.47</v>
      </c>
      <c r="D547" s="9">
        <f>IFERROR(__xludf.DUMMYFUNCTION("GOOGLEFINANCE(A547, ""priceopen"")"),262.0)</f>
        <v>262</v>
      </c>
      <c r="E547" s="9">
        <f>IFERROR(__xludf.DUMMYFUNCTION("GOOGLEFINANCE(A547, ""high"")"),262.25)</f>
        <v>262.25</v>
      </c>
      <c r="F547" s="9">
        <f>IFERROR(__xludf.DUMMYFUNCTION("GOOGLEFINANCE(A547, ""low"")"),257.5)</f>
        <v>257.5</v>
      </c>
      <c r="G547" s="9">
        <f>IFERROR(__xludf.DUMMYFUNCTION("GOOGLEFINANCE(A547, ""price"")"),258.55)</f>
        <v>258.55</v>
      </c>
      <c r="H547" s="9">
        <f>IFERROR(__xludf.DUMMYFUNCTION("MAX(INDEX(GOOGLEFINANCE(A547, ""high"", TODAY()-30, TODAY()), 0, 2))"),270.0)</f>
        <v>270</v>
      </c>
      <c r="I547" s="9">
        <f>IFERROR(__xludf.DUMMYFUNCTION("MIN(INDEX(GOOGLEFINANCE(A547, ""low"", TODAY()-30, TODAY()), 0, 2))"),241.8)</f>
        <v>241.8</v>
      </c>
      <c r="J547" s="9">
        <f>IFERROR(__xludf.DUMMYFUNCTION("GOOGLEFINANCE(A547, ""high52"")"),372.85)</f>
        <v>372.85</v>
      </c>
      <c r="K547" s="9">
        <f>IFERROR(__xludf.DUMMYFUNCTION("GOOGLEFINANCE(A547, ""low52"")"),235.65)</f>
        <v>235.65</v>
      </c>
      <c r="L547" s="9">
        <f t="shared" si="1"/>
        <v>0.3065575969</v>
      </c>
      <c r="M547" s="9">
        <f t="shared" si="2"/>
        <v>0.09717801825</v>
      </c>
      <c r="N547" s="9">
        <f t="shared" si="3"/>
        <v>0.01844660194</v>
      </c>
      <c r="O547" s="9">
        <f t="shared" si="4"/>
        <v>0.5939716312</v>
      </c>
      <c r="P547" s="9" t="str">
        <f>IFERROR(__xludf.DUMMYFUNCTION("GOOGLEFINANCE(A547, ""pe"")"),"#N/A")</f>
        <v>#N/A</v>
      </c>
      <c r="Q547" s="9">
        <f>IFERROR(__xludf.DUMMYFUNCTION("IFERROR(GOOGLEFINANCE(A547, ""volume"") / GOOGLEFINANCE(A547, ""volumeavg""), 0)"),0.0)</f>
        <v>0</v>
      </c>
      <c r="R547" s="9">
        <f>IFERROR(__xludf.DUMMYFUNCTION("AVERAGE(INDEX(GOOGLEFINANCE(A547, ""price"", TODAY()-30, TODAY()), 0, 2))"),255.48695652173913)</f>
        <v>255.4869565</v>
      </c>
      <c r="S547" s="9">
        <f>IFERROR(__xludf.DUMMYFUNCTION("AVERAGE(INDEX(GOOGLEFINANCE(A547, ""price"", TODAY()-75, TODAY()), 0, 2))"),264.23207547169807)</f>
        <v>264.2320755</v>
      </c>
      <c r="T547" s="9">
        <f>IFERROR(__xludf.DUMMYFUNCTION("AVERAGE(INDEX(GOOGLEFINANCE(A547, ""price"", TODAY()-300, TODAY()), 0, 2))"),285.03851485148533)</f>
        <v>285.0385149</v>
      </c>
      <c r="U547" s="9">
        <f t="shared" si="5"/>
        <v>0.01198904054</v>
      </c>
      <c r="V547" s="15">
        <f>IFERROR(__xludf.DUMMYFUNCTION("LET(hist, GOOGLEFINANCE(A547,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rs))))))"),64.59694989106754)</f>
        <v>64.59694989</v>
      </c>
      <c r="W547" s="16" t="str">
        <f>IFERROR(__xludf.DUMMYFUNCTION("IFERROR(GOOGLEFINANCE(A547, ""volume"") / GOOGLEFINANCE(A547, ""volumeavg""), )"),"")</f>
        <v/>
      </c>
      <c r="X547" s="9">
        <f>IFERROR(__xludf.DUMMYFUNCTION("B547 * GOOGLEFINANCE(A547, ""volume"")"),1.1893015595E8)</f>
        <v>118930156</v>
      </c>
      <c r="Y547" s="9">
        <f>IFERROR(__xludf.DUMMYFUNCTION("IFERROR(((B547 - GOOGLEFINANCE(A547, ""priceopen"")) / GOOGLEFINANCE(A547, ""priceopen"")) * GOOGLEFINANCE(A547, ""volume""), 0)"),-6057.107061068682)</f>
        <v>-6057.107061</v>
      </c>
    </row>
    <row r="548">
      <c r="A548" s="4" t="s">
        <v>2341</v>
      </c>
      <c r="B548" s="7">
        <f>IFERROR(__xludf.DUMMYFUNCTION("GOOGLEFINANCE(A548, ""price"")"),1115.0)</f>
        <v>1115</v>
      </c>
      <c r="C548" s="7">
        <f>IFERROR(__xludf.DUMMYFUNCTION("GOOGLEFINANCE(A548, ""changepct"")"),-1.7)</f>
        <v>-1.7</v>
      </c>
      <c r="D548" s="9">
        <f>IFERROR(__xludf.DUMMYFUNCTION("GOOGLEFINANCE(A548, ""priceopen"")"),1138.0)</f>
        <v>1138</v>
      </c>
      <c r="E548" s="9">
        <f>IFERROR(__xludf.DUMMYFUNCTION("GOOGLEFINANCE(A548, ""high"")"),1138.0)</f>
        <v>1138</v>
      </c>
      <c r="F548" s="9">
        <f>IFERROR(__xludf.DUMMYFUNCTION("GOOGLEFINANCE(A548, ""low"")"),1114.0)</f>
        <v>1114</v>
      </c>
      <c r="G548" s="9">
        <f>IFERROR(__xludf.DUMMYFUNCTION("GOOGLEFINANCE(A548, ""price"")"),1115.0)</f>
        <v>1115</v>
      </c>
      <c r="H548" s="9">
        <f>IFERROR(__xludf.DUMMYFUNCTION("MAX(INDEX(GOOGLEFINANCE(A548, ""high"", TODAY()-30, TODAY()), 0, 2))"),1179.0)</f>
        <v>1179</v>
      </c>
      <c r="I548" s="9">
        <f>IFERROR(__xludf.DUMMYFUNCTION("MIN(INDEX(GOOGLEFINANCE(A548, ""low"", TODAY()-30, TODAY()), 0, 2))"),1064.4)</f>
        <v>1064.4</v>
      </c>
      <c r="J548" s="9">
        <f>IFERROR(__xludf.DUMMYFUNCTION("GOOGLEFINANCE(A548, ""high52"")"),1378.0)</f>
        <v>1378</v>
      </c>
      <c r="K548" s="9">
        <f>IFERROR(__xludf.DUMMYFUNCTION("GOOGLEFINANCE(A548, ""low52"")"),900.0)</f>
        <v>900</v>
      </c>
      <c r="L548" s="9">
        <f t="shared" si="1"/>
        <v>0.1908563135</v>
      </c>
      <c r="M548" s="9">
        <f t="shared" si="2"/>
        <v>0.2388888889</v>
      </c>
      <c r="N548" s="9">
        <f t="shared" si="3"/>
        <v>0.02154398564</v>
      </c>
      <c r="O548" s="9">
        <f t="shared" si="4"/>
        <v>0.4415357766</v>
      </c>
      <c r="P548" s="9">
        <f>IFERROR(__xludf.DUMMYFUNCTION("GOOGLEFINANCE(A548, ""pe"")"),15.4)</f>
        <v>15.4</v>
      </c>
      <c r="Q548" s="9">
        <f>IFERROR(__xludf.DUMMYFUNCTION("IFERROR(GOOGLEFINANCE(A548, ""volume"") / GOOGLEFINANCE(A548, ""volumeavg""), 0)"),0.0)</f>
        <v>0</v>
      </c>
      <c r="R548" s="9">
        <f>IFERROR(__xludf.DUMMYFUNCTION("AVERAGE(INDEX(GOOGLEFINANCE(A548, ""price"", TODAY()-30, TODAY()), 0, 2))"),1106.9130434782608)</f>
        <v>1106.913043</v>
      </c>
      <c r="S548" s="9">
        <f>IFERROR(__xludf.DUMMYFUNCTION("AVERAGE(INDEX(GOOGLEFINANCE(A548, ""price"", TODAY()-75, TODAY()), 0, 2))"),1122.167924528302)</f>
        <v>1122.167925</v>
      </c>
      <c r="T548" s="9">
        <f>IFERROR(__xludf.DUMMYFUNCTION("AVERAGE(INDEX(GOOGLEFINANCE(A548, ""price"", TODAY()-300, TODAY()), 0, 2))"),1123.686386138614)</f>
        <v>1123.686386</v>
      </c>
      <c r="U548" s="9">
        <f t="shared" si="5"/>
        <v>0.007305864331</v>
      </c>
      <c r="V548" s="15">
        <f>IFERROR(__xludf.DUMMYFUNCTION("LET(hist, GOOGLEFINANCE(A548,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rs))))))"),64.93278784336643)</f>
        <v>64.93278784</v>
      </c>
      <c r="W548" s="16" t="str">
        <f>IFERROR(__xludf.DUMMYFUNCTION("IFERROR(GOOGLEFINANCE(A548, ""volume"") / GOOGLEFINANCE(A548, ""volumeavg""), )"),"")</f>
        <v/>
      </c>
      <c r="X548" s="9">
        <f>IFERROR(__xludf.DUMMYFUNCTION("B548 * GOOGLEFINANCE(A548, ""volume"")"),6.1702985E7)</f>
        <v>61702985</v>
      </c>
      <c r="Y548" s="9">
        <f>IFERROR(__xludf.DUMMYFUNCTION("IFERROR(((B548 - GOOGLEFINANCE(A548, ""priceopen"")) / GOOGLEFINANCE(A548, ""priceopen"")) * GOOGLEFINANCE(A548, ""volume""), 0)"),-1118.45079086116)</f>
        <v>-1118.450791</v>
      </c>
    </row>
    <row r="549">
      <c r="A549" s="4" t="s">
        <v>2342</v>
      </c>
      <c r="B549" s="7">
        <f>IFERROR(__xludf.DUMMYFUNCTION("GOOGLEFINANCE(A549, ""price"")"),263.0)</f>
        <v>263</v>
      </c>
      <c r="C549" s="7">
        <f>IFERROR(__xludf.DUMMYFUNCTION("GOOGLEFINANCE(A549, ""changepct"")"),0.59)</f>
        <v>0.59</v>
      </c>
      <c r="D549" s="9">
        <f>IFERROR(__xludf.DUMMYFUNCTION("GOOGLEFINANCE(A549, ""priceopen"")"),262.7)</f>
        <v>262.7</v>
      </c>
      <c r="E549" s="9">
        <f>IFERROR(__xludf.DUMMYFUNCTION("GOOGLEFINANCE(A549, ""high"")"),267.8)</f>
        <v>267.8</v>
      </c>
      <c r="F549" s="9">
        <f>IFERROR(__xludf.DUMMYFUNCTION("GOOGLEFINANCE(A549, ""low"")"),258.55)</f>
        <v>258.55</v>
      </c>
      <c r="G549" s="9">
        <f>IFERROR(__xludf.DUMMYFUNCTION("GOOGLEFINANCE(A549, ""price"")"),263.0)</f>
        <v>263</v>
      </c>
      <c r="H549" s="9">
        <f>IFERROR(__xludf.DUMMYFUNCTION("MAX(INDEX(GOOGLEFINANCE(A549, ""high"", TODAY()-30, TODAY()), 0, 2))"),285.35)</f>
        <v>285.35</v>
      </c>
      <c r="I549" s="9">
        <f>IFERROR(__xludf.DUMMYFUNCTION("MIN(INDEX(GOOGLEFINANCE(A549, ""low"", TODAY()-30, TODAY()), 0, 2))"),248.0)</f>
        <v>248</v>
      </c>
      <c r="J549" s="9">
        <f>IFERROR(__xludf.DUMMYFUNCTION("GOOGLEFINANCE(A549, ""high52"")"),298.0)</f>
        <v>298</v>
      </c>
      <c r="K549" s="9">
        <f>IFERROR(__xludf.DUMMYFUNCTION("GOOGLEFINANCE(A549, ""low52"")"),178.13)</f>
        <v>178.13</v>
      </c>
      <c r="L549" s="9">
        <f t="shared" si="1"/>
        <v>0.1174496644</v>
      </c>
      <c r="M549" s="9">
        <f t="shared" si="2"/>
        <v>0.4764497839</v>
      </c>
      <c r="N549" s="9">
        <f t="shared" si="3"/>
        <v>0.03577644556</v>
      </c>
      <c r="O549" s="9">
        <f t="shared" si="4"/>
        <v>0.4016064257</v>
      </c>
      <c r="P549" s="9" t="str">
        <f>IFERROR(__xludf.DUMMYFUNCTION("GOOGLEFINANCE(A549, ""pe"")"),"#N/A")</f>
        <v>#N/A</v>
      </c>
      <c r="Q549" s="9">
        <f>IFERROR(__xludf.DUMMYFUNCTION("IFERROR(GOOGLEFINANCE(A549, ""volume"") / GOOGLEFINANCE(A549, ""volumeavg""), 0)"),0.0)</f>
        <v>0</v>
      </c>
      <c r="R549" s="9">
        <f>IFERROR(__xludf.DUMMYFUNCTION("AVERAGE(INDEX(GOOGLEFINANCE(A549, ""price"", TODAY()-30, TODAY()), 0, 2))"),265.44347826086954)</f>
        <v>265.4434783</v>
      </c>
      <c r="S549" s="9">
        <f>IFERROR(__xludf.DUMMYFUNCTION("AVERAGE(INDEX(GOOGLEFINANCE(A549, ""price"", TODAY()-75, TODAY()), 0, 2))"),264.6828301886792)</f>
        <v>264.6828302</v>
      </c>
      <c r="T549" s="9">
        <f>IFERROR(__xludf.DUMMYFUNCTION("AVERAGE(INDEX(GOOGLEFINANCE(A549, ""price"", TODAY()-300, TODAY()), 0, 2))"),231.6873333333334)</f>
        <v>231.6873333</v>
      </c>
      <c r="U549" s="9">
        <f t="shared" si="5"/>
        <v>-0.009205267641</v>
      </c>
      <c r="V549" s="15">
        <f>IFERROR(__xludf.DUMMYFUNCTION("LET(hist, GOOGLEFINANCE(A549,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rs))))))"),56.805157593123205)</f>
        <v>56.80515759</v>
      </c>
      <c r="W549" s="16" t="str">
        <f>IFERROR(__xludf.DUMMYFUNCTION("IFERROR(GOOGLEFINANCE(A549, ""volume"") / GOOGLEFINANCE(A549, ""volumeavg""), )"),"")</f>
        <v/>
      </c>
      <c r="X549" s="9">
        <f>IFERROR(__xludf.DUMMYFUNCTION("B549 * GOOGLEFINANCE(A549, ""volume"")"),5.46064007E8)</f>
        <v>546064007</v>
      </c>
      <c r="Y549" s="9">
        <f>IFERROR(__xludf.DUMMYFUNCTION("IFERROR(((B549 - GOOGLEFINANCE(A549, ""priceopen"")) / GOOGLEFINANCE(A549, ""priceopen"")) * GOOGLEFINANCE(A549, ""volume""), 0)"),2371.0951655882136)</f>
        <v>2371.095166</v>
      </c>
    </row>
    <row r="550">
      <c r="A550" s="4" t="s">
        <v>2343</v>
      </c>
      <c r="B550" s="7">
        <f>IFERROR(__xludf.DUMMYFUNCTION("GOOGLEFINANCE(A550, ""price"")"),98.1)</f>
        <v>98.1</v>
      </c>
      <c r="C550" s="7">
        <f>IFERROR(__xludf.DUMMYFUNCTION("GOOGLEFINANCE(A550, ""changepct"")"),7.14)</f>
        <v>7.14</v>
      </c>
      <c r="D550" s="9">
        <f>IFERROR(__xludf.DUMMYFUNCTION("GOOGLEFINANCE(A550, ""priceopen"")"),92.5)</f>
        <v>92.5</v>
      </c>
      <c r="E550" s="9">
        <f>IFERROR(__xludf.DUMMYFUNCTION("GOOGLEFINANCE(A550, ""high"")"),98.85)</f>
        <v>98.85</v>
      </c>
      <c r="F550" s="9">
        <f>IFERROR(__xludf.DUMMYFUNCTION("GOOGLEFINANCE(A550, ""low"")"),90.26)</f>
        <v>90.26</v>
      </c>
      <c r="G550" s="9">
        <f>IFERROR(__xludf.DUMMYFUNCTION("GOOGLEFINANCE(A550, ""price"")"),98.1)</f>
        <v>98.1</v>
      </c>
      <c r="H550" s="9">
        <f>IFERROR(__xludf.DUMMYFUNCTION("MAX(INDEX(GOOGLEFINANCE(A550, ""high"", TODAY()-30, TODAY()), 0, 2))"),117.32)</f>
        <v>117.32</v>
      </c>
      <c r="I550" s="9">
        <f>IFERROR(__xludf.DUMMYFUNCTION("MIN(INDEX(GOOGLEFINANCE(A550, ""low"", TODAY()-30, TODAY()), 0, 2))"),90.0)</f>
        <v>90</v>
      </c>
      <c r="J550" s="9">
        <f>IFERROR(__xludf.DUMMYFUNCTION("GOOGLEFINANCE(A550, ""high52"")"),124.14)</f>
        <v>124.14</v>
      </c>
      <c r="K550" s="9">
        <f>IFERROR(__xludf.DUMMYFUNCTION("GOOGLEFINANCE(A550, ""low52"")"),68.0)</f>
        <v>68</v>
      </c>
      <c r="L550" s="9">
        <f t="shared" si="1"/>
        <v>0.2097631706</v>
      </c>
      <c r="M550" s="9">
        <f t="shared" si="2"/>
        <v>0.4426470588</v>
      </c>
      <c r="N550" s="9">
        <f t="shared" si="3"/>
        <v>0.0951695103</v>
      </c>
      <c r="O550" s="9">
        <f t="shared" si="4"/>
        <v>0.2964860908</v>
      </c>
      <c r="P550" s="9">
        <f>IFERROR(__xludf.DUMMYFUNCTION("GOOGLEFINANCE(A550, ""pe"")"),34.79)</f>
        <v>34.79</v>
      </c>
      <c r="Q550" s="9">
        <f>IFERROR(__xludf.DUMMYFUNCTION("IFERROR(GOOGLEFINANCE(A550, ""volume"") / GOOGLEFINANCE(A550, ""volumeavg""), 0)"),0.0)</f>
        <v>0</v>
      </c>
      <c r="R550" s="9">
        <f>IFERROR(__xludf.DUMMYFUNCTION("AVERAGE(INDEX(GOOGLEFINANCE(A550, ""price"", TODAY()-30, TODAY()), 0, 2))"),102.7186956521739)</f>
        <v>102.7186957</v>
      </c>
      <c r="S550" s="9">
        <f>IFERROR(__xludf.DUMMYFUNCTION("AVERAGE(INDEX(GOOGLEFINANCE(A550, ""price"", TODAY()-75, TODAY()), 0, 2))"),104.66603773584906)</f>
        <v>104.6660377</v>
      </c>
      <c r="T550" s="9">
        <f>IFERROR(__xludf.DUMMYFUNCTION("AVERAGE(INDEX(GOOGLEFINANCE(A550, ""price"", TODAY()-300, TODAY()), 0, 2))"),93.6240594059406)</f>
        <v>93.62405941</v>
      </c>
      <c r="U550" s="9">
        <f t="shared" si="5"/>
        <v>-0.04496450839</v>
      </c>
      <c r="V550" s="15">
        <f>IFERROR(__xludf.DUMMYFUNCTION("LET(hist, GOOGLEFINANCE(A550,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rs))))))"),44.00162667751118)</f>
        <v>44.00162668</v>
      </c>
      <c r="W550" s="16" t="str">
        <f>IFERROR(__xludf.DUMMYFUNCTION("IFERROR(GOOGLEFINANCE(A550, ""volume"") / GOOGLEFINANCE(A550, ""volumeavg""), )"),"")</f>
        <v/>
      </c>
      <c r="X550" s="9">
        <f>IFERROR(__xludf.DUMMYFUNCTION("B550 * GOOGLEFINANCE(A550, ""volume"")"),4.459013463599999E9)</f>
        <v>4459013464</v>
      </c>
      <c r="Y550" s="9">
        <f>IFERROR(__xludf.DUMMYFUNCTION("IFERROR(((B550 - GOOGLEFINANCE(A550, ""priceopen"")) / GOOGLEFINANCE(A550, ""priceopen"")) * GOOGLEFINANCE(A550, ""volume""), 0)"),2751794.957837835)</f>
        <v>2751794.958</v>
      </c>
    </row>
    <row r="551">
      <c r="A551" s="4" t="s">
        <v>2344</v>
      </c>
      <c r="B551" s="7">
        <f>IFERROR(__xludf.DUMMYFUNCTION("GOOGLEFINANCE(A551, ""price"")"),5985.0)</f>
        <v>5985</v>
      </c>
      <c r="C551" s="7">
        <f>IFERROR(__xludf.DUMMYFUNCTION("GOOGLEFINANCE(A551, ""changepct"")"),-0.77)</f>
        <v>-0.77</v>
      </c>
      <c r="D551" s="9">
        <f>IFERROR(__xludf.DUMMYFUNCTION("GOOGLEFINANCE(A551, ""priceopen"")"),6031.5)</f>
        <v>6031.5</v>
      </c>
      <c r="E551" s="9">
        <f>IFERROR(__xludf.DUMMYFUNCTION("GOOGLEFINANCE(A551, ""high"")"),6050.0)</f>
        <v>6050</v>
      </c>
      <c r="F551" s="9">
        <f>IFERROR(__xludf.DUMMYFUNCTION("GOOGLEFINANCE(A551, ""low"")"),5937.0)</f>
        <v>5937</v>
      </c>
      <c r="G551" s="9">
        <f>IFERROR(__xludf.DUMMYFUNCTION("GOOGLEFINANCE(A551, ""price"")"),5985.0)</f>
        <v>5985</v>
      </c>
      <c r="H551" s="9">
        <f>IFERROR(__xludf.DUMMYFUNCTION("MAX(INDEX(GOOGLEFINANCE(A551, ""high"", TODAY()-30, TODAY()), 0, 2))"),6975.0)</f>
        <v>6975</v>
      </c>
      <c r="I551" s="9">
        <f>IFERROR(__xludf.DUMMYFUNCTION("MIN(INDEX(GOOGLEFINANCE(A551, ""low"", TODAY()-30, TODAY()), 0, 2))"),5937.0)</f>
        <v>5937</v>
      </c>
      <c r="J551" s="9">
        <f>IFERROR(__xludf.DUMMYFUNCTION("GOOGLEFINANCE(A551, ""high52"")"),6975.0)</f>
        <v>6975</v>
      </c>
      <c r="K551" s="9">
        <f>IFERROR(__xludf.DUMMYFUNCTION("GOOGLEFINANCE(A551, ""low52"")"),4707.0)</f>
        <v>4707</v>
      </c>
      <c r="L551" s="9">
        <f t="shared" si="1"/>
        <v>0.1419354839</v>
      </c>
      <c r="M551" s="9">
        <f t="shared" si="2"/>
        <v>0.2715105163</v>
      </c>
      <c r="N551" s="9">
        <f t="shared" si="3"/>
        <v>0.01903318174</v>
      </c>
      <c r="O551" s="9">
        <f t="shared" si="4"/>
        <v>0.04624277457</v>
      </c>
      <c r="P551" s="9">
        <f>IFERROR(__xludf.DUMMYFUNCTION("GOOGLEFINANCE(A551, ""pe"")"),30.69)</f>
        <v>30.69</v>
      </c>
      <c r="Q551" s="9">
        <f>IFERROR(__xludf.DUMMYFUNCTION("IFERROR(GOOGLEFINANCE(A551, ""volume"") / GOOGLEFINANCE(A551, ""volumeavg""), 0)"),0.0)</f>
        <v>0</v>
      </c>
      <c r="R551" s="9">
        <f>IFERROR(__xludf.DUMMYFUNCTION("AVERAGE(INDEX(GOOGLEFINANCE(A551, ""price"", TODAY()-30, TODAY()), 0, 2))"),6559.065217391304)</f>
        <v>6559.065217</v>
      </c>
      <c r="S551" s="9">
        <f>IFERROR(__xludf.DUMMYFUNCTION("AVERAGE(INDEX(GOOGLEFINANCE(A551, ""price"", TODAY()-75, TODAY()), 0, 2))"),6395.264150943396)</f>
        <v>6395.264151</v>
      </c>
      <c r="T551" s="9">
        <f>IFERROR(__xludf.DUMMYFUNCTION("AVERAGE(INDEX(GOOGLEFINANCE(A551, ""price"", TODAY()-300, TODAY()), 0, 2))"),5679.469801980197)</f>
        <v>5679.469802</v>
      </c>
      <c r="U551" s="9">
        <f t="shared" si="5"/>
        <v>-0.08752241339</v>
      </c>
      <c r="V551" s="15">
        <f>IFERROR(__xludf.DUMMYFUNCTION("LET(hist, GOOGLEFINANCE(A551,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rs))))))"),23.16464718460442)</f>
        <v>23.16464718</v>
      </c>
      <c r="W551" s="16" t="str">
        <f>IFERROR(__xludf.DUMMYFUNCTION("IFERROR(GOOGLEFINANCE(A551, ""volume"") / GOOGLEFINANCE(A551, ""volumeavg""), )"),"")</f>
        <v/>
      </c>
      <c r="X551" s="9">
        <f>IFERROR(__xludf.DUMMYFUNCTION("B551 * GOOGLEFINANCE(A551, ""volume"")"),3.1570875E7)</f>
        <v>31570875</v>
      </c>
      <c r="Y551" s="9">
        <f>IFERROR(__xludf.DUMMYFUNCTION("IFERROR(((B551 - GOOGLEFINANCE(A551, ""priceopen"")) / GOOGLEFINANCE(A551, ""priceopen"")) * GOOGLEFINANCE(A551, ""volume""), 0)"),-40.667744342203434)</f>
        <v>-40.66774434</v>
      </c>
    </row>
    <row r="552">
      <c r="A552" s="4" t="s">
        <v>2345</v>
      </c>
      <c r="B552" s="7">
        <f>IFERROR(__xludf.DUMMYFUNCTION("GOOGLEFINANCE(A552, ""price"")"),118.76)</f>
        <v>118.76</v>
      </c>
      <c r="C552" s="7">
        <f>IFERROR(__xludf.DUMMYFUNCTION("GOOGLEFINANCE(A552, ""changepct"")"),-0.27)</f>
        <v>-0.27</v>
      </c>
      <c r="D552" s="9">
        <f>IFERROR(__xludf.DUMMYFUNCTION("GOOGLEFINANCE(A552, ""priceopen"")"),119.37)</f>
        <v>119.37</v>
      </c>
      <c r="E552" s="9">
        <f>IFERROR(__xludf.DUMMYFUNCTION("GOOGLEFINANCE(A552, ""high"")"),120.3)</f>
        <v>120.3</v>
      </c>
      <c r="F552" s="9">
        <f>IFERROR(__xludf.DUMMYFUNCTION("GOOGLEFINANCE(A552, ""low"")"),117.41)</f>
        <v>117.41</v>
      </c>
      <c r="G552" s="9">
        <f>IFERROR(__xludf.DUMMYFUNCTION("GOOGLEFINANCE(A552, ""price"")"),118.76)</f>
        <v>118.76</v>
      </c>
      <c r="H552" s="9">
        <f>IFERROR(__xludf.DUMMYFUNCTION("MAX(INDEX(GOOGLEFINANCE(A552, ""high"", TODAY()-30, TODAY()), 0, 2))"),124.44)</f>
        <v>124.44</v>
      </c>
      <c r="I552" s="9">
        <f>IFERROR(__xludf.DUMMYFUNCTION("MIN(INDEX(GOOGLEFINANCE(A552, ""low"", TODAY()-30, TODAY()), 0, 2))"),113.35)</f>
        <v>113.35</v>
      </c>
      <c r="J552" s="9">
        <f>IFERROR(__xludf.DUMMYFUNCTION("GOOGLEFINANCE(A552, ""high52"")"),133.9)</f>
        <v>133.9</v>
      </c>
      <c r="K552" s="9">
        <f>IFERROR(__xludf.DUMMYFUNCTION("GOOGLEFINANCE(A552, ""low52"")"),92.61)</f>
        <v>92.61</v>
      </c>
      <c r="L552" s="9">
        <f t="shared" si="1"/>
        <v>0.1130694548</v>
      </c>
      <c r="M552" s="9">
        <f t="shared" si="2"/>
        <v>0.282366915</v>
      </c>
      <c r="N552" s="9">
        <f t="shared" si="3"/>
        <v>0.02461459842</v>
      </c>
      <c r="O552" s="9">
        <f t="shared" si="4"/>
        <v>0.4878268711</v>
      </c>
      <c r="P552" s="9">
        <f>IFERROR(__xludf.DUMMYFUNCTION("GOOGLEFINANCE(A552, ""pe"")"),15.9)</f>
        <v>15.9</v>
      </c>
      <c r="Q552" s="9">
        <f>IFERROR(__xludf.DUMMYFUNCTION("IFERROR(GOOGLEFINANCE(A552, ""volume"") / GOOGLEFINANCE(A552, ""volumeavg""), 0)"),0.0)</f>
        <v>0</v>
      </c>
      <c r="R552" s="9">
        <f>IFERROR(__xludf.DUMMYFUNCTION("AVERAGE(INDEX(GOOGLEFINANCE(A552, ""price"", TODAY()-30, TODAY()), 0, 2))"),118.18391304347826)</f>
        <v>118.183913</v>
      </c>
      <c r="S552" s="9">
        <f>IFERROR(__xludf.DUMMYFUNCTION("AVERAGE(INDEX(GOOGLEFINANCE(A552, ""price"", TODAY()-75, TODAY()), 0, 2))"),118.071320754717)</f>
        <v>118.0713208</v>
      </c>
      <c r="T552" s="9">
        <f>IFERROR(__xludf.DUMMYFUNCTION("AVERAGE(INDEX(GOOGLEFINANCE(A552, ""price"", TODAY()-300, TODAY()), 0, 2))"),113.58405940594061)</f>
        <v>113.5840594</v>
      </c>
      <c r="U552" s="9">
        <f t="shared" si="5"/>
        <v>0.004874495536</v>
      </c>
      <c r="V552" s="15">
        <f>IFERROR(__xludf.DUMMYFUNCTION("LET(hist, GOOGLEFINANCE(A552,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rs))))))"),58.49969751966125)</f>
        <v>58.49969752</v>
      </c>
      <c r="W552" s="16" t="str">
        <f>IFERROR(__xludf.DUMMYFUNCTION("IFERROR(GOOGLEFINANCE(A552, ""volume"") / GOOGLEFINANCE(A552, ""volumeavg""), )"),"")</f>
        <v/>
      </c>
      <c r="X552" s="9">
        <f>IFERROR(__xludf.DUMMYFUNCTION("B552 * GOOGLEFINANCE(A552, ""volume"")"),1.6667799736E8)</f>
        <v>166677997.4</v>
      </c>
      <c r="Y552" s="9">
        <f>IFERROR(__xludf.DUMMYFUNCTION("IFERROR(((B552 - GOOGLEFINANCE(A552, ""priceopen"")) / GOOGLEFINANCE(A552, ""priceopen"")) * GOOGLEFINANCE(A552, ""volume""), 0)"),-7172.040378654597)</f>
        <v>-7172.040379</v>
      </c>
    </row>
    <row r="553">
      <c r="A553" s="4" t="s">
        <v>2346</v>
      </c>
      <c r="B553" s="7">
        <f>IFERROR(__xludf.DUMMYFUNCTION("GOOGLEFINANCE(A553, ""price"")"),820.0)</f>
        <v>820</v>
      </c>
      <c r="C553" s="7">
        <f>IFERROR(__xludf.DUMMYFUNCTION("GOOGLEFINANCE(A553, ""changepct"")"),-0.71)</f>
        <v>-0.71</v>
      </c>
      <c r="D553" s="9">
        <f>IFERROR(__xludf.DUMMYFUNCTION("GOOGLEFINANCE(A553, ""priceopen"")"),826.0)</f>
        <v>826</v>
      </c>
      <c r="E553" s="9">
        <f>IFERROR(__xludf.DUMMYFUNCTION("GOOGLEFINANCE(A553, ""high"")"),826.85)</f>
        <v>826.85</v>
      </c>
      <c r="F553" s="9">
        <f>IFERROR(__xludf.DUMMYFUNCTION("GOOGLEFINANCE(A553, ""low"")"),817.1)</f>
        <v>817.1</v>
      </c>
      <c r="G553" s="9">
        <f>IFERROR(__xludf.DUMMYFUNCTION("GOOGLEFINANCE(A553, ""price"")"),820.0)</f>
        <v>820</v>
      </c>
      <c r="H553" s="9">
        <f>IFERROR(__xludf.DUMMYFUNCTION("MAX(INDEX(GOOGLEFINANCE(A553, ""high"", TODAY()-30, TODAY()), 0, 2))"),940.85)</f>
        <v>940.85</v>
      </c>
      <c r="I553" s="9">
        <f>IFERROR(__xludf.DUMMYFUNCTION("MIN(INDEX(GOOGLEFINANCE(A553, ""low"", TODAY()-30, TODAY()), 0, 2))"),799.0)</f>
        <v>799</v>
      </c>
      <c r="J553" s="9">
        <f>IFERROR(__xludf.DUMMYFUNCTION("GOOGLEFINANCE(A553, ""high52"")"),971.5)</f>
        <v>971.5</v>
      </c>
      <c r="K553" s="9">
        <f>IFERROR(__xludf.DUMMYFUNCTION("GOOGLEFINANCE(A553, ""low52"")"),708.6)</f>
        <v>708.6</v>
      </c>
      <c r="L553" s="9">
        <f t="shared" si="1"/>
        <v>0.1559444159</v>
      </c>
      <c r="M553" s="9">
        <f t="shared" si="2"/>
        <v>0.1572114028</v>
      </c>
      <c r="N553" s="9">
        <f t="shared" si="3"/>
        <v>0.01193244401</v>
      </c>
      <c r="O553" s="9">
        <f t="shared" si="4"/>
        <v>0.1480437081</v>
      </c>
      <c r="P553" s="9">
        <f>IFERROR(__xludf.DUMMYFUNCTION("GOOGLEFINANCE(A553, ""pe"")"),9.67)</f>
        <v>9.67</v>
      </c>
      <c r="Q553" s="9">
        <f>IFERROR(__xludf.DUMMYFUNCTION("IFERROR(GOOGLEFINANCE(A553, ""volume"") / GOOGLEFINANCE(A553, ""volumeavg""), 0)"),0.0)</f>
        <v>0</v>
      </c>
      <c r="R553" s="9">
        <f>IFERROR(__xludf.DUMMYFUNCTION("AVERAGE(INDEX(GOOGLEFINANCE(A553, ""price"", TODAY()-30, TODAY()), 0, 2))"),838.5586956521738)</f>
        <v>838.5586957</v>
      </c>
      <c r="S553" s="9">
        <f>IFERROR(__xludf.DUMMYFUNCTION("AVERAGE(INDEX(GOOGLEFINANCE(A553, ""price"", TODAY()-75, TODAY()), 0, 2))"),854.5349056603777)</f>
        <v>854.5349057</v>
      </c>
      <c r="T553" s="9">
        <f>IFERROR(__xludf.DUMMYFUNCTION("AVERAGE(INDEX(GOOGLEFINANCE(A553, ""price"", TODAY()-300, TODAY()), 0, 2))"),872.7324257425736)</f>
        <v>872.7324257</v>
      </c>
      <c r="U553" s="9">
        <f t="shared" si="5"/>
        <v>-0.02213165965</v>
      </c>
      <c r="V553" s="15">
        <f>IFERROR(__xludf.DUMMYFUNCTION("LET(hist, GOOGLEFINANCE(A553,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rs))))))"),52.71565495207674)</f>
        <v>52.71565495</v>
      </c>
      <c r="W553" s="16" t="str">
        <f>IFERROR(__xludf.DUMMYFUNCTION("IFERROR(GOOGLEFINANCE(A553, ""volume"") / GOOGLEFINANCE(A553, ""volumeavg""), )"),"")</f>
        <v/>
      </c>
      <c r="X553" s="9">
        <f>IFERROR(__xludf.DUMMYFUNCTION("B553 * GOOGLEFINANCE(A553, ""volume"")"),7.359828E7)</f>
        <v>73598280</v>
      </c>
      <c r="Y553" s="9">
        <f>IFERROR(__xludf.DUMMYFUNCTION("IFERROR(((B553 - GOOGLEFINANCE(A553, ""priceopen"")) / GOOGLEFINANCE(A553, ""priceopen"")) * GOOGLEFINANCE(A553, ""volume""), 0)"),-651.9661016949153)</f>
        <v>-651.9661017</v>
      </c>
    </row>
    <row r="554">
      <c r="A554" s="4" t="s">
        <v>2347</v>
      </c>
      <c r="B554" s="7">
        <f>IFERROR(__xludf.DUMMYFUNCTION("GOOGLEFINANCE(A554, ""price"")"),934.25)</f>
        <v>934.25</v>
      </c>
      <c r="C554" s="7">
        <f>IFERROR(__xludf.DUMMYFUNCTION("GOOGLEFINANCE(A554, ""changepct"")"),2.79)</f>
        <v>2.79</v>
      </c>
      <c r="D554" s="9">
        <f>IFERROR(__xludf.DUMMYFUNCTION("GOOGLEFINANCE(A554, ""priceopen"")"),912.0)</f>
        <v>912</v>
      </c>
      <c r="E554" s="9">
        <f>IFERROR(__xludf.DUMMYFUNCTION("GOOGLEFINANCE(A554, ""high"")"),935.0)</f>
        <v>935</v>
      </c>
      <c r="F554" s="9">
        <f>IFERROR(__xludf.DUMMYFUNCTION("GOOGLEFINANCE(A554, ""low"")"),909.3)</f>
        <v>909.3</v>
      </c>
      <c r="G554" s="9">
        <f>IFERROR(__xludf.DUMMYFUNCTION("GOOGLEFINANCE(A554, ""price"")"),934.25)</f>
        <v>934.25</v>
      </c>
      <c r="H554" s="9">
        <f>IFERROR(__xludf.DUMMYFUNCTION("MAX(INDEX(GOOGLEFINANCE(A554, ""high"", TODAY()-30, TODAY()), 0, 2))"),1050.0)</f>
        <v>1050</v>
      </c>
      <c r="I554" s="9">
        <f>IFERROR(__xludf.DUMMYFUNCTION("MIN(INDEX(GOOGLEFINANCE(A554, ""low"", TODAY()-30, TODAY()), 0, 2))"),850.65)</f>
        <v>850.65</v>
      </c>
      <c r="J554" s="9">
        <f>IFERROR(__xludf.DUMMYFUNCTION("GOOGLEFINANCE(A554, ""high52"")"),1050.0)</f>
        <v>1050</v>
      </c>
      <c r="K554" s="9">
        <f>IFERROR(__xludf.DUMMYFUNCTION("GOOGLEFINANCE(A554, ""low52"")"),437.0)</f>
        <v>437</v>
      </c>
      <c r="L554" s="9">
        <f t="shared" si="1"/>
        <v>0.1102380952</v>
      </c>
      <c r="M554" s="9">
        <f t="shared" si="2"/>
        <v>1.137871854</v>
      </c>
      <c r="N554" s="9">
        <f t="shared" si="3"/>
        <v>0.0282634994</v>
      </c>
      <c r="O554" s="9">
        <f t="shared" si="4"/>
        <v>0.4193629295</v>
      </c>
      <c r="P554" s="9">
        <f>IFERROR(__xludf.DUMMYFUNCTION("GOOGLEFINANCE(A554, ""pe"")"),45.62)</f>
        <v>45.62</v>
      </c>
      <c r="Q554" s="9">
        <f>IFERROR(__xludf.DUMMYFUNCTION("IFERROR(GOOGLEFINANCE(A554, ""volume"") / GOOGLEFINANCE(A554, ""volumeavg""), 0)"),0.0)</f>
        <v>0</v>
      </c>
      <c r="R554" s="9">
        <f>IFERROR(__xludf.DUMMYFUNCTION("AVERAGE(INDEX(GOOGLEFINANCE(A554, ""price"", TODAY()-30, TODAY()), 0, 2))"),934.008695652174)</f>
        <v>934.0086957</v>
      </c>
      <c r="S554" s="9">
        <f>IFERROR(__xludf.DUMMYFUNCTION("AVERAGE(INDEX(GOOGLEFINANCE(A554, ""price"", TODAY()-75, TODAY()), 0, 2))"),884.7735849056605)</f>
        <v>884.7735849</v>
      </c>
      <c r="T554" s="9">
        <f>IFERROR(__xludf.DUMMYFUNCTION("AVERAGE(INDEX(GOOGLEFINANCE(A554, ""price"", TODAY()-300, TODAY()), 0, 2))"),685.6064356435644)</f>
        <v>685.6064356</v>
      </c>
      <c r="U554" s="9">
        <f t="shared" si="5"/>
        <v>0.0002583534275</v>
      </c>
      <c r="V554" s="15">
        <f>IFERROR(__xludf.DUMMYFUNCTION("LET(hist, GOOGLEFINANCE(A554,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rs))))))"),60.81529159352448)</f>
        <v>60.81529159</v>
      </c>
      <c r="W554" s="16" t="str">
        <f>IFERROR(__xludf.DUMMYFUNCTION("IFERROR(GOOGLEFINANCE(A554, ""volume"") / GOOGLEFINANCE(A554, ""volumeavg""), )"),"")</f>
        <v/>
      </c>
      <c r="X554" s="9">
        <f>IFERROR(__xludf.DUMMYFUNCTION("B554 * GOOGLEFINANCE(A554, ""volume"")"),3.20238478E8)</f>
        <v>320238478</v>
      </c>
      <c r="Y554" s="9">
        <f>IFERROR(__xludf.DUMMYFUNCTION("IFERROR(((B554 - GOOGLEFINANCE(A554, ""priceopen"")) / GOOGLEFINANCE(A554, ""priceopen"")) * GOOGLEFINANCE(A554, ""volume""), 0)"),8362.682017543859)</f>
        <v>8362.682018</v>
      </c>
    </row>
    <row r="555">
      <c r="A555" s="4" t="s">
        <v>2348</v>
      </c>
      <c r="B555" s="7">
        <f>IFERROR(__xludf.DUMMYFUNCTION("GOOGLEFINANCE(A555, ""price"")"),1383.8)</f>
        <v>1383.8</v>
      </c>
      <c r="C555" s="7">
        <f>IFERROR(__xludf.DUMMYFUNCTION("GOOGLEFINANCE(A555, ""changepct"")"),-0.56)</f>
        <v>-0.56</v>
      </c>
      <c r="D555" s="9">
        <f>IFERROR(__xludf.DUMMYFUNCTION("GOOGLEFINANCE(A555, ""priceopen"")"),1394.0)</f>
        <v>1394</v>
      </c>
      <c r="E555" s="9">
        <f>IFERROR(__xludf.DUMMYFUNCTION("GOOGLEFINANCE(A555, ""high"")"),1398.7)</f>
        <v>1398.7</v>
      </c>
      <c r="F555" s="9">
        <f>IFERROR(__xludf.DUMMYFUNCTION("GOOGLEFINANCE(A555, ""low"")"),1375.0)</f>
        <v>1375</v>
      </c>
      <c r="G555" s="9">
        <f>IFERROR(__xludf.DUMMYFUNCTION("GOOGLEFINANCE(A555, ""price"")"),1383.8)</f>
        <v>1383.8</v>
      </c>
      <c r="H555" s="9">
        <f>IFERROR(__xludf.DUMMYFUNCTION("MAX(INDEX(GOOGLEFINANCE(A555, ""high"", TODAY()-30, TODAY()), 0, 2))"),1421.0)</f>
        <v>1421</v>
      </c>
      <c r="I555" s="9">
        <f>IFERROR(__xludf.DUMMYFUNCTION("MIN(INDEX(GOOGLEFINANCE(A555, ""low"", TODAY()-30, TODAY()), 0, 2))"),1297.2)</f>
        <v>1297.2</v>
      </c>
      <c r="J555" s="9">
        <f>IFERROR(__xludf.DUMMYFUNCTION("GOOGLEFINANCE(A555, ""high52"")"),1714.2)</f>
        <v>1714.2</v>
      </c>
      <c r="K555" s="9">
        <f>IFERROR(__xludf.DUMMYFUNCTION("GOOGLEFINANCE(A555, ""low52"")"),866.6)</f>
        <v>866.6</v>
      </c>
      <c r="L555" s="9">
        <f t="shared" si="1"/>
        <v>0.1927429705</v>
      </c>
      <c r="M555" s="9">
        <f t="shared" si="2"/>
        <v>0.5968151396</v>
      </c>
      <c r="N555" s="9">
        <f t="shared" si="3"/>
        <v>0.01723636364</v>
      </c>
      <c r="O555" s="9">
        <f t="shared" si="4"/>
        <v>0.6995153473</v>
      </c>
      <c r="P555" s="9">
        <f>IFERROR(__xludf.DUMMYFUNCTION("GOOGLEFINANCE(A555, ""pe"")"),64.01)</f>
        <v>64.01</v>
      </c>
      <c r="Q555" s="9">
        <f>IFERROR(__xludf.DUMMYFUNCTION("IFERROR(GOOGLEFINANCE(A555, ""volume"") / GOOGLEFINANCE(A555, ""volumeavg""), 0)"),0.0)</f>
        <v>0</v>
      </c>
      <c r="R555" s="9">
        <f>IFERROR(__xludf.DUMMYFUNCTION("AVERAGE(INDEX(GOOGLEFINANCE(A555, ""price"", TODAY()-30, TODAY()), 0, 2))"),1358.1695652173912)</f>
        <v>1358.169565</v>
      </c>
      <c r="S555" s="9">
        <f>IFERROR(__xludf.DUMMYFUNCTION("AVERAGE(INDEX(GOOGLEFINANCE(A555, ""price"", TODAY()-75, TODAY()), 0, 2))"),1372.309433962264)</f>
        <v>1372.309434</v>
      </c>
      <c r="T555" s="9">
        <f>IFERROR(__xludf.DUMMYFUNCTION("AVERAGE(INDEX(GOOGLEFINANCE(A555, ""price"", TODAY()-300, TODAY()), 0, 2))"),1233.0373762376237)</f>
        <v>1233.037376</v>
      </c>
      <c r="U555" s="9">
        <f t="shared" si="5"/>
        <v>0.01887130697</v>
      </c>
      <c r="V555" s="15">
        <f>IFERROR(__xludf.DUMMYFUNCTION("LET(hist, GOOGLEFINANCE(A555,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rs))))))"),66.12345679012347)</f>
        <v>66.12345679</v>
      </c>
      <c r="W555" s="16" t="str">
        <f>IFERROR(__xludf.DUMMYFUNCTION("IFERROR(GOOGLEFINANCE(A555, ""volume"") / GOOGLEFINANCE(A555, ""volumeavg""), )"),"")</f>
        <v/>
      </c>
      <c r="X555" s="9">
        <f>IFERROR(__xludf.DUMMYFUNCTION("B555 * GOOGLEFINANCE(A555, ""volume"")"),2.872879504E8)</f>
        <v>287287950.4</v>
      </c>
      <c r="Y555" s="9">
        <f>IFERROR(__xludf.DUMMYFUNCTION("IFERROR(((B555 - GOOGLEFINANCE(A555, ""priceopen"")) / GOOGLEFINANCE(A555, ""priceopen"")) * GOOGLEFINANCE(A555, ""volume""), 0)"),-1519.082926829275)</f>
        <v>-1519.082927</v>
      </c>
    </row>
    <row r="556">
      <c r="A556" s="4" t="s">
        <v>2349</v>
      </c>
      <c r="B556" s="7">
        <f>IFERROR(__xludf.DUMMYFUNCTION("GOOGLEFINANCE(A556, ""price"")"),306.8)</f>
        <v>306.8</v>
      </c>
      <c r="C556" s="7">
        <f>IFERROR(__xludf.DUMMYFUNCTION("GOOGLEFINANCE(A556, ""changepct"")"),-1.84)</f>
        <v>-1.84</v>
      </c>
      <c r="D556" s="9">
        <f>IFERROR(__xludf.DUMMYFUNCTION("GOOGLEFINANCE(A556, ""priceopen"")"),312.55)</f>
        <v>312.55</v>
      </c>
      <c r="E556" s="9">
        <f>IFERROR(__xludf.DUMMYFUNCTION("GOOGLEFINANCE(A556, ""high"")"),316.5)</f>
        <v>316.5</v>
      </c>
      <c r="F556" s="9">
        <f>IFERROR(__xludf.DUMMYFUNCTION("GOOGLEFINANCE(A556, ""low"")"),302.65)</f>
        <v>302.65</v>
      </c>
      <c r="G556" s="9">
        <f>IFERROR(__xludf.DUMMYFUNCTION("GOOGLEFINANCE(A556, ""price"")"),306.8)</f>
        <v>306.8</v>
      </c>
      <c r="H556" s="9">
        <f>IFERROR(__xludf.DUMMYFUNCTION("MAX(INDEX(GOOGLEFINANCE(A556, ""high"", TODAY()-30, TODAY()), 0, 2))"),340.0)</f>
        <v>340</v>
      </c>
      <c r="I556" s="9">
        <f>IFERROR(__xludf.DUMMYFUNCTION("MIN(INDEX(GOOGLEFINANCE(A556, ""low"", TODAY()-30, TODAY()), 0, 2))"),288.2)</f>
        <v>288.2</v>
      </c>
      <c r="J556" s="9">
        <f>IFERROR(__xludf.DUMMYFUNCTION("GOOGLEFINANCE(A556, ""high52"")"),340.0)</f>
        <v>340</v>
      </c>
      <c r="K556" s="9">
        <f>IFERROR(__xludf.DUMMYFUNCTION("GOOGLEFINANCE(A556, ""low52"")"),235.6)</f>
        <v>235.6</v>
      </c>
      <c r="L556" s="9">
        <f t="shared" si="1"/>
        <v>0.09764705882</v>
      </c>
      <c r="M556" s="9">
        <f t="shared" si="2"/>
        <v>0.3022071307</v>
      </c>
      <c r="N556" s="9">
        <f t="shared" si="3"/>
        <v>0.04576243185</v>
      </c>
      <c r="O556" s="9">
        <f t="shared" si="4"/>
        <v>0.3590733591</v>
      </c>
      <c r="P556" s="9">
        <f>IFERROR(__xludf.DUMMYFUNCTION("GOOGLEFINANCE(A556, ""pe"")"),53.6)</f>
        <v>53.6</v>
      </c>
      <c r="Q556" s="9">
        <f>IFERROR(__xludf.DUMMYFUNCTION("IFERROR(GOOGLEFINANCE(A556, ""volume"") / GOOGLEFINANCE(A556, ""volumeavg""), 0)"),0.0)</f>
        <v>0</v>
      </c>
      <c r="R556" s="9">
        <f>IFERROR(__xludf.DUMMYFUNCTION("AVERAGE(INDEX(GOOGLEFINANCE(A556, ""price"", TODAY()-30, TODAY()), 0, 2))"),316.31260869565216)</f>
        <v>316.3126087</v>
      </c>
      <c r="S556" s="9">
        <f>IFERROR(__xludf.DUMMYFUNCTION("AVERAGE(INDEX(GOOGLEFINANCE(A556, ""price"", TODAY()-75, TODAY()), 0, 2))"),292.38547169811324)</f>
        <v>292.3854717</v>
      </c>
      <c r="T556" s="9">
        <f>IFERROR(__xludf.DUMMYFUNCTION("AVERAGE(INDEX(GOOGLEFINANCE(A556, ""price"", TODAY()-300, TODAY()), 0, 2))"),275.47232673267325)</f>
        <v>275.4723267</v>
      </c>
      <c r="U556" s="9">
        <f t="shared" si="5"/>
        <v>-0.03007344138</v>
      </c>
      <c r="V556" s="15">
        <f>IFERROR(__xludf.DUMMYFUNCTION("LET(hist, GOOGLEFINANCE(A556,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rs))))))"),42.523768366465006)</f>
        <v>42.52376837</v>
      </c>
      <c r="W556" s="16" t="str">
        <f>IFERROR(__xludf.DUMMYFUNCTION("IFERROR(GOOGLEFINANCE(A556, ""volume"") / GOOGLEFINANCE(A556, ""volumeavg""), )"),"")</f>
        <v/>
      </c>
      <c r="X556" s="9">
        <f>IFERROR(__xludf.DUMMYFUNCTION("B556 * GOOGLEFINANCE(A556, ""volume"")"),6.00002624E7)</f>
        <v>60000262.4</v>
      </c>
      <c r="Y556" s="9">
        <f>IFERROR(__xludf.DUMMYFUNCTION("IFERROR(((B556 - GOOGLEFINANCE(A556, ""priceopen"")) / GOOGLEFINANCE(A556, ""priceopen"")) * GOOGLEFINANCE(A556, ""volume""), 0)"),-3597.8755399136135)</f>
        <v>-3597.87554</v>
      </c>
    </row>
    <row r="557">
      <c r="A557" s="4" t="s">
        <v>2350</v>
      </c>
      <c r="B557" s="7">
        <f>IFERROR(__xludf.DUMMYFUNCTION("GOOGLEFINANCE(A557, ""price"")"),588.85)</f>
        <v>588.85</v>
      </c>
      <c r="C557" s="7">
        <f>IFERROR(__xludf.DUMMYFUNCTION("GOOGLEFINANCE(A557, ""changepct"")"),-0.31)</f>
        <v>-0.31</v>
      </c>
      <c r="D557" s="9">
        <f>IFERROR(__xludf.DUMMYFUNCTION("GOOGLEFINANCE(A557, ""priceopen"")"),591.0)</f>
        <v>591</v>
      </c>
      <c r="E557" s="9">
        <f>IFERROR(__xludf.DUMMYFUNCTION("GOOGLEFINANCE(A557, ""high"")"),591.0)</f>
        <v>591</v>
      </c>
      <c r="F557" s="9">
        <f>IFERROR(__xludf.DUMMYFUNCTION("GOOGLEFINANCE(A557, ""low"")"),578.55)</f>
        <v>578.55</v>
      </c>
      <c r="G557" s="9">
        <f>IFERROR(__xludf.DUMMYFUNCTION("GOOGLEFINANCE(A557, ""price"")"),588.85)</f>
        <v>588.85</v>
      </c>
      <c r="H557" s="9">
        <f>IFERROR(__xludf.DUMMYFUNCTION("MAX(INDEX(GOOGLEFINANCE(A557, ""high"", TODAY()-30, TODAY()), 0, 2))"),647.8)</f>
        <v>647.8</v>
      </c>
      <c r="I557" s="9">
        <f>IFERROR(__xludf.DUMMYFUNCTION("MIN(INDEX(GOOGLEFINANCE(A557, ""low"", TODAY()-30, TODAY()), 0, 2))"),563.7)</f>
        <v>563.7</v>
      </c>
      <c r="J557" s="9">
        <f>IFERROR(__xludf.DUMMYFUNCTION("GOOGLEFINANCE(A557, ""high52"")"),804.5)</f>
        <v>804.5</v>
      </c>
      <c r="K557" s="9">
        <f>IFERROR(__xludf.DUMMYFUNCTION("GOOGLEFINANCE(A557, ""low52"")"),325.0)</f>
        <v>325</v>
      </c>
      <c r="L557" s="9">
        <f t="shared" si="1"/>
        <v>0.2680546924</v>
      </c>
      <c r="M557" s="9">
        <f t="shared" si="2"/>
        <v>0.8118461538</v>
      </c>
      <c r="N557" s="9">
        <f t="shared" si="3"/>
        <v>0.02151931553</v>
      </c>
      <c r="O557" s="9">
        <f t="shared" si="4"/>
        <v>0.2990487515</v>
      </c>
      <c r="P557" s="9">
        <f>IFERROR(__xludf.DUMMYFUNCTION("GOOGLEFINANCE(A557, ""pe"")"),43.46)</f>
        <v>43.46</v>
      </c>
      <c r="Q557" s="9">
        <f>IFERROR(__xludf.DUMMYFUNCTION("IFERROR(GOOGLEFINANCE(A557, ""volume"") / GOOGLEFINANCE(A557, ""volumeavg""), 0)"),0.0)</f>
        <v>0</v>
      </c>
      <c r="R557" s="9">
        <f>IFERROR(__xludf.DUMMYFUNCTION("AVERAGE(INDEX(GOOGLEFINANCE(A557, ""price"", TODAY()-30, TODAY()), 0, 2))"),591.0782608695652)</f>
        <v>591.0782609</v>
      </c>
      <c r="S557" s="9">
        <f>IFERROR(__xludf.DUMMYFUNCTION("AVERAGE(INDEX(GOOGLEFINANCE(A557, ""price"", TODAY()-75, TODAY()), 0, 2))"),546.6396226415096)</f>
        <v>546.6396226</v>
      </c>
      <c r="T557" s="9">
        <f>IFERROR(__xludf.DUMMYFUNCTION("AVERAGE(INDEX(GOOGLEFINANCE(A557, ""price"", TODAY()-300, TODAY()), 0, 2))"),495.27326732673254)</f>
        <v>495.2732673</v>
      </c>
      <c r="U557" s="9">
        <f t="shared" si="5"/>
        <v>-0.003769823756</v>
      </c>
      <c r="V557" s="15">
        <f>IFERROR(__xludf.DUMMYFUNCTION("LET(hist, GOOGLEFINANCE(A557,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rs))))))"),53.61527967257845)</f>
        <v>53.61527967</v>
      </c>
      <c r="W557" s="16" t="str">
        <f>IFERROR(__xludf.DUMMYFUNCTION("IFERROR(GOOGLEFINANCE(A557, ""volume"") / GOOGLEFINANCE(A557, ""volumeavg""), )"),"")</f>
        <v/>
      </c>
      <c r="X557" s="9">
        <f>IFERROR(__xludf.DUMMYFUNCTION("B557 * GOOGLEFINANCE(A557, ""volume"")"),1.8425234270000002E8)</f>
        <v>184252342.7</v>
      </c>
      <c r="Y557" s="9">
        <f>IFERROR(__xludf.DUMMYFUNCTION("IFERROR(((B557 - GOOGLEFINANCE(A557, ""priceopen"")) / GOOGLEFINANCE(A557, ""priceopen"")) * GOOGLEFINANCE(A557, ""volume""), 0)"),-1138.3067681894972)</f>
        <v>-1138.306768</v>
      </c>
    </row>
    <row r="558">
      <c r="A558" s="4" t="s">
        <v>2351</v>
      </c>
      <c r="B558" s="7">
        <f>IFERROR(__xludf.DUMMYFUNCTION("GOOGLEFINANCE(A558, ""price"")"),1785.0)</f>
        <v>1785</v>
      </c>
      <c r="C558" s="7">
        <f>IFERROR(__xludf.DUMMYFUNCTION("GOOGLEFINANCE(A558, ""changepct"")"),0.04)</f>
        <v>0.04</v>
      </c>
      <c r="D558" s="9">
        <f>IFERROR(__xludf.DUMMYFUNCTION("GOOGLEFINANCE(A558, ""priceopen"")"),1798.0)</f>
        <v>1798</v>
      </c>
      <c r="E558" s="9">
        <f>IFERROR(__xludf.DUMMYFUNCTION("GOOGLEFINANCE(A558, ""high"")"),1810.0)</f>
        <v>1810</v>
      </c>
      <c r="F558" s="9">
        <f>IFERROR(__xludf.DUMMYFUNCTION("GOOGLEFINANCE(A558, ""low"")"),1764.1)</f>
        <v>1764.1</v>
      </c>
      <c r="G558" s="9">
        <f>IFERROR(__xludf.DUMMYFUNCTION("GOOGLEFINANCE(A558, ""price"")"),1785.0)</f>
        <v>1785</v>
      </c>
      <c r="H558" s="9">
        <f>IFERROR(__xludf.DUMMYFUNCTION("MAX(INDEX(GOOGLEFINANCE(A558, ""high"", TODAY()-30, TODAY()), 0, 2))"),1978.9)</f>
        <v>1978.9</v>
      </c>
      <c r="I558" s="9">
        <f>IFERROR(__xludf.DUMMYFUNCTION("MIN(INDEX(GOOGLEFINANCE(A558, ""low"", TODAY()-30, TODAY()), 0, 2))"),1730.0)</f>
        <v>1730</v>
      </c>
      <c r="J558" s="9">
        <f>IFERROR(__xludf.DUMMYFUNCTION("GOOGLEFINANCE(A558, ""high52"")"),2685.0)</f>
        <v>2685</v>
      </c>
      <c r="K558" s="9">
        <f>IFERROR(__xludf.DUMMYFUNCTION("GOOGLEFINANCE(A558, ""low52"")"),1730.0)</f>
        <v>1730</v>
      </c>
      <c r="L558" s="9">
        <f t="shared" si="1"/>
        <v>0.3351955307</v>
      </c>
      <c r="M558" s="9">
        <f t="shared" si="2"/>
        <v>0.03179190751</v>
      </c>
      <c r="N558" s="9">
        <f t="shared" si="3"/>
        <v>0.02601893317</v>
      </c>
      <c r="O558" s="9">
        <f t="shared" si="4"/>
        <v>0.220972278</v>
      </c>
      <c r="P558" s="9">
        <f>IFERROR(__xludf.DUMMYFUNCTION("GOOGLEFINANCE(A558, ""pe"")"),21.81)</f>
        <v>21.81</v>
      </c>
      <c r="Q558" s="9">
        <f>IFERROR(__xludf.DUMMYFUNCTION("IFERROR(GOOGLEFINANCE(A558, ""volume"") / GOOGLEFINANCE(A558, ""volumeavg""), 0)"),0.0)</f>
        <v>0</v>
      </c>
      <c r="R558" s="9">
        <f>IFERROR(__xludf.DUMMYFUNCTION("AVERAGE(INDEX(GOOGLEFINANCE(A558, ""price"", TODAY()-30, TODAY()), 0, 2))"),1822.295652173913)</f>
        <v>1822.295652</v>
      </c>
      <c r="S558" s="9">
        <f>IFERROR(__xludf.DUMMYFUNCTION("AVERAGE(INDEX(GOOGLEFINANCE(A558, ""price"", TODAY()-75, TODAY()), 0, 2))"),1911.969811320755)</f>
        <v>1911.969811</v>
      </c>
      <c r="T558" s="9">
        <f>IFERROR(__xludf.DUMMYFUNCTION("AVERAGE(INDEX(GOOGLEFINANCE(A558, ""price"", TODAY()-300, TODAY()), 0, 2))"),2125.5673267326742)</f>
        <v>2125.567327</v>
      </c>
      <c r="U558" s="9">
        <f t="shared" si="5"/>
        <v>-0.02046630146</v>
      </c>
      <c r="V558" s="15">
        <f>IFERROR(__xludf.DUMMYFUNCTION("LET(hist, GOOGLEFINANCE(A558,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rs))))))"),48.472505091649694)</f>
        <v>48.47250509</v>
      </c>
      <c r="W558" s="16" t="str">
        <f>IFERROR(__xludf.DUMMYFUNCTION("IFERROR(GOOGLEFINANCE(A558, ""volume"") / GOOGLEFINANCE(A558, ""volumeavg""), )"),"")</f>
        <v/>
      </c>
      <c r="X558" s="9">
        <f>IFERROR(__xludf.DUMMYFUNCTION("B558 * GOOGLEFINANCE(A558, ""volume"")"),2.4968223E8)</f>
        <v>249682230</v>
      </c>
      <c r="Y558" s="9">
        <f>IFERROR(__xludf.DUMMYFUNCTION("IFERROR(((B558 - GOOGLEFINANCE(A558, ""priceopen"")) / GOOGLEFINANCE(A558, ""priceopen"")) * GOOGLEFINANCE(A558, ""volume""), 0)"),-1011.3537263626251)</f>
        <v>-1011.353726</v>
      </c>
    </row>
    <row r="559">
      <c r="A559" s="4" t="s">
        <v>2352</v>
      </c>
      <c r="B559" s="7">
        <f>IFERROR(__xludf.DUMMYFUNCTION("GOOGLEFINANCE(A559, ""price"")"),1404.7)</f>
        <v>1404.7</v>
      </c>
      <c r="C559" s="7">
        <f>IFERROR(__xludf.DUMMYFUNCTION("GOOGLEFINANCE(A559, ""changepct"")"),0.57)</f>
        <v>0.57</v>
      </c>
      <c r="D559" s="9">
        <f>IFERROR(__xludf.DUMMYFUNCTION("GOOGLEFINANCE(A559, ""priceopen"")"),1396.8)</f>
        <v>1396.8</v>
      </c>
      <c r="E559" s="9">
        <f>IFERROR(__xludf.DUMMYFUNCTION("GOOGLEFINANCE(A559, ""high"")"),1433.3)</f>
        <v>1433.3</v>
      </c>
      <c r="F559" s="9">
        <f>IFERROR(__xludf.DUMMYFUNCTION("GOOGLEFINANCE(A559, ""low"")"),1388.1)</f>
        <v>1388.1</v>
      </c>
      <c r="G559" s="9">
        <f>IFERROR(__xludf.DUMMYFUNCTION("GOOGLEFINANCE(A559, ""price"")"),1404.7)</f>
        <v>1404.7</v>
      </c>
      <c r="H559" s="9">
        <f>IFERROR(__xludf.DUMMYFUNCTION("MAX(INDEX(GOOGLEFINANCE(A559, ""high"", TODAY()-30, TODAY()), 0, 2))"),1544.9)</f>
        <v>1544.9</v>
      </c>
      <c r="I559" s="9">
        <f>IFERROR(__xludf.DUMMYFUNCTION("MIN(INDEX(GOOGLEFINANCE(A559, ""low"", TODAY()-30, TODAY()), 0, 2))"),1346.2)</f>
        <v>1346.2</v>
      </c>
      <c r="J559" s="9">
        <f>IFERROR(__xludf.DUMMYFUNCTION("GOOGLEFINANCE(A559, ""high52"")"),1771.9)</f>
        <v>1771.9</v>
      </c>
      <c r="K559" s="9">
        <f>IFERROR(__xludf.DUMMYFUNCTION("GOOGLEFINANCE(A559, ""low52"")"),1060.4)</f>
        <v>1060.4</v>
      </c>
      <c r="L559" s="9">
        <f t="shared" si="1"/>
        <v>0.2072351713</v>
      </c>
      <c r="M559" s="9">
        <f t="shared" si="2"/>
        <v>0.3246887967</v>
      </c>
      <c r="N559" s="9">
        <f t="shared" si="3"/>
        <v>0.0325624955</v>
      </c>
      <c r="O559" s="9">
        <f t="shared" si="4"/>
        <v>0.294413689</v>
      </c>
      <c r="P559" s="9">
        <f>IFERROR(__xludf.DUMMYFUNCTION("GOOGLEFINANCE(A559, ""pe"")"),16.27)</f>
        <v>16.27</v>
      </c>
      <c r="Q559" s="9">
        <f>IFERROR(__xludf.DUMMYFUNCTION("IFERROR(GOOGLEFINANCE(A559, ""volume"") / GOOGLEFINANCE(A559, ""volumeavg""), 0)"),0.0)</f>
        <v>0</v>
      </c>
      <c r="R559" s="9">
        <f>IFERROR(__xludf.DUMMYFUNCTION("AVERAGE(INDEX(GOOGLEFINANCE(A559, ""price"", TODAY()-30, TODAY()), 0, 2))"),1421.978260869565)</f>
        <v>1421.978261</v>
      </c>
      <c r="S559" s="9">
        <f>IFERROR(__xludf.DUMMYFUNCTION("AVERAGE(INDEX(GOOGLEFINANCE(A559, ""price"", TODAY()-75, TODAY()), 0, 2))"),1420.8283018867928)</f>
        <v>1420.828302</v>
      </c>
      <c r="T559" s="9">
        <f>IFERROR(__xludf.DUMMYFUNCTION("AVERAGE(INDEX(GOOGLEFINANCE(A559, ""price"", TODAY()-300, TODAY()), 0, 2))"),1415.6396039603949)</f>
        <v>1415.639604</v>
      </c>
      <c r="U559" s="9">
        <f t="shared" si="5"/>
        <v>-0.01215086148</v>
      </c>
      <c r="V559" s="15">
        <f>IFERROR(__xludf.DUMMYFUNCTION("LET(hist, GOOGLEFINANCE(A559,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rs))))))"),55.43595263724434)</f>
        <v>55.43595264</v>
      </c>
      <c r="W559" s="16" t="str">
        <f>IFERROR(__xludf.DUMMYFUNCTION("IFERROR(GOOGLEFINANCE(A559, ""volume"") / GOOGLEFINANCE(A559, ""volumeavg""), )"),"")</f>
        <v/>
      </c>
      <c r="X559" s="9">
        <f>IFERROR(__xludf.DUMMYFUNCTION("B559 * GOOGLEFINANCE(A559, ""volume"")"),9.8876833E7)</f>
        <v>98876833</v>
      </c>
      <c r="Y559" s="9">
        <f>IFERROR(__xludf.DUMMYFUNCTION("IFERROR(((B559 - GOOGLEFINANCE(A559, ""priceopen"")) / GOOGLEFINANCE(A559, ""priceopen"")) * GOOGLEFINANCE(A559, ""volume""), 0)"),398.1106815578511)</f>
        <v>398.1106816</v>
      </c>
    </row>
    <row r="560">
      <c r="A560" s="4" t="s">
        <v>2353</v>
      </c>
      <c r="B560" s="7">
        <f>IFERROR(__xludf.DUMMYFUNCTION("GOOGLEFINANCE(A560, ""price"")"),313.25)</f>
        <v>313.25</v>
      </c>
      <c r="C560" s="7">
        <f>IFERROR(__xludf.DUMMYFUNCTION("GOOGLEFINANCE(A560, ""changepct"")"),3.43)</f>
        <v>3.43</v>
      </c>
      <c r="D560" s="9">
        <f>IFERROR(__xludf.DUMMYFUNCTION("GOOGLEFINANCE(A560, ""priceopen"")"),303.5)</f>
        <v>303.5</v>
      </c>
      <c r="E560" s="9">
        <f>IFERROR(__xludf.DUMMYFUNCTION("GOOGLEFINANCE(A560, ""high"")"),314.0)</f>
        <v>314</v>
      </c>
      <c r="F560" s="9">
        <f>IFERROR(__xludf.DUMMYFUNCTION("GOOGLEFINANCE(A560, ""low"")"),301.2)</f>
        <v>301.2</v>
      </c>
      <c r="G560" s="9">
        <f>IFERROR(__xludf.DUMMYFUNCTION("GOOGLEFINANCE(A560, ""price"")"),313.25)</f>
        <v>313.25</v>
      </c>
      <c r="H560" s="9">
        <f>IFERROR(__xludf.DUMMYFUNCTION("MAX(INDEX(GOOGLEFINANCE(A560, ""high"", TODAY()-30, TODAY()), 0, 2))"),316.8)</f>
        <v>316.8</v>
      </c>
      <c r="I560" s="9">
        <f>IFERROR(__xludf.DUMMYFUNCTION("MIN(INDEX(GOOGLEFINANCE(A560, ""low"", TODAY()-30, TODAY()), 0, 2))"),268.35)</f>
        <v>268.35</v>
      </c>
      <c r="J560" s="9">
        <f>IFERROR(__xludf.DUMMYFUNCTION("GOOGLEFINANCE(A560, ""high52"")"),316.8)</f>
        <v>316.8</v>
      </c>
      <c r="K560" s="9">
        <f>IFERROR(__xludf.DUMMYFUNCTION("GOOGLEFINANCE(A560, ""low52"")"),169.12)</f>
        <v>169.12</v>
      </c>
      <c r="L560" s="9">
        <f t="shared" si="1"/>
        <v>0.01120580808</v>
      </c>
      <c r="M560" s="9">
        <f t="shared" si="2"/>
        <v>0.8522350993</v>
      </c>
      <c r="N560" s="9">
        <f t="shared" si="3"/>
        <v>0.04249667995</v>
      </c>
      <c r="O560" s="9">
        <f t="shared" si="4"/>
        <v>0.9267285862</v>
      </c>
      <c r="P560" s="9">
        <f>IFERROR(__xludf.DUMMYFUNCTION("GOOGLEFINANCE(A560, ""pe"")"),8.25)</f>
        <v>8.25</v>
      </c>
      <c r="Q560" s="9">
        <f>IFERROR(__xludf.DUMMYFUNCTION("IFERROR(GOOGLEFINANCE(A560, ""volume"") / GOOGLEFINANCE(A560, ""volumeavg""), 0)"),0.0)</f>
        <v>0</v>
      </c>
      <c r="R560" s="9">
        <f>IFERROR(__xludf.DUMMYFUNCTION("AVERAGE(INDEX(GOOGLEFINANCE(A560, ""price"", TODAY()-30, TODAY()), 0, 2))"),287.3739130434783)</f>
        <v>287.373913</v>
      </c>
      <c r="S560" s="9">
        <f>IFERROR(__xludf.DUMMYFUNCTION("AVERAGE(INDEX(GOOGLEFINANCE(A560, ""price"", TODAY()-75, TODAY()), 0, 2))"),276.84339622641505)</f>
        <v>276.8433962</v>
      </c>
      <c r="T560" s="9">
        <f>IFERROR(__xludf.DUMMYFUNCTION("AVERAGE(INDEX(GOOGLEFINANCE(A560, ""price"", TODAY()-300, TODAY()), 0, 2))"),229.27465346534643)</f>
        <v>229.2746535</v>
      </c>
      <c r="U560" s="9">
        <f t="shared" si="5"/>
        <v>0.09004327039</v>
      </c>
      <c r="V560" s="15">
        <f>IFERROR(__xludf.DUMMYFUNCTION("LET(hist, GOOGLEFINANCE(A560,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rs))))))"),69.93749999999999)</f>
        <v>69.9375</v>
      </c>
      <c r="W560" s="16" t="str">
        <f>IFERROR(__xludf.DUMMYFUNCTION("IFERROR(GOOGLEFINANCE(A560, ""volume"") / GOOGLEFINANCE(A560, ""volumeavg""), )"),"")</f>
        <v/>
      </c>
      <c r="X560" s="9">
        <f>IFERROR(__xludf.DUMMYFUNCTION("B560 * GOOGLEFINANCE(A560, ""volume"")"),9.45140406E8)</f>
        <v>945140406</v>
      </c>
      <c r="Y560" s="9">
        <f>IFERROR(__xludf.DUMMYFUNCTION("IFERROR(((B560 - GOOGLEFINANCE(A560, ""priceopen"")) / GOOGLEFINANCE(A560, ""priceopen"")) * GOOGLEFINANCE(A560, ""volume""), 0)"),96928.42833607907)</f>
        <v>96928.42834</v>
      </c>
    </row>
    <row r="561">
      <c r="A561" s="4" t="s">
        <v>2354</v>
      </c>
      <c r="B561" s="7">
        <f>IFERROR(__xludf.DUMMYFUNCTION("GOOGLEFINANCE(A561, ""price"")"),550.3)</f>
        <v>550.3</v>
      </c>
      <c r="C561" s="7">
        <f>IFERROR(__xludf.DUMMYFUNCTION("GOOGLEFINANCE(A561, ""changepct"")"),0.71)</f>
        <v>0.71</v>
      </c>
      <c r="D561" s="9">
        <f>IFERROR(__xludf.DUMMYFUNCTION("GOOGLEFINANCE(A561, ""priceopen"")"),552.4)</f>
        <v>552.4</v>
      </c>
      <c r="E561" s="9">
        <f>IFERROR(__xludf.DUMMYFUNCTION("GOOGLEFINANCE(A561, ""high"")"),554.85)</f>
        <v>554.85</v>
      </c>
      <c r="F561" s="9">
        <f>IFERROR(__xludf.DUMMYFUNCTION("GOOGLEFINANCE(A561, ""low"")"),546.15)</f>
        <v>546.15</v>
      </c>
      <c r="G561" s="9">
        <f>IFERROR(__xludf.DUMMYFUNCTION("GOOGLEFINANCE(A561, ""price"")"),550.3)</f>
        <v>550.3</v>
      </c>
      <c r="H561" s="9">
        <f>IFERROR(__xludf.DUMMYFUNCTION("MAX(INDEX(GOOGLEFINANCE(A561, ""high"", TODAY()-30, TODAY()), 0, 2))"),587.9)</f>
        <v>587.9</v>
      </c>
      <c r="I561" s="9">
        <f>IFERROR(__xludf.DUMMYFUNCTION("MIN(INDEX(GOOGLEFINANCE(A561, ""low"", TODAY()-30, TODAY()), 0, 2))"),534.3)</f>
        <v>534.3</v>
      </c>
      <c r="J561" s="9">
        <f>IFERROR(__xludf.DUMMYFUNCTION("GOOGLEFINANCE(A561, ""high52"")"),811.65)</f>
        <v>811.65</v>
      </c>
      <c r="K561" s="9">
        <f>IFERROR(__xludf.DUMMYFUNCTION("GOOGLEFINANCE(A561, ""low52"")"),506.1)</f>
        <v>506.1</v>
      </c>
      <c r="L561" s="9">
        <f t="shared" si="1"/>
        <v>0.3219983983</v>
      </c>
      <c r="M561" s="9">
        <f t="shared" si="2"/>
        <v>0.08733451887</v>
      </c>
      <c r="N561" s="9">
        <f t="shared" si="3"/>
        <v>0.01592968965</v>
      </c>
      <c r="O561" s="9">
        <f t="shared" si="4"/>
        <v>0.2985074627</v>
      </c>
      <c r="P561" s="9">
        <f>IFERROR(__xludf.DUMMYFUNCTION("GOOGLEFINANCE(A561, ""pe"")"),23.7)</f>
        <v>23.7</v>
      </c>
      <c r="Q561" s="9">
        <f>IFERROR(__xludf.DUMMYFUNCTION("IFERROR(GOOGLEFINANCE(A561, ""volume"") / GOOGLEFINANCE(A561, ""volumeavg""), 0)"),0.0)</f>
        <v>0</v>
      </c>
      <c r="R561" s="9">
        <f>IFERROR(__xludf.DUMMYFUNCTION("AVERAGE(INDEX(GOOGLEFINANCE(A561, ""price"", TODAY()-30, TODAY()), 0, 2))"),563.4717391304347)</f>
        <v>563.4717391</v>
      </c>
      <c r="S561" s="9">
        <f>IFERROR(__xludf.DUMMYFUNCTION("AVERAGE(INDEX(GOOGLEFINANCE(A561, ""price"", TODAY()-75, TODAY()), 0, 2))"),565.6009433962263)</f>
        <v>565.6009434</v>
      </c>
      <c r="T561" s="9">
        <f>IFERROR(__xludf.DUMMYFUNCTION("AVERAGE(INDEX(GOOGLEFINANCE(A561, ""price"", TODAY()-300, TODAY()), 0, 2))"),582.3564356435639)</f>
        <v>582.3564356</v>
      </c>
      <c r="U561" s="9">
        <f t="shared" si="5"/>
        <v>-0.02337604216</v>
      </c>
      <c r="V561" s="15">
        <f>IFERROR(__xludf.DUMMYFUNCTION("LET(hist, GOOGLEFINANCE(A561,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rs))))))"),45.60196560196558)</f>
        <v>45.6019656</v>
      </c>
      <c r="W561" s="16" t="str">
        <f>IFERROR(__xludf.DUMMYFUNCTION("IFERROR(GOOGLEFINANCE(A561, ""volume"") / GOOGLEFINANCE(A561, ""volumeavg""), )"),"")</f>
        <v/>
      </c>
      <c r="X561" s="9">
        <f>IFERROR(__xludf.DUMMYFUNCTION("B561 * GOOGLEFINANCE(A561, ""volume"")"),5.1071692099999994E7)</f>
        <v>51071692.1</v>
      </c>
      <c r="Y561" s="9">
        <f>IFERROR(__xludf.DUMMYFUNCTION("IFERROR(((B561 - GOOGLEFINANCE(A561, ""priceopen"")) / GOOGLEFINANCE(A561, ""priceopen"")) * GOOGLEFINANCE(A561, ""volume""), 0)"),-352.8144460535882)</f>
        <v>-352.8144461</v>
      </c>
    </row>
    <row r="562">
      <c r="A562" s="4" t="s">
        <v>2355</v>
      </c>
      <c r="B562" s="7">
        <f>IFERROR(__xludf.DUMMYFUNCTION("GOOGLEFINANCE(A562, ""price"")"),2015.0)</f>
        <v>2015</v>
      </c>
      <c r="C562" s="7">
        <f>IFERROR(__xludf.DUMMYFUNCTION("GOOGLEFINANCE(A562, ""changepct"")"),-2.95)</f>
        <v>-2.95</v>
      </c>
      <c r="D562" s="9">
        <f>IFERROR(__xludf.DUMMYFUNCTION("GOOGLEFINANCE(A562, ""priceopen"")"),2085.0)</f>
        <v>2085</v>
      </c>
      <c r="E562" s="9">
        <f>IFERROR(__xludf.DUMMYFUNCTION("GOOGLEFINANCE(A562, ""high"")"),2110.0)</f>
        <v>2110</v>
      </c>
      <c r="F562" s="9">
        <f>IFERROR(__xludf.DUMMYFUNCTION("GOOGLEFINANCE(A562, ""low"")"),2000.1)</f>
        <v>2000.1</v>
      </c>
      <c r="G562" s="9">
        <f>IFERROR(__xludf.DUMMYFUNCTION("GOOGLEFINANCE(A562, ""price"")"),2015.0)</f>
        <v>2015</v>
      </c>
      <c r="H562" s="9">
        <f>IFERROR(__xludf.DUMMYFUNCTION("MAX(INDEX(GOOGLEFINANCE(A562, ""high"", TODAY()-30, TODAY()), 0, 2))"),2110.0)</f>
        <v>2110</v>
      </c>
      <c r="I562" s="9">
        <f>IFERROR(__xludf.DUMMYFUNCTION("MIN(INDEX(GOOGLEFINANCE(A562, ""low"", TODAY()-30, TODAY()), 0, 2))"),1384.4)</f>
        <v>1384.4</v>
      </c>
      <c r="J562" s="9">
        <f>IFERROR(__xludf.DUMMYFUNCTION("GOOGLEFINANCE(A562, ""high52"")"),2110.0)</f>
        <v>2110</v>
      </c>
      <c r="K562" s="9">
        <f>IFERROR(__xludf.DUMMYFUNCTION("GOOGLEFINANCE(A562, ""low52"")"),999.9)</f>
        <v>999.9</v>
      </c>
      <c r="L562" s="9">
        <f t="shared" si="1"/>
        <v>0.04502369668</v>
      </c>
      <c r="M562" s="9">
        <f t="shared" si="2"/>
        <v>1.01520152</v>
      </c>
      <c r="N562" s="9">
        <f t="shared" si="3"/>
        <v>0.05494725264</v>
      </c>
      <c r="O562" s="9">
        <f t="shared" si="4"/>
        <v>0.8690738699</v>
      </c>
      <c r="P562" s="9">
        <f>IFERROR(__xludf.DUMMYFUNCTION("GOOGLEFINANCE(A562, ""pe"")"),42.38)</f>
        <v>42.38</v>
      </c>
      <c r="Q562" s="9">
        <f>IFERROR(__xludf.DUMMYFUNCTION("IFERROR(GOOGLEFINANCE(A562, ""volume"") / GOOGLEFINANCE(A562, ""volumeavg""), 0)"),0.0)</f>
        <v>0</v>
      </c>
      <c r="R562" s="9">
        <f>IFERROR(__xludf.DUMMYFUNCTION("AVERAGE(INDEX(GOOGLEFINANCE(A562, ""price"", TODAY()-30, TODAY()), 0, 2))"),1583.9869565217393)</f>
        <v>1583.986957</v>
      </c>
      <c r="S562" s="9">
        <f>IFERROR(__xludf.DUMMYFUNCTION("AVERAGE(INDEX(GOOGLEFINANCE(A562, ""price"", TODAY()-75, TODAY()), 0, 2))"),1594.6924528301886)</f>
        <v>1594.692453</v>
      </c>
      <c r="T562" s="9">
        <f>IFERROR(__xludf.DUMMYFUNCTION("AVERAGE(INDEX(GOOGLEFINANCE(A562, ""price"", TODAY()-300, TODAY()), 0, 2))"),1547.2860696517405)</f>
        <v>1547.28607</v>
      </c>
      <c r="U562" s="9">
        <f t="shared" si="5"/>
        <v>0.2721064348</v>
      </c>
      <c r="V562" s="15">
        <f>IFERROR(__xludf.DUMMYFUNCTION("LET(hist, GOOGLEFINANCE(A562,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rs))))))"),92.44063721070027)</f>
        <v>92.44063721</v>
      </c>
      <c r="W562" s="16" t="str">
        <f>IFERROR(__xludf.DUMMYFUNCTION("IFERROR(GOOGLEFINANCE(A562, ""volume"") / GOOGLEFINANCE(A562, ""volumeavg""), )"),"")</f>
        <v/>
      </c>
      <c r="X562" s="9">
        <f>IFERROR(__xludf.DUMMYFUNCTION("B562 * GOOGLEFINANCE(A562, ""volume"")"),2.12237935E9)</f>
        <v>2122379350</v>
      </c>
      <c r="Y562" s="9">
        <f>IFERROR(__xludf.DUMMYFUNCTION("IFERROR(((B562 - GOOGLEFINANCE(A562, ""priceopen"")) / GOOGLEFINANCE(A562, ""priceopen"")) * GOOGLEFINANCE(A562, ""volume""), 0)"),-35362.25419664269)</f>
        <v>-35362.2542</v>
      </c>
    </row>
    <row r="563">
      <c r="A563" s="4" t="s">
        <v>2356</v>
      </c>
      <c r="B563" s="7">
        <f>IFERROR(__xludf.DUMMYFUNCTION("GOOGLEFINANCE(A563, ""price"")"),338.0)</f>
        <v>338</v>
      </c>
      <c r="C563" s="7">
        <f>IFERROR(__xludf.DUMMYFUNCTION("GOOGLEFINANCE(A563, ""changepct"")"),0.96)</f>
        <v>0.96</v>
      </c>
      <c r="D563" s="9">
        <f>IFERROR(__xludf.DUMMYFUNCTION("GOOGLEFINANCE(A563, ""priceopen"")"),334.8)</f>
        <v>334.8</v>
      </c>
      <c r="E563" s="9">
        <f>IFERROR(__xludf.DUMMYFUNCTION("GOOGLEFINANCE(A563, ""high"")"),338.0)</f>
        <v>338</v>
      </c>
      <c r="F563" s="9">
        <f>IFERROR(__xludf.DUMMYFUNCTION("GOOGLEFINANCE(A563, ""low"")"),333.9)</f>
        <v>333.9</v>
      </c>
      <c r="G563" s="9">
        <f>IFERROR(__xludf.DUMMYFUNCTION("GOOGLEFINANCE(A563, ""price"")"),338.0)</f>
        <v>338</v>
      </c>
      <c r="H563" s="9">
        <f>IFERROR(__xludf.DUMMYFUNCTION("MAX(INDEX(GOOGLEFINANCE(A563, ""high"", TODAY()-30, TODAY()), 0, 2))"),344.0)</f>
        <v>344</v>
      </c>
      <c r="I563" s="9">
        <f>IFERROR(__xludf.DUMMYFUNCTION("MIN(INDEX(GOOGLEFINANCE(A563, ""low"", TODAY()-30, TODAY()), 0, 2))"),332.05)</f>
        <v>332.05</v>
      </c>
      <c r="J563" s="9">
        <f>IFERROR(__xludf.DUMMYFUNCTION("GOOGLEFINANCE(A563, ""high52"")"),411.3)</f>
        <v>411.3</v>
      </c>
      <c r="K563" s="9">
        <f>IFERROR(__xludf.DUMMYFUNCTION("GOOGLEFINANCE(A563, ""low52"")"),240.4)</f>
        <v>240.4</v>
      </c>
      <c r="L563" s="9">
        <f t="shared" si="1"/>
        <v>0.1782154145</v>
      </c>
      <c r="M563" s="9">
        <f t="shared" si="2"/>
        <v>0.4059900166</v>
      </c>
      <c r="N563" s="9">
        <f t="shared" si="3"/>
        <v>0.01227912549</v>
      </c>
      <c r="O563" s="9">
        <f t="shared" si="4"/>
        <v>0.4979079498</v>
      </c>
      <c r="P563" s="9">
        <f>IFERROR(__xludf.DUMMYFUNCTION("GOOGLEFINANCE(A563, ""pe"")"),19.27)</f>
        <v>19.27</v>
      </c>
      <c r="Q563" s="9">
        <f>IFERROR(__xludf.DUMMYFUNCTION("IFERROR(GOOGLEFINANCE(A563, ""volume"") / GOOGLEFINANCE(A563, ""volumeavg""), 0)"),0.0)</f>
        <v>0</v>
      </c>
      <c r="R563" s="9">
        <f>IFERROR(__xludf.DUMMYFUNCTION("AVERAGE(INDEX(GOOGLEFINANCE(A563, ""price"", TODAY()-30, TODAY()), 0, 2))"),337.0347826086956)</f>
        <v>337.0347826</v>
      </c>
      <c r="S563" s="9">
        <f>IFERROR(__xludf.DUMMYFUNCTION("AVERAGE(INDEX(GOOGLEFINANCE(A563, ""price"", TODAY()-75, TODAY()), 0, 2))"),339.2632075471698)</f>
        <v>339.2632075</v>
      </c>
      <c r="T563" s="9">
        <f>IFERROR(__xludf.DUMMYFUNCTION("AVERAGE(INDEX(GOOGLEFINANCE(A563, ""price"", TODAY()-300, TODAY()), 0, 2))"),327.29381188118816)</f>
        <v>327.2938119</v>
      </c>
      <c r="U563" s="9">
        <f t="shared" si="5"/>
        <v>0.002863850977</v>
      </c>
      <c r="V563" s="15">
        <f>IFERROR(__xludf.DUMMYFUNCTION("LET(hist, GOOGLEFINANCE(A563,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rs))))))"),32.96296296296288)</f>
        <v>32.96296296</v>
      </c>
      <c r="W563" s="16" t="str">
        <f>IFERROR(__xludf.DUMMYFUNCTION("IFERROR(GOOGLEFINANCE(A563, ""volume"") / GOOGLEFINANCE(A563, ""volumeavg""), )"),"")</f>
        <v/>
      </c>
      <c r="X563" s="9">
        <f>IFERROR(__xludf.DUMMYFUNCTION("B563 * GOOGLEFINANCE(A563, ""volume"")"),6.9981886E7)</f>
        <v>69981886</v>
      </c>
      <c r="Y563" s="9">
        <f>IFERROR(__xludf.DUMMYFUNCTION("IFERROR(((B563 - GOOGLEFINANCE(A563, ""priceopen"")) / GOOGLEFINANCE(A563, ""priceopen"")) * GOOGLEFINANCE(A563, ""volume""), 0)"),1978.9438470728724)</f>
        <v>1978.943847</v>
      </c>
    </row>
    <row r="564">
      <c r="A564" s="4" t="s">
        <v>2357</v>
      </c>
      <c r="B564" s="7">
        <f>IFERROR(__xludf.DUMMYFUNCTION("GOOGLEFINANCE(A564, ""price"")"),633.0)</f>
        <v>633</v>
      </c>
      <c r="C564" s="7">
        <f>IFERROR(__xludf.DUMMYFUNCTION("GOOGLEFINANCE(A564, ""changepct"")"),0.89)</f>
        <v>0.89</v>
      </c>
      <c r="D564" s="9">
        <f>IFERROR(__xludf.DUMMYFUNCTION("GOOGLEFINANCE(A564, ""priceopen"")"),630.55)</f>
        <v>630.55</v>
      </c>
      <c r="E564" s="9">
        <f>IFERROR(__xludf.DUMMYFUNCTION("GOOGLEFINANCE(A564, ""high"")"),657.4)</f>
        <v>657.4</v>
      </c>
      <c r="F564" s="9">
        <f>IFERROR(__xludf.DUMMYFUNCTION("GOOGLEFINANCE(A564, ""low"")"),602.2)</f>
        <v>602.2</v>
      </c>
      <c r="G564" s="9">
        <f>IFERROR(__xludf.DUMMYFUNCTION("GOOGLEFINANCE(A564, ""price"")"),633.0)</f>
        <v>633</v>
      </c>
      <c r="H564" s="9">
        <f>IFERROR(__xludf.DUMMYFUNCTION("MAX(INDEX(GOOGLEFINANCE(A564, ""high"", TODAY()-30, TODAY()), 0, 2))"),657.4)</f>
        <v>657.4</v>
      </c>
      <c r="I564" s="9">
        <f>IFERROR(__xludf.DUMMYFUNCTION("MIN(INDEX(GOOGLEFINANCE(A564, ""low"", TODAY()-30, TODAY()), 0, 2))"),380.0)</f>
        <v>380</v>
      </c>
      <c r="J564" s="9">
        <f>IFERROR(__xludf.DUMMYFUNCTION("GOOGLEFINANCE(A564, ""high52"")"),657.4)</f>
        <v>657.4</v>
      </c>
      <c r="K564" s="9">
        <f>IFERROR(__xludf.DUMMYFUNCTION("GOOGLEFINANCE(A564, ""low52"")"),183.36)</f>
        <v>183.36</v>
      </c>
      <c r="L564" s="9">
        <f t="shared" si="1"/>
        <v>0.03711591117</v>
      </c>
      <c r="M564" s="9">
        <f t="shared" si="2"/>
        <v>2.452225131</v>
      </c>
      <c r="N564" s="9">
        <f t="shared" si="3"/>
        <v>0.09166389904</v>
      </c>
      <c r="O564" s="9">
        <f t="shared" si="4"/>
        <v>0.9120403749</v>
      </c>
      <c r="P564" s="9">
        <f>IFERROR(__xludf.DUMMYFUNCTION("GOOGLEFINANCE(A564, ""pe"")"),435.05)</f>
        <v>435.05</v>
      </c>
      <c r="Q564" s="9">
        <f>IFERROR(__xludf.DUMMYFUNCTION("IFERROR(GOOGLEFINANCE(A564, ""volume"") / GOOGLEFINANCE(A564, ""volumeavg""), 0)"),0.0)</f>
        <v>0</v>
      </c>
      <c r="R564" s="9">
        <f>IFERROR(__xludf.DUMMYFUNCTION("AVERAGE(INDEX(GOOGLEFINANCE(A564, ""price"", TODAY()-30, TODAY()), 0, 2))"),507.98043478260865)</f>
        <v>507.9804348</v>
      </c>
      <c r="S564" s="9">
        <f>IFERROR(__xludf.DUMMYFUNCTION("AVERAGE(INDEX(GOOGLEFINANCE(A564, ""price"", TODAY()-75, TODAY()), 0, 2))"),448.58603773584923)</f>
        <v>448.5860377</v>
      </c>
      <c r="T564" s="9">
        <f>IFERROR(__xludf.DUMMYFUNCTION("AVERAGE(INDEX(GOOGLEFINANCE(A564, ""price"", TODAY()-300, TODAY()), 0, 2))"),306.90676616915414)</f>
        <v>306.9067662</v>
      </c>
      <c r="U564" s="9">
        <f t="shared" si="5"/>
        <v>0.2461109851</v>
      </c>
      <c r="V564" s="15">
        <f>IFERROR(__xludf.DUMMYFUNCTION("LET(hist, GOOGLEFINANCE(A564,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rs))))))"),73.0705531632991)</f>
        <v>73.07055316</v>
      </c>
      <c r="W564" s="16" t="str">
        <f>IFERROR(__xludf.DUMMYFUNCTION("IFERROR(GOOGLEFINANCE(A564, ""volume"") / GOOGLEFINANCE(A564, ""volumeavg""), )"),"")</f>
        <v/>
      </c>
      <c r="X564" s="9">
        <f>IFERROR(__xludf.DUMMYFUNCTION("B564 * GOOGLEFINANCE(A564, ""volume"")"),7.11180564E8)</f>
        <v>711180564</v>
      </c>
      <c r="Y564" s="9">
        <f>IFERROR(__xludf.DUMMYFUNCTION("IFERROR(((B564 - GOOGLEFINANCE(A564, ""priceopen"")) / GOOGLEFINANCE(A564, ""priceopen"")) * GOOGLEFINANCE(A564, ""volume""), 0)"),4365.3867258743185)</f>
        <v>4365.386726</v>
      </c>
    </row>
    <row r="565">
      <c r="A565" s="4" t="s">
        <v>2358</v>
      </c>
      <c r="B565" s="7">
        <f>IFERROR(__xludf.DUMMYFUNCTION("GOOGLEFINANCE(A565, ""price"")"),4465.0)</f>
        <v>4465</v>
      </c>
      <c r="C565" s="7">
        <f>IFERROR(__xludf.DUMMYFUNCTION("GOOGLEFINANCE(A565, ""changepct"")"),-1.93)</f>
        <v>-1.93</v>
      </c>
      <c r="D565" s="9">
        <f>IFERROR(__xludf.DUMMYFUNCTION("GOOGLEFINANCE(A565, ""priceopen"")"),4530.0)</f>
        <v>4530</v>
      </c>
      <c r="E565" s="9">
        <f>IFERROR(__xludf.DUMMYFUNCTION("GOOGLEFINANCE(A565, ""high"")"),4543.9)</f>
        <v>4543.9</v>
      </c>
      <c r="F565" s="9">
        <f>IFERROR(__xludf.DUMMYFUNCTION("GOOGLEFINANCE(A565, ""low"")"),4465.0)</f>
        <v>4465</v>
      </c>
      <c r="G565" s="9">
        <f>IFERROR(__xludf.DUMMYFUNCTION("GOOGLEFINANCE(A565, ""price"")"),4465.0)</f>
        <v>4465</v>
      </c>
      <c r="H565" s="9">
        <f>IFERROR(__xludf.DUMMYFUNCTION("MAX(INDEX(GOOGLEFINANCE(A565, ""high"", TODAY()-30, TODAY()), 0, 2))"),4927.0)</f>
        <v>4927</v>
      </c>
      <c r="I565" s="9">
        <f>IFERROR(__xludf.DUMMYFUNCTION("MIN(INDEX(GOOGLEFINANCE(A565, ""low"", TODAY()-30, TODAY()), 0, 2))"),4456.1)</f>
        <v>4456.1</v>
      </c>
      <c r="J565" s="9">
        <f>IFERROR(__xludf.DUMMYFUNCTION("GOOGLEFINANCE(A565, ""high52"")"),5357.0)</f>
        <v>5357</v>
      </c>
      <c r="K565" s="9">
        <f>IFERROR(__xludf.DUMMYFUNCTION("GOOGLEFINANCE(A565, ""low52"")"),3975.0)</f>
        <v>3975</v>
      </c>
      <c r="L565" s="9">
        <f t="shared" si="1"/>
        <v>0.166511107</v>
      </c>
      <c r="M565" s="9">
        <f t="shared" si="2"/>
        <v>0.1232704403</v>
      </c>
      <c r="N565" s="9">
        <f t="shared" si="3"/>
        <v>0.01767077268</v>
      </c>
      <c r="O565" s="9">
        <f t="shared" si="4"/>
        <v>0.01889997876</v>
      </c>
      <c r="P565" s="9">
        <f>IFERROR(__xludf.DUMMYFUNCTION("GOOGLEFINANCE(A565, ""pe"")"),38.65)</f>
        <v>38.65</v>
      </c>
      <c r="Q565" s="9">
        <f>IFERROR(__xludf.DUMMYFUNCTION("IFERROR(GOOGLEFINANCE(A565, ""volume"") / GOOGLEFINANCE(A565, ""volumeavg""), 0)"),0.0)</f>
        <v>0</v>
      </c>
      <c r="R565" s="9">
        <f>IFERROR(__xludf.DUMMYFUNCTION("AVERAGE(INDEX(GOOGLEFINANCE(A565, ""price"", TODAY()-30, TODAY()), 0, 2))"),4583.391304347825)</f>
        <v>4583.391304</v>
      </c>
      <c r="S565" s="9">
        <f>IFERROR(__xludf.DUMMYFUNCTION("AVERAGE(INDEX(GOOGLEFINANCE(A565, ""price"", TODAY()-75, TODAY()), 0, 2))"),4630.80566037736)</f>
        <v>4630.80566</v>
      </c>
      <c r="T565" s="9">
        <f>IFERROR(__xludf.DUMMYFUNCTION("AVERAGE(INDEX(GOOGLEFINANCE(A565, ""price"", TODAY()-300, TODAY()), 0, 2))"),4536.521287128713)</f>
        <v>4536.521287</v>
      </c>
      <c r="U565" s="9">
        <f t="shared" si="5"/>
        <v>-0.02583050333</v>
      </c>
      <c r="V565" s="15">
        <f>IFERROR(__xludf.DUMMYFUNCTION("LET(hist, GOOGLEFINANCE(A565,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rs))))))"),32.59125551544322)</f>
        <v>32.59125552</v>
      </c>
      <c r="W565" s="16" t="str">
        <f>IFERROR(__xludf.DUMMYFUNCTION("IFERROR(GOOGLEFINANCE(A565, ""volume"") / GOOGLEFINANCE(A565, ""volumeavg""), )"),"")</f>
        <v/>
      </c>
      <c r="X565" s="9">
        <f>IFERROR(__xludf.DUMMYFUNCTION("B565 * GOOGLEFINANCE(A565, ""volume"")"),6076865.0)</f>
        <v>6076865</v>
      </c>
      <c r="Y565" s="9">
        <f>IFERROR(__xludf.DUMMYFUNCTION("IFERROR(((B565 - GOOGLEFINANCE(A565, ""priceopen"")) / GOOGLEFINANCE(A565, ""priceopen"")) * GOOGLEFINANCE(A565, ""volume""), 0)"),-19.52869757174393)</f>
        <v>-19.52869757</v>
      </c>
    </row>
    <row r="566">
      <c r="A566" s="4" t="s">
        <v>2359</v>
      </c>
      <c r="B566" s="7">
        <f>IFERROR(__xludf.DUMMYFUNCTION("GOOGLEFINANCE(A566, ""price"")"),641.0)</f>
        <v>641</v>
      </c>
      <c r="C566" s="7">
        <f>IFERROR(__xludf.DUMMYFUNCTION("GOOGLEFINANCE(A566, ""changepct"")"),1.79)</f>
        <v>1.79</v>
      </c>
      <c r="D566" s="9">
        <f>IFERROR(__xludf.DUMMYFUNCTION("GOOGLEFINANCE(A566, ""priceopen"")"),632.65)</f>
        <v>632.65</v>
      </c>
      <c r="E566" s="9">
        <f>IFERROR(__xludf.DUMMYFUNCTION("GOOGLEFINANCE(A566, ""high"")"),645.05)</f>
        <v>645.05</v>
      </c>
      <c r="F566" s="9">
        <f>IFERROR(__xludf.DUMMYFUNCTION("GOOGLEFINANCE(A566, ""low"")"),617.7)</f>
        <v>617.7</v>
      </c>
      <c r="G566" s="9">
        <f>IFERROR(__xludf.DUMMYFUNCTION("GOOGLEFINANCE(A566, ""price"")"),641.0)</f>
        <v>641</v>
      </c>
      <c r="H566" s="9">
        <f>IFERROR(__xludf.DUMMYFUNCTION("MAX(INDEX(GOOGLEFINANCE(A566, ""high"", TODAY()-30, TODAY()), 0, 2))"),681.55)</f>
        <v>681.55</v>
      </c>
      <c r="I566" s="9">
        <f>IFERROR(__xludf.DUMMYFUNCTION("MIN(INDEX(GOOGLEFINANCE(A566, ""low"", TODAY()-30, TODAY()), 0, 2))"),546.0)</f>
        <v>546</v>
      </c>
      <c r="J566" s="9">
        <f>IFERROR(__xludf.DUMMYFUNCTION("GOOGLEFINANCE(A566, ""high52"")"),681.55)</f>
        <v>681.55</v>
      </c>
      <c r="K566" s="9">
        <f>IFERROR(__xludf.DUMMYFUNCTION("GOOGLEFINANCE(A566, ""low52"")"),222.0)</f>
        <v>222</v>
      </c>
      <c r="L566" s="9">
        <f t="shared" si="1"/>
        <v>0.05949673538</v>
      </c>
      <c r="M566" s="9">
        <f t="shared" si="2"/>
        <v>1.887387387</v>
      </c>
      <c r="N566" s="9">
        <f t="shared" si="3"/>
        <v>0.0442771572</v>
      </c>
      <c r="O566" s="9">
        <f t="shared" si="4"/>
        <v>0.7008483954</v>
      </c>
      <c r="P566" s="9">
        <f>IFERROR(__xludf.DUMMYFUNCTION("GOOGLEFINANCE(A566, ""pe"")"),65.74)</f>
        <v>65.74</v>
      </c>
      <c r="Q566" s="9">
        <f>IFERROR(__xludf.DUMMYFUNCTION("IFERROR(GOOGLEFINANCE(A566, ""volume"") / GOOGLEFINANCE(A566, ""volumeavg""), 0)"),0.0)</f>
        <v>0</v>
      </c>
      <c r="R566" s="9">
        <f>IFERROR(__xludf.DUMMYFUNCTION("AVERAGE(INDEX(GOOGLEFINANCE(A566, ""price"", TODAY()-30, TODAY()), 0, 2))"),628.2978260869564)</f>
        <v>628.2978261</v>
      </c>
      <c r="S566" s="9">
        <f>IFERROR(__xludf.DUMMYFUNCTION("AVERAGE(INDEX(GOOGLEFINANCE(A566, ""price"", TODAY()-75, TODAY()), 0, 2))"),548.4537735849057)</f>
        <v>548.4537736</v>
      </c>
      <c r="T566" s="9">
        <f>IFERROR(__xludf.DUMMYFUNCTION("AVERAGE(INDEX(GOOGLEFINANCE(A566, ""price"", TODAY()-300, TODAY()), 0, 2))"),404.6842079207922)</f>
        <v>404.6842079</v>
      </c>
      <c r="U566" s="9">
        <f t="shared" si="5"/>
        <v>0.02021680386</v>
      </c>
      <c r="V566" s="15">
        <f>IFERROR(__xludf.DUMMYFUNCTION("LET(hist, GOOGLEFINANCE(A566,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rs))))))"),58.08325266214908)</f>
        <v>58.08325266</v>
      </c>
      <c r="W566" s="16" t="str">
        <f>IFERROR(__xludf.DUMMYFUNCTION("IFERROR(GOOGLEFINANCE(A566, ""volume"") / GOOGLEFINANCE(A566, ""volumeavg""), )"),"")</f>
        <v/>
      </c>
      <c r="X566" s="9">
        <f>IFERROR(__xludf.DUMMYFUNCTION("B566 * GOOGLEFINANCE(A566, ""volume"")"),7.04777577E8)</f>
        <v>704777577</v>
      </c>
      <c r="Y566" s="9">
        <f>IFERROR(__xludf.DUMMYFUNCTION("IFERROR(((B566 - GOOGLEFINANCE(A566, ""priceopen"")) / GOOGLEFINANCE(A566, ""priceopen"")) * GOOGLEFINANCE(A566, ""volume""), 0)"),14511.657235438277)</f>
        <v>14511.65724</v>
      </c>
    </row>
    <row r="567">
      <c r="A567" s="4" t="s">
        <v>2360</v>
      </c>
      <c r="B567" s="7">
        <f>IFERROR(__xludf.DUMMYFUNCTION("GOOGLEFINANCE(A567, ""price"")"),1485.0)</f>
        <v>1485</v>
      </c>
      <c r="C567" s="7">
        <f>IFERROR(__xludf.DUMMYFUNCTION("GOOGLEFINANCE(A567, ""changepct"")"),-0.36)</f>
        <v>-0.36</v>
      </c>
      <c r="D567" s="9">
        <f>IFERROR(__xludf.DUMMYFUNCTION("GOOGLEFINANCE(A567, ""priceopen"")"),1484.3)</f>
        <v>1484.3</v>
      </c>
      <c r="E567" s="9">
        <f>IFERROR(__xludf.DUMMYFUNCTION("GOOGLEFINANCE(A567, ""high"")"),1501.1)</f>
        <v>1501.1</v>
      </c>
      <c r="F567" s="9">
        <f>IFERROR(__xludf.DUMMYFUNCTION("GOOGLEFINANCE(A567, ""low"")"),1484.3)</f>
        <v>1484.3</v>
      </c>
      <c r="G567" s="9">
        <f>IFERROR(__xludf.DUMMYFUNCTION("GOOGLEFINANCE(A567, ""price"")"),1485.0)</f>
        <v>1485</v>
      </c>
      <c r="H567" s="9">
        <f>IFERROR(__xludf.DUMMYFUNCTION("MAX(INDEX(GOOGLEFINANCE(A567, ""high"", TODAY()-30, TODAY()), 0, 2))"),1558.0)</f>
        <v>1558</v>
      </c>
      <c r="I567" s="9">
        <f>IFERROR(__xludf.DUMMYFUNCTION("MIN(INDEX(GOOGLEFINANCE(A567, ""low"", TODAY()-30, TODAY()), 0, 2))"),1434.4)</f>
        <v>1434.4</v>
      </c>
      <c r="J567" s="9">
        <f>IFERROR(__xludf.DUMMYFUNCTION("GOOGLEFINANCE(A567, ""high52"")"),2135.0)</f>
        <v>2135</v>
      </c>
      <c r="K567" s="9">
        <f>IFERROR(__xludf.DUMMYFUNCTION("GOOGLEFINANCE(A567, ""low52"")"),1314.6)</f>
        <v>1314.6</v>
      </c>
      <c r="L567" s="9">
        <f t="shared" si="1"/>
        <v>0.3044496487</v>
      </c>
      <c r="M567" s="9">
        <f t="shared" si="2"/>
        <v>0.1296211775</v>
      </c>
      <c r="N567" s="9">
        <f t="shared" si="3"/>
        <v>0.01131846662</v>
      </c>
      <c r="O567" s="9">
        <f t="shared" si="4"/>
        <v>0.4093851133</v>
      </c>
      <c r="P567" s="9">
        <f>IFERROR(__xludf.DUMMYFUNCTION("GOOGLEFINANCE(A567, ""pe"")"),8.34)</f>
        <v>8.34</v>
      </c>
      <c r="Q567" s="9">
        <f>IFERROR(__xludf.DUMMYFUNCTION("IFERROR(GOOGLEFINANCE(A567, ""volume"") / GOOGLEFINANCE(A567, ""volumeavg""), 0)"),0.0)</f>
        <v>0</v>
      </c>
      <c r="R567" s="9">
        <f>IFERROR(__xludf.DUMMYFUNCTION("AVERAGE(INDEX(GOOGLEFINANCE(A567, ""price"", TODAY()-30, TODAY()), 0, 2))"),1496.517391304348)</f>
        <v>1496.517391</v>
      </c>
      <c r="S567" s="9">
        <f>IFERROR(__xludf.DUMMYFUNCTION("AVERAGE(INDEX(GOOGLEFINANCE(A567, ""price"", TODAY()-75, TODAY()), 0, 2))"),1514.6471698113203)</f>
        <v>1514.64717</v>
      </c>
      <c r="T567" s="9">
        <f>IFERROR(__xludf.DUMMYFUNCTION("AVERAGE(INDEX(GOOGLEFINANCE(A567, ""price"", TODAY()-300, TODAY()), 0, 2))"),1668.0450495049504)</f>
        <v>1668.04505</v>
      </c>
      <c r="U567" s="9">
        <f t="shared" si="5"/>
        <v>-0.007696129274</v>
      </c>
      <c r="V567" s="15">
        <f>IFERROR(__xludf.DUMMYFUNCTION("LET(hist, GOOGLEFINANCE(A567,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rs))))))"),55.951056729699715)</f>
        <v>55.95105673</v>
      </c>
      <c r="W567" s="16" t="str">
        <f>IFERROR(__xludf.DUMMYFUNCTION("IFERROR(GOOGLEFINANCE(A567, ""volume"") / GOOGLEFINANCE(A567, ""volumeavg""), )"),"")</f>
        <v/>
      </c>
      <c r="X567" s="9">
        <f>IFERROR(__xludf.DUMMYFUNCTION("B567 * GOOGLEFINANCE(A567, ""volume"")"),2.6606745E7)</f>
        <v>26606745</v>
      </c>
      <c r="Y567" s="9">
        <f>IFERROR(__xludf.DUMMYFUNCTION("IFERROR(((B567 - GOOGLEFINANCE(A567, ""priceopen"")) / GOOGLEFINANCE(A567, ""priceopen"")) * GOOGLEFINANCE(A567, ""volume""), 0)"),8.449706932561352)</f>
        <v>8.449706933</v>
      </c>
    </row>
    <row r="568">
      <c r="A568" s="4" t="s">
        <v>2361</v>
      </c>
      <c r="B568" s="7">
        <f>IFERROR(__xludf.DUMMYFUNCTION("GOOGLEFINANCE(A568, ""price"")"),652.0)</f>
        <v>652</v>
      </c>
      <c r="C568" s="7">
        <f>IFERROR(__xludf.DUMMYFUNCTION("GOOGLEFINANCE(A568, ""changepct"")"),-0.34)</f>
        <v>-0.34</v>
      </c>
      <c r="D568" s="9">
        <f>IFERROR(__xludf.DUMMYFUNCTION("GOOGLEFINANCE(A568, ""priceopen"")"),654.25)</f>
        <v>654.25</v>
      </c>
      <c r="E568" s="9">
        <f>IFERROR(__xludf.DUMMYFUNCTION("GOOGLEFINANCE(A568, ""high"")"),660.0)</f>
        <v>660</v>
      </c>
      <c r="F568" s="9">
        <f>IFERROR(__xludf.DUMMYFUNCTION("GOOGLEFINANCE(A568, ""low"")"),646.0)</f>
        <v>646</v>
      </c>
      <c r="G568" s="9">
        <f>IFERROR(__xludf.DUMMYFUNCTION("GOOGLEFINANCE(A568, ""price"")"),652.0)</f>
        <v>652</v>
      </c>
      <c r="H568" s="9">
        <f>IFERROR(__xludf.DUMMYFUNCTION("MAX(INDEX(GOOGLEFINANCE(A568, ""high"", TODAY()-30, TODAY()), 0, 2))"),687.7)</f>
        <v>687.7</v>
      </c>
      <c r="I568" s="9">
        <f>IFERROR(__xludf.DUMMYFUNCTION("MIN(INDEX(GOOGLEFINANCE(A568, ""low"", TODAY()-30, TODAY()), 0, 2))"),464.0)</f>
        <v>464</v>
      </c>
      <c r="J568" s="9">
        <f>IFERROR(__xludf.DUMMYFUNCTION("GOOGLEFINANCE(A568, ""high52"")"),687.7)</f>
        <v>687.7</v>
      </c>
      <c r="K568" s="9">
        <f>IFERROR(__xludf.DUMMYFUNCTION("GOOGLEFINANCE(A568, ""low52"")"),375.3)</f>
        <v>375.3</v>
      </c>
      <c r="L568" s="9">
        <f t="shared" si="1"/>
        <v>0.051912171</v>
      </c>
      <c r="M568" s="9">
        <f t="shared" si="2"/>
        <v>0.7372768452</v>
      </c>
      <c r="N568" s="9">
        <f t="shared" si="3"/>
        <v>0.02167182663</v>
      </c>
      <c r="O568" s="9">
        <f t="shared" si="4"/>
        <v>0.8404112651</v>
      </c>
      <c r="P568" s="9">
        <f>IFERROR(__xludf.DUMMYFUNCTION("GOOGLEFINANCE(A568, ""pe"")"),40.62)</f>
        <v>40.62</v>
      </c>
      <c r="Q568" s="9">
        <f>IFERROR(__xludf.DUMMYFUNCTION("IFERROR(GOOGLEFINANCE(A568, ""volume"") / GOOGLEFINANCE(A568, ""volumeavg""), 0)"),0.0)</f>
        <v>0</v>
      </c>
      <c r="R568" s="9">
        <f>IFERROR(__xludf.DUMMYFUNCTION("AVERAGE(INDEX(GOOGLEFINANCE(A568, ""price"", TODAY()-30, TODAY()), 0, 2))"),541.8630434782608)</f>
        <v>541.8630435</v>
      </c>
      <c r="S568" s="9">
        <f>IFERROR(__xludf.DUMMYFUNCTION("AVERAGE(INDEX(GOOGLEFINANCE(A568, ""price"", TODAY()-75, TODAY()), 0, 2))"),490.6660377358491)</f>
        <v>490.6660377</v>
      </c>
      <c r="T568" s="9">
        <f>IFERROR(__xludf.DUMMYFUNCTION("AVERAGE(INDEX(GOOGLEFINANCE(A568, ""price"", TODAY()-300, TODAY()), 0, 2))"),463.0314356435647)</f>
        <v>463.0314356</v>
      </c>
      <c r="U568" s="9">
        <f t="shared" si="5"/>
        <v>0.2032560771</v>
      </c>
      <c r="V568" s="15">
        <f>IFERROR(__xludf.DUMMYFUNCTION("LET(hist, GOOGLEFINANCE(A568,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rs))))))"),73.62549800796815)</f>
        <v>73.62549801</v>
      </c>
      <c r="W568" s="16" t="str">
        <f>IFERROR(__xludf.DUMMYFUNCTION("IFERROR(GOOGLEFINANCE(A568, ""volume"") / GOOGLEFINANCE(A568, ""volumeavg""), )"),"")</f>
        <v/>
      </c>
      <c r="X568" s="9">
        <f>IFERROR(__xludf.DUMMYFUNCTION("B568 * GOOGLEFINANCE(A568, ""volume"")"),1.20781044E8)</f>
        <v>120781044</v>
      </c>
      <c r="Y568" s="9">
        <f>IFERROR(__xludf.DUMMYFUNCTION("IFERROR(((B568 - GOOGLEFINANCE(A568, ""priceopen"")) / GOOGLEFINANCE(A568, ""priceopen"")) * GOOGLEFINANCE(A568, ""volume""), 0)"),-637.0741306839893)</f>
        <v>-637.0741307</v>
      </c>
    </row>
    <row r="569">
      <c r="A569" s="4" t="s">
        <v>2362</v>
      </c>
      <c r="B569" s="7">
        <f>IFERROR(__xludf.DUMMYFUNCTION("GOOGLEFINANCE(A569, ""price"")"),831.65)</f>
        <v>831.65</v>
      </c>
      <c r="C569" s="7">
        <f>IFERROR(__xludf.DUMMYFUNCTION("GOOGLEFINANCE(A569, ""changepct"")"),-1.25)</f>
        <v>-1.25</v>
      </c>
      <c r="D569" s="9">
        <f>IFERROR(__xludf.DUMMYFUNCTION("GOOGLEFINANCE(A569, ""priceopen"")"),840.0)</f>
        <v>840</v>
      </c>
      <c r="E569" s="9">
        <f>IFERROR(__xludf.DUMMYFUNCTION("GOOGLEFINANCE(A569, ""high"")"),864.9)</f>
        <v>864.9</v>
      </c>
      <c r="F569" s="9">
        <f>IFERROR(__xludf.DUMMYFUNCTION("GOOGLEFINANCE(A569, ""low"")"),826.05)</f>
        <v>826.05</v>
      </c>
      <c r="G569" s="9">
        <f>IFERROR(__xludf.DUMMYFUNCTION("GOOGLEFINANCE(A569, ""price"")"),831.65)</f>
        <v>831.65</v>
      </c>
      <c r="H569" s="9">
        <f>IFERROR(__xludf.DUMMYFUNCTION("MAX(INDEX(GOOGLEFINANCE(A569, ""high"", TODAY()-30, TODAY()), 0, 2))"),864.9)</f>
        <v>864.9</v>
      </c>
      <c r="I569" s="9">
        <f>IFERROR(__xludf.DUMMYFUNCTION("MIN(INDEX(GOOGLEFINANCE(A569, ""low"", TODAY()-30, TODAY()), 0, 2))"),629.55)</f>
        <v>629.55</v>
      </c>
      <c r="J569" s="9">
        <f>IFERROR(__xludf.DUMMYFUNCTION("GOOGLEFINANCE(A569, ""high52"")"),864.9)</f>
        <v>864.9</v>
      </c>
      <c r="K569" s="9">
        <f>IFERROR(__xludf.DUMMYFUNCTION("GOOGLEFINANCE(A569, ""low52"")"),462.0)</f>
        <v>462</v>
      </c>
      <c r="L569" s="9">
        <f t="shared" si="1"/>
        <v>0.03844375072</v>
      </c>
      <c r="M569" s="9">
        <f t="shared" si="2"/>
        <v>0.8001082251</v>
      </c>
      <c r="N569" s="9">
        <f t="shared" si="3"/>
        <v>0.04703105139</v>
      </c>
      <c r="O569" s="9">
        <f t="shared" si="4"/>
        <v>0.8587210537</v>
      </c>
      <c r="P569" s="9">
        <f>IFERROR(__xludf.DUMMYFUNCTION("GOOGLEFINANCE(A569, ""pe"")"),64.37)</f>
        <v>64.37</v>
      </c>
      <c r="Q569" s="9">
        <f>IFERROR(__xludf.DUMMYFUNCTION("IFERROR(GOOGLEFINANCE(A569, ""volume"") / GOOGLEFINANCE(A569, ""volumeavg""), 0)"),0.0)</f>
        <v>0</v>
      </c>
      <c r="R569" s="9">
        <f>IFERROR(__xludf.DUMMYFUNCTION("AVERAGE(INDEX(GOOGLEFINANCE(A569, ""price"", TODAY()-30, TODAY()), 0, 2))"),695.608695652174)</f>
        <v>695.6086957</v>
      </c>
      <c r="S569" s="9">
        <f>IFERROR(__xludf.DUMMYFUNCTION("AVERAGE(INDEX(GOOGLEFINANCE(A569, ""price"", TODAY()-75, TODAY()), 0, 2))"),648.1122641509435)</f>
        <v>648.1122642</v>
      </c>
      <c r="T569" s="9">
        <f>IFERROR(__xludf.DUMMYFUNCTION("AVERAGE(INDEX(GOOGLEFINANCE(A569, ""price"", TODAY()-300, TODAY()), 0, 2))"),593.3220297029699)</f>
        <v>593.3220297</v>
      </c>
      <c r="U569" s="9">
        <f t="shared" si="5"/>
        <v>0.1955715982</v>
      </c>
      <c r="V569" s="15">
        <f>IFERROR(__xludf.DUMMYFUNCTION("LET(hist, GOOGLEFINANCE(A569,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rs))))))"),91.80573384681216)</f>
        <v>91.80573385</v>
      </c>
      <c r="W569" s="16" t="str">
        <f>IFERROR(__xludf.DUMMYFUNCTION("IFERROR(GOOGLEFINANCE(A569, ""volume"") / GOOGLEFINANCE(A569, ""volumeavg""), )"),"")</f>
        <v/>
      </c>
      <c r="X569" s="9">
        <f>IFERROR(__xludf.DUMMYFUNCTION("B569 * GOOGLEFINANCE(A569, ""volume"")"),3.8887205515E8)</f>
        <v>388872055.2</v>
      </c>
      <c r="Y569" s="9">
        <f>IFERROR(__xludf.DUMMYFUNCTION("IFERROR(((B569 - GOOGLEFINANCE(A569, ""priceopen"")) / GOOGLEFINANCE(A569, ""priceopen"")) * GOOGLEFINANCE(A569, ""volume""), 0)"),-4648.077202380965)</f>
        <v>-4648.077202</v>
      </c>
    </row>
    <row r="570">
      <c r="A570" s="4" t="s">
        <v>2363</v>
      </c>
      <c r="B570" s="7">
        <f>IFERROR(__xludf.DUMMYFUNCTION("GOOGLEFINANCE(A570, ""price"")"),750.0)</f>
        <v>750</v>
      </c>
      <c r="C570" s="7">
        <f>IFERROR(__xludf.DUMMYFUNCTION("GOOGLEFINANCE(A570, ""changepct"")"),-1.44)</f>
        <v>-1.44</v>
      </c>
      <c r="D570" s="9">
        <f>IFERROR(__xludf.DUMMYFUNCTION("GOOGLEFINANCE(A570, ""priceopen"")"),760.95)</f>
        <v>760.95</v>
      </c>
      <c r="E570" s="9">
        <f>IFERROR(__xludf.DUMMYFUNCTION("GOOGLEFINANCE(A570, ""high"")"),775.0)</f>
        <v>775</v>
      </c>
      <c r="F570" s="9">
        <f>IFERROR(__xludf.DUMMYFUNCTION("GOOGLEFINANCE(A570, ""low"")"),746.35)</f>
        <v>746.35</v>
      </c>
      <c r="G570" s="9">
        <f>IFERROR(__xludf.DUMMYFUNCTION("GOOGLEFINANCE(A570, ""price"")"),750.0)</f>
        <v>750</v>
      </c>
      <c r="H570" s="9">
        <f>IFERROR(__xludf.DUMMYFUNCTION("MAX(INDEX(GOOGLEFINANCE(A570, ""high"", TODAY()-30, TODAY()), 0, 2))"),775.0)</f>
        <v>775</v>
      </c>
      <c r="I570" s="9">
        <f>IFERROR(__xludf.DUMMYFUNCTION("MIN(INDEX(GOOGLEFINANCE(A570, ""low"", TODAY()-30, TODAY()), 0, 2))"),650.25)</f>
        <v>650.25</v>
      </c>
      <c r="J570" s="9">
        <f>IFERROR(__xludf.DUMMYFUNCTION("GOOGLEFINANCE(A570, ""high52"")"),775.0)</f>
        <v>775</v>
      </c>
      <c r="K570" s="9">
        <f>IFERROR(__xludf.DUMMYFUNCTION("GOOGLEFINANCE(A570, ""low52"")"),409.3)</f>
        <v>409.3</v>
      </c>
      <c r="L570" s="9">
        <f t="shared" si="1"/>
        <v>0.03225806452</v>
      </c>
      <c r="M570" s="9">
        <f t="shared" si="2"/>
        <v>0.832396775</v>
      </c>
      <c r="N570" s="9">
        <f t="shared" si="3"/>
        <v>0.03838681584</v>
      </c>
      <c r="O570" s="9">
        <f t="shared" si="4"/>
        <v>0.7995991984</v>
      </c>
      <c r="P570" s="9">
        <f>IFERROR(__xludf.DUMMYFUNCTION("GOOGLEFINANCE(A570, ""pe"")"),39.37)</f>
        <v>39.37</v>
      </c>
      <c r="Q570" s="9">
        <f>IFERROR(__xludf.DUMMYFUNCTION("IFERROR(GOOGLEFINANCE(A570, ""volume"") / GOOGLEFINANCE(A570, ""volumeavg""), 0)"),0.0)</f>
        <v>0</v>
      </c>
      <c r="R570" s="9">
        <f>IFERROR(__xludf.DUMMYFUNCTION("AVERAGE(INDEX(GOOGLEFINANCE(A570, ""price"", TODAY()-30, TODAY()), 0, 2))"),686.9086956521741)</f>
        <v>686.9086957</v>
      </c>
      <c r="S570" s="9">
        <f>IFERROR(__xludf.DUMMYFUNCTION("AVERAGE(INDEX(GOOGLEFINANCE(A570, ""price"", TODAY()-75, TODAY()), 0, 2))"),638.5971698113207)</f>
        <v>638.5971698</v>
      </c>
      <c r="T570" s="9">
        <f>IFERROR(__xludf.DUMMYFUNCTION("AVERAGE(INDEX(GOOGLEFINANCE(A570, ""price"", TODAY()-300, TODAY()), 0, 2))"),515.0646039603961)</f>
        <v>515.064604</v>
      </c>
      <c r="U570" s="9">
        <f t="shared" si="5"/>
        <v>0.09184816664</v>
      </c>
      <c r="V570" s="15">
        <f>IFERROR(__xludf.DUMMYFUNCTION("LET(hist, GOOGLEFINANCE(A570,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rs))))))"),63.984476067270386)</f>
        <v>63.98447607</v>
      </c>
      <c r="W570" s="16" t="str">
        <f>IFERROR(__xludf.DUMMYFUNCTION("IFERROR(GOOGLEFINANCE(A570, ""volume"") / GOOGLEFINANCE(A570, ""volumeavg""), )"),"")</f>
        <v/>
      </c>
      <c r="X570" s="9">
        <f>IFERROR(__xludf.DUMMYFUNCTION("B570 * GOOGLEFINANCE(A570, ""volume"")"),2.6978925E8)</f>
        <v>269789250</v>
      </c>
      <c r="Y570" s="9">
        <f>IFERROR(__xludf.DUMMYFUNCTION("IFERROR(((B570 - GOOGLEFINANCE(A570, ""priceopen"")) / GOOGLEFINANCE(A570, ""priceopen"")) * GOOGLEFINANCE(A570, ""volume""), 0)"),-5176.3230829883905)</f>
        <v>-5176.323083</v>
      </c>
    </row>
    <row r="571">
      <c r="A571" s="4" t="s">
        <v>2364</v>
      </c>
      <c r="B571" s="7">
        <f>IFERROR(__xludf.DUMMYFUNCTION("GOOGLEFINANCE(A571, ""price"")"),203.25)</f>
        <v>203.25</v>
      </c>
      <c r="C571" s="7">
        <f>IFERROR(__xludf.DUMMYFUNCTION("GOOGLEFINANCE(A571, ""changepct"")"),-0.56)</f>
        <v>-0.56</v>
      </c>
      <c r="D571" s="9">
        <f>IFERROR(__xludf.DUMMYFUNCTION("GOOGLEFINANCE(A571, ""priceopen"")"),204.4)</f>
        <v>204.4</v>
      </c>
      <c r="E571" s="9">
        <f>IFERROR(__xludf.DUMMYFUNCTION("GOOGLEFINANCE(A571, ""high"")"),207.28)</f>
        <v>207.28</v>
      </c>
      <c r="F571" s="9">
        <f>IFERROR(__xludf.DUMMYFUNCTION("GOOGLEFINANCE(A571, ""low"")"),201.49)</f>
        <v>201.49</v>
      </c>
      <c r="G571" s="9">
        <f>IFERROR(__xludf.DUMMYFUNCTION("GOOGLEFINANCE(A571, ""price"")"),203.25)</f>
        <v>203.25</v>
      </c>
      <c r="H571" s="9">
        <f>IFERROR(__xludf.DUMMYFUNCTION("MAX(INDEX(GOOGLEFINANCE(A571, ""high"", TODAY()-30, TODAY()), 0, 2))"),218.25)</f>
        <v>218.25</v>
      </c>
      <c r="I571" s="9">
        <f>IFERROR(__xludf.DUMMYFUNCTION("MIN(INDEX(GOOGLEFINANCE(A571, ""low"", TODAY()-30, TODAY()), 0, 2))"),191.0)</f>
        <v>191</v>
      </c>
      <c r="J571" s="9">
        <f>IFERROR(__xludf.DUMMYFUNCTION("GOOGLEFINANCE(A571, ""high52"")"),273.0)</f>
        <v>273</v>
      </c>
      <c r="K571" s="9">
        <f>IFERROR(__xludf.DUMMYFUNCTION("GOOGLEFINANCE(A571, ""low52"")"),141.37)</f>
        <v>141.37</v>
      </c>
      <c r="L571" s="9">
        <f t="shared" si="1"/>
        <v>0.2554945055</v>
      </c>
      <c r="M571" s="9">
        <f t="shared" si="2"/>
        <v>0.4377166301</v>
      </c>
      <c r="N571" s="9">
        <f t="shared" si="3"/>
        <v>0.02873591742</v>
      </c>
      <c r="O571" s="9">
        <f t="shared" si="4"/>
        <v>0.4495412844</v>
      </c>
      <c r="P571" s="9">
        <f>IFERROR(__xludf.DUMMYFUNCTION("GOOGLEFINANCE(A571, ""pe"")"),13.78)</f>
        <v>13.78</v>
      </c>
      <c r="Q571" s="9">
        <f>IFERROR(__xludf.DUMMYFUNCTION("IFERROR(GOOGLEFINANCE(A571, ""volume"") / GOOGLEFINANCE(A571, ""volumeavg""), 0)"),0.0)</f>
        <v>0</v>
      </c>
      <c r="R571" s="9">
        <f>IFERROR(__xludf.DUMMYFUNCTION("AVERAGE(INDEX(GOOGLEFINANCE(A571, ""price"", TODAY()-30, TODAY()), 0, 2))"),203.37086956521742)</f>
        <v>203.3708696</v>
      </c>
      <c r="S571" s="9">
        <f>IFERROR(__xludf.DUMMYFUNCTION("AVERAGE(INDEX(GOOGLEFINANCE(A571, ""price"", TODAY()-75, TODAY()), 0, 2))"),208.76358490566025)</f>
        <v>208.7635849</v>
      </c>
      <c r="T571" s="9">
        <f>IFERROR(__xludf.DUMMYFUNCTION("AVERAGE(INDEX(GOOGLEFINANCE(A571, ""price"", TODAY()-300, TODAY()), 0, 2))"),211.96173267326733)</f>
        <v>211.9617327</v>
      </c>
      <c r="U571" s="9">
        <f t="shared" si="5"/>
        <v>-0.0005943307686</v>
      </c>
      <c r="V571" s="15">
        <f>IFERROR(__xludf.DUMMYFUNCTION("LET(hist, GOOGLEFINANCE(A571,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rs))))))"),61.40637775960749)</f>
        <v>61.40637776</v>
      </c>
      <c r="W571" s="16" t="str">
        <f>IFERROR(__xludf.DUMMYFUNCTION("IFERROR(GOOGLEFINANCE(A571, ""volume"") / GOOGLEFINANCE(A571, ""volumeavg""), )"),"")</f>
        <v/>
      </c>
      <c r="X571" s="9">
        <f>IFERROR(__xludf.DUMMYFUNCTION("B571 * GOOGLEFINANCE(A571, ""volume"")"),1.3902401625E8)</f>
        <v>139024016.3</v>
      </c>
      <c r="Y571" s="9">
        <f>IFERROR(__xludf.DUMMYFUNCTION("IFERROR(((B571 - GOOGLEFINANCE(A571, ""priceopen"")) / GOOGLEFINANCE(A571, ""priceopen"")) * GOOGLEFINANCE(A571, ""volume""), 0)"),-3848.364726027416)</f>
        <v>-3848.364726</v>
      </c>
    </row>
    <row r="572">
      <c r="A572" s="4" t="s">
        <v>2365</v>
      </c>
      <c r="B572" s="7">
        <f>IFERROR(__xludf.DUMMYFUNCTION("GOOGLEFINANCE(A572, ""price"")"),709.45)</f>
        <v>709.45</v>
      </c>
      <c r="C572" s="7">
        <f>IFERROR(__xludf.DUMMYFUNCTION("GOOGLEFINANCE(A572, ""changepct"")"),-1.46)</f>
        <v>-1.46</v>
      </c>
      <c r="D572" s="9">
        <f>IFERROR(__xludf.DUMMYFUNCTION("GOOGLEFINANCE(A572, ""priceopen"")"),717.0)</f>
        <v>717</v>
      </c>
      <c r="E572" s="9">
        <f>IFERROR(__xludf.DUMMYFUNCTION("GOOGLEFINANCE(A572, ""high"")"),724.15)</f>
        <v>724.15</v>
      </c>
      <c r="F572" s="9">
        <f>IFERROR(__xludf.DUMMYFUNCTION("GOOGLEFINANCE(A572, ""low"")"),704.05)</f>
        <v>704.05</v>
      </c>
      <c r="G572" s="9">
        <f>IFERROR(__xludf.DUMMYFUNCTION("GOOGLEFINANCE(A572, ""price"")"),709.45)</f>
        <v>709.45</v>
      </c>
      <c r="H572" s="9">
        <f>IFERROR(__xludf.DUMMYFUNCTION("MAX(INDEX(GOOGLEFINANCE(A572, ""high"", TODAY()-30, TODAY()), 0, 2))"),794.5)</f>
        <v>794.5</v>
      </c>
      <c r="I572" s="9">
        <f>IFERROR(__xludf.DUMMYFUNCTION("MIN(INDEX(GOOGLEFINANCE(A572, ""low"", TODAY()-30, TODAY()), 0, 2))"),657.0)</f>
        <v>657</v>
      </c>
      <c r="J572" s="9">
        <f>IFERROR(__xludf.DUMMYFUNCTION("GOOGLEFINANCE(A572, ""high52"")"),794.5)</f>
        <v>794.5</v>
      </c>
      <c r="K572" s="9">
        <f>IFERROR(__xludf.DUMMYFUNCTION("GOOGLEFINANCE(A572, ""low52"")"),420.0)</f>
        <v>420</v>
      </c>
      <c r="L572" s="9">
        <f t="shared" si="1"/>
        <v>0.1070484581</v>
      </c>
      <c r="M572" s="9">
        <f t="shared" si="2"/>
        <v>0.6891666667</v>
      </c>
      <c r="N572" s="9">
        <f t="shared" si="3"/>
        <v>0.02854910873</v>
      </c>
      <c r="O572" s="9">
        <f t="shared" si="4"/>
        <v>0.3814545455</v>
      </c>
      <c r="P572" s="9">
        <f>IFERROR(__xludf.DUMMYFUNCTION("GOOGLEFINANCE(A572, ""pe"")"),115.7)</f>
        <v>115.7</v>
      </c>
      <c r="Q572" s="9">
        <f>IFERROR(__xludf.DUMMYFUNCTION("IFERROR(GOOGLEFINANCE(A572, ""volume"") / GOOGLEFINANCE(A572, ""volumeavg""), 0)"),0.0)</f>
        <v>0</v>
      </c>
      <c r="R572" s="9">
        <f>IFERROR(__xludf.DUMMYFUNCTION("AVERAGE(INDEX(GOOGLEFINANCE(A572, ""price"", TODAY()-30, TODAY()), 0, 2))"),721.3195652173914)</f>
        <v>721.3195652</v>
      </c>
      <c r="S572" s="9">
        <f>IFERROR(__xludf.DUMMYFUNCTION("AVERAGE(INDEX(GOOGLEFINANCE(A572, ""price"", TODAY()-75, TODAY()), 0, 2))"),687.1716981132074)</f>
        <v>687.1716981</v>
      </c>
      <c r="T572" s="9">
        <f>IFERROR(__xludf.DUMMYFUNCTION("AVERAGE(INDEX(GOOGLEFINANCE(A572, ""price"", TODAY()-300, TODAY()), 0, 2))"),593.6700495049508)</f>
        <v>593.6700495</v>
      </c>
      <c r="U572" s="9">
        <f t="shared" si="5"/>
        <v>-0.01645534904</v>
      </c>
      <c r="V572" s="15">
        <f>IFERROR(__xludf.DUMMYFUNCTION("LET(hist, GOOGLEFINANCE(A572,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rs))))))"),52.78497409326425)</f>
        <v>52.78497409</v>
      </c>
      <c r="W572" s="16" t="str">
        <f>IFERROR(__xludf.DUMMYFUNCTION("IFERROR(GOOGLEFINANCE(A572, ""volume"") / GOOGLEFINANCE(A572, ""volumeavg""), )"),"")</f>
        <v/>
      </c>
      <c r="X572" s="9">
        <f>IFERROR(__xludf.DUMMYFUNCTION("B572 * GOOGLEFINANCE(A572, ""volume"")"),6.0802702800000004E7)</f>
        <v>60802702.8</v>
      </c>
      <c r="Y572" s="9">
        <f>IFERROR(__xludf.DUMMYFUNCTION("IFERROR(((B572 - GOOGLEFINANCE(A572, ""priceopen"")) / GOOGLEFINANCE(A572, ""priceopen"")) * GOOGLEFINANCE(A572, ""volume""), 0)"),-902.461924686187)</f>
        <v>-902.4619247</v>
      </c>
    </row>
    <row r="573">
      <c r="A573" s="4" t="s">
        <v>2366</v>
      </c>
      <c r="B573" s="7">
        <f>IFERROR(__xludf.DUMMYFUNCTION("GOOGLEFINANCE(A573, ""price"")"),208.1)</f>
        <v>208.1</v>
      </c>
      <c r="C573" s="7">
        <f>IFERROR(__xludf.DUMMYFUNCTION("GOOGLEFINANCE(A573, ""changepct"")"),0.4)</f>
        <v>0.4</v>
      </c>
      <c r="D573" s="9">
        <f>IFERROR(__xludf.DUMMYFUNCTION("GOOGLEFINANCE(A573, ""priceopen"")"),206.75)</f>
        <v>206.75</v>
      </c>
      <c r="E573" s="9">
        <f>IFERROR(__xludf.DUMMYFUNCTION("GOOGLEFINANCE(A573, ""high"")"),210.9)</f>
        <v>210.9</v>
      </c>
      <c r="F573" s="9">
        <f>IFERROR(__xludf.DUMMYFUNCTION("GOOGLEFINANCE(A573, ""low"")"),206.35)</f>
        <v>206.35</v>
      </c>
      <c r="G573" s="9">
        <f>IFERROR(__xludf.DUMMYFUNCTION("GOOGLEFINANCE(A573, ""price"")"),208.1)</f>
        <v>208.1</v>
      </c>
      <c r="H573" s="9">
        <f>IFERROR(__xludf.DUMMYFUNCTION("MAX(INDEX(GOOGLEFINANCE(A573, ""high"", TODAY()-30, TODAY()), 0, 2))"),217.19)</f>
        <v>217.19</v>
      </c>
      <c r="I573" s="9">
        <f>IFERROR(__xludf.DUMMYFUNCTION("MIN(INDEX(GOOGLEFINANCE(A573, ""low"", TODAY()-30, TODAY()), 0, 2))"),180.6)</f>
        <v>180.6</v>
      </c>
      <c r="J573" s="9">
        <f>IFERROR(__xludf.DUMMYFUNCTION("GOOGLEFINANCE(A573, ""high52"")"),249.15)</f>
        <v>249.15</v>
      </c>
      <c r="K573" s="9">
        <f>IFERROR(__xludf.DUMMYFUNCTION("GOOGLEFINANCE(A573, ""low52"")"),154.0)</f>
        <v>154</v>
      </c>
      <c r="L573" s="9">
        <f t="shared" si="1"/>
        <v>0.1647601846</v>
      </c>
      <c r="M573" s="9">
        <f t="shared" si="2"/>
        <v>0.3512987013</v>
      </c>
      <c r="N573" s="9">
        <f t="shared" si="3"/>
        <v>0.02204991519</v>
      </c>
      <c r="O573" s="9">
        <f t="shared" si="4"/>
        <v>0.7515714676</v>
      </c>
      <c r="P573" s="9">
        <f>IFERROR(__xludf.DUMMYFUNCTION("GOOGLEFINANCE(A573, ""pe"")"),20.18)</f>
        <v>20.18</v>
      </c>
      <c r="Q573" s="9">
        <f>IFERROR(__xludf.DUMMYFUNCTION("IFERROR(GOOGLEFINANCE(A573, ""volume"") / GOOGLEFINANCE(A573, ""volumeavg""), 0)"),0.0)</f>
        <v>0</v>
      </c>
      <c r="R573" s="9">
        <f>IFERROR(__xludf.DUMMYFUNCTION("AVERAGE(INDEX(GOOGLEFINANCE(A573, ""price"", TODAY()-30, TODAY()), 0, 2))"),204.5030434782609)</f>
        <v>204.5030435</v>
      </c>
      <c r="S573" s="9">
        <f>IFERROR(__xludf.DUMMYFUNCTION("AVERAGE(INDEX(GOOGLEFINANCE(A573, ""price"", TODAY()-75, TODAY()), 0, 2))"),188.27094339622636)</f>
        <v>188.2709434</v>
      </c>
      <c r="T573" s="9">
        <f>IFERROR(__xludf.DUMMYFUNCTION("AVERAGE(INDEX(GOOGLEFINANCE(A573, ""price"", TODAY()-300, TODAY()), 0, 2))"),187.70801980198019)</f>
        <v>187.7080198</v>
      </c>
      <c r="U573" s="9">
        <f t="shared" si="5"/>
        <v>0.01758876768</v>
      </c>
      <c r="V573" s="15">
        <f>IFERROR(__xludf.DUMMYFUNCTION("LET(hist, GOOGLEFINANCE(A573,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rs))))))"),62.16139150270886)</f>
        <v>62.1613915</v>
      </c>
      <c r="W573" s="16" t="str">
        <f>IFERROR(__xludf.DUMMYFUNCTION("IFERROR(GOOGLEFINANCE(A573, ""volume"") / GOOGLEFINANCE(A573, ""volumeavg""), )"),"")</f>
        <v/>
      </c>
      <c r="X573" s="9">
        <f>IFERROR(__xludf.DUMMYFUNCTION("B573 * GOOGLEFINANCE(A573, ""volume"")"),6.309639863E8)</f>
        <v>630963986.3</v>
      </c>
      <c r="Y573" s="9">
        <f>IFERROR(__xludf.DUMMYFUNCTION("IFERROR(((B573 - GOOGLEFINANCE(A573, ""priceopen"")) / GOOGLEFINANCE(A573, ""priceopen"")) * GOOGLEFINANCE(A573, ""volume""), 0)"),19797.973639661344)</f>
        <v>19797.97364</v>
      </c>
    </row>
    <row r="574">
      <c r="A574" s="4" t="s">
        <v>2367</v>
      </c>
      <c r="B574" s="7">
        <f>IFERROR(__xludf.DUMMYFUNCTION("GOOGLEFINANCE(A574, ""price"")"),223.5)</f>
        <v>223.5</v>
      </c>
      <c r="C574" s="7">
        <f>IFERROR(__xludf.DUMMYFUNCTION("GOOGLEFINANCE(A574, ""changepct"")"),-1.4)</f>
        <v>-1.4</v>
      </c>
      <c r="D574" s="9">
        <f>IFERROR(__xludf.DUMMYFUNCTION("GOOGLEFINANCE(A574, ""priceopen"")"),226.74)</f>
        <v>226.74</v>
      </c>
      <c r="E574" s="9">
        <f>IFERROR(__xludf.DUMMYFUNCTION("GOOGLEFINANCE(A574, ""high"")"),228.0)</f>
        <v>228</v>
      </c>
      <c r="F574" s="9">
        <f>IFERROR(__xludf.DUMMYFUNCTION("GOOGLEFINANCE(A574, ""low"")"),222.58)</f>
        <v>222.58</v>
      </c>
      <c r="G574" s="9">
        <f>IFERROR(__xludf.DUMMYFUNCTION("GOOGLEFINANCE(A574, ""price"")"),223.5)</f>
        <v>223.5</v>
      </c>
      <c r="H574" s="9">
        <f>IFERROR(__xludf.DUMMYFUNCTION("MAX(INDEX(GOOGLEFINANCE(A574, ""high"", TODAY()-30, TODAY()), 0, 2))"),234.9)</f>
        <v>234.9</v>
      </c>
      <c r="I574" s="9">
        <f>IFERROR(__xludf.DUMMYFUNCTION("MIN(INDEX(GOOGLEFINANCE(A574, ""low"", TODAY()-30, TODAY()), 0, 2))"),210.24)</f>
        <v>210.24</v>
      </c>
      <c r="J574" s="9">
        <f>IFERROR(__xludf.DUMMYFUNCTION("GOOGLEFINANCE(A574, ""high52"")"),280.9)</f>
        <v>280.9</v>
      </c>
      <c r="K574" s="9">
        <f>IFERROR(__xludf.DUMMYFUNCTION("GOOGLEFINANCE(A574, ""low52"")"),175.0)</f>
        <v>175</v>
      </c>
      <c r="L574" s="9">
        <f t="shared" si="1"/>
        <v>0.2043431826</v>
      </c>
      <c r="M574" s="9">
        <f t="shared" si="2"/>
        <v>0.2771428571</v>
      </c>
      <c r="N574" s="9">
        <f t="shared" si="3"/>
        <v>0.02435079522</v>
      </c>
      <c r="O574" s="9">
        <f t="shared" si="4"/>
        <v>0.5377128954</v>
      </c>
      <c r="P574" s="9">
        <f>IFERROR(__xludf.DUMMYFUNCTION("GOOGLEFINANCE(A574, ""pe"")"),25.78)</f>
        <v>25.78</v>
      </c>
      <c r="Q574" s="9">
        <f>IFERROR(__xludf.DUMMYFUNCTION("IFERROR(GOOGLEFINANCE(A574, ""volume"") / GOOGLEFINANCE(A574, ""volumeavg""), 0)"),0.0)</f>
        <v>0</v>
      </c>
      <c r="R574" s="9">
        <f>IFERROR(__xludf.DUMMYFUNCTION("AVERAGE(INDEX(GOOGLEFINANCE(A574, ""price"", TODAY()-30, TODAY()), 0, 2))"),221.1195652173913)</f>
        <v>221.1195652</v>
      </c>
      <c r="S574" s="9">
        <f>IFERROR(__xludf.DUMMYFUNCTION("AVERAGE(INDEX(GOOGLEFINANCE(A574, ""price"", TODAY()-75, TODAY()), 0, 2))"),215.60226415094337)</f>
        <v>215.6022642</v>
      </c>
      <c r="T574" s="9">
        <f>IFERROR(__xludf.DUMMYFUNCTION("AVERAGE(INDEX(GOOGLEFINANCE(A574, ""price"", TODAY()-300, TODAY()), 0, 2))"),221.2969801980196)</f>
        <v>221.2969802</v>
      </c>
      <c r="U574" s="9">
        <f t="shared" si="5"/>
        <v>0.01076537384</v>
      </c>
      <c r="V574" s="15">
        <f>IFERROR(__xludf.DUMMYFUNCTION("LET(hist, GOOGLEFINANCE(A574,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rs))))))"),59.53898050974512)</f>
        <v>59.53898051</v>
      </c>
      <c r="W574" s="16" t="str">
        <f>IFERROR(__xludf.DUMMYFUNCTION("IFERROR(GOOGLEFINANCE(A574, ""volume"") / GOOGLEFINANCE(A574, ""volumeavg""), )"),"")</f>
        <v/>
      </c>
      <c r="X574" s="9">
        <f>IFERROR(__xludf.DUMMYFUNCTION("B574 * GOOGLEFINANCE(A574, ""volume"")"),1.00009545E8)</f>
        <v>100009545</v>
      </c>
      <c r="Y574" s="9">
        <f>IFERROR(__xludf.DUMMYFUNCTION("IFERROR(((B574 - GOOGLEFINANCE(A574, ""priceopen"")) / GOOGLEFINANCE(A574, ""priceopen"")) * GOOGLEFINANCE(A574, ""volume""), 0)"),-6394.120137602557)</f>
        <v>-6394.120138</v>
      </c>
    </row>
    <row r="575">
      <c r="A575" s="4" t="s">
        <v>2368</v>
      </c>
      <c r="B575" s="7">
        <f>IFERROR(__xludf.DUMMYFUNCTION("GOOGLEFINANCE(A575, ""price"")"),787.0)</f>
        <v>787</v>
      </c>
      <c r="C575" s="7">
        <f>IFERROR(__xludf.DUMMYFUNCTION("GOOGLEFINANCE(A575, ""changepct"")"),-1.01)</f>
        <v>-1.01</v>
      </c>
      <c r="D575" s="9">
        <f>IFERROR(__xludf.DUMMYFUNCTION("GOOGLEFINANCE(A575, ""priceopen"")"),800.0)</f>
        <v>800</v>
      </c>
      <c r="E575" s="9">
        <f>IFERROR(__xludf.DUMMYFUNCTION("GOOGLEFINANCE(A575, ""high"")"),800.0)</f>
        <v>800</v>
      </c>
      <c r="F575" s="9">
        <f>IFERROR(__xludf.DUMMYFUNCTION("GOOGLEFINANCE(A575, ""low"")"),782.1)</f>
        <v>782.1</v>
      </c>
      <c r="G575" s="9">
        <f>IFERROR(__xludf.DUMMYFUNCTION("GOOGLEFINANCE(A575, ""price"")"),787.0)</f>
        <v>787</v>
      </c>
      <c r="H575" s="9">
        <f>IFERROR(__xludf.DUMMYFUNCTION("MAX(INDEX(GOOGLEFINANCE(A575, ""high"", TODAY()-30, TODAY()), 0, 2))"),841.0)</f>
        <v>841</v>
      </c>
      <c r="I575" s="9">
        <f>IFERROR(__xludf.DUMMYFUNCTION("MIN(INDEX(GOOGLEFINANCE(A575, ""low"", TODAY()-30, TODAY()), 0, 2))"),753.15)</f>
        <v>753.15</v>
      </c>
      <c r="J575" s="9">
        <f>IFERROR(__xludf.DUMMYFUNCTION("GOOGLEFINANCE(A575, ""high52"")"),1437.0)</f>
        <v>1437</v>
      </c>
      <c r="K575" s="9">
        <f>IFERROR(__xludf.DUMMYFUNCTION("GOOGLEFINANCE(A575, ""low52"")"),753.15)</f>
        <v>753.15</v>
      </c>
      <c r="L575" s="9">
        <f t="shared" si="1"/>
        <v>0.4523312457</v>
      </c>
      <c r="M575" s="9">
        <f t="shared" si="2"/>
        <v>0.04494456616</v>
      </c>
      <c r="N575" s="9">
        <f t="shared" si="3"/>
        <v>0.02288709884</v>
      </c>
      <c r="O575" s="9">
        <f t="shared" si="4"/>
        <v>0.3853158793</v>
      </c>
      <c r="P575" s="9">
        <f>IFERROR(__xludf.DUMMYFUNCTION("GOOGLEFINANCE(A575, ""pe"")"),39.79)</f>
        <v>39.79</v>
      </c>
      <c r="Q575" s="9">
        <f>IFERROR(__xludf.DUMMYFUNCTION("IFERROR(GOOGLEFINANCE(A575, ""volume"") / GOOGLEFINANCE(A575, ""volumeavg""), 0)"),0.0)</f>
        <v>0</v>
      </c>
      <c r="R575" s="9">
        <f>IFERROR(__xludf.DUMMYFUNCTION("AVERAGE(INDEX(GOOGLEFINANCE(A575, ""price"", TODAY()-30, TODAY()), 0, 2))"),791.2760869565218)</f>
        <v>791.276087</v>
      </c>
      <c r="S575" s="9">
        <f>IFERROR(__xludf.DUMMYFUNCTION("AVERAGE(INDEX(GOOGLEFINANCE(A575, ""price"", TODAY()-75, TODAY()), 0, 2))"),796.0688679245284)</f>
        <v>796.0688679</v>
      </c>
      <c r="T575" s="9">
        <f>IFERROR(__xludf.DUMMYFUNCTION("AVERAGE(INDEX(GOOGLEFINANCE(A575, ""price"", TODAY()-300, TODAY()), 0, 2))"),918.3767326732672)</f>
        <v>918.3767327</v>
      </c>
      <c r="U575" s="9">
        <f t="shared" si="5"/>
        <v>-0.005404039155</v>
      </c>
      <c r="V575" s="15">
        <f>IFERROR(__xludf.DUMMYFUNCTION("LET(hist, GOOGLEFINANCE(A575,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rs))))))"),55.818836232753426)</f>
        <v>55.81883623</v>
      </c>
      <c r="W575" s="16" t="str">
        <f>IFERROR(__xludf.DUMMYFUNCTION("IFERROR(GOOGLEFINANCE(A575, ""volume"") / GOOGLEFINANCE(A575, ""volumeavg""), )"),"")</f>
        <v/>
      </c>
      <c r="X575" s="9">
        <f>IFERROR(__xludf.DUMMYFUNCTION("B575 * GOOGLEFINANCE(A575, ""volume"")"),1.20764363E8)</f>
        <v>120764363</v>
      </c>
      <c r="Y575" s="9">
        <f>IFERROR(__xludf.DUMMYFUNCTION("IFERROR(((B575 - GOOGLEFINANCE(A575, ""priceopen"")) / GOOGLEFINANCE(A575, ""priceopen"")) * GOOGLEFINANCE(A575, ""volume""), 0)"),-2493.54625)</f>
        <v>-2493.54625</v>
      </c>
    </row>
    <row r="576">
      <c r="A576" s="4" t="s">
        <v>2369</v>
      </c>
      <c r="B576" s="7">
        <f>IFERROR(__xludf.DUMMYFUNCTION("GOOGLEFINANCE(A576, ""price"")"),1622.6)</f>
        <v>1622.6</v>
      </c>
      <c r="C576" s="7">
        <f>IFERROR(__xludf.DUMMYFUNCTION("GOOGLEFINANCE(A576, ""changepct"")"),1.55)</f>
        <v>1.55</v>
      </c>
      <c r="D576" s="9">
        <f>IFERROR(__xludf.DUMMYFUNCTION("GOOGLEFINANCE(A576, ""priceopen"")"),1599.0)</f>
        <v>1599</v>
      </c>
      <c r="E576" s="9">
        <f>IFERROR(__xludf.DUMMYFUNCTION("GOOGLEFINANCE(A576, ""high"")"),1639.4)</f>
        <v>1639.4</v>
      </c>
      <c r="F576" s="9">
        <f>IFERROR(__xludf.DUMMYFUNCTION("GOOGLEFINANCE(A576, ""low"")"),1594.6)</f>
        <v>1594.6</v>
      </c>
      <c r="G576" s="9">
        <f>IFERROR(__xludf.DUMMYFUNCTION("GOOGLEFINANCE(A576, ""price"")"),1622.6)</f>
        <v>1622.6</v>
      </c>
      <c r="H576" s="9">
        <f>IFERROR(__xludf.DUMMYFUNCTION("MAX(INDEX(GOOGLEFINANCE(A576, ""high"", TODAY()-30, TODAY()), 0, 2))"),1706.9)</f>
        <v>1706.9</v>
      </c>
      <c r="I576" s="9">
        <f>IFERROR(__xludf.DUMMYFUNCTION("MIN(INDEX(GOOGLEFINANCE(A576, ""low"", TODAY()-30, TODAY()), 0, 2))"),1562.1)</f>
        <v>1562.1</v>
      </c>
      <c r="J576" s="9">
        <f>IFERROR(__xludf.DUMMYFUNCTION("GOOGLEFINANCE(A576, ""high52"")"),1706.9)</f>
        <v>1706.9</v>
      </c>
      <c r="K576" s="9">
        <f>IFERROR(__xludf.DUMMYFUNCTION("GOOGLEFINANCE(A576, ""low52"")"),1060.6)</f>
        <v>1060.6</v>
      </c>
      <c r="L576" s="9">
        <f t="shared" si="1"/>
        <v>0.04938777901</v>
      </c>
      <c r="M576" s="9">
        <f t="shared" si="2"/>
        <v>0.5298887422</v>
      </c>
      <c r="N576" s="9">
        <f t="shared" si="3"/>
        <v>0.02809482002</v>
      </c>
      <c r="O576" s="9">
        <f t="shared" si="4"/>
        <v>0.4178176796</v>
      </c>
      <c r="P576" s="9">
        <f>IFERROR(__xludf.DUMMYFUNCTION("GOOGLEFINANCE(A576, ""pe"")"),45.08)</f>
        <v>45.08</v>
      </c>
      <c r="Q576" s="9">
        <f>IFERROR(__xludf.DUMMYFUNCTION("IFERROR(GOOGLEFINANCE(A576, ""volume"") / GOOGLEFINANCE(A576, ""volumeavg""), 0)"),0.0)</f>
        <v>0</v>
      </c>
      <c r="R576" s="9">
        <f>IFERROR(__xludf.DUMMYFUNCTION("AVERAGE(INDEX(GOOGLEFINANCE(A576, ""price"", TODAY()-30, TODAY()), 0, 2))"),1615.1739130434785)</f>
        <v>1615.173913</v>
      </c>
      <c r="S576" s="9">
        <f>IFERROR(__xludf.DUMMYFUNCTION("AVERAGE(INDEX(GOOGLEFINANCE(A576, ""price"", TODAY()-75, TODAY()), 0, 2))"),1569.7754716981133)</f>
        <v>1569.775472</v>
      </c>
      <c r="T576" s="9">
        <f>IFERROR(__xludf.DUMMYFUNCTION("AVERAGE(INDEX(GOOGLEFINANCE(A576, ""price"", TODAY()-300, TODAY()), 0, 2))"),1412.4529702970308)</f>
        <v>1412.45297</v>
      </c>
      <c r="U576" s="9">
        <f t="shared" si="5"/>
        <v>0.004597701149</v>
      </c>
      <c r="V576" s="15">
        <f>IFERROR(__xludf.DUMMYFUNCTION("LET(hist, GOOGLEFINANCE(A576,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rs))))))"),56.221322537112)</f>
        <v>56.22132254</v>
      </c>
      <c r="W576" s="16" t="str">
        <f>IFERROR(__xludf.DUMMYFUNCTION("IFERROR(GOOGLEFINANCE(A576, ""volume"") / GOOGLEFINANCE(A576, ""volumeavg""), )"),"")</f>
        <v/>
      </c>
      <c r="X576" s="9">
        <f>IFERROR(__xludf.DUMMYFUNCTION("B576 * GOOGLEFINANCE(A576, ""volume"")"),1.98865856E8)</f>
        <v>198865856</v>
      </c>
      <c r="Y576" s="9">
        <f>IFERROR(__xludf.DUMMYFUNCTION("IFERROR(((B576 - GOOGLEFINANCE(A576, ""priceopen"")) / GOOGLEFINANCE(A576, ""priceopen"")) * GOOGLEFINANCE(A576, ""volume""), 0)"),1808.8905565978666)</f>
        <v>1808.890557</v>
      </c>
    </row>
    <row r="577">
      <c r="A577" s="4" t="s">
        <v>2370</v>
      </c>
      <c r="B577" s="7">
        <f>IFERROR(__xludf.DUMMYFUNCTION("GOOGLEFINANCE(A577, ""price"")"),1282.3)</f>
        <v>1282.3</v>
      </c>
      <c r="C577" s="7">
        <f>IFERROR(__xludf.DUMMYFUNCTION("GOOGLEFINANCE(A577, ""changepct"")"),-0.13)</f>
        <v>-0.13</v>
      </c>
      <c r="D577" s="9">
        <f>IFERROR(__xludf.DUMMYFUNCTION("GOOGLEFINANCE(A577, ""priceopen"")"),1284.0)</f>
        <v>1284</v>
      </c>
      <c r="E577" s="9">
        <f>IFERROR(__xludf.DUMMYFUNCTION("GOOGLEFINANCE(A577, ""high"")"),1308.8)</f>
        <v>1308.8</v>
      </c>
      <c r="F577" s="9">
        <f>IFERROR(__xludf.DUMMYFUNCTION("GOOGLEFINANCE(A577, ""low"")"),1263.5)</f>
        <v>1263.5</v>
      </c>
      <c r="G577" s="9">
        <f>IFERROR(__xludf.DUMMYFUNCTION("GOOGLEFINANCE(A577, ""price"")"),1282.3)</f>
        <v>1282.3</v>
      </c>
      <c r="H577" s="9">
        <f>IFERROR(__xludf.DUMMYFUNCTION("MAX(INDEX(GOOGLEFINANCE(A577, ""high"", TODAY()-30, TODAY()), 0, 2))"),1340.0)</f>
        <v>1340</v>
      </c>
      <c r="I577" s="9">
        <f>IFERROR(__xludf.DUMMYFUNCTION("MIN(INDEX(GOOGLEFINANCE(A577, ""low"", TODAY()-30, TODAY()), 0, 2))"),1152.4)</f>
        <v>1152.4</v>
      </c>
      <c r="J577" s="9">
        <f>IFERROR(__xludf.DUMMYFUNCTION("GOOGLEFINANCE(A577, ""high52"")"),1443.0)</f>
        <v>1443</v>
      </c>
      <c r="K577" s="9">
        <f>IFERROR(__xludf.DUMMYFUNCTION("GOOGLEFINANCE(A577, ""low52"")"),580.5)</f>
        <v>580.5</v>
      </c>
      <c r="L577" s="9">
        <f t="shared" si="1"/>
        <v>0.1113652114</v>
      </c>
      <c r="M577" s="9">
        <f t="shared" si="2"/>
        <v>1.208957795</v>
      </c>
      <c r="N577" s="9">
        <f t="shared" si="3"/>
        <v>0.03585278987</v>
      </c>
      <c r="O577" s="9">
        <f t="shared" si="4"/>
        <v>0.6924307036</v>
      </c>
      <c r="P577" s="9">
        <f>IFERROR(__xludf.DUMMYFUNCTION("GOOGLEFINANCE(A577, ""pe"")"),117.32)</f>
        <v>117.32</v>
      </c>
      <c r="Q577" s="9">
        <f>IFERROR(__xludf.DUMMYFUNCTION("IFERROR(GOOGLEFINANCE(A577, ""volume"") / GOOGLEFINANCE(A577, ""volumeavg""), 0)"),0.0)</f>
        <v>0</v>
      </c>
      <c r="R577" s="9">
        <f>IFERROR(__xludf.DUMMYFUNCTION("AVERAGE(INDEX(GOOGLEFINANCE(A577, ""price"", TODAY()-30, TODAY()), 0, 2))"),1237.591304347826)</f>
        <v>1237.591304</v>
      </c>
      <c r="S577" s="9">
        <f>IFERROR(__xludf.DUMMYFUNCTION("AVERAGE(INDEX(GOOGLEFINANCE(A577, ""price"", TODAY()-75, TODAY()), 0, 2))"),1188.6622641509434)</f>
        <v>1188.662264</v>
      </c>
      <c r="T577" s="9">
        <f>IFERROR(__xludf.DUMMYFUNCTION("AVERAGE(INDEX(GOOGLEFINANCE(A577, ""price"", TODAY()-300, TODAY()), 0, 2))"),829.1180693069306)</f>
        <v>829.1180693</v>
      </c>
      <c r="U577" s="9">
        <f t="shared" si="5"/>
        <v>0.03612557352</v>
      </c>
      <c r="V577" s="15">
        <f>IFERROR(__xludf.DUMMYFUNCTION("LET(hist, GOOGLEFINANCE(A577,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rs))))))"),65.22693997071744)</f>
        <v>65.22693997</v>
      </c>
      <c r="W577" s="16" t="str">
        <f>IFERROR(__xludf.DUMMYFUNCTION("IFERROR(GOOGLEFINANCE(A577, ""volume"") / GOOGLEFINANCE(A577, ""volumeavg""), )"),"")</f>
        <v/>
      </c>
      <c r="X577" s="9">
        <f>IFERROR(__xludf.DUMMYFUNCTION("B577 * GOOGLEFINANCE(A577, ""volume"")"),7.575302656999999E8)</f>
        <v>757530265.7</v>
      </c>
      <c r="Y577" s="9">
        <f>IFERROR(__xludf.DUMMYFUNCTION("IFERROR(((B577 - GOOGLEFINANCE(A577, ""priceopen"")) / GOOGLEFINANCE(A577, ""priceopen"")) * GOOGLEFINANCE(A577, ""volume""), 0)"),-782.1575545171548)</f>
        <v>-782.1575545</v>
      </c>
    </row>
    <row r="578">
      <c r="A578" s="4" t="s">
        <v>2371</v>
      </c>
      <c r="B578" s="7">
        <f>IFERROR(__xludf.DUMMYFUNCTION("GOOGLEFINANCE(A578, ""price"")"),703.5)</f>
        <v>703.5</v>
      </c>
      <c r="C578" s="7">
        <f>IFERROR(__xludf.DUMMYFUNCTION("GOOGLEFINANCE(A578, ""changepct"")"),-2.78)</f>
        <v>-2.78</v>
      </c>
      <c r="D578" s="9">
        <f>IFERROR(__xludf.DUMMYFUNCTION("GOOGLEFINANCE(A578, ""priceopen"")"),723.8)</f>
        <v>723.8</v>
      </c>
      <c r="E578" s="9">
        <f>IFERROR(__xludf.DUMMYFUNCTION("GOOGLEFINANCE(A578, ""high"")"),724.85)</f>
        <v>724.85</v>
      </c>
      <c r="F578" s="9">
        <f>IFERROR(__xludf.DUMMYFUNCTION("GOOGLEFINANCE(A578, ""low"")"),697.5)</f>
        <v>697.5</v>
      </c>
      <c r="G578" s="9">
        <f>IFERROR(__xludf.DUMMYFUNCTION("GOOGLEFINANCE(A578, ""price"")"),703.5)</f>
        <v>703.5</v>
      </c>
      <c r="H578" s="9">
        <f>IFERROR(__xludf.DUMMYFUNCTION("MAX(INDEX(GOOGLEFINANCE(A578, ""high"", TODAY()-30, TODAY()), 0, 2))"),796.35)</f>
        <v>796.35</v>
      </c>
      <c r="I578" s="9">
        <f>IFERROR(__xludf.DUMMYFUNCTION("MIN(INDEX(GOOGLEFINANCE(A578, ""low"", TODAY()-30, TODAY()), 0, 2))"),685.1)</f>
        <v>685.1</v>
      </c>
      <c r="J578" s="9">
        <f>IFERROR(__xludf.DUMMYFUNCTION("GOOGLEFINANCE(A578, ""high52"")"),1244.6)</f>
        <v>1244.6</v>
      </c>
      <c r="K578" s="9">
        <f>IFERROR(__xludf.DUMMYFUNCTION("GOOGLEFINANCE(A578, ""low52"")"),595.2)</f>
        <v>595.2</v>
      </c>
      <c r="L578" s="9">
        <f t="shared" si="1"/>
        <v>0.4347581552</v>
      </c>
      <c r="M578" s="9">
        <f t="shared" si="2"/>
        <v>0.1819556452</v>
      </c>
      <c r="N578" s="9">
        <f t="shared" si="3"/>
        <v>0.03921146953</v>
      </c>
      <c r="O578" s="9">
        <f t="shared" si="4"/>
        <v>0.1653932584</v>
      </c>
      <c r="P578" s="9">
        <f>IFERROR(__xludf.DUMMYFUNCTION("GOOGLEFINANCE(A578, ""pe"")"),28.27)</f>
        <v>28.27</v>
      </c>
      <c r="Q578" s="9">
        <f>IFERROR(__xludf.DUMMYFUNCTION("IFERROR(GOOGLEFINANCE(A578, ""volume"") / GOOGLEFINANCE(A578, ""volumeavg""), 0)"),0.0)</f>
        <v>0</v>
      </c>
      <c r="R578" s="9">
        <f>IFERROR(__xludf.DUMMYFUNCTION("AVERAGE(INDEX(GOOGLEFINANCE(A578, ""price"", TODAY()-30, TODAY()), 0, 2))"),737.1934782608696)</f>
        <v>737.1934783</v>
      </c>
      <c r="S578" s="9">
        <f>IFERROR(__xludf.DUMMYFUNCTION("AVERAGE(INDEX(GOOGLEFINANCE(A578, ""price"", TODAY()-75, TODAY()), 0, 2))"),742.8405660377358)</f>
        <v>742.840566</v>
      </c>
      <c r="T578" s="9">
        <f>IFERROR(__xludf.DUMMYFUNCTION("AVERAGE(INDEX(GOOGLEFINANCE(A578, ""price"", TODAY()-300, TODAY()), 0, 2))"),825.8950495049509)</f>
        <v>825.8950495</v>
      </c>
      <c r="U578" s="9">
        <f t="shared" si="5"/>
        <v>-0.04570506828</v>
      </c>
      <c r="V578" s="15">
        <f>IFERROR(__xludf.DUMMYFUNCTION("LET(hist, GOOGLEFINANCE(A578,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rs))))))"),39.37172774869108)</f>
        <v>39.37172775</v>
      </c>
      <c r="W578" s="16" t="str">
        <f>IFERROR(__xludf.DUMMYFUNCTION("IFERROR(GOOGLEFINANCE(A578, ""volume"") / GOOGLEFINANCE(A578, ""volumeavg""), )"),"")</f>
        <v/>
      </c>
      <c r="X578" s="9">
        <f>IFERROR(__xludf.DUMMYFUNCTION("B578 * GOOGLEFINANCE(A578, ""volume"")"),2.937386865E8)</f>
        <v>293738686.5</v>
      </c>
      <c r="Y578" s="9">
        <f>IFERROR(__xludf.DUMMYFUNCTION("IFERROR(((B578 - GOOGLEFINANCE(A578, ""priceopen"")) / GOOGLEFINANCE(A578, ""priceopen"")) * GOOGLEFINANCE(A578, ""volume""), 0)"),-11710.474854932276)</f>
        <v>-11710.47485</v>
      </c>
    </row>
    <row r="579">
      <c r="A579" s="4" t="s">
        <v>2372</v>
      </c>
      <c r="B579" s="7">
        <f>IFERROR(__xludf.DUMMYFUNCTION("GOOGLEFINANCE(A579, ""price"")"),515.3)</f>
        <v>515.3</v>
      </c>
      <c r="C579" s="7">
        <f>IFERROR(__xludf.DUMMYFUNCTION("GOOGLEFINANCE(A579, ""changepct"")"),-2.61)</f>
        <v>-2.61</v>
      </c>
      <c r="D579" s="9">
        <f>IFERROR(__xludf.DUMMYFUNCTION("GOOGLEFINANCE(A579, ""priceopen"")"),529.1)</f>
        <v>529.1</v>
      </c>
      <c r="E579" s="9">
        <f>IFERROR(__xludf.DUMMYFUNCTION("GOOGLEFINANCE(A579, ""high"")"),529.5)</f>
        <v>529.5</v>
      </c>
      <c r="F579" s="9">
        <f>IFERROR(__xludf.DUMMYFUNCTION("GOOGLEFINANCE(A579, ""low"")"),514.05)</f>
        <v>514.05</v>
      </c>
      <c r="G579" s="9">
        <f>IFERROR(__xludf.DUMMYFUNCTION("GOOGLEFINANCE(A579, ""price"")"),515.3)</f>
        <v>515.3</v>
      </c>
      <c r="H579" s="9">
        <f>IFERROR(__xludf.DUMMYFUNCTION("MAX(INDEX(GOOGLEFINANCE(A579, ""high"", TODAY()-30, TODAY()), 0, 2))"),574.5)</f>
        <v>574.5</v>
      </c>
      <c r="I579" s="9">
        <f>IFERROR(__xludf.DUMMYFUNCTION("MIN(INDEX(GOOGLEFINANCE(A579, ""low"", TODAY()-30, TODAY()), 0, 2))"),470.15)</f>
        <v>470.15</v>
      </c>
      <c r="J579" s="9">
        <f>IFERROR(__xludf.DUMMYFUNCTION("GOOGLEFINANCE(A579, ""high52"")"),574.5)</f>
        <v>574.5</v>
      </c>
      <c r="K579" s="9">
        <f>IFERROR(__xludf.DUMMYFUNCTION("GOOGLEFINANCE(A579, ""low52"")"),307.05)</f>
        <v>307.05</v>
      </c>
      <c r="L579" s="9">
        <f t="shared" si="1"/>
        <v>0.1030461271</v>
      </c>
      <c r="M579" s="9">
        <f t="shared" si="2"/>
        <v>0.6782283016</v>
      </c>
      <c r="N579" s="9">
        <f t="shared" si="3"/>
        <v>0.03005544208</v>
      </c>
      <c r="O579" s="9">
        <f t="shared" si="4"/>
        <v>0.4326784859</v>
      </c>
      <c r="P579" s="9">
        <f>IFERROR(__xludf.DUMMYFUNCTION("GOOGLEFINANCE(A579, ""pe"")"),44.81)</f>
        <v>44.81</v>
      </c>
      <c r="Q579" s="9">
        <f>IFERROR(__xludf.DUMMYFUNCTION("IFERROR(GOOGLEFINANCE(A579, ""volume"") / GOOGLEFINANCE(A579, ""volumeavg""), 0)"),0.0)</f>
        <v>0</v>
      </c>
      <c r="R579" s="9">
        <f>IFERROR(__xludf.DUMMYFUNCTION("AVERAGE(INDEX(GOOGLEFINANCE(A579, ""price"", TODAY()-30, TODAY()), 0, 2))"),513.5739130434782)</f>
        <v>513.573913</v>
      </c>
      <c r="S579" s="9">
        <f>IFERROR(__xludf.DUMMYFUNCTION("AVERAGE(INDEX(GOOGLEFINANCE(A579, ""price"", TODAY()-75, TODAY()), 0, 2))"),487.1141509433962)</f>
        <v>487.1141509</v>
      </c>
      <c r="T579" s="9">
        <f>IFERROR(__xludf.DUMMYFUNCTION("AVERAGE(INDEX(GOOGLEFINANCE(A579, ""price"", TODAY()-300, TODAY()), 0, 2))"),396.1871287128716)</f>
        <v>396.1871287</v>
      </c>
      <c r="U579" s="9">
        <f t="shared" si="5"/>
        <v>0.003360931918</v>
      </c>
      <c r="V579" s="15">
        <f>IFERROR(__xludf.DUMMYFUNCTION("LET(hist, GOOGLEFINANCE(A579,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rs))))))"),58.183453237410056)</f>
        <v>58.18345324</v>
      </c>
      <c r="W579" s="16" t="str">
        <f>IFERROR(__xludf.DUMMYFUNCTION("IFERROR(GOOGLEFINANCE(A579, ""volume"") / GOOGLEFINANCE(A579, ""volumeavg""), )"),"")</f>
        <v/>
      </c>
      <c r="X579" s="9">
        <f>IFERROR(__xludf.DUMMYFUNCTION("B579 * GOOGLEFINANCE(A579, ""volume"")"),9.18584086E7)</f>
        <v>91858408.6</v>
      </c>
      <c r="Y579" s="9">
        <f>IFERROR(__xludf.DUMMYFUNCTION("IFERROR(((B579 - GOOGLEFINANCE(A579, ""priceopen"")) / GOOGLEFINANCE(A579, ""priceopen"")) * GOOGLEFINANCE(A579, ""volume""), 0)"),-4649.434133434156)</f>
        <v>-4649.434133</v>
      </c>
    </row>
    <row r="580">
      <c r="A580" s="4" t="s">
        <v>2373</v>
      </c>
      <c r="B580" s="7">
        <f>IFERROR(__xludf.DUMMYFUNCTION("GOOGLEFINANCE(A580, ""price"")"),518.6)</f>
        <v>518.6</v>
      </c>
      <c r="C580" s="7">
        <f>IFERROR(__xludf.DUMMYFUNCTION("GOOGLEFINANCE(A580, ""changepct"")"),-0.65)</f>
        <v>-0.65</v>
      </c>
      <c r="D580" s="9">
        <f>IFERROR(__xludf.DUMMYFUNCTION("GOOGLEFINANCE(A580, ""priceopen"")"),526.9)</f>
        <v>526.9</v>
      </c>
      <c r="E580" s="9">
        <f>IFERROR(__xludf.DUMMYFUNCTION("GOOGLEFINANCE(A580, ""high"")"),526.9)</f>
        <v>526.9</v>
      </c>
      <c r="F580" s="9">
        <f>IFERROR(__xludf.DUMMYFUNCTION("GOOGLEFINANCE(A580, ""low"")"),511.0)</f>
        <v>511</v>
      </c>
      <c r="G580" s="9">
        <f>IFERROR(__xludf.DUMMYFUNCTION("GOOGLEFINANCE(A580, ""price"")"),518.6)</f>
        <v>518.6</v>
      </c>
      <c r="H580" s="9">
        <f>IFERROR(__xludf.DUMMYFUNCTION("MAX(INDEX(GOOGLEFINANCE(A580, ""high"", TODAY()-30, TODAY()), 0, 2))"),529.0)</f>
        <v>529</v>
      </c>
      <c r="I580" s="9">
        <f>IFERROR(__xludf.DUMMYFUNCTION("MIN(INDEX(GOOGLEFINANCE(A580, ""low"", TODAY()-30, TODAY()), 0, 2))"),388.6)</f>
        <v>388.6</v>
      </c>
      <c r="J580" s="9">
        <f>IFERROR(__xludf.DUMMYFUNCTION("GOOGLEFINANCE(A580, ""high52"")"),796.55)</f>
        <v>796.55</v>
      </c>
      <c r="K580" s="9">
        <f>IFERROR(__xludf.DUMMYFUNCTION("GOOGLEFINANCE(A580, ""low52"")"),329.2)</f>
        <v>329.2</v>
      </c>
      <c r="L580" s="9">
        <f t="shared" si="1"/>
        <v>0.3489423137</v>
      </c>
      <c r="M580" s="9">
        <f t="shared" si="2"/>
        <v>0.5753341434</v>
      </c>
      <c r="N580" s="9">
        <f t="shared" si="3"/>
        <v>0.03111545988</v>
      </c>
      <c r="O580" s="9">
        <f t="shared" si="4"/>
        <v>0.9259259259</v>
      </c>
      <c r="P580" s="9">
        <f>IFERROR(__xludf.DUMMYFUNCTION("GOOGLEFINANCE(A580, ""pe"")"),32.66)</f>
        <v>32.66</v>
      </c>
      <c r="Q580" s="9">
        <f>IFERROR(__xludf.DUMMYFUNCTION("IFERROR(GOOGLEFINANCE(A580, ""volume"") / GOOGLEFINANCE(A580, ""volumeavg""), 0)"),0.0)</f>
        <v>0</v>
      </c>
      <c r="R580" s="9">
        <f>IFERROR(__xludf.DUMMYFUNCTION("AVERAGE(INDEX(GOOGLEFINANCE(A580, ""price"", TODAY()-30, TODAY()), 0, 2))"),438.55434782608694)</f>
        <v>438.5543478</v>
      </c>
      <c r="S580" s="9">
        <f>IFERROR(__xludf.DUMMYFUNCTION("AVERAGE(INDEX(GOOGLEFINANCE(A580, ""price"", TODAY()-75, TODAY()), 0, 2))"),419.2783018867925)</f>
        <v>419.2783019</v>
      </c>
      <c r="T580" s="9">
        <f>IFERROR(__xludf.DUMMYFUNCTION("AVERAGE(INDEX(GOOGLEFINANCE(A580, ""price"", TODAY()-300, TODAY()), 0, 2))"),480.78193069306946)</f>
        <v>480.7819307</v>
      </c>
      <c r="U580" s="9">
        <f t="shared" si="5"/>
        <v>0.1825216249</v>
      </c>
      <c r="V580" s="15">
        <f>IFERROR(__xludf.DUMMYFUNCTION("LET(hist, GOOGLEFINANCE(A580,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rs))))))"),88.69143780290791)</f>
        <v>88.6914378</v>
      </c>
      <c r="W580" s="16" t="str">
        <f>IFERROR(__xludf.DUMMYFUNCTION("IFERROR(GOOGLEFINANCE(A580, ""volume"") / GOOGLEFINANCE(A580, ""volumeavg""), )"),"")</f>
        <v/>
      </c>
      <c r="X580" s="9">
        <f>IFERROR(__xludf.DUMMYFUNCTION("B580 * GOOGLEFINANCE(A580, ""volume"")"),2.4301596E8)</f>
        <v>243015960</v>
      </c>
      <c r="Y580" s="9">
        <f>IFERROR(__xludf.DUMMYFUNCTION("IFERROR(((B580 - GOOGLEFINANCE(A580, ""priceopen"")) / GOOGLEFINANCE(A580, ""priceopen"")) * GOOGLEFINANCE(A580, ""volume""), 0)"),-7381.628392484302)</f>
        <v>-7381.628392</v>
      </c>
    </row>
    <row r="581">
      <c r="A581" s="4" t="s">
        <v>2374</v>
      </c>
      <c r="B581" s="7">
        <f>IFERROR(__xludf.DUMMYFUNCTION("GOOGLEFINANCE(A581, ""price"")"),161.18)</f>
        <v>161.18</v>
      </c>
      <c r="C581" s="7">
        <f>IFERROR(__xludf.DUMMYFUNCTION("GOOGLEFINANCE(A581, ""changepct"")"),-0.91)</f>
        <v>-0.91</v>
      </c>
      <c r="D581" s="9">
        <f>IFERROR(__xludf.DUMMYFUNCTION("GOOGLEFINANCE(A581, ""priceopen"")"),162.8)</f>
        <v>162.8</v>
      </c>
      <c r="E581" s="9">
        <f>IFERROR(__xludf.DUMMYFUNCTION("GOOGLEFINANCE(A581, ""high"")"),163.74)</f>
        <v>163.74</v>
      </c>
      <c r="F581" s="9">
        <f>IFERROR(__xludf.DUMMYFUNCTION("GOOGLEFINANCE(A581, ""low"")"),161.1)</f>
        <v>161.1</v>
      </c>
      <c r="G581" s="9">
        <f>IFERROR(__xludf.DUMMYFUNCTION("GOOGLEFINANCE(A581, ""price"")"),161.18)</f>
        <v>161.18</v>
      </c>
      <c r="H581" s="9">
        <f>IFERROR(__xludf.DUMMYFUNCTION("MAX(INDEX(GOOGLEFINANCE(A581, ""high"", TODAY()-30, TODAY()), 0, 2))"),172.0)</f>
        <v>172</v>
      </c>
      <c r="I581" s="9">
        <f>IFERROR(__xludf.DUMMYFUNCTION("MIN(INDEX(GOOGLEFINANCE(A581, ""low"", TODAY()-30, TODAY()), 0, 2))"),158.0)</f>
        <v>158</v>
      </c>
      <c r="J581" s="9">
        <f>IFERROR(__xludf.DUMMYFUNCTION("GOOGLEFINANCE(A581, ""high52"")"),222.5)</f>
        <v>222.5</v>
      </c>
      <c r="K581" s="9">
        <f>IFERROR(__xludf.DUMMYFUNCTION("GOOGLEFINANCE(A581, ""low52"")"),147.54)</f>
        <v>147.54</v>
      </c>
      <c r="L581" s="9">
        <f t="shared" si="1"/>
        <v>0.2755955056</v>
      </c>
      <c r="M581" s="9">
        <f t="shared" si="2"/>
        <v>0.09244950522</v>
      </c>
      <c r="N581" s="9">
        <f t="shared" si="3"/>
        <v>0.01638733706</v>
      </c>
      <c r="O581" s="9">
        <f t="shared" si="4"/>
        <v>0.2271428571</v>
      </c>
      <c r="P581" s="9">
        <f>IFERROR(__xludf.DUMMYFUNCTION("GOOGLEFINANCE(A581, ""pe"")"),16.18)</f>
        <v>16.18</v>
      </c>
      <c r="Q581" s="9">
        <f>IFERROR(__xludf.DUMMYFUNCTION("IFERROR(GOOGLEFINANCE(A581, ""volume"") / GOOGLEFINANCE(A581, ""volumeavg""), 0)"),0.0)</f>
        <v>0</v>
      </c>
      <c r="R581" s="9">
        <f>IFERROR(__xludf.DUMMYFUNCTION("AVERAGE(INDEX(GOOGLEFINANCE(A581, ""price"", TODAY()-30, TODAY()), 0, 2))"),164.7073913043478)</f>
        <v>164.7073913</v>
      </c>
      <c r="S581" s="9">
        <f>IFERROR(__xludf.DUMMYFUNCTION("AVERAGE(INDEX(GOOGLEFINANCE(A581, ""price"", TODAY()-75, TODAY()), 0, 2))"),170.10622641509437)</f>
        <v>170.1062264</v>
      </c>
      <c r="T581" s="9">
        <f>IFERROR(__xludf.DUMMYFUNCTION("AVERAGE(INDEX(GOOGLEFINANCE(A581, ""price"", TODAY()-300, TODAY()), 0, 2))"),174.97348258706478)</f>
        <v>174.9734826</v>
      </c>
      <c r="U581" s="9">
        <f t="shared" si="5"/>
        <v>-0.02141610814</v>
      </c>
      <c r="V581" s="15">
        <f>IFERROR(__xludf.DUMMYFUNCTION("LET(hist, GOOGLEFINANCE(A581,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rs))))))"),52.227101631116675)</f>
        <v>52.22710163</v>
      </c>
      <c r="W581" s="16" t="str">
        <f>IFERROR(__xludf.DUMMYFUNCTION("IFERROR(GOOGLEFINANCE(A581, ""volume"") / GOOGLEFINANCE(A581, ""volumeavg""), )"),"")</f>
        <v/>
      </c>
      <c r="X581" s="9">
        <f>IFERROR(__xludf.DUMMYFUNCTION("B581 * GOOGLEFINANCE(A581, ""volume"")"),6.804600532000001E7)</f>
        <v>68046005.32</v>
      </c>
      <c r="Y581" s="9">
        <f>IFERROR(__xludf.DUMMYFUNCTION("IFERROR(((B581 - GOOGLEFINANCE(A581, ""priceopen"")) / GOOGLEFINANCE(A581, ""priceopen"")) * GOOGLEFINANCE(A581, ""volume""), 0)"),-4200.994348894361)</f>
        <v>-4200.994349</v>
      </c>
    </row>
    <row r="582">
      <c r="A582" s="4" t="s">
        <v>2375</v>
      </c>
      <c r="B582" s="7">
        <f>IFERROR(__xludf.DUMMYFUNCTION("GOOGLEFINANCE(A582, ""price"")"),419.0)</f>
        <v>419</v>
      </c>
      <c r="C582" s="7">
        <f>IFERROR(__xludf.DUMMYFUNCTION("GOOGLEFINANCE(A582, ""changepct"")"),-0.63)</f>
        <v>-0.63</v>
      </c>
      <c r="D582" s="9">
        <f>IFERROR(__xludf.DUMMYFUNCTION("GOOGLEFINANCE(A582, ""priceopen"")"),422.0)</f>
        <v>422</v>
      </c>
      <c r="E582" s="9">
        <f>IFERROR(__xludf.DUMMYFUNCTION("GOOGLEFINANCE(A582, ""high"")"),439.0)</f>
        <v>439</v>
      </c>
      <c r="F582" s="9">
        <f>IFERROR(__xludf.DUMMYFUNCTION("GOOGLEFINANCE(A582, ""low"")"),412.55)</f>
        <v>412.55</v>
      </c>
      <c r="G582" s="9">
        <f>IFERROR(__xludf.DUMMYFUNCTION("GOOGLEFINANCE(A582, ""price"")"),419.0)</f>
        <v>419</v>
      </c>
      <c r="H582" s="9">
        <f>IFERROR(__xludf.DUMMYFUNCTION("MAX(INDEX(GOOGLEFINANCE(A582, ""high"", TODAY()-30, TODAY()), 0, 2))"),454.7)</f>
        <v>454.7</v>
      </c>
      <c r="I582" s="9">
        <f>IFERROR(__xludf.DUMMYFUNCTION("MIN(INDEX(GOOGLEFINANCE(A582, ""low"", TODAY()-30, TODAY()), 0, 2))"),363.7)</f>
        <v>363.7</v>
      </c>
      <c r="J582" s="9">
        <f>IFERROR(__xludf.DUMMYFUNCTION("GOOGLEFINANCE(A582, ""high52"")"),526.0)</f>
        <v>526</v>
      </c>
      <c r="K582" s="9">
        <f>IFERROR(__xludf.DUMMYFUNCTION("GOOGLEFINANCE(A582, ""low52"")"),236.5)</f>
        <v>236.5</v>
      </c>
      <c r="L582" s="9">
        <f t="shared" si="1"/>
        <v>0.2034220532</v>
      </c>
      <c r="M582" s="9">
        <f t="shared" si="2"/>
        <v>0.7716701903</v>
      </c>
      <c r="N582" s="9">
        <f t="shared" si="3"/>
        <v>0.0641134408</v>
      </c>
      <c r="O582" s="9">
        <f t="shared" si="4"/>
        <v>0.6076923077</v>
      </c>
      <c r="P582" s="9">
        <f>IFERROR(__xludf.DUMMYFUNCTION("GOOGLEFINANCE(A582, ""pe"")"),58.19)</f>
        <v>58.19</v>
      </c>
      <c r="Q582" s="9">
        <f>IFERROR(__xludf.DUMMYFUNCTION("IFERROR(GOOGLEFINANCE(A582, ""volume"") / GOOGLEFINANCE(A582, ""volumeavg""), 0)"),0.0)</f>
        <v>0</v>
      </c>
      <c r="R582" s="9">
        <f>IFERROR(__xludf.DUMMYFUNCTION("AVERAGE(INDEX(GOOGLEFINANCE(A582, ""price"", TODAY()-30, TODAY()), 0, 2))"),407.7782608695652)</f>
        <v>407.7782609</v>
      </c>
      <c r="S582" s="9">
        <f>IFERROR(__xludf.DUMMYFUNCTION("AVERAGE(INDEX(GOOGLEFINANCE(A582, ""price"", TODAY()-75, TODAY()), 0, 2))"),384.0471698113209)</f>
        <v>384.0471698</v>
      </c>
      <c r="T582" s="9">
        <f>IFERROR(__xludf.DUMMYFUNCTION("AVERAGE(INDEX(GOOGLEFINANCE(A582, ""price"", TODAY()-300, TODAY()), 0, 2))"),365.558811881188)</f>
        <v>365.5588119</v>
      </c>
      <c r="U582" s="9">
        <f t="shared" si="5"/>
        <v>0.02751921867</v>
      </c>
      <c r="V582" s="15">
        <f>IFERROR(__xludf.DUMMYFUNCTION("LET(hist, GOOGLEFINANCE(A582,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rs))))))"),63.660130718954235)</f>
        <v>63.66013072</v>
      </c>
      <c r="W582" s="16" t="str">
        <f>IFERROR(__xludf.DUMMYFUNCTION("IFERROR(GOOGLEFINANCE(A582, ""volume"") / GOOGLEFINANCE(A582, ""volumeavg""), )"),"")</f>
        <v/>
      </c>
      <c r="X582" s="9">
        <f>IFERROR(__xludf.DUMMYFUNCTION("B582 * GOOGLEFINANCE(A582, ""volume"")"),3.50926746E8)</f>
        <v>350926746</v>
      </c>
      <c r="Y582" s="9">
        <f>IFERROR(__xludf.DUMMYFUNCTION("IFERROR(((B582 - GOOGLEFINANCE(A582, ""priceopen"")) / GOOGLEFINANCE(A582, ""priceopen"")) * GOOGLEFINANCE(A582, ""volume""), 0)"),-5954.03317535545)</f>
        <v>-5954.033175</v>
      </c>
    </row>
    <row r="583">
      <c r="A583" s="4" t="s">
        <v>2376</v>
      </c>
      <c r="B583" s="7">
        <f>IFERROR(__xludf.DUMMYFUNCTION("GOOGLEFINANCE(A583, ""price"")"),421.25)</f>
        <v>421.25</v>
      </c>
      <c r="C583" s="7">
        <f>IFERROR(__xludf.DUMMYFUNCTION("GOOGLEFINANCE(A583, ""changepct"")"),-1.76)</f>
        <v>-1.76</v>
      </c>
      <c r="D583" s="9">
        <f>IFERROR(__xludf.DUMMYFUNCTION("GOOGLEFINANCE(A583, ""priceopen"")"),427.5)</f>
        <v>427.5</v>
      </c>
      <c r="E583" s="9">
        <f>IFERROR(__xludf.DUMMYFUNCTION("GOOGLEFINANCE(A583, ""high"")"),431.65)</f>
        <v>431.65</v>
      </c>
      <c r="F583" s="9">
        <f>IFERROR(__xludf.DUMMYFUNCTION("GOOGLEFINANCE(A583, ""low"")"),414.0)</f>
        <v>414</v>
      </c>
      <c r="G583" s="9">
        <f>IFERROR(__xludf.DUMMYFUNCTION("GOOGLEFINANCE(A583, ""price"")"),421.25)</f>
        <v>421.25</v>
      </c>
      <c r="H583" s="9">
        <f>IFERROR(__xludf.DUMMYFUNCTION("MAX(INDEX(GOOGLEFINANCE(A583, ""high"", TODAY()-30, TODAY()), 0, 2))"),493.45)</f>
        <v>493.45</v>
      </c>
      <c r="I583" s="9">
        <f>IFERROR(__xludf.DUMMYFUNCTION("MIN(INDEX(GOOGLEFINANCE(A583, ""low"", TODAY()-30, TODAY()), 0, 2))"),414.0)</f>
        <v>414</v>
      </c>
      <c r="J583" s="9">
        <f>IFERROR(__xludf.DUMMYFUNCTION("GOOGLEFINANCE(A583, ""high52"")"),697.0)</f>
        <v>697</v>
      </c>
      <c r="K583" s="9">
        <f>IFERROR(__xludf.DUMMYFUNCTION("GOOGLEFINANCE(A583, ""low52"")"),331.7)</f>
        <v>331.7</v>
      </c>
      <c r="L583" s="9">
        <f t="shared" si="1"/>
        <v>0.3956241033</v>
      </c>
      <c r="M583" s="9">
        <f t="shared" si="2"/>
        <v>0.269972867</v>
      </c>
      <c r="N583" s="9">
        <f t="shared" si="3"/>
        <v>0.04263285024</v>
      </c>
      <c r="O583" s="9">
        <f t="shared" si="4"/>
        <v>0.09125235997</v>
      </c>
      <c r="P583" s="9" t="str">
        <f>IFERROR(__xludf.DUMMYFUNCTION("GOOGLEFINANCE(A583, ""pe"")"),"#N/A")</f>
        <v>#N/A</v>
      </c>
      <c r="Q583" s="9">
        <f>IFERROR(__xludf.DUMMYFUNCTION("IFERROR(GOOGLEFINANCE(A583, ""volume"") / GOOGLEFINANCE(A583, ""volumeavg""), 0)"),0.0)</f>
        <v>0</v>
      </c>
      <c r="R583" s="9">
        <f>IFERROR(__xludf.DUMMYFUNCTION("AVERAGE(INDEX(GOOGLEFINANCE(A583, ""price"", TODAY()-30, TODAY()), 0, 2))"),451.5869565217392)</f>
        <v>451.5869565</v>
      </c>
      <c r="S583" s="9">
        <f>IFERROR(__xludf.DUMMYFUNCTION("AVERAGE(INDEX(GOOGLEFINANCE(A583, ""price"", TODAY()-75, TODAY()), 0, 2))"),432.70660377358485)</f>
        <v>432.7066038</v>
      </c>
      <c r="T583" s="9">
        <f>IFERROR(__xludf.DUMMYFUNCTION("AVERAGE(INDEX(GOOGLEFINANCE(A583, ""price"", TODAY()-300, TODAY()), 0, 2))"),447.00668316831695)</f>
        <v>447.0066832</v>
      </c>
      <c r="U583" s="9">
        <f t="shared" si="5"/>
        <v>-0.06717854908</v>
      </c>
      <c r="V583" s="15">
        <f>IFERROR(__xludf.DUMMYFUNCTION("LET(hist, GOOGLEFINANCE(A583,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rs))))))"),41.093749999999986)</f>
        <v>41.09375</v>
      </c>
      <c r="W583" s="16" t="str">
        <f>IFERROR(__xludf.DUMMYFUNCTION("IFERROR(GOOGLEFINANCE(A583, ""volume"") / GOOGLEFINANCE(A583, ""volumeavg""), )"),"")</f>
        <v/>
      </c>
      <c r="X583" s="9">
        <f>IFERROR(__xludf.DUMMYFUNCTION("B583 * GOOGLEFINANCE(A583, ""volume"")"),4.075130375E7)</f>
        <v>40751303.75</v>
      </c>
      <c r="Y583" s="9">
        <f>IFERROR(__xludf.DUMMYFUNCTION("IFERROR(((B583 - GOOGLEFINANCE(A583, ""priceopen"")) / GOOGLEFINANCE(A583, ""priceopen"")) * GOOGLEFINANCE(A583, ""volume""), 0)"),-1414.312865497076)</f>
        <v>-1414.312865</v>
      </c>
    </row>
    <row r="584">
      <c r="A584" s="4" t="s">
        <v>2377</v>
      </c>
      <c r="B584" s="7">
        <f>IFERROR(__xludf.DUMMYFUNCTION("GOOGLEFINANCE(A584, ""price"")"),10001.0)</f>
        <v>10001</v>
      </c>
      <c r="C584" s="7">
        <f>IFERROR(__xludf.DUMMYFUNCTION("GOOGLEFINANCE(A584, ""changepct"")"),-0.16)</f>
        <v>-0.16</v>
      </c>
      <c r="D584" s="9">
        <f>IFERROR(__xludf.DUMMYFUNCTION("GOOGLEFINANCE(A584, ""priceopen"")"),10056.0)</f>
        <v>10056</v>
      </c>
      <c r="E584" s="9">
        <f>IFERROR(__xludf.DUMMYFUNCTION("GOOGLEFINANCE(A584, ""high"")"),10110.0)</f>
        <v>10110</v>
      </c>
      <c r="F584" s="9">
        <f>IFERROR(__xludf.DUMMYFUNCTION("GOOGLEFINANCE(A584, ""low"")"),9982.0)</f>
        <v>9982</v>
      </c>
      <c r="G584" s="9">
        <f>IFERROR(__xludf.DUMMYFUNCTION("GOOGLEFINANCE(A584, ""price"")"),10001.0)</f>
        <v>10001</v>
      </c>
      <c r="H584" s="9">
        <f>IFERROR(__xludf.DUMMYFUNCTION("MAX(INDEX(GOOGLEFINANCE(A584, ""high"", TODAY()-30, TODAY()), 0, 2))"),10585.0)</f>
        <v>10585</v>
      </c>
      <c r="I584" s="9">
        <f>IFERROR(__xludf.DUMMYFUNCTION("MIN(INDEX(GOOGLEFINANCE(A584, ""low"", TODAY()-30, TODAY()), 0, 2))"),9078.0)</f>
        <v>9078</v>
      </c>
      <c r="J584" s="9">
        <f>IFERROR(__xludf.DUMMYFUNCTION("GOOGLEFINANCE(A584, ""high52"")"),12863.0)</f>
        <v>12863</v>
      </c>
      <c r="K584" s="9">
        <f>IFERROR(__xludf.DUMMYFUNCTION("GOOGLEFINANCE(A584, ""low52"")"),6666.0)</f>
        <v>6666</v>
      </c>
      <c r="L584" s="9">
        <f t="shared" si="1"/>
        <v>0.2224986395</v>
      </c>
      <c r="M584" s="9">
        <f t="shared" si="2"/>
        <v>0.50030003</v>
      </c>
      <c r="N584" s="9">
        <f t="shared" si="3"/>
        <v>0.01282308155</v>
      </c>
      <c r="O584" s="9">
        <f t="shared" si="4"/>
        <v>0.6124751161</v>
      </c>
      <c r="P584" s="9">
        <f>IFERROR(__xludf.DUMMYFUNCTION("GOOGLEFINANCE(A584, ""pe"")"),31.91)</f>
        <v>31.91</v>
      </c>
      <c r="Q584" s="9">
        <f>IFERROR(__xludf.DUMMYFUNCTION("IFERROR(GOOGLEFINANCE(A584, ""volume"") / GOOGLEFINANCE(A584, ""volumeavg""), 0)"),0.0)</f>
        <v>0</v>
      </c>
      <c r="R584" s="9">
        <f>IFERROR(__xludf.DUMMYFUNCTION("AVERAGE(INDEX(GOOGLEFINANCE(A584, ""price"", TODAY()-30, TODAY()), 0, 2))"),9617.304347826086)</f>
        <v>9617.304348</v>
      </c>
      <c r="S584" s="9">
        <f>IFERROR(__xludf.DUMMYFUNCTION("AVERAGE(INDEX(GOOGLEFINANCE(A584, ""price"", TODAY()-75, TODAY()), 0, 2))"),9743.367924528302)</f>
        <v>9743.367925</v>
      </c>
      <c r="T584" s="9">
        <f>IFERROR(__xludf.DUMMYFUNCTION("AVERAGE(INDEX(GOOGLEFINANCE(A584, ""price"", TODAY()-300, TODAY()), 0, 2))"),8761.747524752474)</f>
        <v>8761.747525</v>
      </c>
      <c r="U584" s="9">
        <f t="shared" si="5"/>
        <v>0.03989638243</v>
      </c>
      <c r="V584" s="15">
        <f>IFERROR(__xludf.DUMMYFUNCTION("LET(hist, GOOGLEFINANCE(A584,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rs))))))"),67.34089787863837)</f>
        <v>67.34089788</v>
      </c>
      <c r="W584" s="16" t="str">
        <f>IFERROR(__xludf.DUMMYFUNCTION("IFERROR(GOOGLEFINANCE(A584, ""volume"") / GOOGLEFINANCE(A584, ""volumeavg""), )"),"")</f>
        <v/>
      </c>
      <c r="X584" s="9">
        <f>IFERROR(__xludf.DUMMYFUNCTION("B584 * GOOGLEFINANCE(A584, ""volume"")"),1.90509049E8)</f>
        <v>190509049</v>
      </c>
      <c r="Y584" s="9">
        <f>IFERROR(__xludf.DUMMYFUNCTION("IFERROR(((B584 - GOOGLEFINANCE(A584, ""priceopen"")) / GOOGLEFINANCE(A584, ""priceopen"")) * GOOGLEFINANCE(A584, ""volume""), 0)"),-104.18605807478123)</f>
        <v>-104.1860581</v>
      </c>
    </row>
    <row r="585">
      <c r="A585" s="4" t="s">
        <v>2378</v>
      </c>
      <c r="B585" s="7">
        <f>IFERROR(__xludf.DUMMYFUNCTION("GOOGLEFINANCE(A585, ""price"")"),737.5)</f>
        <v>737.5</v>
      </c>
      <c r="C585" s="7">
        <f>IFERROR(__xludf.DUMMYFUNCTION("GOOGLEFINANCE(A585, ""changepct"")"),-0.2)</f>
        <v>-0.2</v>
      </c>
      <c r="D585" s="9">
        <f>IFERROR(__xludf.DUMMYFUNCTION("GOOGLEFINANCE(A585, ""priceopen"")"),735.0)</f>
        <v>735</v>
      </c>
      <c r="E585" s="9">
        <f>IFERROR(__xludf.DUMMYFUNCTION("GOOGLEFINANCE(A585, ""high"")"),738.95)</f>
        <v>738.95</v>
      </c>
      <c r="F585" s="9">
        <f>IFERROR(__xludf.DUMMYFUNCTION("GOOGLEFINANCE(A585, ""low"")"),724.15)</f>
        <v>724.15</v>
      </c>
      <c r="G585" s="9">
        <f>IFERROR(__xludf.DUMMYFUNCTION("GOOGLEFINANCE(A585, ""price"")"),737.5)</f>
        <v>737.5</v>
      </c>
      <c r="H585" s="9">
        <f>IFERROR(__xludf.DUMMYFUNCTION("MAX(INDEX(GOOGLEFINANCE(A585, ""high"", TODAY()-30, TODAY()), 0, 2))"),755.0)</f>
        <v>755</v>
      </c>
      <c r="I585" s="9">
        <f>IFERROR(__xludf.DUMMYFUNCTION("MIN(INDEX(GOOGLEFINANCE(A585, ""low"", TODAY()-30, TODAY()), 0, 2))"),640.5)</f>
        <v>640.5</v>
      </c>
      <c r="J585" s="9">
        <f>IFERROR(__xludf.DUMMYFUNCTION("GOOGLEFINANCE(A585, ""high52"")"),799.7)</f>
        <v>799.7</v>
      </c>
      <c r="K585" s="9">
        <f>IFERROR(__xludf.DUMMYFUNCTION("GOOGLEFINANCE(A585, ""low52"")"),513.3)</f>
        <v>513.3</v>
      </c>
      <c r="L585" s="9">
        <f t="shared" si="1"/>
        <v>0.07777916719</v>
      </c>
      <c r="M585" s="9">
        <f t="shared" si="2"/>
        <v>0.4367816092</v>
      </c>
      <c r="N585" s="9">
        <f t="shared" si="3"/>
        <v>0.02043775461</v>
      </c>
      <c r="O585" s="9">
        <f t="shared" si="4"/>
        <v>0.8471615721</v>
      </c>
      <c r="P585" s="9">
        <f>IFERROR(__xludf.DUMMYFUNCTION("GOOGLEFINANCE(A585, ""pe"")"),476.71)</f>
        <v>476.71</v>
      </c>
      <c r="Q585" s="9">
        <f>IFERROR(__xludf.DUMMYFUNCTION("IFERROR(GOOGLEFINANCE(A585, ""volume"") / GOOGLEFINANCE(A585, ""volumeavg""), 0)"),0.0)</f>
        <v>0</v>
      </c>
      <c r="R585" s="9">
        <f>IFERROR(__xludf.DUMMYFUNCTION("AVERAGE(INDEX(GOOGLEFINANCE(A585, ""price"", TODAY()-30, TODAY()), 0, 2))"),677.4434782608696)</f>
        <v>677.4434783</v>
      </c>
      <c r="S585" s="9">
        <f>IFERROR(__xludf.DUMMYFUNCTION("AVERAGE(INDEX(GOOGLEFINANCE(A585, ""price"", TODAY()-75, TODAY()), 0, 2))"),651.3169811320754)</f>
        <v>651.3169811</v>
      </c>
      <c r="T585" s="9">
        <f>IFERROR(__xludf.DUMMYFUNCTION("AVERAGE(INDEX(GOOGLEFINANCE(A585, ""price"", TODAY()-300, TODAY()), 0, 2))"),639.5846534653467)</f>
        <v>639.5846535</v>
      </c>
      <c r="U585" s="9">
        <f t="shared" si="5"/>
        <v>0.08865170847</v>
      </c>
      <c r="V585" s="15">
        <f>IFERROR(__xludf.DUMMYFUNCTION("LET(hist, GOOGLEFINANCE(A585,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rs))))))"),80.71955719557191)</f>
        <v>80.7195572</v>
      </c>
      <c r="W585" s="16" t="str">
        <f>IFERROR(__xludf.DUMMYFUNCTION("IFERROR(GOOGLEFINANCE(A585, ""volume"") / GOOGLEFINANCE(A585, ""volumeavg""), )"),"")</f>
        <v/>
      </c>
      <c r="X585" s="9">
        <f>IFERROR(__xludf.DUMMYFUNCTION("B585 * GOOGLEFINANCE(A585, ""volume"")"),1.352929E8)</f>
        <v>135292900</v>
      </c>
      <c r="Y585" s="9">
        <f>IFERROR(__xludf.DUMMYFUNCTION("IFERROR(((B585 - GOOGLEFINANCE(A585, ""priceopen"")) / GOOGLEFINANCE(A585, ""priceopen"")) * GOOGLEFINANCE(A585, ""volume""), 0)"),623.9727891156463)</f>
        <v>623.9727891</v>
      </c>
    </row>
    <row r="586">
      <c r="A586" s="4" t="s">
        <v>2379</v>
      </c>
      <c r="B586" s="7">
        <f>IFERROR(__xludf.DUMMYFUNCTION("GOOGLEFINANCE(A586, ""price"")"),94.0)</f>
        <v>94</v>
      </c>
      <c r="C586" s="7">
        <f>IFERROR(__xludf.DUMMYFUNCTION("GOOGLEFINANCE(A586, ""changepct"")"),0.17)</f>
        <v>0.17</v>
      </c>
      <c r="D586" s="9">
        <f>IFERROR(__xludf.DUMMYFUNCTION("GOOGLEFINANCE(A586, ""priceopen"")"),93.8)</f>
        <v>93.8</v>
      </c>
      <c r="E586" s="9">
        <f>IFERROR(__xludf.DUMMYFUNCTION("GOOGLEFINANCE(A586, ""high"")"),94.75)</f>
        <v>94.75</v>
      </c>
      <c r="F586" s="9">
        <f>IFERROR(__xludf.DUMMYFUNCTION("GOOGLEFINANCE(A586, ""low"")"),93.47)</f>
        <v>93.47</v>
      </c>
      <c r="G586" s="9">
        <f>IFERROR(__xludf.DUMMYFUNCTION("GOOGLEFINANCE(A586, ""price"")"),94.0)</f>
        <v>94</v>
      </c>
      <c r="H586" s="9">
        <f>IFERROR(__xludf.DUMMYFUNCTION("MAX(INDEX(GOOGLEFINANCE(A586, ""high"", TODAY()-30, TODAY()), 0, 2))"),95.75)</f>
        <v>95.75</v>
      </c>
      <c r="I586" s="9">
        <f>IFERROR(__xludf.DUMMYFUNCTION("MIN(INDEX(GOOGLEFINANCE(A586, ""low"", TODAY()-30, TODAY()), 0, 2))"),88.56)</f>
        <v>88.56</v>
      </c>
      <c r="J586" s="9">
        <f>IFERROR(__xludf.DUMMYFUNCTION("GOOGLEFINANCE(A586, ""high52"")"),123.0)</f>
        <v>123</v>
      </c>
      <c r="K586" s="9">
        <f>IFERROR(__xludf.DUMMYFUNCTION("GOOGLEFINANCE(A586, ""low52"")"),79.6)</f>
        <v>79.6</v>
      </c>
      <c r="L586" s="9">
        <f t="shared" si="1"/>
        <v>0.2357723577</v>
      </c>
      <c r="M586" s="9">
        <f t="shared" si="2"/>
        <v>0.1809045226</v>
      </c>
      <c r="N586" s="9">
        <f t="shared" si="3"/>
        <v>0.01369423344</v>
      </c>
      <c r="O586" s="9">
        <f t="shared" si="4"/>
        <v>0.7566063978</v>
      </c>
      <c r="P586" s="9">
        <f>IFERROR(__xludf.DUMMYFUNCTION("GOOGLEFINANCE(A586, ""pe"")"),21.71)</f>
        <v>21.71</v>
      </c>
      <c r="Q586" s="9">
        <f>IFERROR(__xludf.DUMMYFUNCTION("IFERROR(GOOGLEFINANCE(A586, ""volume"") / GOOGLEFINANCE(A586, ""volumeavg""), 0)"),0.0)</f>
        <v>0</v>
      </c>
      <c r="R586" s="9">
        <f>IFERROR(__xludf.DUMMYFUNCTION("AVERAGE(INDEX(GOOGLEFINANCE(A586, ""price"", TODAY()-30, TODAY()), 0, 2))"),92.55913043478262)</f>
        <v>92.55913043</v>
      </c>
      <c r="S586" s="9">
        <f>IFERROR(__xludf.DUMMYFUNCTION("AVERAGE(INDEX(GOOGLEFINANCE(A586, ""price"", TODAY()-75, TODAY()), 0, 2))"),92.20188679245284)</f>
        <v>92.20188679</v>
      </c>
      <c r="T586" s="9">
        <f>IFERROR(__xludf.DUMMYFUNCTION("AVERAGE(INDEX(GOOGLEFINANCE(A586, ""price"", TODAY()-300, TODAY()), 0, 2))"),97.27059405940595)</f>
        <v>97.27059406</v>
      </c>
      <c r="U586" s="9">
        <f t="shared" si="5"/>
        <v>0.01556701709</v>
      </c>
      <c r="V586" s="15">
        <f>IFERROR(__xludf.DUMMYFUNCTION("LET(hist, GOOGLEFINANCE(A586,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rs))))))"),66.7305848513902)</f>
        <v>66.73058485</v>
      </c>
      <c r="W586" s="16" t="str">
        <f>IFERROR(__xludf.DUMMYFUNCTION("IFERROR(GOOGLEFINANCE(A586, ""volume"") / GOOGLEFINANCE(A586, ""volumeavg""), )"),"")</f>
        <v/>
      </c>
      <c r="X586" s="9">
        <f>IFERROR(__xludf.DUMMYFUNCTION("B586 * GOOGLEFINANCE(A586, ""volume"")"),4.27990084E8)</f>
        <v>427990084</v>
      </c>
      <c r="Y586" s="9">
        <f>IFERROR(__xludf.DUMMYFUNCTION("IFERROR(((B586 - GOOGLEFINANCE(A586, ""priceopen"")) / GOOGLEFINANCE(A586, ""priceopen"")) * GOOGLEFINANCE(A586, ""volume""), 0)"),9708.072494669648)</f>
        <v>9708.072495</v>
      </c>
    </row>
    <row r="587">
      <c r="A587" s="4" t="s">
        <v>2380</v>
      </c>
      <c r="B587" s="7">
        <f>IFERROR(__xludf.DUMMYFUNCTION("GOOGLEFINANCE(A587, ""price"")"),267.95)</f>
        <v>267.95</v>
      </c>
      <c r="C587" s="7">
        <f>IFERROR(__xludf.DUMMYFUNCTION("GOOGLEFINANCE(A587, ""changepct"")"),1.63)</f>
        <v>1.63</v>
      </c>
      <c r="D587" s="9">
        <f>IFERROR(__xludf.DUMMYFUNCTION("GOOGLEFINANCE(A587, ""priceopen"")"),265.0)</f>
        <v>265</v>
      </c>
      <c r="E587" s="9">
        <f>IFERROR(__xludf.DUMMYFUNCTION("GOOGLEFINANCE(A587, ""high"")"),279.3)</f>
        <v>279.3</v>
      </c>
      <c r="F587" s="9">
        <f>IFERROR(__xludf.DUMMYFUNCTION("GOOGLEFINANCE(A587, ""low"")"),264.4)</f>
        <v>264.4</v>
      </c>
      <c r="G587" s="9">
        <f>IFERROR(__xludf.DUMMYFUNCTION("GOOGLEFINANCE(A587, ""price"")"),267.95)</f>
        <v>267.95</v>
      </c>
      <c r="H587" s="9">
        <f>IFERROR(__xludf.DUMMYFUNCTION("MAX(INDEX(GOOGLEFINANCE(A587, ""high"", TODAY()-30, TODAY()), 0, 2))"),313.7)</f>
        <v>313.7</v>
      </c>
      <c r="I587" s="9">
        <f>IFERROR(__xludf.DUMMYFUNCTION("MIN(INDEX(GOOGLEFINANCE(A587, ""low"", TODAY()-30, TODAY()), 0, 2))"),259.1)</f>
        <v>259.1</v>
      </c>
      <c r="J587" s="9">
        <f>IFERROR(__xludf.DUMMYFUNCTION("GOOGLEFINANCE(A587, ""high52"")"),479.4)</f>
        <v>479.4</v>
      </c>
      <c r="K587" s="9">
        <f>IFERROR(__xludf.DUMMYFUNCTION("GOOGLEFINANCE(A587, ""low52"")"),259.1)</f>
        <v>259.1</v>
      </c>
      <c r="L587" s="9">
        <f t="shared" si="1"/>
        <v>0.4410721736</v>
      </c>
      <c r="M587" s="9">
        <f t="shared" si="2"/>
        <v>0.03415669626</v>
      </c>
      <c r="N587" s="9">
        <f t="shared" si="3"/>
        <v>0.05635400908</v>
      </c>
      <c r="O587" s="9">
        <f t="shared" si="4"/>
        <v>0.1620879121</v>
      </c>
      <c r="P587" s="9">
        <f>IFERROR(__xludf.DUMMYFUNCTION("GOOGLEFINANCE(A587, ""pe"")"),68.95)</f>
        <v>68.95</v>
      </c>
      <c r="Q587" s="9">
        <f>IFERROR(__xludf.DUMMYFUNCTION("IFERROR(GOOGLEFINANCE(A587, ""volume"") / GOOGLEFINANCE(A587, ""volumeavg""), 0)"),0.0)</f>
        <v>0</v>
      </c>
      <c r="R587" s="9">
        <f>IFERROR(__xludf.DUMMYFUNCTION("AVERAGE(INDEX(GOOGLEFINANCE(A587, ""price"", TODAY()-30, TODAY()), 0, 2))"),282.2695652173913)</f>
        <v>282.2695652</v>
      </c>
      <c r="S587" s="9">
        <f>IFERROR(__xludf.DUMMYFUNCTION("AVERAGE(INDEX(GOOGLEFINANCE(A587, ""price"", TODAY()-75, TODAY()), 0, 2))"),302.21132075471706)</f>
        <v>302.2113208</v>
      </c>
      <c r="T587" s="9">
        <f>IFERROR(__xludf.DUMMYFUNCTION("AVERAGE(INDEX(GOOGLEFINANCE(A587, ""price"", TODAY()-300, TODAY()), 0, 2))"),340.0123762376237)</f>
        <v>340.0123762</v>
      </c>
      <c r="U587" s="9">
        <f t="shared" si="5"/>
        <v>-0.0507301069</v>
      </c>
      <c r="V587" s="15">
        <f>IFERROR(__xludf.DUMMYFUNCTION("LET(hist, GOOGLEFINANCE(A587,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rs))))))"),35.9111111111111)</f>
        <v>35.91111111</v>
      </c>
      <c r="W587" s="16" t="str">
        <f>IFERROR(__xludf.DUMMYFUNCTION("IFERROR(GOOGLEFINANCE(A587, ""volume"") / GOOGLEFINANCE(A587, ""volumeavg""), )"),"")</f>
        <v/>
      </c>
      <c r="X587" s="9">
        <f>IFERROR(__xludf.DUMMYFUNCTION("B587 * GOOGLEFINANCE(A587, ""volume"")"),1.3610718533E9)</f>
        <v>1361071853</v>
      </c>
      <c r="Y587" s="9">
        <f>IFERROR(__xludf.DUMMYFUNCTION("IFERROR(((B587 - GOOGLEFINANCE(A587, ""priceopen"")) / GOOGLEFINANCE(A587, ""priceopen"")) * GOOGLEFINANCE(A587, ""volume""), 0)"),56546.20113207525)</f>
        <v>56546.20113</v>
      </c>
    </row>
    <row r="588">
      <c r="A588" s="4" t="s">
        <v>2381</v>
      </c>
      <c r="B588" s="7">
        <f>IFERROR(__xludf.DUMMYFUNCTION("GOOGLEFINANCE(A588, ""price"")"),838.0)</f>
        <v>838</v>
      </c>
      <c r="C588" s="7">
        <f>IFERROR(__xludf.DUMMYFUNCTION("GOOGLEFINANCE(A588, ""changepct"")"),6.07)</f>
        <v>6.07</v>
      </c>
      <c r="D588" s="9">
        <f>IFERROR(__xludf.DUMMYFUNCTION("GOOGLEFINANCE(A588, ""priceopen"")"),797.9)</f>
        <v>797.9</v>
      </c>
      <c r="E588" s="9">
        <f>IFERROR(__xludf.DUMMYFUNCTION("GOOGLEFINANCE(A588, ""high"")"),840.0)</f>
        <v>840</v>
      </c>
      <c r="F588" s="9">
        <f>IFERROR(__xludf.DUMMYFUNCTION("GOOGLEFINANCE(A588, ""low"")"),793.1)</f>
        <v>793.1</v>
      </c>
      <c r="G588" s="9">
        <f>IFERROR(__xludf.DUMMYFUNCTION("GOOGLEFINANCE(A588, ""price"")"),838.0)</f>
        <v>838</v>
      </c>
      <c r="H588" s="9">
        <f>IFERROR(__xludf.DUMMYFUNCTION("MAX(INDEX(GOOGLEFINANCE(A588, ""high"", TODAY()-30, TODAY()), 0, 2))"),840.0)</f>
        <v>840</v>
      </c>
      <c r="I588" s="9">
        <f>IFERROR(__xludf.DUMMYFUNCTION("MIN(INDEX(GOOGLEFINANCE(A588, ""low"", TODAY()-30, TODAY()), 0, 2))"),602.55)</f>
        <v>602.55</v>
      </c>
      <c r="J588" s="9">
        <f>IFERROR(__xludf.DUMMYFUNCTION("GOOGLEFINANCE(A588, ""high52"")"),840.0)</f>
        <v>840</v>
      </c>
      <c r="K588" s="9">
        <f>IFERROR(__xludf.DUMMYFUNCTION("GOOGLEFINANCE(A588, ""low52"")"),259.0)</f>
        <v>259</v>
      </c>
      <c r="L588" s="9">
        <f t="shared" si="1"/>
        <v>0.002380952381</v>
      </c>
      <c r="M588" s="9">
        <f t="shared" si="2"/>
        <v>2.235521236</v>
      </c>
      <c r="N588" s="9">
        <f t="shared" si="3"/>
        <v>0.05913503972</v>
      </c>
      <c r="O588" s="9">
        <f t="shared" si="4"/>
        <v>0.9915771741</v>
      </c>
      <c r="P588" s="9">
        <f>IFERROR(__xludf.DUMMYFUNCTION("GOOGLEFINANCE(A588, ""pe"")"),38.67)</f>
        <v>38.67</v>
      </c>
      <c r="Q588" s="9">
        <f>IFERROR(__xludf.DUMMYFUNCTION("IFERROR(GOOGLEFINANCE(A588, ""volume"") / GOOGLEFINANCE(A588, ""volumeavg""), 0)"),0.0)</f>
        <v>0</v>
      </c>
      <c r="R588" s="9">
        <f>IFERROR(__xludf.DUMMYFUNCTION("AVERAGE(INDEX(GOOGLEFINANCE(A588, ""price"", TODAY()-30, TODAY()), 0, 2))"),675.5608695652173)</f>
        <v>675.5608696</v>
      </c>
      <c r="S588" s="9">
        <f>IFERROR(__xludf.DUMMYFUNCTION("AVERAGE(INDEX(GOOGLEFINANCE(A588, ""price"", TODAY()-75, TODAY()), 0, 2))"),596.2896226415094)</f>
        <v>596.2896226</v>
      </c>
      <c r="T588" s="9">
        <f>IFERROR(__xludf.DUMMYFUNCTION("AVERAGE(INDEX(GOOGLEFINANCE(A588, ""price"", TODAY()-300, TODAY()), 0, 2))"),424.6737623762378)</f>
        <v>424.6737624</v>
      </c>
      <c r="U588" s="9">
        <f t="shared" si="5"/>
        <v>0.2404507688</v>
      </c>
      <c r="V588" s="15">
        <f>IFERROR(__xludf.DUMMYFUNCTION("LET(hist, GOOGLEFINANCE(A588,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rs))))))"),82.44530698659139)</f>
        <v>82.44530699</v>
      </c>
      <c r="W588" s="16" t="str">
        <f>IFERROR(__xludf.DUMMYFUNCTION("IFERROR(GOOGLEFINANCE(A588, ""volume"") / GOOGLEFINANCE(A588, ""volumeavg""), )"),"")</f>
        <v/>
      </c>
      <c r="X588" s="9">
        <f>IFERROR(__xludf.DUMMYFUNCTION("B588 * GOOGLEFINANCE(A588, ""volume"")"),1.658599768E9)</f>
        <v>1658599768</v>
      </c>
      <c r="Y588" s="9">
        <f>IFERROR(__xludf.DUMMYFUNCTION("IFERROR(((B588 - GOOGLEFINANCE(A588, ""priceopen"")) / GOOGLEFINANCE(A588, ""priceopen"")) * GOOGLEFINANCE(A588, ""volume""), 0)"),99470.31407444547)</f>
        <v>99470.31407</v>
      </c>
    </row>
    <row r="589">
      <c r="A589" s="4" t="s">
        <v>2382</v>
      </c>
      <c r="B589" s="7">
        <f>IFERROR(__xludf.DUMMYFUNCTION("GOOGLEFINANCE(A589, ""price"")"),1108.0)</f>
        <v>1108</v>
      </c>
      <c r="C589" s="7">
        <f>IFERROR(__xludf.DUMMYFUNCTION("GOOGLEFINANCE(A589, ""changepct"")"),-0.04)</f>
        <v>-0.04</v>
      </c>
      <c r="D589" s="9">
        <f>IFERROR(__xludf.DUMMYFUNCTION("GOOGLEFINANCE(A589, ""priceopen"")"),1112.0)</f>
        <v>1112</v>
      </c>
      <c r="E589" s="9">
        <f>IFERROR(__xludf.DUMMYFUNCTION("GOOGLEFINANCE(A589, ""high"")"),1146.3)</f>
        <v>1146.3</v>
      </c>
      <c r="F589" s="9">
        <f>IFERROR(__xludf.DUMMYFUNCTION("GOOGLEFINANCE(A589, ""low"")"),1078.1)</f>
        <v>1078.1</v>
      </c>
      <c r="G589" s="9">
        <f>IFERROR(__xludf.DUMMYFUNCTION("GOOGLEFINANCE(A589, ""price"")"),1108.0)</f>
        <v>1108</v>
      </c>
      <c r="H589" s="9">
        <f>IFERROR(__xludf.DUMMYFUNCTION("MAX(INDEX(GOOGLEFINANCE(A589, ""high"", TODAY()-30, TODAY()), 0, 2))"),1158.6)</f>
        <v>1158.6</v>
      </c>
      <c r="I589" s="9">
        <f>IFERROR(__xludf.DUMMYFUNCTION("MIN(INDEX(GOOGLEFINANCE(A589, ""low"", TODAY()-30, TODAY()), 0, 2))"),801.4)</f>
        <v>801.4</v>
      </c>
      <c r="J589" s="9">
        <f>IFERROR(__xludf.DUMMYFUNCTION("GOOGLEFINANCE(A589, ""high52"")"),1158.6)</f>
        <v>1158.6</v>
      </c>
      <c r="K589" s="9">
        <f>IFERROR(__xludf.DUMMYFUNCTION("GOOGLEFINANCE(A589, ""low52"")"),524.05)</f>
        <v>524.05</v>
      </c>
      <c r="L589" s="9">
        <f t="shared" si="1"/>
        <v>0.04367339893</v>
      </c>
      <c r="M589" s="9">
        <f t="shared" si="2"/>
        <v>1.11430207</v>
      </c>
      <c r="N589" s="9">
        <f t="shared" si="3"/>
        <v>0.0632594379</v>
      </c>
      <c r="O589" s="9">
        <f t="shared" si="4"/>
        <v>0.8583426652</v>
      </c>
      <c r="P589" s="9">
        <f>IFERROR(__xludf.DUMMYFUNCTION("GOOGLEFINANCE(A589, ""pe"")"),68.22)</f>
        <v>68.22</v>
      </c>
      <c r="Q589" s="9">
        <f>IFERROR(__xludf.DUMMYFUNCTION("IFERROR(GOOGLEFINANCE(A589, ""volume"") / GOOGLEFINANCE(A589, ""volumeavg""), 0)"),0.0)</f>
        <v>0</v>
      </c>
      <c r="R589" s="9">
        <f>IFERROR(__xludf.DUMMYFUNCTION("AVERAGE(INDEX(GOOGLEFINANCE(A589, ""price"", TODAY()-30, TODAY()), 0, 2))"),901.6195652173913)</f>
        <v>901.6195652</v>
      </c>
      <c r="S589" s="9">
        <f>IFERROR(__xludf.DUMMYFUNCTION("AVERAGE(INDEX(GOOGLEFINANCE(A589, ""price"", TODAY()-75, TODAY()), 0, 2))"),845.9971698113211)</f>
        <v>845.9971698</v>
      </c>
      <c r="T589" s="9">
        <f>IFERROR(__xludf.DUMMYFUNCTION("AVERAGE(INDEX(GOOGLEFINANCE(A589, ""price"", TODAY()-300, TODAY()), 0, 2))"),699.7638728323701)</f>
        <v>699.7638728</v>
      </c>
      <c r="U589" s="9">
        <f t="shared" si="5"/>
        <v>0.2288996853</v>
      </c>
      <c r="V589" s="15">
        <f>IFERROR(__xludf.DUMMYFUNCTION("LET(hist, GOOGLEFINANCE(A589,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rs))))))"),85.73021181716834)</f>
        <v>85.73021182</v>
      </c>
      <c r="W589" s="16" t="str">
        <f>IFERROR(__xludf.DUMMYFUNCTION("IFERROR(GOOGLEFINANCE(A589, ""volume"") / GOOGLEFINANCE(A589, ""volumeavg""), )"),"")</f>
        <v/>
      </c>
      <c r="X589" s="9">
        <f>IFERROR(__xludf.DUMMYFUNCTION("B589 * GOOGLEFINANCE(A589, ""volume"")"),3.05258432E8)</f>
        <v>305258432</v>
      </c>
      <c r="Y589" s="9">
        <f>IFERROR(__xludf.DUMMYFUNCTION("IFERROR(((B589 - GOOGLEFINANCE(A589, ""priceopen"")) / GOOGLEFINANCE(A589, ""priceopen"")) * GOOGLEFINANCE(A589, ""volume""), 0)"),-991.021582733813)</f>
        <v>-991.0215827</v>
      </c>
    </row>
    <row r="590">
      <c r="A590" s="4" t="s">
        <v>2383</v>
      </c>
      <c r="B590" s="7">
        <f>IFERROR(__xludf.DUMMYFUNCTION("GOOGLEFINANCE(A590, ""price"")"),571.0)</f>
        <v>571</v>
      </c>
      <c r="C590" s="7">
        <f>IFERROR(__xludf.DUMMYFUNCTION("GOOGLEFINANCE(A590, ""changepct"")"),-0.09)</f>
        <v>-0.09</v>
      </c>
      <c r="D590" s="9">
        <f>IFERROR(__xludf.DUMMYFUNCTION("GOOGLEFINANCE(A590, ""priceopen"")"),573.95)</f>
        <v>573.95</v>
      </c>
      <c r="E590" s="9">
        <f>IFERROR(__xludf.DUMMYFUNCTION("GOOGLEFINANCE(A590, ""high"")"),573.95)</f>
        <v>573.95</v>
      </c>
      <c r="F590" s="9">
        <f>IFERROR(__xludf.DUMMYFUNCTION("GOOGLEFINANCE(A590, ""low"")"),557.7)</f>
        <v>557.7</v>
      </c>
      <c r="G590" s="9">
        <f>IFERROR(__xludf.DUMMYFUNCTION("GOOGLEFINANCE(A590, ""price"")"),571.0)</f>
        <v>571</v>
      </c>
      <c r="H590" s="9">
        <f>IFERROR(__xludf.DUMMYFUNCTION("MAX(INDEX(GOOGLEFINANCE(A590, ""high"", TODAY()-30, TODAY()), 0, 2))"),596.25)</f>
        <v>596.25</v>
      </c>
      <c r="I590" s="9">
        <f>IFERROR(__xludf.DUMMYFUNCTION("MIN(INDEX(GOOGLEFINANCE(A590, ""low"", TODAY()-30, TODAY()), 0, 2))"),516.6)</f>
        <v>516.6</v>
      </c>
      <c r="J590" s="9">
        <f>IFERROR(__xludf.DUMMYFUNCTION("GOOGLEFINANCE(A590, ""high52"")"),748.0)</f>
        <v>748</v>
      </c>
      <c r="K590" s="9">
        <f>IFERROR(__xludf.DUMMYFUNCTION("GOOGLEFINANCE(A590, ""low52"")"),496.0)</f>
        <v>496</v>
      </c>
      <c r="L590" s="9">
        <f t="shared" si="1"/>
        <v>0.236631016</v>
      </c>
      <c r="M590" s="9">
        <f t="shared" si="2"/>
        <v>0.1512096774</v>
      </c>
      <c r="N590" s="9">
        <f t="shared" si="3"/>
        <v>0.02913752914</v>
      </c>
      <c r="O590" s="9">
        <f t="shared" si="4"/>
        <v>0.6829880728</v>
      </c>
      <c r="P590" s="9">
        <f>IFERROR(__xludf.DUMMYFUNCTION("GOOGLEFINANCE(A590, ""pe"")"),62.0)</f>
        <v>62</v>
      </c>
      <c r="Q590" s="9">
        <f>IFERROR(__xludf.DUMMYFUNCTION("IFERROR(GOOGLEFINANCE(A590, ""volume"") / GOOGLEFINANCE(A590, ""volumeavg""), 0)"),0.0)</f>
        <v>0</v>
      </c>
      <c r="R590" s="9">
        <f>IFERROR(__xludf.DUMMYFUNCTION("AVERAGE(INDEX(GOOGLEFINANCE(A590, ""price"", TODAY()-30, TODAY()), 0, 2))"),560.7673913043478)</f>
        <v>560.7673913</v>
      </c>
      <c r="S590" s="9">
        <f>IFERROR(__xludf.DUMMYFUNCTION("AVERAGE(INDEX(GOOGLEFINANCE(A590, ""price"", TODAY()-75, TODAY()), 0, 2))"),550.6377358490564)</f>
        <v>550.6377358</v>
      </c>
      <c r="T590" s="9">
        <f>IFERROR(__xludf.DUMMYFUNCTION("AVERAGE(INDEX(GOOGLEFINANCE(A590, ""price"", TODAY()-300, TODAY()), 0, 2))"),598.1007425742577)</f>
        <v>598.1007426</v>
      </c>
      <c r="U590" s="9">
        <f t="shared" si="5"/>
        <v>0.01824751021</v>
      </c>
      <c r="V590" s="15">
        <f>IFERROR(__xludf.DUMMYFUNCTION("LET(hist, GOOGLEFINANCE(A590,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rs))))))"),60.4203152364273)</f>
        <v>60.42031524</v>
      </c>
      <c r="W590" s="16" t="str">
        <f>IFERROR(__xludf.DUMMYFUNCTION("IFERROR(GOOGLEFINANCE(A590, ""volume"") / GOOGLEFINANCE(A590, ""volumeavg""), )"),"")</f>
        <v/>
      </c>
      <c r="X590" s="9">
        <f>IFERROR(__xludf.DUMMYFUNCTION("B590 * GOOGLEFINANCE(A590, ""volume"")"),9.9534436E7)</f>
        <v>99534436</v>
      </c>
      <c r="Y590" s="9">
        <f>IFERROR(__xludf.DUMMYFUNCTION("IFERROR(((B590 - GOOGLEFINANCE(A590, ""priceopen"")) / GOOGLEFINANCE(A590, ""priceopen"")) * GOOGLEFINANCE(A590, ""volume""), 0)"),-895.9529575747154)</f>
        <v>-895.9529576</v>
      </c>
    </row>
    <row r="591">
      <c r="A591" s="4" t="s">
        <v>2384</v>
      </c>
      <c r="B591" s="7">
        <f>IFERROR(__xludf.DUMMYFUNCTION("GOOGLEFINANCE(A591, ""price"")"),262.75)</f>
        <v>262.75</v>
      </c>
      <c r="C591" s="7">
        <f>IFERROR(__xludf.DUMMYFUNCTION("GOOGLEFINANCE(A591, ""changepct"")"),0.72)</f>
        <v>0.72</v>
      </c>
      <c r="D591" s="9">
        <f>IFERROR(__xludf.DUMMYFUNCTION("GOOGLEFINANCE(A591, ""priceopen"")"),261.64)</f>
        <v>261.64</v>
      </c>
      <c r="E591" s="9">
        <f>IFERROR(__xludf.DUMMYFUNCTION("GOOGLEFINANCE(A591, ""high"")"),264.5)</f>
        <v>264.5</v>
      </c>
      <c r="F591" s="9">
        <f>IFERROR(__xludf.DUMMYFUNCTION("GOOGLEFINANCE(A591, ""low"")"),259.51)</f>
        <v>259.51</v>
      </c>
      <c r="G591" s="9">
        <f>IFERROR(__xludf.DUMMYFUNCTION("GOOGLEFINANCE(A591, ""price"")"),262.75)</f>
        <v>262.75</v>
      </c>
      <c r="H591" s="9">
        <f>IFERROR(__xludf.DUMMYFUNCTION("MAX(INDEX(GOOGLEFINANCE(A591, ""high"", TODAY()-30, TODAY()), 0, 2))"),266.98)</f>
        <v>266.98</v>
      </c>
      <c r="I591" s="9">
        <f>IFERROR(__xludf.DUMMYFUNCTION("MIN(INDEX(GOOGLEFINANCE(A591, ""low"", TODAY()-30, TODAY()), 0, 2))"),226.55)</f>
        <v>226.55</v>
      </c>
      <c r="J591" s="9">
        <f>IFERROR(__xludf.DUMMYFUNCTION("GOOGLEFINANCE(A591, ""high52"")"),399.15)</f>
        <v>399.15</v>
      </c>
      <c r="K591" s="9">
        <f>IFERROR(__xludf.DUMMYFUNCTION("GOOGLEFINANCE(A591, ""low52"")"),218.9)</f>
        <v>218.9</v>
      </c>
      <c r="L591" s="9">
        <f t="shared" si="1"/>
        <v>0.3417261681</v>
      </c>
      <c r="M591" s="9">
        <f t="shared" si="2"/>
        <v>0.2003197807</v>
      </c>
      <c r="N591" s="9">
        <f t="shared" si="3"/>
        <v>0.01922854611</v>
      </c>
      <c r="O591" s="9">
        <f t="shared" si="4"/>
        <v>0.8953747217</v>
      </c>
      <c r="P591" s="9">
        <f>IFERROR(__xludf.DUMMYFUNCTION("GOOGLEFINANCE(A591, ""pe"")"),15.36)</f>
        <v>15.36</v>
      </c>
      <c r="Q591" s="9">
        <f>IFERROR(__xludf.DUMMYFUNCTION("IFERROR(GOOGLEFINANCE(A591, ""volume"") / GOOGLEFINANCE(A591, ""volumeavg""), 0)"),0.0)</f>
        <v>0</v>
      </c>
      <c r="R591" s="9">
        <f>IFERROR(__xludf.DUMMYFUNCTION("AVERAGE(INDEX(GOOGLEFINANCE(A591, ""price"", TODAY()-30, TODAY()), 0, 2))"),242.97130434782605)</f>
        <v>242.9713043</v>
      </c>
      <c r="S591" s="9">
        <f>IFERROR(__xludf.DUMMYFUNCTION("AVERAGE(INDEX(GOOGLEFINANCE(A591, ""price"", TODAY()-75, TODAY()), 0, 2))"),251.20735849056604)</f>
        <v>251.2073585</v>
      </c>
      <c r="T591" s="9">
        <f>IFERROR(__xludf.DUMMYFUNCTION("AVERAGE(INDEX(GOOGLEFINANCE(A591, ""price"", TODAY()-300, TODAY()), 0, 2))"),280.9009405940594)</f>
        <v>280.9009406</v>
      </c>
      <c r="U591" s="9">
        <f t="shared" si="5"/>
        <v>0.08140342213</v>
      </c>
      <c r="V591" s="15">
        <f>IFERROR(__xludf.DUMMYFUNCTION("LET(hist, GOOGLEFINANCE(A591,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rs))))))"),81.70494355780454)</f>
        <v>81.70494356</v>
      </c>
      <c r="W591" s="16" t="str">
        <f>IFERROR(__xludf.DUMMYFUNCTION("IFERROR(GOOGLEFINANCE(A591, ""volume"") / GOOGLEFINANCE(A591, ""volumeavg""), )"),"")</f>
        <v/>
      </c>
      <c r="X591" s="9">
        <f>IFERROR(__xludf.DUMMYFUNCTION("B591 * GOOGLEFINANCE(A591, ""volume"")"),3.2955182275E8)</f>
        <v>329551822.8</v>
      </c>
      <c r="Y591" s="9">
        <f>IFERROR(__xludf.DUMMYFUNCTION("IFERROR(((B591 - GOOGLEFINANCE(A591, ""priceopen"")) / GOOGLEFINANCE(A591, ""priceopen"")) * GOOGLEFINANCE(A591, ""volume""), 0)"),5321.080530499989)</f>
        <v>5321.08053</v>
      </c>
    </row>
    <row r="592">
      <c r="A592" s="4" t="s">
        <v>2385</v>
      </c>
      <c r="B592" s="7">
        <f>IFERROR(__xludf.DUMMYFUNCTION("GOOGLEFINANCE(A592, ""price"")"),174.0)</f>
        <v>174</v>
      </c>
      <c r="C592" s="7">
        <f>IFERROR(__xludf.DUMMYFUNCTION("GOOGLEFINANCE(A592, ""changepct"")"),3.74)</f>
        <v>3.74</v>
      </c>
      <c r="D592" s="9">
        <f>IFERROR(__xludf.DUMMYFUNCTION("GOOGLEFINANCE(A592, ""priceopen"")"),160.01)</f>
        <v>160.01</v>
      </c>
      <c r="E592" s="9">
        <f>IFERROR(__xludf.DUMMYFUNCTION("GOOGLEFINANCE(A592, ""high"")"),176.1)</f>
        <v>176.1</v>
      </c>
      <c r="F592" s="9">
        <f>IFERROR(__xludf.DUMMYFUNCTION("GOOGLEFINANCE(A592, ""low"")"),159.75)</f>
        <v>159.75</v>
      </c>
      <c r="G592" s="9">
        <f>IFERROR(__xludf.DUMMYFUNCTION("GOOGLEFINANCE(A592, ""price"")"),174.0)</f>
        <v>174</v>
      </c>
      <c r="H592" s="9">
        <f>IFERROR(__xludf.DUMMYFUNCTION("MAX(INDEX(GOOGLEFINANCE(A592, ""high"", TODAY()-30, TODAY()), 0, 2))"),207.5)</f>
        <v>207.5</v>
      </c>
      <c r="I592" s="9">
        <f>IFERROR(__xludf.DUMMYFUNCTION("MIN(INDEX(GOOGLEFINANCE(A592, ""low"", TODAY()-30, TODAY()), 0, 2))"),137.01)</f>
        <v>137.01</v>
      </c>
      <c r="J592" s="9">
        <f>IFERROR(__xludf.DUMMYFUNCTION("GOOGLEFINANCE(A592, ""high52"")"),207.5)</f>
        <v>207.5</v>
      </c>
      <c r="K592" s="9">
        <f>IFERROR(__xludf.DUMMYFUNCTION("GOOGLEFINANCE(A592, ""low52"")"),102.2)</f>
        <v>102.2</v>
      </c>
      <c r="L592" s="9">
        <f t="shared" si="1"/>
        <v>0.1614457831</v>
      </c>
      <c r="M592" s="9">
        <f t="shared" si="2"/>
        <v>0.7025440313</v>
      </c>
      <c r="N592" s="9">
        <f t="shared" si="3"/>
        <v>0.1023474178</v>
      </c>
      <c r="O592" s="9">
        <f t="shared" si="4"/>
        <v>0.5247552844</v>
      </c>
      <c r="P592" s="9">
        <f>IFERROR(__xludf.DUMMYFUNCTION("GOOGLEFINANCE(A592, ""pe"")"),16.42)</f>
        <v>16.42</v>
      </c>
      <c r="Q592" s="9">
        <f>IFERROR(__xludf.DUMMYFUNCTION("IFERROR(GOOGLEFINANCE(A592, ""volume"") / GOOGLEFINANCE(A592, ""volumeavg""), 0)"),0.0)</f>
        <v>0</v>
      </c>
      <c r="R592" s="9">
        <f>IFERROR(__xludf.DUMMYFUNCTION("AVERAGE(INDEX(GOOGLEFINANCE(A592, ""price"", TODAY()-30, TODAY()), 0, 2))"),172.1652173913043)</f>
        <v>172.1652174</v>
      </c>
      <c r="S592" s="9">
        <f>IFERROR(__xludf.DUMMYFUNCTION("AVERAGE(INDEX(GOOGLEFINANCE(A592, ""price"", TODAY()-75, TODAY()), 0, 2))"),155.20698113207547)</f>
        <v>155.2069811</v>
      </c>
      <c r="T592" s="9">
        <f>IFERROR(__xludf.DUMMYFUNCTION("AVERAGE(INDEX(GOOGLEFINANCE(A592, ""price"", TODAY()-300, TODAY()), 0, 2))"),151.21183168316833)</f>
        <v>151.2118317</v>
      </c>
      <c r="U592" s="9">
        <f t="shared" si="5"/>
        <v>0.01065710389</v>
      </c>
      <c r="V592" s="15">
        <f>IFERROR(__xludf.DUMMYFUNCTION("LET(hist, GOOGLEFINANCE(A592,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rs))))))"),50.22057777145296)</f>
        <v>50.22057777</v>
      </c>
      <c r="W592" s="16" t="str">
        <f>IFERROR(__xludf.DUMMYFUNCTION("IFERROR(GOOGLEFINANCE(A592, ""volume"") / GOOGLEFINANCE(A592, ""volumeavg""), )"),"")</f>
        <v/>
      </c>
      <c r="X592" s="9">
        <f>IFERROR(__xludf.DUMMYFUNCTION("B592 * GOOGLEFINANCE(A592, ""volume"")"),2.70896076E8)</f>
        <v>270896076</v>
      </c>
      <c r="Y592" s="9">
        <f>IFERROR(__xludf.DUMMYFUNCTION("IFERROR(((B592 - GOOGLEFINANCE(A592, ""priceopen"")) / GOOGLEFINANCE(A592, ""priceopen"")) * GOOGLEFINANCE(A592, ""volume""), 0)"),136120.662833573)</f>
        <v>136120.6628</v>
      </c>
    </row>
    <row r="593">
      <c r="A593" s="4" t="s">
        <v>2386</v>
      </c>
      <c r="B593" s="7">
        <f>IFERROR(__xludf.DUMMYFUNCTION("GOOGLEFINANCE(A593, ""price"")"),23.43)</f>
        <v>23.43</v>
      </c>
      <c r="C593" s="7">
        <f>IFERROR(__xludf.DUMMYFUNCTION("GOOGLEFINANCE(A593, ""changepct"")"),-0.8)</f>
        <v>-0.8</v>
      </c>
      <c r="D593" s="9">
        <f>IFERROR(__xludf.DUMMYFUNCTION("GOOGLEFINANCE(A593, ""priceopen"")"),23.72)</f>
        <v>23.72</v>
      </c>
      <c r="E593" s="9">
        <f>IFERROR(__xludf.DUMMYFUNCTION("GOOGLEFINANCE(A593, ""high"")"),23.8)</f>
        <v>23.8</v>
      </c>
      <c r="F593" s="9">
        <f>IFERROR(__xludf.DUMMYFUNCTION("GOOGLEFINANCE(A593, ""low"")"),23.3)</f>
        <v>23.3</v>
      </c>
      <c r="G593" s="9">
        <f>IFERROR(__xludf.DUMMYFUNCTION("GOOGLEFINANCE(A593, ""price"")"),23.43)</f>
        <v>23.43</v>
      </c>
      <c r="H593" s="9">
        <f>IFERROR(__xludf.DUMMYFUNCTION("MAX(INDEX(GOOGLEFINANCE(A593, ""high"", TODAY()-30, TODAY()), 0, 2))"),25.4)</f>
        <v>25.4</v>
      </c>
      <c r="I593" s="9">
        <f>IFERROR(__xludf.DUMMYFUNCTION("MIN(INDEX(GOOGLEFINANCE(A593, ""low"", TODAY()-30, TODAY()), 0, 2))"),23.1)</f>
        <v>23.1</v>
      </c>
      <c r="J593" s="9">
        <f>IFERROR(__xludf.DUMMYFUNCTION("GOOGLEFINANCE(A593, ""high52"")"),50.85)</f>
        <v>50.85</v>
      </c>
      <c r="K593" s="9">
        <f>IFERROR(__xludf.DUMMYFUNCTION("GOOGLEFINANCE(A593, ""low52"")"),20.17)</f>
        <v>20.17</v>
      </c>
      <c r="L593" s="9">
        <f t="shared" si="1"/>
        <v>0.5392330383</v>
      </c>
      <c r="M593" s="9">
        <f t="shared" si="2"/>
        <v>0.1616261775</v>
      </c>
      <c r="N593" s="9">
        <f t="shared" si="3"/>
        <v>0.02145922747</v>
      </c>
      <c r="O593" s="9">
        <f t="shared" si="4"/>
        <v>0.1434782609</v>
      </c>
      <c r="P593" s="9" t="str">
        <f>IFERROR(__xludf.DUMMYFUNCTION("GOOGLEFINANCE(A593, ""pe"")"),"#N/A")</f>
        <v>#N/A</v>
      </c>
      <c r="Q593" s="9">
        <f>IFERROR(__xludf.DUMMYFUNCTION("IFERROR(GOOGLEFINANCE(A593, ""volume"") / GOOGLEFINANCE(A593, ""volumeavg""), 0)"),0.0)</f>
        <v>0</v>
      </c>
      <c r="R593" s="9">
        <f>IFERROR(__xludf.DUMMYFUNCTION("AVERAGE(INDEX(GOOGLEFINANCE(A593, ""price"", TODAY()-30, TODAY()), 0, 2))"),24.013913043478258)</f>
        <v>24.01391304</v>
      </c>
      <c r="S593" s="9">
        <f>IFERROR(__xludf.DUMMYFUNCTION("AVERAGE(INDEX(GOOGLEFINANCE(A593, ""price"", TODAY()-75, TODAY()), 0, 2))"),25.273962264150946)</f>
        <v>25.27396226</v>
      </c>
      <c r="T593" s="9">
        <f>IFERROR(__xludf.DUMMYFUNCTION("AVERAGE(INDEX(GOOGLEFINANCE(A593, ""price"", TODAY()-300, TODAY()), 0, 2))"),29.882277227722764)</f>
        <v>29.88227723</v>
      </c>
      <c r="U593" s="9">
        <f t="shared" si="5"/>
        <v>-0.02431561414</v>
      </c>
      <c r="V593" s="15">
        <f>IFERROR(__xludf.DUMMYFUNCTION("LET(hist, GOOGLEFINANCE(A593,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rs))))))"),49.14772727272724)</f>
        <v>49.14772727</v>
      </c>
      <c r="W593" s="16" t="str">
        <f>IFERROR(__xludf.DUMMYFUNCTION("IFERROR(GOOGLEFINANCE(A593, ""volume"") / GOOGLEFINANCE(A593, ""volumeavg""), )"),"")</f>
        <v/>
      </c>
      <c r="X593" s="9">
        <f>IFERROR(__xludf.DUMMYFUNCTION("B593 * GOOGLEFINANCE(A593, ""volume"")"),3.5759573586E8)</f>
        <v>357595735.9</v>
      </c>
      <c r="Y593" s="9">
        <f>IFERROR(__xludf.DUMMYFUNCTION("IFERROR(((B593 - GOOGLEFINANCE(A593, ""priceopen"")) / GOOGLEFINANCE(A593, ""priceopen"")) * GOOGLEFINANCE(A593, ""volume""), 0)"),-186596.44097807704)</f>
        <v>-186596.441</v>
      </c>
    </row>
    <row r="594">
      <c r="A594" s="4" t="s">
        <v>2387</v>
      </c>
      <c r="B594" s="7">
        <f>IFERROR(__xludf.DUMMYFUNCTION("GOOGLEFINANCE(A594, ""price"")"),306.7)</f>
        <v>306.7</v>
      </c>
      <c r="C594" s="7">
        <f>IFERROR(__xludf.DUMMYFUNCTION("GOOGLEFINANCE(A594, ""changepct"")"),-1.46)</f>
        <v>-1.46</v>
      </c>
      <c r="D594" s="9">
        <f>IFERROR(__xludf.DUMMYFUNCTION("GOOGLEFINANCE(A594, ""priceopen"")"),313.0)</f>
        <v>313</v>
      </c>
      <c r="E594" s="9">
        <f>IFERROR(__xludf.DUMMYFUNCTION("GOOGLEFINANCE(A594, ""high"")"),313.0)</f>
        <v>313</v>
      </c>
      <c r="F594" s="9">
        <f>IFERROR(__xludf.DUMMYFUNCTION("GOOGLEFINANCE(A594, ""low"")"),306.1)</f>
        <v>306.1</v>
      </c>
      <c r="G594" s="9">
        <f>IFERROR(__xludf.DUMMYFUNCTION("GOOGLEFINANCE(A594, ""price"")"),306.7)</f>
        <v>306.7</v>
      </c>
      <c r="H594" s="9">
        <f>IFERROR(__xludf.DUMMYFUNCTION("MAX(INDEX(GOOGLEFINANCE(A594, ""high"", TODAY()-30, TODAY()), 0, 2))"),325.4)</f>
        <v>325.4</v>
      </c>
      <c r="I594" s="9">
        <f>IFERROR(__xludf.DUMMYFUNCTION("MIN(INDEX(GOOGLEFINANCE(A594, ""low"", TODAY()-30, TODAY()), 0, 2))"),304.0)</f>
        <v>304</v>
      </c>
      <c r="J594" s="9">
        <f>IFERROR(__xludf.DUMMYFUNCTION("GOOGLEFINANCE(A594, ""high52"")"),506.0)</f>
        <v>506</v>
      </c>
      <c r="K594" s="9">
        <f>IFERROR(__xludf.DUMMYFUNCTION("GOOGLEFINANCE(A594, ""low52"")"),295.65)</f>
        <v>295.65</v>
      </c>
      <c r="L594" s="9">
        <f t="shared" si="1"/>
        <v>0.3938735178</v>
      </c>
      <c r="M594" s="9">
        <f t="shared" si="2"/>
        <v>0.03737527482</v>
      </c>
      <c r="N594" s="9">
        <f t="shared" si="3"/>
        <v>0.02254165305</v>
      </c>
      <c r="O594" s="9">
        <f t="shared" si="4"/>
        <v>0.1261682243</v>
      </c>
      <c r="P594" s="9">
        <f>IFERROR(__xludf.DUMMYFUNCTION("GOOGLEFINANCE(A594, ""pe"")"),35.46)</f>
        <v>35.46</v>
      </c>
      <c r="Q594" s="9">
        <f>IFERROR(__xludf.DUMMYFUNCTION("IFERROR(GOOGLEFINANCE(A594, ""volume"") / GOOGLEFINANCE(A594, ""volumeavg""), 0)"),0.0)</f>
        <v>0</v>
      </c>
      <c r="R594" s="9">
        <f>IFERROR(__xludf.DUMMYFUNCTION("AVERAGE(INDEX(GOOGLEFINANCE(A594, ""price"", TODAY()-30, TODAY()), 0, 2))"),310.99347826086955)</f>
        <v>310.9934783</v>
      </c>
      <c r="S594" s="9">
        <f>IFERROR(__xludf.DUMMYFUNCTION("AVERAGE(INDEX(GOOGLEFINANCE(A594, ""price"", TODAY()-75, TODAY()), 0, 2))"),314.89528301886793)</f>
        <v>314.895283</v>
      </c>
      <c r="T594" s="9">
        <f>IFERROR(__xludf.DUMMYFUNCTION("AVERAGE(INDEX(GOOGLEFINANCE(A594, ""price"", TODAY()-300, TODAY()), 0, 2))"),377.45123762376215)</f>
        <v>377.4512376</v>
      </c>
      <c r="U594" s="9">
        <f t="shared" si="5"/>
        <v>-0.01380568585</v>
      </c>
      <c r="V594" s="15">
        <f>IFERROR(__xludf.DUMMYFUNCTION("LET(hist, GOOGLEFINANCE(A594,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rs))))))"),49.24012158054712)</f>
        <v>49.24012158</v>
      </c>
      <c r="W594" s="16" t="str">
        <f>IFERROR(__xludf.DUMMYFUNCTION("IFERROR(GOOGLEFINANCE(A594, ""volume"") / GOOGLEFINANCE(A594, ""volumeavg""), )"),"")</f>
        <v/>
      </c>
      <c r="X594" s="9">
        <f>IFERROR(__xludf.DUMMYFUNCTION("B594 * GOOGLEFINANCE(A594, ""volume"")"),3.451009869E8)</f>
        <v>345100986.9</v>
      </c>
      <c r="Y594" s="9">
        <f>IFERROR(__xludf.DUMMYFUNCTION("IFERROR(((B594 - GOOGLEFINANCE(A594, ""priceopen"")) / GOOGLEFINANCE(A594, ""priceopen"")) * GOOGLEFINANCE(A594, ""volume""), 0)"),-22647.93642172528)</f>
        <v>-22647.93642</v>
      </c>
    </row>
    <row r="595">
      <c r="A595" s="4" t="s">
        <v>2388</v>
      </c>
      <c r="B595" s="7">
        <f>IFERROR(__xludf.DUMMYFUNCTION("GOOGLEFINANCE(A595, ""price"")"),1493.5)</f>
        <v>1493.5</v>
      </c>
      <c r="C595" s="7">
        <f>IFERROR(__xludf.DUMMYFUNCTION("GOOGLEFINANCE(A595, ""changepct"")"),0.1)</f>
        <v>0.1</v>
      </c>
      <c r="D595" s="9">
        <f>IFERROR(__xludf.DUMMYFUNCTION("GOOGLEFINANCE(A595, ""priceopen"")"),1498.8)</f>
        <v>1498.8</v>
      </c>
      <c r="E595" s="9">
        <f>IFERROR(__xludf.DUMMYFUNCTION("GOOGLEFINANCE(A595, ""high"")"),1506.0)</f>
        <v>1506</v>
      </c>
      <c r="F595" s="9">
        <f>IFERROR(__xludf.DUMMYFUNCTION("GOOGLEFINANCE(A595, ""low"")"),1480.3)</f>
        <v>1480.3</v>
      </c>
      <c r="G595" s="9">
        <f>IFERROR(__xludf.DUMMYFUNCTION("GOOGLEFINANCE(A595, ""price"")"),1493.5)</f>
        <v>1493.5</v>
      </c>
      <c r="H595" s="9">
        <f>IFERROR(__xludf.DUMMYFUNCTION("MAX(INDEX(GOOGLEFINANCE(A595, ""high"", TODAY()-30, TODAY()), 0, 2))"),1804.9)</f>
        <v>1804.9</v>
      </c>
      <c r="I595" s="9">
        <f>IFERROR(__xludf.DUMMYFUNCTION("MIN(INDEX(GOOGLEFINANCE(A595, ""low"", TODAY()-30, TODAY()), 0, 2))"),1421.2)</f>
        <v>1421.2</v>
      </c>
      <c r="J595" s="9">
        <f>IFERROR(__xludf.DUMMYFUNCTION("GOOGLEFINANCE(A595, ""high52"")"),2197.1)</f>
        <v>2197.1</v>
      </c>
      <c r="K595" s="9">
        <f>IFERROR(__xludf.DUMMYFUNCTION("GOOGLEFINANCE(A595, ""low52"")"),990.1)</f>
        <v>990.1</v>
      </c>
      <c r="L595" s="9">
        <f t="shared" si="1"/>
        <v>0.3202403168</v>
      </c>
      <c r="M595" s="9">
        <f t="shared" si="2"/>
        <v>0.5084334916</v>
      </c>
      <c r="N595" s="9">
        <f t="shared" si="3"/>
        <v>0.01736134567</v>
      </c>
      <c r="O595" s="9">
        <f t="shared" si="4"/>
        <v>0.1884284597</v>
      </c>
      <c r="P595" s="9">
        <f>IFERROR(__xludf.DUMMYFUNCTION("GOOGLEFINANCE(A595, ""pe"")"),36.04)</f>
        <v>36.04</v>
      </c>
      <c r="Q595" s="9">
        <f>IFERROR(__xludf.DUMMYFUNCTION("IFERROR(GOOGLEFINANCE(A595, ""volume"") / GOOGLEFINANCE(A595, ""volumeavg""), 0)"),0.0)</f>
        <v>0</v>
      </c>
      <c r="R595" s="9">
        <f>IFERROR(__xludf.DUMMYFUNCTION("AVERAGE(INDEX(GOOGLEFINANCE(A595, ""price"", TODAY()-30, TODAY()), 0, 2))"),1555.9695652173912)</f>
        <v>1555.969565</v>
      </c>
      <c r="S595" s="9">
        <f>IFERROR(__xludf.DUMMYFUNCTION("AVERAGE(INDEX(GOOGLEFINANCE(A595, ""price"", TODAY()-75, TODAY()), 0, 2))"),1670.3528301886797)</f>
        <v>1670.35283</v>
      </c>
      <c r="T595" s="9">
        <f>IFERROR(__xludf.DUMMYFUNCTION("AVERAGE(INDEX(GOOGLEFINANCE(A595, ""price"", TODAY()-300, TODAY()), 0, 2))"),1309.0149253731342)</f>
        <v>1309.014925</v>
      </c>
      <c r="U595" s="9">
        <f t="shared" si="5"/>
        <v>-0.04014832077</v>
      </c>
      <c r="V595" s="15">
        <f>IFERROR(__xludf.DUMMYFUNCTION("LET(hist, GOOGLEFINANCE(A595,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rs))))))"),47.07914572864323)</f>
        <v>47.07914573</v>
      </c>
      <c r="W595" s="16" t="str">
        <f>IFERROR(__xludf.DUMMYFUNCTION("IFERROR(GOOGLEFINANCE(A595, ""volume"") / GOOGLEFINANCE(A595, ""volumeavg""), )"),"")</f>
        <v/>
      </c>
      <c r="X595" s="9">
        <f>IFERROR(__xludf.DUMMYFUNCTION("B595 * GOOGLEFINANCE(A595, ""volume"")"),1.61184494E8)</f>
        <v>161184494</v>
      </c>
      <c r="Y595" s="9">
        <f>IFERROR(__xludf.DUMMYFUNCTION("IFERROR(((B595 - GOOGLEFINANCE(A595, ""priceopen"")) / GOOGLEFINANCE(A595, ""priceopen"")) * GOOGLEFINANCE(A595, ""volume""), 0)"),-381.6367760875334)</f>
        <v>-381.6367761</v>
      </c>
    </row>
    <row r="596">
      <c r="A596" s="4" t="s">
        <v>2389</v>
      </c>
      <c r="B596" s="7">
        <f>IFERROR(__xludf.DUMMYFUNCTION("GOOGLEFINANCE(A596, ""price"")"),2482.0)</f>
        <v>2482</v>
      </c>
      <c r="C596" s="7">
        <f>IFERROR(__xludf.DUMMYFUNCTION("GOOGLEFINANCE(A596, ""changepct"")"),1.93)</f>
        <v>1.93</v>
      </c>
      <c r="D596" s="9">
        <f>IFERROR(__xludf.DUMMYFUNCTION("GOOGLEFINANCE(A596, ""priceopen"")"),2425.1)</f>
        <v>2425.1</v>
      </c>
      <c r="E596" s="9">
        <f>IFERROR(__xludf.DUMMYFUNCTION("GOOGLEFINANCE(A596, ""high"")"),2484.6)</f>
        <v>2484.6</v>
      </c>
      <c r="F596" s="9">
        <f>IFERROR(__xludf.DUMMYFUNCTION("GOOGLEFINANCE(A596, ""low"")"),2400.1)</f>
        <v>2400.1</v>
      </c>
      <c r="G596" s="9">
        <f>IFERROR(__xludf.DUMMYFUNCTION("GOOGLEFINANCE(A596, ""price"")"),2482.0)</f>
        <v>2482</v>
      </c>
      <c r="H596" s="9">
        <f>IFERROR(__xludf.DUMMYFUNCTION("MAX(INDEX(GOOGLEFINANCE(A596, ""high"", TODAY()-30, TODAY()), 0, 2))"),2539.6)</f>
        <v>2539.6</v>
      </c>
      <c r="I596" s="9">
        <f>IFERROR(__xludf.DUMMYFUNCTION("MIN(INDEX(GOOGLEFINANCE(A596, ""low"", TODAY()-30, TODAY()), 0, 2))"),1921.1)</f>
        <v>1921.1</v>
      </c>
      <c r="J596" s="9">
        <f>IFERROR(__xludf.DUMMYFUNCTION("GOOGLEFINANCE(A596, ""high52"")"),2539.6)</f>
        <v>2539.6</v>
      </c>
      <c r="K596" s="9">
        <f>IFERROR(__xludf.DUMMYFUNCTION("GOOGLEFINANCE(A596, ""low52"")"),1178.1)</f>
        <v>1178.1</v>
      </c>
      <c r="L596" s="9">
        <f t="shared" si="1"/>
        <v>0.02268073712</v>
      </c>
      <c r="M596" s="9">
        <f t="shared" si="2"/>
        <v>1.106782107</v>
      </c>
      <c r="N596" s="9">
        <f t="shared" si="3"/>
        <v>0.03520686638</v>
      </c>
      <c r="O596" s="9">
        <f t="shared" si="4"/>
        <v>0.9068714632</v>
      </c>
      <c r="P596" s="9">
        <f>IFERROR(__xludf.DUMMYFUNCTION("GOOGLEFINANCE(A596, ""pe"")"),36.99)</f>
        <v>36.99</v>
      </c>
      <c r="Q596" s="9">
        <f>IFERROR(__xludf.DUMMYFUNCTION("IFERROR(GOOGLEFINANCE(A596, ""volume"") / GOOGLEFINANCE(A596, ""volumeavg""), 0)"),0.0)</f>
        <v>0</v>
      </c>
      <c r="R596" s="9">
        <f>IFERROR(__xludf.DUMMYFUNCTION("AVERAGE(INDEX(GOOGLEFINANCE(A596, ""price"", TODAY()-30, TODAY()), 0, 2))"),2120.4304347826087)</f>
        <v>2120.430435</v>
      </c>
      <c r="S596" s="9">
        <f>IFERROR(__xludf.DUMMYFUNCTION("AVERAGE(INDEX(GOOGLEFINANCE(A596, ""price"", TODAY()-75, TODAY()), 0, 2))"),1951.6283018867923)</f>
        <v>1951.628302</v>
      </c>
      <c r="T596" s="9">
        <f>IFERROR(__xludf.DUMMYFUNCTION("AVERAGE(INDEX(GOOGLEFINANCE(A596, ""price"", TODAY()-300, TODAY()), 0, 2))"),1655.9846534653461)</f>
        <v>1655.984653</v>
      </c>
      <c r="U596" s="9">
        <f t="shared" si="5"/>
        <v>0.1705170607</v>
      </c>
      <c r="V596" s="15">
        <f>IFERROR(__xludf.DUMMYFUNCTION("LET(hist, GOOGLEFINANCE(A596,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rs))))))"),85.44895777659009)</f>
        <v>85.44895778</v>
      </c>
      <c r="W596" s="16" t="str">
        <f>IFERROR(__xludf.DUMMYFUNCTION("IFERROR(GOOGLEFINANCE(A596, ""volume"") / GOOGLEFINANCE(A596, ""volumeavg""), )"),"")</f>
        <v/>
      </c>
      <c r="X596" s="9">
        <f>IFERROR(__xludf.DUMMYFUNCTION("B596 * GOOGLEFINANCE(A596, ""volume"")"),2.55742798E8)</f>
        <v>255742798</v>
      </c>
      <c r="Y596" s="9">
        <f>IFERROR(__xludf.DUMMYFUNCTION("IFERROR(((B596 - GOOGLEFINANCE(A596, ""priceopen"")) / GOOGLEFINANCE(A596, ""priceopen"")) * GOOGLEFINANCE(A596, ""volume""), 0)"),2417.598903138019)</f>
        <v>2417.598903</v>
      </c>
    </row>
    <row r="597">
      <c r="A597" s="4" t="s">
        <v>2390</v>
      </c>
      <c r="B597" s="7">
        <f>IFERROR(__xludf.DUMMYFUNCTION("GOOGLEFINANCE(A597, ""price"")"),896.95)</f>
        <v>896.95</v>
      </c>
      <c r="C597" s="7">
        <f>IFERROR(__xludf.DUMMYFUNCTION("GOOGLEFINANCE(A597, ""changepct"")"),-0.85)</f>
        <v>-0.85</v>
      </c>
      <c r="D597" s="9">
        <f>IFERROR(__xludf.DUMMYFUNCTION("GOOGLEFINANCE(A597, ""priceopen"")"),903.0)</f>
        <v>903</v>
      </c>
      <c r="E597" s="9">
        <f>IFERROR(__xludf.DUMMYFUNCTION("GOOGLEFINANCE(A597, ""high"")"),904.5)</f>
        <v>904.5</v>
      </c>
      <c r="F597" s="9">
        <f>IFERROR(__xludf.DUMMYFUNCTION("GOOGLEFINANCE(A597, ""low"")"),894.0)</f>
        <v>894</v>
      </c>
      <c r="G597" s="9">
        <f>IFERROR(__xludf.DUMMYFUNCTION("GOOGLEFINANCE(A597, ""price"")"),896.95)</f>
        <v>896.95</v>
      </c>
      <c r="H597" s="9">
        <f>IFERROR(__xludf.DUMMYFUNCTION("MAX(INDEX(GOOGLEFINANCE(A597, ""high"", TODAY()-30, TODAY()), 0, 2))"),1030.0)</f>
        <v>1030</v>
      </c>
      <c r="I597" s="9">
        <f>IFERROR(__xludf.DUMMYFUNCTION("MIN(INDEX(GOOGLEFINANCE(A597, ""low"", TODAY()-30, TODAY()), 0, 2))"),894.0)</f>
        <v>894</v>
      </c>
      <c r="J597" s="9">
        <f>IFERROR(__xludf.DUMMYFUNCTION("GOOGLEFINANCE(A597, ""high52"")"),1358.0)</f>
        <v>1358</v>
      </c>
      <c r="K597" s="9">
        <f>IFERROR(__xludf.DUMMYFUNCTION("GOOGLEFINANCE(A597, ""low52"")"),779.5)</f>
        <v>779.5</v>
      </c>
      <c r="L597" s="9">
        <f t="shared" si="1"/>
        <v>0.3395066274</v>
      </c>
      <c r="M597" s="9">
        <f t="shared" si="2"/>
        <v>0.1506735087</v>
      </c>
      <c r="N597" s="9">
        <f t="shared" si="3"/>
        <v>0.01174496644</v>
      </c>
      <c r="O597" s="9">
        <f t="shared" si="4"/>
        <v>0.02169117647</v>
      </c>
      <c r="P597" s="9">
        <f>IFERROR(__xludf.DUMMYFUNCTION("GOOGLEFINANCE(A597, ""pe"")"),18.43)</f>
        <v>18.43</v>
      </c>
      <c r="Q597" s="9">
        <f>IFERROR(__xludf.DUMMYFUNCTION("IFERROR(GOOGLEFINANCE(A597, ""volume"") / GOOGLEFINANCE(A597, ""volumeavg""), 0)"),0.0)</f>
        <v>0</v>
      </c>
      <c r="R597" s="9">
        <f>IFERROR(__xludf.DUMMYFUNCTION("AVERAGE(INDEX(GOOGLEFINANCE(A597, ""price"", TODAY()-30, TODAY()), 0, 2))"),947.1108695652175)</f>
        <v>947.1108696</v>
      </c>
      <c r="S597" s="9">
        <f>IFERROR(__xludf.DUMMYFUNCTION("AVERAGE(INDEX(GOOGLEFINANCE(A597, ""price"", TODAY()-75, TODAY()), 0, 2))"),969.0632075471699)</f>
        <v>969.0632075</v>
      </c>
      <c r="T597" s="9">
        <f>IFERROR(__xludf.DUMMYFUNCTION("AVERAGE(INDEX(GOOGLEFINANCE(A597, ""price"", TODAY()-300, TODAY()), 0, 2))"),978.4351485148514)</f>
        <v>978.4351485</v>
      </c>
      <c r="U597" s="9">
        <f t="shared" si="5"/>
        <v>-0.05296198278</v>
      </c>
      <c r="V597" s="15">
        <f>IFERROR(__xludf.DUMMYFUNCTION("LET(hist, GOOGLEFINANCE(A597,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rs))))))"),16.970926301555053)</f>
        <v>16.9709263</v>
      </c>
      <c r="W597" s="16" t="str">
        <f>IFERROR(__xludf.DUMMYFUNCTION("IFERROR(GOOGLEFINANCE(A597, ""volume"") / GOOGLEFINANCE(A597, ""volumeavg""), )"),"")</f>
        <v/>
      </c>
      <c r="X597" s="9">
        <f>IFERROR(__xludf.DUMMYFUNCTION("B597 * GOOGLEFINANCE(A597, ""volume"")"),7.917198260000001E7)</f>
        <v>79171982.6</v>
      </c>
      <c r="Y597" s="9">
        <f>IFERROR(__xludf.DUMMYFUNCTION("IFERROR(((B597 - GOOGLEFINANCE(A597, ""priceopen"")) / GOOGLEFINANCE(A597, ""priceopen"")) * GOOGLEFINANCE(A597, ""volume""), 0)"),-591.385825027681)</f>
        <v>-591.385825</v>
      </c>
    </row>
    <row r="598">
      <c r="A598" s="4" t="s">
        <v>2391</v>
      </c>
      <c r="B598" s="7">
        <f>IFERROR(__xludf.DUMMYFUNCTION("GOOGLEFINANCE(A598, ""price"")"),304.1)</f>
        <v>304.1</v>
      </c>
      <c r="C598" s="7">
        <f>IFERROR(__xludf.DUMMYFUNCTION("GOOGLEFINANCE(A598, ""changepct"")"),-0.47)</f>
        <v>-0.47</v>
      </c>
      <c r="D598" s="9">
        <f>IFERROR(__xludf.DUMMYFUNCTION("GOOGLEFINANCE(A598, ""priceopen"")"),306.1)</f>
        <v>306.1</v>
      </c>
      <c r="E598" s="9">
        <f>IFERROR(__xludf.DUMMYFUNCTION("GOOGLEFINANCE(A598, ""high"")"),312.8)</f>
        <v>312.8</v>
      </c>
      <c r="F598" s="9">
        <f>IFERROR(__xludf.DUMMYFUNCTION("GOOGLEFINANCE(A598, ""low"")"),301.1)</f>
        <v>301.1</v>
      </c>
      <c r="G598" s="9">
        <f>IFERROR(__xludf.DUMMYFUNCTION("GOOGLEFINANCE(A598, ""price"")"),304.1)</f>
        <v>304.1</v>
      </c>
      <c r="H598" s="9">
        <f>IFERROR(__xludf.DUMMYFUNCTION("MAX(INDEX(GOOGLEFINANCE(A598, ""high"", TODAY()-30, TODAY()), 0, 2))"),333.5)</f>
        <v>333.5</v>
      </c>
      <c r="I598" s="9">
        <f>IFERROR(__xludf.DUMMYFUNCTION("MIN(INDEX(GOOGLEFINANCE(A598, ""low"", TODAY()-30, TODAY()), 0, 2))"),301.1)</f>
        <v>301.1</v>
      </c>
      <c r="J598" s="9">
        <f>IFERROR(__xludf.DUMMYFUNCTION("GOOGLEFINANCE(A598, ""high52"")"),378.0)</f>
        <v>378</v>
      </c>
      <c r="K598" s="9">
        <f>IFERROR(__xludf.DUMMYFUNCTION("GOOGLEFINANCE(A598, ""low52"")"),210.4)</f>
        <v>210.4</v>
      </c>
      <c r="L598" s="9">
        <f t="shared" si="1"/>
        <v>0.1955026455</v>
      </c>
      <c r="M598" s="9">
        <f t="shared" si="2"/>
        <v>0.4453422053</v>
      </c>
      <c r="N598" s="9">
        <f t="shared" si="3"/>
        <v>0.03885752242</v>
      </c>
      <c r="O598" s="9">
        <f t="shared" si="4"/>
        <v>0.09259259259</v>
      </c>
      <c r="P598" s="9">
        <f>IFERROR(__xludf.DUMMYFUNCTION("GOOGLEFINANCE(A598, ""pe"")"),14.28)</f>
        <v>14.28</v>
      </c>
      <c r="Q598" s="9">
        <f>IFERROR(__xludf.DUMMYFUNCTION("IFERROR(GOOGLEFINANCE(A598, ""volume"") / GOOGLEFINANCE(A598, ""volumeavg""), 0)"),0.0)</f>
        <v>0</v>
      </c>
      <c r="R598" s="9">
        <f>IFERROR(__xludf.DUMMYFUNCTION("AVERAGE(INDEX(GOOGLEFINANCE(A598, ""price"", TODAY()-30, TODAY()), 0, 2))"),313.20217391304345)</f>
        <v>313.2021739</v>
      </c>
      <c r="S598" s="9">
        <f>IFERROR(__xludf.DUMMYFUNCTION("AVERAGE(INDEX(GOOGLEFINANCE(A598, ""price"", TODAY()-75, TODAY()), 0, 2))"),315.24339622641503)</f>
        <v>315.2433962</v>
      </c>
      <c r="T598" s="9">
        <f>IFERROR(__xludf.DUMMYFUNCTION("AVERAGE(INDEX(GOOGLEFINANCE(A598, ""price"", TODAY()-300, TODAY()), 0, 2))"),295.020696517413)</f>
        <v>295.0206965</v>
      </c>
      <c r="U598" s="9">
        <f t="shared" si="5"/>
        <v>-0.02906165624</v>
      </c>
      <c r="V598" s="15">
        <f>IFERROR(__xludf.DUMMYFUNCTION("LET(hist, GOOGLEFINANCE(A598,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rs))))))"),39.99999999999999)</f>
        <v>40</v>
      </c>
      <c r="W598" s="16" t="str">
        <f>IFERROR(__xludf.DUMMYFUNCTION("IFERROR(GOOGLEFINANCE(A598, ""volume"") / GOOGLEFINANCE(A598, ""volumeavg""), )"),"")</f>
        <v/>
      </c>
      <c r="X598" s="9">
        <f>IFERROR(__xludf.DUMMYFUNCTION("B598 * GOOGLEFINANCE(A598, ""volume"")"),4.7741784170000005E8)</f>
        <v>477417841.7</v>
      </c>
      <c r="Y598" s="9">
        <f>IFERROR(__xludf.DUMMYFUNCTION("IFERROR(((B598 - GOOGLEFINANCE(A598, ""priceopen"")) / GOOGLEFINANCE(A598, ""priceopen"")) * GOOGLEFINANCE(A598, ""volume""), 0)"),-10257.673962757268)</f>
        <v>-10257.67396</v>
      </c>
    </row>
    <row r="599">
      <c r="A599" s="4" t="s">
        <v>2392</v>
      </c>
      <c r="B599" s="7">
        <f>IFERROR(__xludf.DUMMYFUNCTION("GOOGLEFINANCE(A599, ""price"")"),990.0)</f>
        <v>990</v>
      </c>
      <c r="C599" s="7">
        <f>IFERROR(__xludf.DUMMYFUNCTION("GOOGLEFINANCE(A599, ""changepct"")"),-1.28)</f>
        <v>-1.28</v>
      </c>
      <c r="D599" s="9">
        <f>IFERROR(__xludf.DUMMYFUNCTION("GOOGLEFINANCE(A599, ""priceopen"")"),1004.0)</f>
        <v>1004</v>
      </c>
      <c r="E599" s="9">
        <f>IFERROR(__xludf.DUMMYFUNCTION("GOOGLEFINANCE(A599, ""high"")"),1009.9)</f>
        <v>1009.9</v>
      </c>
      <c r="F599" s="9">
        <f>IFERROR(__xludf.DUMMYFUNCTION("GOOGLEFINANCE(A599, ""low"")"),990.0)</f>
        <v>990</v>
      </c>
      <c r="G599" s="9">
        <f>IFERROR(__xludf.DUMMYFUNCTION("GOOGLEFINANCE(A599, ""price"")"),990.0)</f>
        <v>990</v>
      </c>
      <c r="H599" s="9">
        <f>IFERROR(__xludf.DUMMYFUNCTION("MAX(INDEX(GOOGLEFINANCE(A599, ""high"", TODAY()-30, TODAY()), 0, 2))"),1100.0)</f>
        <v>1100</v>
      </c>
      <c r="I599" s="9">
        <f>IFERROR(__xludf.DUMMYFUNCTION("MIN(INDEX(GOOGLEFINANCE(A599, ""low"", TODAY()-30, TODAY()), 0, 2))"),963.0)</f>
        <v>963</v>
      </c>
      <c r="J599" s="9">
        <f>IFERROR(__xludf.DUMMYFUNCTION("GOOGLEFINANCE(A599, ""high52"")"),1231.0)</f>
        <v>1231</v>
      </c>
      <c r="K599" s="9">
        <f>IFERROR(__xludf.DUMMYFUNCTION("GOOGLEFINANCE(A599, ""low52"")"),768.65)</f>
        <v>768.65</v>
      </c>
      <c r="L599" s="9">
        <f t="shared" si="1"/>
        <v>0.195775792</v>
      </c>
      <c r="M599" s="9">
        <f t="shared" si="2"/>
        <v>0.2879724192</v>
      </c>
      <c r="N599" s="9">
        <f t="shared" si="3"/>
        <v>0.0201010101</v>
      </c>
      <c r="O599" s="9">
        <f t="shared" si="4"/>
        <v>0.197080292</v>
      </c>
      <c r="P599" s="9">
        <f>IFERROR(__xludf.DUMMYFUNCTION("GOOGLEFINANCE(A599, ""pe"")"),14.88)</f>
        <v>14.88</v>
      </c>
      <c r="Q599" s="9">
        <f>IFERROR(__xludf.DUMMYFUNCTION("IFERROR(GOOGLEFINANCE(A599, ""volume"") / GOOGLEFINANCE(A599, ""volumeavg""), 0)"),0.0)</f>
        <v>0</v>
      </c>
      <c r="R599" s="9">
        <f>IFERROR(__xludf.DUMMYFUNCTION("AVERAGE(INDEX(GOOGLEFINANCE(A599, ""price"", TODAY()-30, TODAY()), 0, 2))"),1033.2391304347825)</f>
        <v>1033.23913</v>
      </c>
      <c r="S599" s="9">
        <f>IFERROR(__xludf.DUMMYFUNCTION("AVERAGE(INDEX(GOOGLEFINANCE(A599, ""price"", TODAY()-75, TODAY()), 0, 2))"),1060.6471698113207)</f>
        <v>1060.64717</v>
      </c>
      <c r="T599" s="9">
        <f>IFERROR(__xludf.DUMMYFUNCTION("AVERAGE(INDEX(GOOGLEFINANCE(A599, ""price"", TODAY()-300, TODAY()), 0, 2))"),968.9136138613865)</f>
        <v>968.9136139</v>
      </c>
      <c r="U599" s="9">
        <f t="shared" si="5"/>
        <v>-0.04184813482</v>
      </c>
      <c r="V599" s="15">
        <f>IFERROR(__xludf.DUMMYFUNCTION("LET(hist, GOOGLEFINANCE(A599,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rs))))))"),41.688654353561994)</f>
        <v>41.68865435</v>
      </c>
      <c r="W599" s="16" t="str">
        <f>IFERROR(__xludf.DUMMYFUNCTION("IFERROR(GOOGLEFINANCE(A599, ""volume"") / GOOGLEFINANCE(A599, ""volumeavg""), )"),"")</f>
        <v/>
      </c>
      <c r="X599" s="9">
        <f>IFERROR(__xludf.DUMMYFUNCTION("B599 * GOOGLEFINANCE(A599, ""volume"")"),1.0041669E8)</f>
        <v>100416690</v>
      </c>
      <c r="Y599" s="9">
        <f>IFERROR(__xludf.DUMMYFUNCTION("IFERROR(((B599 - GOOGLEFINANCE(A599, ""priceopen"")) / GOOGLEFINANCE(A599, ""priceopen"")) * GOOGLEFINANCE(A599, ""volume""), 0)"),-1414.3764940239043)</f>
        <v>-1414.376494</v>
      </c>
    </row>
    <row r="600">
      <c r="A600" s="4" t="s">
        <v>2393</v>
      </c>
      <c r="B600" s="7">
        <f>IFERROR(__xludf.DUMMYFUNCTION("GOOGLEFINANCE(A600, ""price"")"),842.0)</f>
        <v>842</v>
      </c>
      <c r="C600" s="7">
        <f>IFERROR(__xludf.DUMMYFUNCTION("GOOGLEFINANCE(A600, ""changepct"")"),-1.34)</f>
        <v>-1.34</v>
      </c>
      <c r="D600" s="9">
        <f>IFERROR(__xludf.DUMMYFUNCTION("GOOGLEFINANCE(A600, ""priceopen"")"),854.3)</f>
        <v>854.3</v>
      </c>
      <c r="E600" s="9">
        <f>IFERROR(__xludf.DUMMYFUNCTION("GOOGLEFINANCE(A600, ""high"")"),862.6)</f>
        <v>862.6</v>
      </c>
      <c r="F600" s="9">
        <f>IFERROR(__xludf.DUMMYFUNCTION("GOOGLEFINANCE(A600, ""low"")"),839.0)</f>
        <v>839</v>
      </c>
      <c r="G600" s="9">
        <f>IFERROR(__xludf.DUMMYFUNCTION("GOOGLEFINANCE(A600, ""price"")"),842.0)</f>
        <v>842</v>
      </c>
      <c r="H600" s="9">
        <f>IFERROR(__xludf.DUMMYFUNCTION("MAX(INDEX(GOOGLEFINANCE(A600, ""high"", TODAY()-30, TODAY()), 0, 2))"),879.7)</f>
        <v>879.7</v>
      </c>
      <c r="I600" s="9">
        <f>IFERROR(__xludf.DUMMYFUNCTION("MIN(INDEX(GOOGLEFINANCE(A600, ""low"", TODAY()-30, TODAY()), 0, 2))"),814.45)</f>
        <v>814.45</v>
      </c>
      <c r="J600" s="9">
        <f>IFERROR(__xludf.DUMMYFUNCTION("GOOGLEFINANCE(A600, ""high52"")"),1284.7)</f>
        <v>1284.7</v>
      </c>
      <c r="K600" s="9">
        <f>IFERROR(__xludf.DUMMYFUNCTION("GOOGLEFINANCE(A600, ""low52"")"),750.3)</f>
        <v>750.3</v>
      </c>
      <c r="L600" s="9">
        <f t="shared" si="1"/>
        <v>0.3445940687</v>
      </c>
      <c r="M600" s="9">
        <f t="shared" si="2"/>
        <v>0.1222177796</v>
      </c>
      <c r="N600" s="9">
        <f t="shared" si="3"/>
        <v>0.02812872467</v>
      </c>
      <c r="O600" s="9">
        <f t="shared" si="4"/>
        <v>0.4222222222</v>
      </c>
      <c r="P600" s="9">
        <f>IFERROR(__xludf.DUMMYFUNCTION("GOOGLEFINANCE(A600, ""pe"")"),24.73)</f>
        <v>24.73</v>
      </c>
      <c r="Q600" s="9">
        <f>IFERROR(__xludf.DUMMYFUNCTION("IFERROR(GOOGLEFINANCE(A600, ""volume"") / GOOGLEFINANCE(A600, ""volumeavg""), 0)"),0.0)</f>
        <v>0</v>
      </c>
      <c r="R600" s="9">
        <f>IFERROR(__xludf.DUMMYFUNCTION("AVERAGE(INDEX(GOOGLEFINANCE(A600, ""price"", TODAY()-30, TODAY()), 0, 2))"),850.4934782608697)</f>
        <v>850.4934783</v>
      </c>
      <c r="S600" s="9">
        <f>IFERROR(__xludf.DUMMYFUNCTION("AVERAGE(INDEX(GOOGLEFINANCE(A600, ""price"", TODAY()-75, TODAY()), 0, 2))"),864.9556603773586)</f>
        <v>864.9556604</v>
      </c>
      <c r="T600" s="9">
        <f>IFERROR(__xludf.DUMMYFUNCTION("AVERAGE(INDEX(GOOGLEFINANCE(A600, ""price"", TODAY()-300, TODAY()), 0, 2))"),986.6165841584165)</f>
        <v>986.6165842</v>
      </c>
      <c r="U600" s="9">
        <f t="shared" si="5"/>
        <v>-0.00998652956</v>
      </c>
      <c r="V600" s="15">
        <f>IFERROR(__xludf.DUMMYFUNCTION("LET(hist, GOOGLEFINANCE(A600,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rs))))))"),53.557240881184555)</f>
        <v>53.55724088</v>
      </c>
      <c r="W600" s="16" t="str">
        <f>IFERROR(__xludf.DUMMYFUNCTION("IFERROR(GOOGLEFINANCE(A600, ""volume"") / GOOGLEFINANCE(A600, ""volumeavg""), )"),"")</f>
        <v/>
      </c>
      <c r="X600" s="9">
        <f>IFERROR(__xludf.DUMMYFUNCTION("B600 * GOOGLEFINANCE(A600, ""volume"")"),1.90747522E8)</f>
        <v>190747522</v>
      </c>
      <c r="Y600" s="9">
        <f>IFERROR(__xludf.DUMMYFUNCTION("IFERROR(((B600 - GOOGLEFINANCE(A600, ""priceopen"")) / GOOGLEFINANCE(A600, ""priceopen"")) * GOOGLEFINANCE(A600, ""volume""), 0)"),-3261.6812595106985)</f>
        <v>-3261.68126</v>
      </c>
    </row>
    <row r="601">
      <c r="A601" s="4" t="s">
        <v>2394</v>
      </c>
      <c r="B601" s="7">
        <f>IFERROR(__xludf.DUMMYFUNCTION("GOOGLEFINANCE(A601, ""price"")"),441.2)</f>
        <v>441.2</v>
      </c>
      <c r="C601" s="7">
        <f>IFERROR(__xludf.DUMMYFUNCTION("GOOGLEFINANCE(A601, ""changepct"")"),1.1)</f>
        <v>1.1</v>
      </c>
      <c r="D601" s="9">
        <f>IFERROR(__xludf.DUMMYFUNCTION("GOOGLEFINANCE(A601, ""priceopen"")"),433.3)</f>
        <v>433.3</v>
      </c>
      <c r="E601" s="9">
        <f>IFERROR(__xludf.DUMMYFUNCTION("GOOGLEFINANCE(A601, ""high"")"),443.1)</f>
        <v>443.1</v>
      </c>
      <c r="F601" s="9">
        <f>IFERROR(__xludf.DUMMYFUNCTION("GOOGLEFINANCE(A601, ""low"")"),428.0)</f>
        <v>428</v>
      </c>
      <c r="G601" s="9">
        <f>IFERROR(__xludf.DUMMYFUNCTION("GOOGLEFINANCE(A601, ""price"")"),441.2)</f>
        <v>441.2</v>
      </c>
      <c r="H601" s="9">
        <f>IFERROR(__xludf.DUMMYFUNCTION("MAX(INDEX(GOOGLEFINANCE(A601, ""high"", TODAY()-30, TODAY()), 0, 2))"),520.95)</f>
        <v>520.95</v>
      </c>
      <c r="I601" s="9">
        <f>IFERROR(__xludf.DUMMYFUNCTION("MIN(INDEX(GOOGLEFINANCE(A601, ""low"", TODAY()-30, TODAY()), 0, 2))"),412.85)</f>
        <v>412.85</v>
      </c>
      <c r="J601" s="9">
        <f>IFERROR(__xludf.DUMMYFUNCTION("GOOGLEFINANCE(A601, ""high52"")"),634.9)</f>
        <v>634.9</v>
      </c>
      <c r="K601" s="9">
        <f>IFERROR(__xludf.DUMMYFUNCTION("GOOGLEFINANCE(A601, ""low52"")"),352.0)</f>
        <v>352</v>
      </c>
      <c r="L601" s="9">
        <f t="shared" si="1"/>
        <v>0.3050874153</v>
      </c>
      <c r="M601" s="9">
        <f t="shared" si="2"/>
        <v>0.2534090909</v>
      </c>
      <c r="N601" s="9">
        <f t="shared" si="3"/>
        <v>0.03528037383</v>
      </c>
      <c r="O601" s="9">
        <f t="shared" si="4"/>
        <v>0.2622571693</v>
      </c>
      <c r="P601" s="9">
        <f>IFERROR(__xludf.DUMMYFUNCTION("GOOGLEFINANCE(A601, ""pe"")"),41.91)</f>
        <v>41.91</v>
      </c>
      <c r="Q601" s="9">
        <f>IFERROR(__xludf.DUMMYFUNCTION("IFERROR(GOOGLEFINANCE(A601, ""volume"") / GOOGLEFINANCE(A601, ""volumeavg""), 0)"),0.0)</f>
        <v>0</v>
      </c>
      <c r="R601" s="9">
        <f>IFERROR(__xludf.DUMMYFUNCTION("AVERAGE(INDEX(GOOGLEFINANCE(A601, ""price"", TODAY()-30, TODAY()), 0, 2))"),442.78260869565224)</f>
        <v>442.7826087</v>
      </c>
      <c r="S601" s="9">
        <f>IFERROR(__xludf.DUMMYFUNCTION("AVERAGE(INDEX(GOOGLEFINANCE(A601, ""price"", TODAY()-75, TODAY()), 0, 2))"),490.89811320754706)</f>
        <v>490.8981132</v>
      </c>
      <c r="T601" s="9">
        <f>IFERROR(__xludf.DUMMYFUNCTION("AVERAGE(INDEX(GOOGLEFINANCE(A601, ""price"", TODAY()-300, TODAY()), 0, 2))"),473.33706467661705)</f>
        <v>473.3370647</v>
      </c>
      <c r="U601" s="9">
        <f t="shared" si="5"/>
        <v>-0.003574234093</v>
      </c>
      <c r="V601" s="15">
        <f>IFERROR(__xludf.DUMMYFUNCTION("LET(hist, GOOGLEFINANCE(A601,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rs))))))"),54.69705391884379)</f>
        <v>54.69705392</v>
      </c>
      <c r="W601" s="16" t="str">
        <f>IFERROR(__xludf.DUMMYFUNCTION("IFERROR(GOOGLEFINANCE(A601, ""volume"") / GOOGLEFINANCE(A601, ""volumeavg""), )"),"")</f>
        <v/>
      </c>
      <c r="X601" s="9">
        <f>IFERROR(__xludf.DUMMYFUNCTION("B601 * GOOGLEFINANCE(A601, ""volume"")"),2.147770424E8)</f>
        <v>214777042.4</v>
      </c>
      <c r="Y601" s="9">
        <f>IFERROR(__xludf.DUMMYFUNCTION("IFERROR(((B601 - GOOGLEFINANCE(A601, ""priceopen"")) / GOOGLEFINANCE(A601, ""priceopen"")) * GOOGLEFINANCE(A601, ""volume""), 0)"),8875.457650588482)</f>
        <v>8875.457651</v>
      </c>
    </row>
    <row r="602">
      <c r="A602" s="4" t="s">
        <v>2395</v>
      </c>
      <c r="B602" s="7">
        <f>IFERROR(__xludf.DUMMYFUNCTION("GOOGLEFINANCE(A602, ""price"")"),64.1)</f>
        <v>64.1</v>
      </c>
      <c r="C602" s="7">
        <f>IFERROR(__xludf.DUMMYFUNCTION("GOOGLEFINANCE(A602, ""changepct"")"),-1.35)</f>
        <v>-1.35</v>
      </c>
      <c r="D602" s="9">
        <f>IFERROR(__xludf.DUMMYFUNCTION("GOOGLEFINANCE(A602, ""priceopen"")"),65.8)</f>
        <v>65.8</v>
      </c>
      <c r="E602" s="9">
        <f>IFERROR(__xludf.DUMMYFUNCTION("GOOGLEFINANCE(A602, ""high"")"),66.2)</f>
        <v>66.2</v>
      </c>
      <c r="F602" s="9">
        <f>IFERROR(__xludf.DUMMYFUNCTION("GOOGLEFINANCE(A602, ""low"")"),64.01)</f>
        <v>64.01</v>
      </c>
      <c r="G602" s="9">
        <f>IFERROR(__xludf.DUMMYFUNCTION("GOOGLEFINANCE(A602, ""price"")"),64.1)</f>
        <v>64.1</v>
      </c>
      <c r="H602" s="9">
        <f>IFERROR(__xludf.DUMMYFUNCTION("MAX(INDEX(GOOGLEFINANCE(A602, ""high"", TODAY()-30, TODAY()), 0, 2))"),66.2)</f>
        <v>66.2</v>
      </c>
      <c r="I602" s="9">
        <f>IFERROR(__xludf.DUMMYFUNCTION("MIN(INDEX(GOOGLEFINANCE(A602, ""low"", TODAY()-30, TODAY()), 0, 2))"),59.9)</f>
        <v>59.9</v>
      </c>
      <c r="J602" s="9">
        <f>IFERROR(__xludf.DUMMYFUNCTION("GOOGLEFINANCE(A602, ""high52"")"),78.35)</f>
        <v>78.35</v>
      </c>
      <c r="K602" s="9">
        <f>IFERROR(__xludf.DUMMYFUNCTION("GOOGLEFINANCE(A602, ""low52"")"),50.1)</f>
        <v>50.1</v>
      </c>
      <c r="L602" s="9">
        <f t="shared" si="1"/>
        <v>0.1818761966</v>
      </c>
      <c r="M602" s="9">
        <f t="shared" si="2"/>
        <v>0.2794411178</v>
      </c>
      <c r="N602" s="9">
        <f t="shared" si="3"/>
        <v>0.03421340416</v>
      </c>
      <c r="O602" s="9">
        <f t="shared" si="4"/>
        <v>0.6666666667</v>
      </c>
      <c r="P602" s="9">
        <f>IFERROR(__xludf.DUMMYFUNCTION("GOOGLEFINANCE(A602, ""pe"")"),24.84)</f>
        <v>24.84</v>
      </c>
      <c r="Q602" s="9">
        <f>IFERROR(__xludf.DUMMYFUNCTION("IFERROR(GOOGLEFINANCE(A602, ""volume"") / GOOGLEFINANCE(A602, ""volumeavg""), 0)"),0.0)</f>
        <v>0</v>
      </c>
      <c r="R602" s="9">
        <f>IFERROR(__xludf.DUMMYFUNCTION("AVERAGE(INDEX(GOOGLEFINANCE(A602, ""price"", TODAY()-30, TODAY()), 0, 2))"),63.167391304347824)</f>
        <v>63.1673913</v>
      </c>
      <c r="S602" s="9">
        <f>IFERROR(__xludf.DUMMYFUNCTION("AVERAGE(INDEX(GOOGLEFINANCE(A602, ""price"", TODAY()-75, TODAY()), 0, 2))"),66.00773584905662)</f>
        <v>66.00773585</v>
      </c>
      <c r="T602" s="9">
        <f>IFERROR(__xludf.DUMMYFUNCTION("AVERAGE(INDEX(GOOGLEFINANCE(A602, ""price"", TODAY()-300, TODAY()), 0, 2))"),63.50455445544554)</f>
        <v>63.50455446</v>
      </c>
      <c r="U602" s="9">
        <f t="shared" si="5"/>
        <v>0.01476408439</v>
      </c>
      <c r="V602" s="15">
        <f>IFERROR(__xludf.DUMMYFUNCTION("LET(hist, GOOGLEFINANCE(A602,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rs))))))"),63.69636963696381)</f>
        <v>63.69636964</v>
      </c>
      <c r="W602" s="16" t="str">
        <f>IFERROR(__xludf.DUMMYFUNCTION("IFERROR(GOOGLEFINANCE(A602, ""volume"") / GOOGLEFINANCE(A602, ""volumeavg""), )"),"")</f>
        <v/>
      </c>
      <c r="X602" s="9">
        <f>IFERROR(__xludf.DUMMYFUNCTION("B602 * GOOGLEFINANCE(A602, ""volume"")"),1.2674101989999999E8)</f>
        <v>126741019.9</v>
      </c>
      <c r="Y602" s="9">
        <f>IFERROR(__xludf.DUMMYFUNCTION("IFERROR(((B602 - GOOGLEFINANCE(A602, ""priceopen"")) / GOOGLEFINANCE(A602, ""priceopen"")) * GOOGLEFINANCE(A602, ""volume""), 0)"),-51083.68237082076)</f>
        <v>-51083.68237</v>
      </c>
    </row>
    <row r="603">
      <c r="A603" s="4" t="s">
        <v>2396</v>
      </c>
      <c r="B603" s="7">
        <f>IFERROR(__xludf.DUMMYFUNCTION("GOOGLEFINANCE(A603, ""price"")"),642.0)</f>
        <v>642</v>
      </c>
      <c r="C603" s="7">
        <f>IFERROR(__xludf.DUMMYFUNCTION("GOOGLEFINANCE(A603, ""changepct"")"),-1.13)</f>
        <v>-1.13</v>
      </c>
      <c r="D603" s="9">
        <f>IFERROR(__xludf.DUMMYFUNCTION("GOOGLEFINANCE(A603, ""priceopen"")"),649.0)</f>
        <v>649</v>
      </c>
      <c r="E603" s="9">
        <f>IFERROR(__xludf.DUMMYFUNCTION("GOOGLEFINANCE(A603, ""high"")"),662.0)</f>
        <v>662</v>
      </c>
      <c r="F603" s="9">
        <f>IFERROR(__xludf.DUMMYFUNCTION("GOOGLEFINANCE(A603, ""low"")"),637.6)</f>
        <v>637.6</v>
      </c>
      <c r="G603" s="9">
        <f>IFERROR(__xludf.DUMMYFUNCTION("GOOGLEFINANCE(A603, ""price"")"),642.0)</f>
        <v>642</v>
      </c>
      <c r="H603" s="9">
        <f>IFERROR(__xludf.DUMMYFUNCTION("MAX(INDEX(GOOGLEFINANCE(A603, ""high"", TODAY()-30, TODAY()), 0, 2))"),662.0)</f>
        <v>662</v>
      </c>
      <c r="I603" s="9">
        <f>IFERROR(__xludf.DUMMYFUNCTION("MIN(INDEX(GOOGLEFINANCE(A603, ""low"", TODAY()-30, TODAY()), 0, 2))"),505.5)</f>
        <v>505.5</v>
      </c>
      <c r="J603" s="9">
        <f>IFERROR(__xludf.DUMMYFUNCTION("GOOGLEFINANCE(A603, ""high52"")"),662.0)</f>
        <v>662</v>
      </c>
      <c r="K603" s="9">
        <f>IFERROR(__xludf.DUMMYFUNCTION("GOOGLEFINANCE(A603, ""low52"")"),342.55)</f>
        <v>342.55</v>
      </c>
      <c r="L603" s="9">
        <f t="shared" si="1"/>
        <v>0.03021148036</v>
      </c>
      <c r="M603" s="9">
        <f t="shared" si="2"/>
        <v>0.874178952</v>
      </c>
      <c r="N603" s="9">
        <f t="shared" si="3"/>
        <v>0.0382685069</v>
      </c>
      <c r="O603" s="9">
        <f t="shared" si="4"/>
        <v>0.8722044728</v>
      </c>
      <c r="P603" s="9">
        <f>IFERROR(__xludf.DUMMYFUNCTION("GOOGLEFINANCE(A603, ""pe"")"),58.34)</f>
        <v>58.34</v>
      </c>
      <c r="Q603" s="9">
        <f>IFERROR(__xludf.DUMMYFUNCTION("IFERROR(GOOGLEFINANCE(A603, ""volume"") / GOOGLEFINANCE(A603, ""volumeavg""), 0)"),0.0)</f>
        <v>0</v>
      </c>
      <c r="R603" s="9">
        <f>IFERROR(__xludf.DUMMYFUNCTION("AVERAGE(INDEX(GOOGLEFINANCE(A603, ""price"", TODAY()-30, TODAY()), 0, 2))"),575.7217391304348)</f>
        <v>575.7217391</v>
      </c>
      <c r="S603" s="9">
        <f>IFERROR(__xludf.DUMMYFUNCTION("AVERAGE(INDEX(GOOGLEFINANCE(A603, ""price"", TODAY()-75, TODAY()), 0, 2))"),552.0783018867924)</f>
        <v>552.0783019</v>
      </c>
      <c r="T603" s="9">
        <f>IFERROR(__xludf.DUMMYFUNCTION("AVERAGE(INDEX(GOOGLEFINANCE(A603, ""price"", TODAY()-300, TODAY()), 0, 2))"),462.90658415841574)</f>
        <v>462.9065842</v>
      </c>
      <c r="U603" s="9">
        <f t="shared" si="5"/>
        <v>0.1151220396</v>
      </c>
      <c r="V603" s="15">
        <f>IFERROR(__xludf.DUMMYFUNCTION("LET(hist, GOOGLEFINANCE(A603,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rs))))))"),81.05530832803562)</f>
        <v>81.05530833</v>
      </c>
      <c r="W603" s="16" t="str">
        <f>IFERROR(__xludf.DUMMYFUNCTION("IFERROR(GOOGLEFINANCE(A603, ""volume"") / GOOGLEFINANCE(A603, ""volumeavg""), )"),"")</f>
        <v/>
      </c>
      <c r="X603" s="9">
        <f>IFERROR(__xludf.DUMMYFUNCTION("B603 * GOOGLEFINANCE(A603, ""volume"")"),7.44551154E8)</f>
        <v>744551154</v>
      </c>
      <c r="Y603" s="9">
        <f>IFERROR(__xludf.DUMMYFUNCTION("IFERROR(((B603 - GOOGLEFINANCE(A603, ""priceopen"")) / GOOGLEFINANCE(A603, ""priceopen"")) * GOOGLEFINANCE(A603, ""volume""), 0)"),-12508.719568567027)</f>
        <v>-12508.71957</v>
      </c>
    </row>
    <row r="604">
      <c r="A604" s="4" t="s">
        <v>2397</v>
      </c>
      <c r="B604" s="7">
        <f>IFERROR(__xludf.DUMMYFUNCTION("GOOGLEFINANCE(A604, ""price"")"),1893.9)</f>
        <v>1893.9</v>
      </c>
      <c r="C604" s="7">
        <f>IFERROR(__xludf.DUMMYFUNCTION("GOOGLEFINANCE(A604, ""changepct"")"),-2.75)</f>
        <v>-2.75</v>
      </c>
      <c r="D604" s="9">
        <f>IFERROR(__xludf.DUMMYFUNCTION("GOOGLEFINANCE(A604, ""priceopen"")"),1942.0)</f>
        <v>1942</v>
      </c>
      <c r="E604" s="9">
        <f>IFERROR(__xludf.DUMMYFUNCTION("GOOGLEFINANCE(A604, ""high"")"),1945.9)</f>
        <v>1945.9</v>
      </c>
      <c r="F604" s="9">
        <f>IFERROR(__xludf.DUMMYFUNCTION("GOOGLEFINANCE(A604, ""low"")"),1881.5)</f>
        <v>1881.5</v>
      </c>
      <c r="G604" s="9">
        <f>IFERROR(__xludf.DUMMYFUNCTION("GOOGLEFINANCE(A604, ""price"")"),1893.9)</f>
        <v>1893.9</v>
      </c>
      <c r="H604" s="9">
        <f>IFERROR(__xludf.DUMMYFUNCTION("MAX(INDEX(GOOGLEFINANCE(A604, ""high"", TODAY()-30, TODAY()), 0, 2))"),1998.9)</f>
        <v>1998.9</v>
      </c>
      <c r="I604" s="9">
        <f>IFERROR(__xludf.DUMMYFUNCTION("MIN(INDEX(GOOGLEFINANCE(A604, ""low"", TODAY()-30, TODAY()), 0, 2))"),1764.9)</f>
        <v>1764.9</v>
      </c>
      <c r="J604" s="9">
        <f>IFERROR(__xludf.DUMMYFUNCTION("GOOGLEFINANCE(A604, ""high52"")"),2201.9)</f>
        <v>2201.9</v>
      </c>
      <c r="K604" s="9">
        <f>IFERROR(__xludf.DUMMYFUNCTION("GOOGLEFINANCE(A604, ""low52"")"),1212.0)</f>
        <v>1212</v>
      </c>
      <c r="L604" s="9">
        <f t="shared" si="1"/>
        <v>0.1398791952</v>
      </c>
      <c r="M604" s="9">
        <f t="shared" si="2"/>
        <v>0.5626237624</v>
      </c>
      <c r="N604" s="9">
        <f t="shared" si="3"/>
        <v>0.03422800957</v>
      </c>
      <c r="O604" s="9">
        <f t="shared" si="4"/>
        <v>0.5512820513</v>
      </c>
      <c r="P604" s="9">
        <f>IFERROR(__xludf.DUMMYFUNCTION("GOOGLEFINANCE(A604, ""pe"")"),43.08)</f>
        <v>43.08</v>
      </c>
      <c r="Q604" s="9">
        <f>IFERROR(__xludf.DUMMYFUNCTION("IFERROR(GOOGLEFINANCE(A604, ""volume"") / GOOGLEFINANCE(A604, ""volumeavg""), 0)"),0.0)</f>
        <v>0</v>
      </c>
      <c r="R604" s="9">
        <f>IFERROR(__xludf.DUMMYFUNCTION("AVERAGE(INDEX(GOOGLEFINANCE(A604, ""price"", TODAY()-30, TODAY()), 0, 2))"),1859.0782608695656)</f>
        <v>1859.078261</v>
      </c>
      <c r="S604" s="9">
        <f>IFERROR(__xludf.DUMMYFUNCTION("AVERAGE(INDEX(GOOGLEFINANCE(A604, ""price"", TODAY()-75, TODAY()), 0, 2))"),1824.8320754716976)</f>
        <v>1824.832075</v>
      </c>
      <c r="T604" s="9">
        <f>IFERROR(__xludf.DUMMYFUNCTION("AVERAGE(INDEX(GOOGLEFINANCE(A604, ""price"", TODAY()-300, TODAY()), 0, 2))"),1649.839108910891)</f>
        <v>1649.839109</v>
      </c>
      <c r="U604" s="9">
        <f t="shared" si="5"/>
        <v>0.01873064726</v>
      </c>
      <c r="V604" s="15">
        <f>IFERROR(__xludf.DUMMYFUNCTION("LET(hist, GOOGLEFINANCE(A604,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rs))))))"),59.36745533558665)</f>
        <v>59.36745534</v>
      </c>
      <c r="W604" s="16" t="str">
        <f>IFERROR(__xludf.DUMMYFUNCTION("IFERROR(GOOGLEFINANCE(A604, ""volume"") / GOOGLEFINANCE(A604, ""volumeavg""), )"),"")</f>
        <v/>
      </c>
      <c r="X604" s="9">
        <f>IFERROR(__xludf.DUMMYFUNCTION("B604 * GOOGLEFINANCE(A604, ""volume"")"),9.22859592E7)</f>
        <v>92285959.2</v>
      </c>
      <c r="Y604" s="9">
        <f>IFERROR(__xludf.DUMMYFUNCTION("IFERROR(((B604 - GOOGLEFINANCE(A604, ""priceopen"")) / GOOGLEFINANCE(A604, ""priceopen"")) * GOOGLEFINANCE(A604, ""volume""), 0)"),-1206.9087538619956)</f>
        <v>-1206.908754</v>
      </c>
    </row>
    <row r="605">
      <c r="A605" s="4" t="s">
        <v>2398</v>
      </c>
      <c r="B605" s="7">
        <f>IFERROR(__xludf.DUMMYFUNCTION("GOOGLEFINANCE(A605, ""price"")"),286.0)</f>
        <v>286</v>
      </c>
      <c r="C605" s="7">
        <f>IFERROR(__xludf.DUMMYFUNCTION("GOOGLEFINANCE(A605, ""changepct"")"),-0.45)</f>
        <v>-0.45</v>
      </c>
      <c r="D605" s="9">
        <f>IFERROR(__xludf.DUMMYFUNCTION("GOOGLEFINANCE(A605, ""priceopen"")"),287.0)</f>
        <v>287</v>
      </c>
      <c r="E605" s="9">
        <f>IFERROR(__xludf.DUMMYFUNCTION("GOOGLEFINANCE(A605, ""high"")"),287.7)</f>
        <v>287.7</v>
      </c>
      <c r="F605" s="9">
        <f>IFERROR(__xludf.DUMMYFUNCTION("GOOGLEFINANCE(A605, ""low"")"),284.0)</f>
        <v>284</v>
      </c>
      <c r="G605" s="9">
        <f>IFERROR(__xludf.DUMMYFUNCTION("GOOGLEFINANCE(A605, ""price"")"),286.0)</f>
        <v>286</v>
      </c>
      <c r="H605" s="9">
        <f>IFERROR(__xludf.DUMMYFUNCTION("MAX(INDEX(GOOGLEFINANCE(A605, ""high"", TODAY()-30, TODAY()), 0, 2))"),311.8)</f>
        <v>311.8</v>
      </c>
      <c r="I605" s="9">
        <f>IFERROR(__xludf.DUMMYFUNCTION("MIN(INDEX(GOOGLEFINANCE(A605, ""low"", TODAY()-30, TODAY()), 0, 2))"),279.3)</f>
        <v>279.3</v>
      </c>
      <c r="J605" s="9">
        <f>IFERROR(__xludf.DUMMYFUNCTION("GOOGLEFINANCE(A605, ""high52"")"),412.9)</f>
        <v>412.9</v>
      </c>
      <c r="K605" s="9">
        <f>IFERROR(__xludf.DUMMYFUNCTION("GOOGLEFINANCE(A605, ""low52"")"),245.0)</f>
        <v>245</v>
      </c>
      <c r="L605" s="9">
        <f t="shared" si="1"/>
        <v>0.3073383386</v>
      </c>
      <c r="M605" s="9">
        <f t="shared" si="2"/>
        <v>0.1673469388</v>
      </c>
      <c r="N605" s="9">
        <f t="shared" si="3"/>
        <v>0.01302816901</v>
      </c>
      <c r="O605" s="9">
        <f t="shared" si="4"/>
        <v>0.2061538462</v>
      </c>
      <c r="P605" s="9">
        <f>IFERROR(__xludf.DUMMYFUNCTION("GOOGLEFINANCE(A605, ""pe"")"),26.52)</f>
        <v>26.52</v>
      </c>
      <c r="Q605" s="9">
        <f>IFERROR(__xludf.DUMMYFUNCTION("IFERROR(GOOGLEFINANCE(A605, ""volume"") / GOOGLEFINANCE(A605, ""volumeavg""), 0)"),0.0)</f>
        <v>0</v>
      </c>
      <c r="R605" s="9">
        <f>IFERROR(__xludf.DUMMYFUNCTION("AVERAGE(INDEX(GOOGLEFINANCE(A605, ""price"", TODAY()-30, TODAY()), 0, 2))"),292.52826086956526)</f>
        <v>292.5282609</v>
      </c>
      <c r="S605" s="9">
        <f>IFERROR(__xludf.DUMMYFUNCTION("AVERAGE(INDEX(GOOGLEFINANCE(A605, ""price"", TODAY()-75, TODAY()), 0, 2))"),303.9103773584905)</f>
        <v>303.9103774</v>
      </c>
      <c r="T605" s="9">
        <f>IFERROR(__xludf.DUMMYFUNCTION("AVERAGE(INDEX(GOOGLEFINANCE(A605, ""price"", TODAY()-300, TODAY()), 0, 2))"),322.7401485148516)</f>
        <v>322.7401485</v>
      </c>
      <c r="U605" s="9">
        <f t="shared" si="5"/>
        <v>-0.02231668438</v>
      </c>
      <c r="V605" s="15">
        <f>IFERROR(__xludf.DUMMYFUNCTION("LET(hist, GOOGLEFINANCE(A605,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rs))))))"),48.15205913410771)</f>
        <v>48.15205913</v>
      </c>
      <c r="W605" s="16" t="str">
        <f>IFERROR(__xludf.DUMMYFUNCTION("IFERROR(GOOGLEFINANCE(A605, ""volume"") / GOOGLEFINANCE(A605, ""volumeavg""), )"),"")</f>
        <v/>
      </c>
      <c r="X605" s="9">
        <f>IFERROR(__xludf.DUMMYFUNCTION("B605 * GOOGLEFINANCE(A605, ""volume"")"),8.842405E7)</f>
        <v>88424050</v>
      </c>
      <c r="Y605" s="9">
        <f>IFERROR(__xludf.DUMMYFUNCTION("IFERROR(((B605 - GOOGLEFINANCE(A605, ""priceopen"")) / GOOGLEFINANCE(A605, ""priceopen"")) * GOOGLEFINANCE(A605, ""volume""), 0)"),-1077.2648083623694)</f>
        <v>-1077.264808</v>
      </c>
    </row>
    <row r="606">
      <c r="A606" s="4" t="s">
        <v>2399</v>
      </c>
      <c r="B606" s="7">
        <f>IFERROR(__xludf.DUMMYFUNCTION("GOOGLEFINANCE(A606, ""price"")"),526.1)</f>
        <v>526.1</v>
      </c>
      <c r="C606" s="7">
        <f>IFERROR(__xludf.DUMMYFUNCTION("GOOGLEFINANCE(A606, ""changepct"")"),-1.41)</f>
        <v>-1.41</v>
      </c>
      <c r="D606" s="9">
        <f>IFERROR(__xludf.DUMMYFUNCTION("GOOGLEFINANCE(A606, ""priceopen"")"),532.0)</f>
        <v>532</v>
      </c>
      <c r="E606" s="9">
        <f>IFERROR(__xludf.DUMMYFUNCTION("GOOGLEFINANCE(A606, ""high"")"),532.45)</f>
        <v>532.45</v>
      </c>
      <c r="F606" s="9">
        <f>IFERROR(__xludf.DUMMYFUNCTION("GOOGLEFINANCE(A606, ""low"")"),515.5)</f>
        <v>515.5</v>
      </c>
      <c r="G606" s="9">
        <f>IFERROR(__xludf.DUMMYFUNCTION("GOOGLEFINANCE(A606, ""price"")"),526.1)</f>
        <v>526.1</v>
      </c>
      <c r="H606" s="9">
        <f>IFERROR(__xludf.DUMMYFUNCTION("MAX(INDEX(GOOGLEFINANCE(A606, ""high"", TODAY()-30, TODAY()), 0, 2))"),581.9)</f>
        <v>581.9</v>
      </c>
      <c r="I606" s="9">
        <f>IFERROR(__xludf.DUMMYFUNCTION("MIN(INDEX(GOOGLEFINANCE(A606, ""low"", TODAY()-30, TODAY()), 0, 2))"),488.05)</f>
        <v>488.05</v>
      </c>
      <c r="J606" s="9">
        <f>IFERROR(__xludf.DUMMYFUNCTION("GOOGLEFINANCE(A606, ""high52"")"),647.0)</f>
        <v>647</v>
      </c>
      <c r="K606" s="9">
        <f>IFERROR(__xludf.DUMMYFUNCTION("GOOGLEFINANCE(A606, ""low52"")"),294.0)</f>
        <v>294</v>
      </c>
      <c r="L606" s="9">
        <f t="shared" si="1"/>
        <v>0.186862442</v>
      </c>
      <c r="M606" s="9">
        <f t="shared" si="2"/>
        <v>0.7894557823</v>
      </c>
      <c r="N606" s="9">
        <f t="shared" si="3"/>
        <v>0.03288069835</v>
      </c>
      <c r="O606" s="9">
        <f t="shared" si="4"/>
        <v>0.4054342035</v>
      </c>
      <c r="P606" s="9" t="str">
        <f>IFERROR(__xludf.DUMMYFUNCTION("GOOGLEFINANCE(A606, ""pe"")"),"#N/A")</f>
        <v>#N/A</v>
      </c>
      <c r="Q606" s="9">
        <f>IFERROR(__xludf.DUMMYFUNCTION("IFERROR(GOOGLEFINANCE(A606, ""volume"") / GOOGLEFINANCE(A606, ""volumeavg""), 0)"),0.0)</f>
        <v>0</v>
      </c>
      <c r="R606" s="9">
        <f>IFERROR(__xludf.DUMMYFUNCTION("AVERAGE(INDEX(GOOGLEFINANCE(A606, ""price"", TODAY()-30, TODAY()), 0, 2))"),525.0673913043479)</f>
        <v>525.0673913</v>
      </c>
      <c r="S606" s="9">
        <f>IFERROR(__xludf.DUMMYFUNCTION("AVERAGE(INDEX(GOOGLEFINANCE(A606, ""price"", TODAY()-75, TODAY()), 0, 2))"),556.3226415094339)</f>
        <v>556.3226415</v>
      </c>
      <c r="T606" s="9">
        <f>IFERROR(__xludf.DUMMYFUNCTION("AVERAGE(INDEX(GOOGLEFINANCE(A606, ""price"", TODAY()-300, TODAY()), 0, 2))"),471.652475247525)</f>
        <v>471.6524752</v>
      </c>
      <c r="U606" s="9">
        <f t="shared" si="5"/>
        <v>0.001966621262</v>
      </c>
      <c r="V606" s="15">
        <f>IFERROR(__xludf.DUMMYFUNCTION("LET(hist, GOOGLEFINANCE(A606,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rs))))))"),59.933665008291875)</f>
        <v>59.93366501</v>
      </c>
      <c r="W606" s="16" t="str">
        <f>IFERROR(__xludf.DUMMYFUNCTION("IFERROR(GOOGLEFINANCE(A606, ""volume"") / GOOGLEFINANCE(A606, ""volumeavg""), )"),"")</f>
        <v/>
      </c>
      <c r="X606" s="9">
        <f>IFERROR(__xludf.DUMMYFUNCTION("B606 * GOOGLEFINANCE(A606, ""volume"")"),6.748016389E8)</f>
        <v>674801638.9</v>
      </c>
      <c r="Y606" s="9">
        <f>IFERROR(__xludf.DUMMYFUNCTION("IFERROR(((B606 - GOOGLEFINANCE(A606, ""priceopen"")) / GOOGLEFINANCE(A606, ""priceopen"")) * GOOGLEFINANCE(A606, ""volume""), 0)"),-14224.866729323254)</f>
        <v>-14224.86673</v>
      </c>
    </row>
    <row r="607">
      <c r="A607" s="4" t="s">
        <v>2400</v>
      </c>
      <c r="B607" s="7">
        <f>IFERROR(__xludf.DUMMYFUNCTION("GOOGLEFINANCE(A607, ""price"")"),627.05)</f>
        <v>627.05</v>
      </c>
      <c r="C607" s="7">
        <f>IFERROR(__xludf.DUMMYFUNCTION("GOOGLEFINANCE(A607, ""changepct"")"),-1.07)</f>
        <v>-1.07</v>
      </c>
      <c r="D607" s="9">
        <f>IFERROR(__xludf.DUMMYFUNCTION("GOOGLEFINANCE(A607, ""priceopen"")"),638.0)</f>
        <v>638</v>
      </c>
      <c r="E607" s="9">
        <f>IFERROR(__xludf.DUMMYFUNCTION("GOOGLEFINANCE(A607, ""high"")"),639.05)</f>
        <v>639.05</v>
      </c>
      <c r="F607" s="9">
        <f>IFERROR(__xludf.DUMMYFUNCTION("GOOGLEFINANCE(A607, ""low"")"),626.6)</f>
        <v>626.6</v>
      </c>
      <c r="G607" s="9">
        <f>IFERROR(__xludf.DUMMYFUNCTION("GOOGLEFINANCE(A607, ""price"")"),627.05)</f>
        <v>627.05</v>
      </c>
      <c r="H607" s="9">
        <f>IFERROR(__xludf.DUMMYFUNCTION("MAX(INDEX(GOOGLEFINANCE(A607, ""high"", TODAY()-30, TODAY()), 0, 2))"),693.6)</f>
        <v>693.6</v>
      </c>
      <c r="I607" s="9">
        <f>IFERROR(__xludf.DUMMYFUNCTION("MIN(INDEX(GOOGLEFINANCE(A607, ""low"", TODAY()-30, TODAY()), 0, 2))"),588.0)</f>
        <v>588</v>
      </c>
      <c r="J607" s="9">
        <f>IFERROR(__xludf.DUMMYFUNCTION("GOOGLEFINANCE(A607, ""high52"")"),879.8)</f>
        <v>879.8</v>
      </c>
      <c r="K607" s="9">
        <f>IFERROR(__xludf.DUMMYFUNCTION("GOOGLEFINANCE(A607, ""low52"")"),502.0)</f>
        <v>502</v>
      </c>
      <c r="L607" s="9">
        <f t="shared" si="1"/>
        <v>0.2872812003</v>
      </c>
      <c r="M607" s="9">
        <f t="shared" si="2"/>
        <v>0.2491035857</v>
      </c>
      <c r="N607" s="9">
        <f t="shared" si="3"/>
        <v>0.01986913501</v>
      </c>
      <c r="O607" s="9">
        <f t="shared" si="4"/>
        <v>0.3697916667</v>
      </c>
      <c r="P607" s="9">
        <f>IFERROR(__xludf.DUMMYFUNCTION("GOOGLEFINANCE(A607, ""pe"")"),18.26)</f>
        <v>18.26</v>
      </c>
      <c r="Q607" s="9">
        <f>IFERROR(__xludf.DUMMYFUNCTION("IFERROR(GOOGLEFINANCE(A607, ""volume"") / GOOGLEFINANCE(A607, ""volumeavg""), 0)"),0.0)</f>
        <v>0</v>
      </c>
      <c r="R607" s="9">
        <f>IFERROR(__xludf.DUMMYFUNCTION("AVERAGE(INDEX(GOOGLEFINANCE(A607, ""price"", TODAY()-30, TODAY()), 0, 2))"),647.6304347826087)</f>
        <v>647.6304348</v>
      </c>
      <c r="S607" s="9">
        <f>IFERROR(__xludf.DUMMYFUNCTION("AVERAGE(INDEX(GOOGLEFINANCE(A607, ""price"", TODAY()-75, TODAY()), 0, 2))"),658.8283018867924)</f>
        <v>658.8283019</v>
      </c>
      <c r="T607" s="9">
        <f>IFERROR(__xludf.DUMMYFUNCTION("AVERAGE(INDEX(GOOGLEFINANCE(A607, ""price"", TODAY()-300, TODAY()), 0, 2))"),652.2853960396039)</f>
        <v>652.285396</v>
      </c>
      <c r="U607" s="9">
        <f t="shared" si="5"/>
        <v>-0.03177805377</v>
      </c>
      <c r="V607" s="15">
        <f>IFERROR(__xludf.DUMMYFUNCTION("LET(hist, GOOGLEFINANCE(A607,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rs))))))"),56.13825983313468)</f>
        <v>56.13825983</v>
      </c>
      <c r="W607" s="16" t="str">
        <f>IFERROR(__xludf.DUMMYFUNCTION("IFERROR(GOOGLEFINANCE(A607, ""volume"") / GOOGLEFINANCE(A607, ""volumeavg""), )"),"")</f>
        <v/>
      </c>
      <c r="X607" s="9">
        <f>IFERROR(__xludf.DUMMYFUNCTION("B607 * GOOGLEFINANCE(A607, ""volume"")"),8.306092414999999E7)</f>
        <v>83060924.15</v>
      </c>
      <c r="Y607" s="9">
        <f>IFERROR(__xludf.DUMMYFUNCTION("IFERROR(((B607 - GOOGLEFINANCE(A607, ""priceopen"")) / GOOGLEFINANCE(A607, ""priceopen"")) * GOOGLEFINANCE(A607, ""volume""), 0)"),-2273.4637147335516)</f>
        <v>-2273.463715</v>
      </c>
    </row>
    <row r="608">
      <c r="A608" s="4" t="s">
        <v>2401</v>
      </c>
      <c r="B608" s="7">
        <f>IFERROR(__xludf.DUMMYFUNCTION("GOOGLEFINANCE(A608, ""price"")"),615.55)</f>
        <v>615.55</v>
      </c>
      <c r="C608" s="7">
        <f>IFERROR(__xludf.DUMMYFUNCTION("GOOGLEFINANCE(A608, ""changepct"")"),-2.36)</f>
        <v>-2.36</v>
      </c>
      <c r="D608" s="9">
        <f>IFERROR(__xludf.DUMMYFUNCTION("GOOGLEFINANCE(A608, ""priceopen"")"),630.4)</f>
        <v>630.4</v>
      </c>
      <c r="E608" s="9">
        <f>IFERROR(__xludf.DUMMYFUNCTION("GOOGLEFINANCE(A608, ""high"")"),633.45)</f>
        <v>633.45</v>
      </c>
      <c r="F608" s="9">
        <f>IFERROR(__xludf.DUMMYFUNCTION("GOOGLEFINANCE(A608, ""low"")"),608.5)</f>
        <v>608.5</v>
      </c>
      <c r="G608" s="9">
        <f>IFERROR(__xludf.DUMMYFUNCTION("GOOGLEFINANCE(A608, ""price"")"),615.55)</f>
        <v>615.55</v>
      </c>
      <c r="H608" s="9">
        <f>IFERROR(__xludf.DUMMYFUNCTION("MAX(INDEX(GOOGLEFINANCE(A608, ""high"", TODAY()-30, TODAY()), 0, 2))"),717.0)</f>
        <v>717</v>
      </c>
      <c r="I608" s="9">
        <f>IFERROR(__xludf.DUMMYFUNCTION("MIN(INDEX(GOOGLEFINANCE(A608, ""low"", TODAY()-30, TODAY()), 0, 2))"),581.55)</f>
        <v>581.55</v>
      </c>
      <c r="J608" s="9">
        <f>IFERROR(__xludf.DUMMYFUNCTION("GOOGLEFINANCE(A608, ""high52"")"),736.4)</f>
        <v>736.4</v>
      </c>
      <c r="K608" s="9">
        <f>IFERROR(__xludf.DUMMYFUNCTION("GOOGLEFINANCE(A608, ""low52"")"),503.0)</f>
        <v>503</v>
      </c>
      <c r="L608" s="9">
        <f t="shared" si="1"/>
        <v>0.1641091798</v>
      </c>
      <c r="M608" s="9">
        <f t="shared" si="2"/>
        <v>0.2237574553</v>
      </c>
      <c r="N608" s="9">
        <f t="shared" si="3"/>
        <v>0.04100246508</v>
      </c>
      <c r="O608" s="9">
        <f t="shared" si="4"/>
        <v>0.2510151347</v>
      </c>
      <c r="P608" s="9">
        <f>IFERROR(__xludf.DUMMYFUNCTION("GOOGLEFINANCE(A608, ""pe"")"),18.74)</f>
        <v>18.74</v>
      </c>
      <c r="Q608" s="9">
        <f>IFERROR(__xludf.DUMMYFUNCTION("IFERROR(GOOGLEFINANCE(A608, ""volume"") / GOOGLEFINANCE(A608, ""volumeavg""), 0)"),0.0)</f>
        <v>0</v>
      </c>
      <c r="R608" s="9">
        <f>IFERROR(__xludf.DUMMYFUNCTION("AVERAGE(INDEX(GOOGLEFINANCE(A608, ""price"", TODAY()-30, TODAY()), 0, 2))"),635.1304347826087)</f>
        <v>635.1304348</v>
      </c>
      <c r="S608" s="9">
        <f>IFERROR(__xludf.DUMMYFUNCTION("AVERAGE(INDEX(GOOGLEFINANCE(A608, ""price"", TODAY()-75, TODAY()), 0, 2))"),589.372641509434)</f>
        <v>589.3726415</v>
      </c>
      <c r="T608" s="9">
        <f>IFERROR(__xludf.DUMMYFUNCTION("AVERAGE(INDEX(GOOGLEFINANCE(A608, ""price"", TODAY()-300, TODAY()), 0, 2))"),600.3400990099011)</f>
        <v>600.340099</v>
      </c>
      <c r="U608" s="9">
        <f t="shared" si="5"/>
        <v>-0.03082899781</v>
      </c>
      <c r="V608" s="15">
        <f>IFERROR(__xludf.DUMMYFUNCTION("LET(hist, GOOGLEFINANCE(A608,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rs))))))"),38.83720930232556)</f>
        <v>38.8372093</v>
      </c>
      <c r="W608" s="16" t="str">
        <f>IFERROR(__xludf.DUMMYFUNCTION("IFERROR(GOOGLEFINANCE(A608, ""volume"") / GOOGLEFINANCE(A608, ""volumeavg""), )"),"")</f>
        <v/>
      </c>
      <c r="X608" s="9">
        <f>IFERROR(__xludf.DUMMYFUNCTION("B608 * GOOGLEFINANCE(A608, ""volume"")"),4.7071724049999994E8)</f>
        <v>470717240.5</v>
      </c>
      <c r="Y608" s="9">
        <f>IFERROR(__xludf.DUMMYFUNCTION("IFERROR(((B608 - GOOGLEFINANCE(A608, ""priceopen"")) / GOOGLEFINANCE(A608, ""priceopen"")) * GOOGLEFINANCE(A608, ""volume""), 0)"),-18013.869765228454)</f>
        <v>-18013.86977</v>
      </c>
    </row>
    <row r="609">
      <c r="A609" s="4" t="s">
        <v>2402</v>
      </c>
      <c r="B609" s="7">
        <f>IFERROR(__xludf.DUMMYFUNCTION("GOOGLEFINANCE(A609, ""price"")"),322.45)</f>
        <v>322.45</v>
      </c>
      <c r="C609" s="7">
        <f>IFERROR(__xludf.DUMMYFUNCTION("GOOGLEFINANCE(A609, ""changepct"")"),-3.43)</f>
        <v>-3.43</v>
      </c>
      <c r="D609" s="9">
        <f>IFERROR(__xludf.DUMMYFUNCTION("GOOGLEFINANCE(A609, ""priceopen"")"),333.9)</f>
        <v>333.9</v>
      </c>
      <c r="E609" s="9">
        <f>IFERROR(__xludf.DUMMYFUNCTION("GOOGLEFINANCE(A609, ""high"")"),334.65)</f>
        <v>334.65</v>
      </c>
      <c r="F609" s="9">
        <f>IFERROR(__xludf.DUMMYFUNCTION("GOOGLEFINANCE(A609, ""low"")"),322.0)</f>
        <v>322</v>
      </c>
      <c r="G609" s="9">
        <f>IFERROR(__xludf.DUMMYFUNCTION("GOOGLEFINANCE(A609, ""price"")"),322.45)</f>
        <v>322.45</v>
      </c>
      <c r="H609" s="9">
        <f>IFERROR(__xludf.DUMMYFUNCTION("MAX(INDEX(GOOGLEFINANCE(A609, ""high"", TODAY()-30, TODAY()), 0, 2))"),359.5)</f>
        <v>359.5</v>
      </c>
      <c r="I609" s="9">
        <f>IFERROR(__xludf.DUMMYFUNCTION("MIN(INDEX(GOOGLEFINANCE(A609, ""low"", TODAY()-30, TODAY()), 0, 2))"),280.5)</f>
        <v>280.5</v>
      </c>
      <c r="J609" s="9">
        <f>IFERROR(__xludf.DUMMYFUNCTION("GOOGLEFINANCE(A609, ""high52"")"),421.5)</f>
        <v>421.5</v>
      </c>
      <c r="K609" s="9">
        <f>IFERROR(__xludf.DUMMYFUNCTION("GOOGLEFINANCE(A609, ""low52"")"),207.15)</f>
        <v>207.15</v>
      </c>
      <c r="L609" s="9">
        <f t="shared" si="1"/>
        <v>0.2349940688</v>
      </c>
      <c r="M609" s="9">
        <f t="shared" si="2"/>
        <v>0.5566014965</v>
      </c>
      <c r="N609" s="9">
        <f t="shared" si="3"/>
        <v>0.03928571429</v>
      </c>
      <c r="O609" s="9">
        <f t="shared" si="4"/>
        <v>0.5310126582</v>
      </c>
      <c r="P609" s="9">
        <f>IFERROR(__xludf.DUMMYFUNCTION("GOOGLEFINANCE(A609, ""pe"")"),19.3)</f>
        <v>19.3</v>
      </c>
      <c r="Q609" s="9">
        <f>IFERROR(__xludf.DUMMYFUNCTION("IFERROR(GOOGLEFINANCE(A609, ""volume"") / GOOGLEFINANCE(A609, ""volumeavg""), 0)"),0.0)</f>
        <v>0</v>
      </c>
      <c r="R609" s="9">
        <f>IFERROR(__xludf.DUMMYFUNCTION("AVERAGE(INDEX(GOOGLEFINANCE(A609, ""price"", TODAY()-30, TODAY()), 0, 2))"),314.11304347826086)</f>
        <v>314.1130435</v>
      </c>
      <c r="S609" s="9">
        <f>IFERROR(__xludf.DUMMYFUNCTION("AVERAGE(INDEX(GOOGLEFINANCE(A609, ""price"", TODAY()-75, TODAY()), 0, 2))"),292.83773584905657)</f>
        <v>292.8377358</v>
      </c>
      <c r="T609" s="9">
        <f>IFERROR(__xludf.DUMMYFUNCTION("AVERAGE(INDEX(GOOGLEFINANCE(A609, ""price"", TODAY()-300, TODAY()), 0, 2))"),304.2301485148515)</f>
        <v>304.2301485</v>
      </c>
      <c r="U609" s="9">
        <f t="shared" si="5"/>
        <v>0.0265412618</v>
      </c>
      <c r="V609" s="15">
        <f>IFERROR(__xludf.DUMMYFUNCTION("LET(hist, GOOGLEFINANCE(A609,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rs))))))"),63.009743774810545)</f>
        <v>63.00974377</v>
      </c>
      <c r="W609" s="16" t="str">
        <f>IFERROR(__xludf.DUMMYFUNCTION("IFERROR(GOOGLEFINANCE(A609, ""volume"") / GOOGLEFINANCE(A609, ""volumeavg""), )"),"")</f>
        <v/>
      </c>
      <c r="X609" s="9">
        <f>IFERROR(__xludf.DUMMYFUNCTION("B609 * GOOGLEFINANCE(A609, ""volume"")"),2.4874341165E8)</f>
        <v>248743411.7</v>
      </c>
      <c r="Y609" s="9">
        <f>IFERROR(__xludf.DUMMYFUNCTION("IFERROR(((B609 - GOOGLEFINANCE(A609, ""priceopen"")) / GOOGLEFINANCE(A609, ""priceopen"")) * GOOGLEFINANCE(A609, ""volume""), 0)"),-26453.2035040431)</f>
        <v>-26453.2035</v>
      </c>
    </row>
    <row r="610">
      <c r="A610" s="4" t="s">
        <v>2403</v>
      </c>
      <c r="B610" s="7">
        <f>IFERROR(__xludf.DUMMYFUNCTION("GOOGLEFINANCE(A610, ""price"")"),453.5)</f>
        <v>453.5</v>
      </c>
      <c r="C610" s="7">
        <f>IFERROR(__xludf.DUMMYFUNCTION("GOOGLEFINANCE(A610, ""changepct"")"),-0.8)</f>
        <v>-0.8</v>
      </c>
      <c r="D610" s="9">
        <f>IFERROR(__xludf.DUMMYFUNCTION("GOOGLEFINANCE(A610, ""priceopen"")"),459.95)</f>
        <v>459.95</v>
      </c>
      <c r="E610" s="9">
        <f>IFERROR(__xludf.DUMMYFUNCTION("GOOGLEFINANCE(A610, ""high"")"),465.3)</f>
        <v>465.3</v>
      </c>
      <c r="F610" s="9">
        <f>IFERROR(__xludf.DUMMYFUNCTION("GOOGLEFINANCE(A610, ""low"")"),453.5)</f>
        <v>453.5</v>
      </c>
      <c r="G610" s="9">
        <f>IFERROR(__xludf.DUMMYFUNCTION("GOOGLEFINANCE(A610, ""price"")"),453.5)</f>
        <v>453.5</v>
      </c>
      <c r="H610" s="9">
        <f>IFERROR(__xludf.DUMMYFUNCTION("MAX(INDEX(GOOGLEFINANCE(A610, ""high"", TODAY()-30, TODAY()), 0, 2))"),480.0)</f>
        <v>480</v>
      </c>
      <c r="I610" s="9">
        <f>IFERROR(__xludf.DUMMYFUNCTION("MIN(INDEX(GOOGLEFINANCE(A610, ""low"", TODAY()-30, TODAY()), 0, 2))"),441.05)</f>
        <v>441.05</v>
      </c>
      <c r="J610" s="9">
        <f>IFERROR(__xludf.DUMMYFUNCTION("GOOGLEFINANCE(A610, ""high52"")"),607.9)</f>
        <v>607.9</v>
      </c>
      <c r="K610" s="9">
        <f>IFERROR(__xludf.DUMMYFUNCTION("GOOGLEFINANCE(A610, ""low52"")"),430.3)</f>
        <v>430.3</v>
      </c>
      <c r="L610" s="9">
        <f t="shared" si="1"/>
        <v>0.253989143</v>
      </c>
      <c r="M610" s="9">
        <f t="shared" si="2"/>
        <v>0.05391587265</v>
      </c>
      <c r="N610" s="9">
        <f t="shared" si="3"/>
        <v>0.02601984564</v>
      </c>
      <c r="O610" s="9">
        <f t="shared" si="4"/>
        <v>0.3196405648</v>
      </c>
      <c r="P610" s="9">
        <f>IFERROR(__xludf.DUMMYFUNCTION("GOOGLEFINANCE(A610, ""pe"")"),35.15)</f>
        <v>35.15</v>
      </c>
      <c r="Q610" s="9">
        <f>IFERROR(__xludf.DUMMYFUNCTION("IFERROR(GOOGLEFINANCE(A610, ""volume"") / GOOGLEFINANCE(A610, ""volumeavg""), 0)"),0.0)</f>
        <v>0</v>
      </c>
      <c r="R610" s="9">
        <f>IFERROR(__xludf.DUMMYFUNCTION("AVERAGE(INDEX(GOOGLEFINANCE(A610, ""price"", TODAY()-30, TODAY()), 0, 2))"),456.81086956521744)</f>
        <v>456.8108696</v>
      </c>
      <c r="S610" s="9">
        <f>IFERROR(__xludf.DUMMYFUNCTION("AVERAGE(INDEX(GOOGLEFINANCE(A610, ""price"", TODAY()-75, TODAY()), 0, 2))"),461.4235849056604)</f>
        <v>461.4235849</v>
      </c>
      <c r="T610" s="9">
        <f>IFERROR(__xludf.DUMMYFUNCTION("AVERAGE(INDEX(GOOGLEFINANCE(A610, ""price"", TODAY()-300, TODAY()), 0, 2))"),478.5621287128712)</f>
        <v>478.5621287</v>
      </c>
      <c r="U610" s="9">
        <f t="shared" si="5"/>
        <v>-0.007247790685</v>
      </c>
      <c r="V610" s="15">
        <f>IFERROR(__xludf.DUMMYFUNCTION("LET(hist, GOOGLEFINANCE(A610,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rs))))))"),57.871396895787136)</f>
        <v>57.8713969</v>
      </c>
      <c r="W610" s="16" t="str">
        <f>IFERROR(__xludf.DUMMYFUNCTION("IFERROR(GOOGLEFINANCE(A610, ""volume"") / GOOGLEFINANCE(A610, ""volumeavg""), )"),"")</f>
        <v/>
      </c>
      <c r="X610" s="9">
        <f>IFERROR(__xludf.DUMMYFUNCTION("B610 * GOOGLEFINANCE(A610, ""volume"")"),3.33390525E7)</f>
        <v>33339052.5</v>
      </c>
      <c r="Y610" s="9">
        <f>IFERROR(__xludf.DUMMYFUNCTION("IFERROR(((B610 - GOOGLEFINANCE(A610, ""priceopen"")) / GOOGLEFINANCE(A610, ""priceopen"")) * GOOGLEFINANCE(A610, ""volume""), 0)"),-1030.920208718337)</f>
        <v>-1030.920209</v>
      </c>
    </row>
    <row r="611">
      <c r="A611" s="4" t="s">
        <v>2404</v>
      </c>
      <c r="B611" s="7">
        <f>IFERROR(__xludf.DUMMYFUNCTION("GOOGLEFINANCE(A611, ""price"")"),9.8)</f>
        <v>9.8</v>
      </c>
      <c r="C611" s="7">
        <f>IFERROR(__xludf.DUMMYFUNCTION("GOOGLEFINANCE(A611, ""changepct"")"),-1.71)</f>
        <v>-1.71</v>
      </c>
      <c r="D611" s="9">
        <f>IFERROR(__xludf.DUMMYFUNCTION("GOOGLEFINANCE(A611, ""priceopen"")"),9.99)</f>
        <v>9.99</v>
      </c>
      <c r="E611" s="9">
        <f>IFERROR(__xludf.DUMMYFUNCTION("GOOGLEFINANCE(A611, ""high"")"),10.0)</f>
        <v>10</v>
      </c>
      <c r="F611" s="9">
        <f>IFERROR(__xludf.DUMMYFUNCTION("GOOGLEFINANCE(A611, ""low"")"),9.7)</f>
        <v>9.7</v>
      </c>
      <c r="G611" s="9">
        <f>IFERROR(__xludf.DUMMYFUNCTION("GOOGLEFINANCE(A611, ""price"")"),9.8)</f>
        <v>9.8</v>
      </c>
      <c r="H611" s="9">
        <f>IFERROR(__xludf.DUMMYFUNCTION("MAX(INDEX(GOOGLEFINANCE(A611, ""high"", TODAY()-30, TODAY()), 0, 2))"),10.85)</f>
        <v>10.85</v>
      </c>
      <c r="I611" s="9">
        <f>IFERROR(__xludf.DUMMYFUNCTION("MIN(INDEX(GOOGLEFINANCE(A611, ""low"", TODAY()-30, TODAY()), 0, 2))"),8.98)</f>
        <v>8.98</v>
      </c>
      <c r="J611" s="9">
        <f>IFERROR(__xludf.DUMMYFUNCTION("GOOGLEFINANCE(A611, ""high52"")"),15.38)</f>
        <v>15.38</v>
      </c>
      <c r="K611" s="9">
        <f>IFERROR(__xludf.DUMMYFUNCTION("GOOGLEFINANCE(A611, ""low52"")"),7.47)</f>
        <v>7.47</v>
      </c>
      <c r="L611" s="9">
        <f t="shared" si="1"/>
        <v>0.3628088427</v>
      </c>
      <c r="M611" s="9">
        <f t="shared" si="2"/>
        <v>0.311914324</v>
      </c>
      <c r="N611" s="9">
        <f t="shared" si="3"/>
        <v>0.03092783505</v>
      </c>
      <c r="O611" s="9">
        <f t="shared" si="4"/>
        <v>0.4385026738</v>
      </c>
      <c r="P611" s="9">
        <f>IFERROR(__xludf.DUMMYFUNCTION("GOOGLEFINANCE(A611, ""pe"")"),12.41)</f>
        <v>12.41</v>
      </c>
      <c r="Q611" s="9">
        <f>IFERROR(__xludf.DUMMYFUNCTION("IFERROR(GOOGLEFINANCE(A611, ""volume"") / GOOGLEFINANCE(A611, ""volumeavg""), 0)"),0.0)</f>
        <v>0</v>
      </c>
      <c r="R611" s="9">
        <f>IFERROR(__xludf.DUMMYFUNCTION("AVERAGE(INDEX(GOOGLEFINANCE(A611, ""price"", TODAY()-30, TODAY()), 0, 2))"),9.701739130434783)</f>
        <v>9.70173913</v>
      </c>
      <c r="S611" s="9">
        <f>IFERROR(__xludf.DUMMYFUNCTION("AVERAGE(INDEX(GOOGLEFINANCE(A611, ""price"", TODAY()-75, TODAY()), 0, 2))"),9.38490566037736)</f>
        <v>9.38490566</v>
      </c>
      <c r="T611" s="9">
        <f>IFERROR(__xludf.DUMMYFUNCTION("AVERAGE(INDEX(GOOGLEFINANCE(A611, ""price"", TODAY()-300, TODAY()), 0, 2))"),9.801980198019795)</f>
        <v>9.801980198</v>
      </c>
      <c r="U611" s="9">
        <f t="shared" si="5"/>
        <v>0.01012817066</v>
      </c>
      <c r="V611" s="15">
        <f>IFERROR(__xludf.DUMMYFUNCTION("LET(hist, GOOGLEFINANCE(A611,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rs))))))"),63.15789473684212)</f>
        <v>63.15789474</v>
      </c>
      <c r="W611" s="16" t="str">
        <f>IFERROR(__xludf.DUMMYFUNCTION("IFERROR(GOOGLEFINANCE(A611, ""volume"") / GOOGLEFINANCE(A611, ""volumeavg""), )"),"")</f>
        <v/>
      </c>
      <c r="X611" s="9">
        <f>IFERROR(__xludf.DUMMYFUNCTION("B611 * GOOGLEFINANCE(A611, ""volume"")"),1.5054724328000002E9)</f>
        <v>1505472433</v>
      </c>
      <c r="Y611" s="9">
        <f>IFERROR(__xludf.DUMMYFUNCTION("IFERROR(((B611 - GOOGLEFINANCE(A611, ""priceopen"")) / GOOGLEFINANCE(A611, ""priceopen"")) * GOOGLEFINANCE(A611, ""volume""), 0)"),-2921694.778778771)</f>
        <v>-2921694.779</v>
      </c>
    </row>
    <row r="612">
      <c r="A612" s="4" t="s">
        <v>2405</v>
      </c>
      <c r="B612" s="7">
        <f>IFERROR(__xludf.DUMMYFUNCTION("GOOGLEFINANCE(A612, ""price"")"),714.8)</f>
        <v>714.8</v>
      </c>
      <c r="C612" s="7">
        <f>IFERROR(__xludf.DUMMYFUNCTION("GOOGLEFINANCE(A612, ""changepct"")"),2.14)</f>
        <v>2.14</v>
      </c>
      <c r="D612" s="9">
        <f>IFERROR(__xludf.DUMMYFUNCTION("GOOGLEFINANCE(A612, ""priceopen"")"),730.0)</f>
        <v>730</v>
      </c>
      <c r="E612" s="9">
        <f>IFERROR(__xludf.DUMMYFUNCTION("GOOGLEFINANCE(A612, ""high"")"),759.75)</f>
        <v>759.75</v>
      </c>
      <c r="F612" s="9">
        <f>IFERROR(__xludf.DUMMYFUNCTION("GOOGLEFINANCE(A612, ""low"")"),708.0)</f>
        <v>708</v>
      </c>
      <c r="G612" s="9">
        <f>IFERROR(__xludf.DUMMYFUNCTION("GOOGLEFINANCE(A612, ""price"")"),714.8)</f>
        <v>714.8</v>
      </c>
      <c r="H612" s="9">
        <f>IFERROR(__xludf.DUMMYFUNCTION("MAX(INDEX(GOOGLEFINANCE(A612, ""high"", TODAY()-30, TODAY()), 0, 2))"),759.75)</f>
        <v>759.75</v>
      </c>
      <c r="I612" s="9">
        <f>IFERROR(__xludf.DUMMYFUNCTION("MIN(INDEX(GOOGLEFINANCE(A612, ""low"", TODAY()-30, TODAY()), 0, 2))"),667.0)</f>
        <v>667</v>
      </c>
      <c r="J612" s="9">
        <f>IFERROR(__xludf.DUMMYFUNCTION("GOOGLEFINANCE(A612, ""high52"")"),1282.5)</f>
        <v>1282.5</v>
      </c>
      <c r="K612" s="9">
        <f>IFERROR(__xludf.DUMMYFUNCTION("GOOGLEFINANCE(A612, ""low52"")"),605.0)</f>
        <v>605</v>
      </c>
      <c r="L612" s="9">
        <f t="shared" si="1"/>
        <v>0.4426510721</v>
      </c>
      <c r="M612" s="9">
        <f t="shared" si="2"/>
        <v>0.1814876033</v>
      </c>
      <c r="N612" s="9">
        <f t="shared" si="3"/>
        <v>0.07309322034</v>
      </c>
      <c r="O612" s="9">
        <f t="shared" si="4"/>
        <v>0.5153638814</v>
      </c>
      <c r="P612" s="9">
        <f>IFERROR(__xludf.DUMMYFUNCTION("GOOGLEFINANCE(A612, ""pe"")"),68.46)</f>
        <v>68.46</v>
      </c>
      <c r="Q612" s="9">
        <f>IFERROR(__xludf.DUMMYFUNCTION("IFERROR(GOOGLEFINANCE(A612, ""volume"") / GOOGLEFINANCE(A612, ""volumeavg""), 0)"),0.0)</f>
        <v>0</v>
      </c>
      <c r="R612" s="9">
        <f>IFERROR(__xludf.DUMMYFUNCTION("AVERAGE(INDEX(GOOGLEFINANCE(A612, ""price"", TODAY()-30, TODAY()), 0, 2))"),700.2499999999999)</f>
        <v>700.25</v>
      </c>
      <c r="S612" s="9">
        <f>IFERROR(__xludf.DUMMYFUNCTION("AVERAGE(INDEX(GOOGLEFINANCE(A612, ""price"", TODAY()-75, TODAY()), 0, 2))"),693.3773584905662)</f>
        <v>693.3773585</v>
      </c>
      <c r="T612" s="9">
        <f>IFERROR(__xludf.DUMMYFUNCTION("AVERAGE(INDEX(GOOGLEFINANCE(A612, ""price"", TODAY()-300, TODAY()), 0, 2))"),815.6878712871286)</f>
        <v>815.6878713</v>
      </c>
      <c r="U612" s="9">
        <f t="shared" si="5"/>
        <v>0.02077829347</v>
      </c>
      <c r="V612" s="15">
        <f>IFERROR(__xludf.DUMMYFUNCTION("LET(hist, GOOGLEFINANCE(A612,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rs))))))"),66.66666666666669)</f>
        <v>66.66666667</v>
      </c>
      <c r="W612" s="16" t="str">
        <f>IFERROR(__xludf.DUMMYFUNCTION("IFERROR(GOOGLEFINANCE(A612, ""volume"") / GOOGLEFINANCE(A612, ""volumeavg""), )"),"")</f>
        <v/>
      </c>
      <c r="X612" s="9">
        <f>IFERROR(__xludf.DUMMYFUNCTION("B612 * GOOGLEFINANCE(A612, ""volume"")"),2.7047989112E9)</f>
        <v>2704798911</v>
      </c>
      <c r="Y612" s="9">
        <f>IFERROR(__xludf.DUMMYFUNCTION("IFERROR(((B612 - GOOGLEFINANCE(A612, ""priceopen"")) / GOOGLEFINANCE(A612, ""priceopen"")) * GOOGLEFINANCE(A612, ""volume""), 0)"),-78790.01205479476)</f>
        <v>-78790.01205</v>
      </c>
    </row>
    <row r="613">
      <c r="A613" s="4" t="s">
        <v>2406</v>
      </c>
      <c r="B613" s="7">
        <f>IFERROR(__xludf.DUMMYFUNCTION("GOOGLEFINANCE(A613, ""price"")"),291.6)</f>
        <v>291.6</v>
      </c>
      <c r="C613" s="7">
        <f>IFERROR(__xludf.DUMMYFUNCTION("GOOGLEFINANCE(A613, ""changepct"")"),-1.85)</f>
        <v>-1.85</v>
      </c>
      <c r="D613" s="9">
        <f>IFERROR(__xludf.DUMMYFUNCTION("GOOGLEFINANCE(A613, ""priceopen"")"),297.0)</f>
        <v>297</v>
      </c>
      <c r="E613" s="9">
        <f>IFERROR(__xludf.DUMMYFUNCTION("GOOGLEFINANCE(A613, ""high"")"),298.7)</f>
        <v>298.7</v>
      </c>
      <c r="F613" s="9">
        <f>IFERROR(__xludf.DUMMYFUNCTION("GOOGLEFINANCE(A613, ""low"")"),291.0)</f>
        <v>291</v>
      </c>
      <c r="G613" s="9">
        <f>IFERROR(__xludf.DUMMYFUNCTION("GOOGLEFINANCE(A613, ""price"")"),291.6)</f>
        <v>291.6</v>
      </c>
      <c r="H613" s="9">
        <f>IFERROR(__xludf.DUMMYFUNCTION("MAX(INDEX(GOOGLEFINANCE(A613, ""high"", TODAY()-30, TODAY()), 0, 2))"),350.6)</f>
        <v>350.6</v>
      </c>
      <c r="I613" s="9">
        <f>IFERROR(__xludf.DUMMYFUNCTION("MIN(INDEX(GOOGLEFINANCE(A613, ""low"", TODAY()-30, TODAY()), 0, 2))"),288.1)</f>
        <v>288.1</v>
      </c>
      <c r="J613" s="9">
        <f>IFERROR(__xludf.DUMMYFUNCTION("GOOGLEFINANCE(A613, ""high52"")"),552.0)</f>
        <v>552</v>
      </c>
      <c r="K613" s="9">
        <f>IFERROR(__xludf.DUMMYFUNCTION("GOOGLEFINANCE(A613, ""low52"")"),224.05)</f>
        <v>224.05</v>
      </c>
      <c r="L613" s="9">
        <f t="shared" si="1"/>
        <v>0.4717391304</v>
      </c>
      <c r="M613" s="9">
        <f t="shared" si="2"/>
        <v>0.301495202</v>
      </c>
      <c r="N613" s="9">
        <f t="shared" si="3"/>
        <v>0.0264604811</v>
      </c>
      <c r="O613" s="9">
        <f t="shared" si="4"/>
        <v>0.056</v>
      </c>
      <c r="P613" s="9">
        <f>IFERROR(__xludf.DUMMYFUNCTION("GOOGLEFINANCE(A613, ""pe"")"),33.59)</f>
        <v>33.59</v>
      </c>
      <c r="Q613" s="9">
        <f>IFERROR(__xludf.DUMMYFUNCTION("IFERROR(GOOGLEFINANCE(A613, ""volume"") / GOOGLEFINANCE(A613, ""volumeavg""), 0)"),0.0)</f>
        <v>0</v>
      </c>
      <c r="R613" s="9">
        <f>IFERROR(__xludf.DUMMYFUNCTION("AVERAGE(INDEX(GOOGLEFINANCE(A613, ""price"", TODAY()-30, TODAY()), 0, 2))"),308.1282608695652)</f>
        <v>308.1282609</v>
      </c>
      <c r="S613" s="9">
        <f>IFERROR(__xludf.DUMMYFUNCTION("AVERAGE(INDEX(GOOGLEFINANCE(A613, ""price"", TODAY()-75, TODAY()), 0, 2))"),320.20000000000005)</f>
        <v>320.2</v>
      </c>
      <c r="T613" s="9">
        <f>IFERROR(__xludf.DUMMYFUNCTION("AVERAGE(INDEX(GOOGLEFINANCE(A613, ""price"", TODAY()-300, TODAY()), 0, 2))"),308.9931683168317)</f>
        <v>308.9931683</v>
      </c>
      <c r="U613" s="9">
        <f t="shared" si="5"/>
        <v>-0.05364084691</v>
      </c>
      <c r="V613" s="15">
        <f>IFERROR(__xludf.DUMMYFUNCTION("LET(hist, GOOGLEFINANCE(A613,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rs))))))"),48.41168996188056)</f>
        <v>48.41168996</v>
      </c>
      <c r="W613" s="16" t="str">
        <f>IFERROR(__xludf.DUMMYFUNCTION("IFERROR(GOOGLEFINANCE(A613, ""volume"") / GOOGLEFINANCE(A613, ""volumeavg""), )"),"")</f>
        <v/>
      </c>
      <c r="X613" s="9">
        <f>IFERROR(__xludf.DUMMYFUNCTION("B613 * GOOGLEFINANCE(A613, ""volume"")"),2.0179011600000003E8)</f>
        <v>201790116</v>
      </c>
      <c r="Y613" s="9">
        <f>IFERROR(__xludf.DUMMYFUNCTION("IFERROR(((B613 - GOOGLEFINANCE(A613, ""priceopen"")) / GOOGLEFINANCE(A613, ""priceopen"")) * GOOGLEFINANCE(A613, ""volume""), 0)"),-12581.999999999947)</f>
        <v>-12582</v>
      </c>
    </row>
    <row r="614">
      <c r="A614" s="4" t="s">
        <v>2407</v>
      </c>
      <c r="B614" s="7">
        <f>IFERROR(__xludf.DUMMYFUNCTION("GOOGLEFINANCE(A614, ""price"")"),144.0)</f>
        <v>144</v>
      </c>
      <c r="C614" s="7">
        <f>IFERROR(__xludf.DUMMYFUNCTION("GOOGLEFINANCE(A614, ""changepct"")"),-0.53)</f>
        <v>-0.53</v>
      </c>
      <c r="D614" s="9">
        <f>IFERROR(__xludf.DUMMYFUNCTION("GOOGLEFINANCE(A614, ""priceopen"")"),144.82)</f>
        <v>144.82</v>
      </c>
      <c r="E614" s="9">
        <f>IFERROR(__xludf.DUMMYFUNCTION("GOOGLEFINANCE(A614, ""high"")"),145.38)</f>
        <v>145.38</v>
      </c>
      <c r="F614" s="9">
        <f>IFERROR(__xludf.DUMMYFUNCTION("GOOGLEFINANCE(A614, ""low"")"),143.01)</f>
        <v>143.01</v>
      </c>
      <c r="G614" s="9">
        <f>IFERROR(__xludf.DUMMYFUNCTION("GOOGLEFINANCE(A614, ""price"")"),144.0)</f>
        <v>144</v>
      </c>
      <c r="H614" s="9">
        <f>IFERROR(__xludf.DUMMYFUNCTION("MAX(INDEX(GOOGLEFINANCE(A614, ""high"", TODAY()-30, TODAY()), 0, 2))"),149.45)</f>
        <v>149.45</v>
      </c>
      <c r="I614" s="9">
        <f>IFERROR(__xludf.DUMMYFUNCTION("MIN(INDEX(GOOGLEFINANCE(A614, ""low"", TODAY()-30, TODAY()), 0, 2))"),134.1)</f>
        <v>134.1</v>
      </c>
      <c r="J614" s="9">
        <f>IFERROR(__xludf.DUMMYFUNCTION("GOOGLEFINANCE(A614, ""high52"")"),225.09)</f>
        <v>225.09</v>
      </c>
      <c r="K614" s="9">
        <f>IFERROR(__xludf.DUMMYFUNCTION("GOOGLEFINANCE(A614, ""low52"")"),130.0)</f>
        <v>130</v>
      </c>
      <c r="L614" s="9">
        <f t="shared" si="1"/>
        <v>0.3602558976</v>
      </c>
      <c r="M614" s="9">
        <f t="shared" si="2"/>
        <v>0.1076923077</v>
      </c>
      <c r="N614" s="9">
        <f t="shared" si="3"/>
        <v>0.01657226767</v>
      </c>
      <c r="O614" s="9">
        <f t="shared" si="4"/>
        <v>0.6449511401</v>
      </c>
      <c r="P614" s="9">
        <f>IFERROR(__xludf.DUMMYFUNCTION("GOOGLEFINANCE(A614, ""pe"")"),12.92)</f>
        <v>12.92</v>
      </c>
      <c r="Q614" s="9">
        <f>IFERROR(__xludf.DUMMYFUNCTION("IFERROR(GOOGLEFINANCE(A614, ""volume"") / GOOGLEFINANCE(A614, ""volumeavg""), 0)"),0.0)</f>
        <v>0</v>
      </c>
      <c r="R614" s="9">
        <f>IFERROR(__xludf.DUMMYFUNCTION("AVERAGE(INDEX(GOOGLEFINANCE(A614, ""price"", TODAY()-30, TODAY()), 0, 2))"),141.66000000000003)</f>
        <v>141.66</v>
      </c>
      <c r="S614" s="9">
        <f>IFERROR(__xludf.DUMMYFUNCTION("AVERAGE(INDEX(GOOGLEFINANCE(A614, ""price"", TODAY()-75, TODAY()), 0, 2))"),146.34396226415095)</f>
        <v>146.3439623</v>
      </c>
      <c r="T614" s="9">
        <f>IFERROR(__xludf.DUMMYFUNCTION("AVERAGE(INDEX(GOOGLEFINANCE(A614, ""price"", TODAY()-300, TODAY()), 0, 2))"),157.64242574257423)</f>
        <v>157.6424257</v>
      </c>
      <c r="U614" s="9">
        <f t="shared" si="5"/>
        <v>0.0165184244</v>
      </c>
      <c r="V614" s="15">
        <f>IFERROR(__xludf.DUMMYFUNCTION("LET(hist, GOOGLEFINANCE(A614,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rs))))))"),63.246610480029325)</f>
        <v>63.24661048</v>
      </c>
      <c r="W614" s="16" t="str">
        <f>IFERROR(__xludf.DUMMYFUNCTION("IFERROR(GOOGLEFINANCE(A614, ""volume"") / GOOGLEFINANCE(A614, ""volumeavg""), )"),"")</f>
        <v/>
      </c>
      <c r="X614" s="9">
        <f>IFERROR(__xludf.DUMMYFUNCTION("B614 * GOOGLEFINANCE(A614, ""volume"")"),1.49956128E8)</f>
        <v>149956128</v>
      </c>
      <c r="Y614" s="9">
        <f>IFERROR(__xludf.DUMMYFUNCTION("IFERROR(((B614 - GOOGLEFINANCE(A614, ""priceopen"")) / GOOGLEFINANCE(A614, ""priceopen"")) * GOOGLEFINANCE(A614, ""volume""), 0)"),-5896.401325783682)</f>
        <v>-5896.401326</v>
      </c>
    </row>
    <row r="615">
      <c r="A615" s="4" t="s">
        <v>2408</v>
      </c>
      <c r="B615" s="7">
        <f>IFERROR(__xludf.DUMMYFUNCTION("GOOGLEFINANCE(A615, ""price"")"),718.0)</f>
        <v>718</v>
      </c>
      <c r="C615" s="7">
        <f>IFERROR(__xludf.DUMMYFUNCTION("GOOGLEFINANCE(A615, ""changepct"")"),0.01)</f>
        <v>0.01</v>
      </c>
      <c r="D615" s="9">
        <f>IFERROR(__xludf.DUMMYFUNCTION("GOOGLEFINANCE(A615, ""priceopen"")"),717.9)</f>
        <v>717.9</v>
      </c>
      <c r="E615" s="9">
        <f>IFERROR(__xludf.DUMMYFUNCTION("GOOGLEFINANCE(A615, ""high"")"),723.0)</f>
        <v>723</v>
      </c>
      <c r="F615" s="9">
        <f>IFERROR(__xludf.DUMMYFUNCTION("GOOGLEFINANCE(A615, ""low"")"),709.0)</f>
        <v>709</v>
      </c>
      <c r="G615" s="9">
        <f>IFERROR(__xludf.DUMMYFUNCTION("GOOGLEFINANCE(A615, ""price"")"),718.0)</f>
        <v>718</v>
      </c>
      <c r="H615" s="9">
        <f>IFERROR(__xludf.DUMMYFUNCTION("MAX(INDEX(GOOGLEFINANCE(A615, ""high"", TODAY()-30, TODAY()), 0, 2))"),737.45)</f>
        <v>737.45</v>
      </c>
      <c r="I615" s="9">
        <f>IFERROR(__xludf.DUMMYFUNCTION("MIN(INDEX(GOOGLEFINANCE(A615, ""low"", TODAY()-30, TODAY()), 0, 2))"),606.25)</f>
        <v>606.25</v>
      </c>
      <c r="J615" s="9">
        <f>IFERROR(__xludf.DUMMYFUNCTION("GOOGLEFINANCE(A615, ""high52"")"),737.45)</f>
        <v>737.45</v>
      </c>
      <c r="K615" s="9">
        <f>IFERROR(__xludf.DUMMYFUNCTION("GOOGLEFINANCE(A615, ""low52"")"),313.1)</f>
        <v>313.1</v>
      </c>
      <c r="L615" s="9">
        <f t="shared" si="1"/>
        <v>0.02637466947</v>
      </c>
      <c r="M615" s="9">
        <f t="shared" si="2"/>
        <v>1.293197062</v>
      </c>
      <c r="N615" s="9">
        <f t="shared" si="3"/>
        <v>0.0197461213</v>
      </c>
      <c r="O615" s="9">
        <f t="shared" si="4"/>
        <v>0.8517530488</v>
      </c>
      <c r="P615" s="9">
        <f>IFERROR(__xludf.DUMMYFUNCTION("GOOGLEFINANCE(A615, ""pe"")"),72.82)</f>
        <v>72.82</v>
      </c>
      <c r="Q615" s="9">
        <f>IFERROR(__xludf.DUMMYFUNCTION("IFERROR(GOOGLEFINANCE(A615, ""volume"") / GOOGLEFINANCE(A615, ""volumeavg""), 0)"),0.0)</f>
        <v>0</v>
      </c>
      <c r="R615" s="9">
        <f>IFERROR(__xludf.DUMMYFUNCTION("AVERAGE(INDEX(GOOGLEFINANCE(A615, ""price"", TODAY()-30, TODAY()), 0, 2))"),687.7260869565217)</f>
        <v>687.726087</v>
      </c>
      <c r="S615" s="9">
        <f>IFERROR(__xludf.DUMMYFUNCTION("AVERAGE(INDEX(GOOGLEFINANCE(A615, ""price"", TODAY()-75, TODAY()), 0, 2))"),636.5999999999999)</f>
        <v>636.6</v>
      </c>
      <c r="T615" s="9">
        <f>IFERROR(__xludf.DUMMYFUNCTION("AVERAGE(INDEX(GOOGLEFINANCE(A615, ""price"", TODAY()-300, TODAY()), 0, 2))"),481.9029702970296)</f>
        <v>481.9029703</v>
      </c>
      <c r="U615" s="9">
        <f t="shared" si="5"/>
        <v>0.04402030637</v>
      </c>
      <c r="V615" s="15">
        <f>IFERROR(__xludf.DUMMYFUNCTION("LET(hist, GOOGLEFINANCE(A615,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rs))))))"),67.35270379338178)</f>
        <v>67.35270379</v>
      </c>
      <c r="W615" s="16" t="str">
        <f>IFERROR(__xludf.DUMMYFUNCTION("IFERROR(GOOGLEFINANCE(A615, ""volume"") / GOOGLEFINANCE(A615, ""volumeavg""), )"),"")</f>
        <v/>
      </c>
      <c r="X615" s="9">
        <f>IFERROR(__xludf.DUMMYFUNCTION("B615 * GOOGLEFINANCE(A615, ""volume"")"),9.2001648E7)</f>
        <v>92001648</v>
      </c>
      <c r="Y615" s="9">
        <f>IFERROR(__xludf.DUMMYFUNCTION("IFERROR(((B615 - GOOGLEFINANCE(A615, ""priceopen"")) / GOOGLEFINANCE(A615, ""priceopen"")) * GOOGLEFINANCE(A615, ""volume""), 0)"),17.848725449230972)</f>
        <v>17.84872545</v>
      </c>
    </row>
    <row r="616">
      <c r="A616" s="4" t="s">
        <v>2409</v>
      </c>
      <c r="B616" s="7">
        <f>IFERROR(__xludf.DUMMYFUNCTION("GOOGLEFINANCE(A616, ""price"")"),585.95)</f>
        <v>585.95</v>
      </c>
      <c r="C616" s="7">
        <f>IFERROR(__xludf.DUMMYFUNCTION("GOOGLEFINANCE(A616, ""changepct"")"),-0.68)</f>
        <v>-0.68</v>
      </c>
      <c r="D616" s="9">
        <f>IFERROR(__xludf.DUMMYFUNCTION("GOOGLEFINANCE(A616, ""priceopen"")"),590.0)</f>
        <v>590</v>
      </c>
      <c r="E616" s="9">
        <f>IFERROR(__xludf.DUMMYFUNCTION("GOOGLEFINANCE(A616, ""high"")"),599.15)</f>
        <v>599.15</v>
      </c>
      <c r="F616" s="9">
        <f>IFERROR(__xludf.DUMMYFUNCTION("GOOGLEFINANCE(A616, ""low"")"),581.2)</f>
        <v>581.2</v>
      </c>
      <c r="G616" s="9">
        <f>IFERROR(__xludf.DUMMYFUNCTION("GOOGLEFINANCE(A616, ""price"")"),585.95)</f>
        <v>585.95</v>
      </c>
      <c r="H616" s="9">
        <f>IFERROR(__xludf.DUMMYFUNCTION("MAX(INDEX(GOOGLEFINANCE(A616, ""high"", TODAY()-30, TODAY()), 0, 2))"),742.9)</f>
        <v>742.9</v>
      </c>
      <c r="I616" s="9">
        <f>IFERROR(__xludf.DUMMYFUNCTION("MIN(INDEX(GOOGLEFINANCE(A616, ""low"", TODAY()-30, TODAY()), 0, 2))"),581.2)</f>
        <v>581.2</v>
      </c>
      <c r="J616" s="9">
        <f>IFERROR(__xludf.DUMMYFUNCTION("GOOGLEFINANCE(A616, ""high52"")"),771.2)</f>
        <v>771.2</v>
      </c>
      <c r="K616" s="9">
        <f>IFERROR(__xludf.DUMMYFUNCTION("GOOGLEFINANCE(A616, ""low52"")"),423.0)</f>
        <v>423</v>
      </c>
      <c r="L616" s="9">
        <f t="shared" si="1"/>
        <v>0.2402100622</v>
      </c>
      <c r="M616" s="9">
        <f t="shared" si="2"/>
        <v>0.3852245863</v>
      </c>
      <c r="N616" s="9">
        <f t="shared" si="3"/>
        <v>0.03088437715</v>
      </c>
      <c r="O616" s="9">
        <f t="shared" si="4"/>
        <v>0.02937538652</v>
      </c>
      <c r="P616" s="9">
        <f>IFERROR(__xludf.DUMMYFUNCTION("GOOGLEFINANCE(A616, ""pe"")"),41.53)</f>
        <v>41.53</v>
      </c>
      <c r="Q616" s="9">
        <f>IFERROR(__xludf.DUMMYFUNCTION("IFERROR(GOOGLEFINANCE(A616, ""volume"") / GOOGLEFINANCE(A616, ""volumeavg""), 0)"),0.0)</f>
        <v>0</v>
      </c>
      <c r="R616" s="9">
        <f>IFERROR(__xludf.DUMMYFUNCTION("AVERAGE(INDEX(GOOGLEFINANCE(A616, ""price"", TODAY()-30, TODAY()), 0, 2))"),647.3326086956522)</f>
        <v>647.3326087</v>
      </c>
      <c r="S616" s="9">
        <f>IFERROR(__xludf.DUMMYFUNCTION("AVERAGE(INDEX(GOOGLEFINANCE(A616, ""price"", TODAY()-75, TODAY()), 0, 2))"),603.9113207547169)</f>
        <v>603.9113208</v>
      </c>
      <c r="T616" s="9">
        <f>IFERROR(__xludf.DUMMYFUNCTION("AVERAGE(INDEX(GOOGLEFINANCE(A616, ""price"", TODAY()-300, TODAY()), 0, 2))"),580.1141089108912)</f>
        <v>580.1141089</v>
      </c>
      <c r="U616" s="9">
        <f t="shared" si="5"/>
        <v>-0.09482390949</v>
      </c>
      <c r="V616" s="15">
        <f>IFERROR(__xludf.DUMMYFUNCTION("LET(hist, GOOGLEFINANCE(A616,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rs))))))"),35.118898623279065)</f>
        <v>35.11889862</v>
      </c>
      <c r="W616" s="16" t="str">
        <f>IFERROR(__xludf.DUMMYFUNCTION("IFERROR(GOOGLEFINANCE(A616, ""volume"") / GOOGLEFINANCE(A616, ""volumeavg""), )"),"")</f>
        <v/>
      </c>
      <c r="X616" s="9">
        <f>IFERROR(__xludf.DUMMYFUNCTION("B616 * GOOGLEFINANCE(A616, ""volume"")"),3.0288927400000002E7)</f>
        <v>30288927.4</v>
      </c>
      <c r="Y616" s="9">
        <f>IFERROR(__xludf.DUMMYFUNCTION("IFERROR(((B616 - GOOGLEFINANCE(A616, ""priceopen"")) / GOOGLEFINANCE(A616, ""priceopen"")) * GOOGLEFINANCE(A616, ""volume""), 0)"),-354.8349152542333)</f>
        <v>-354.8349153</v>
      </c>
    </row>
    <row r="617">
      <c r="A617" s="4" t="s">
        <v>2410</v>
      </c>
      <c r="B617" s="7">
        <f>IFERROR(__xludf.DUMMYFUNCTION("GOOGLEFINANCE(A617, ""price"")"),1299.0)</f>
        <v>1299</v>
      </c>
      <c r="C617" s="7">
        <f>IFERROR(__xludf.DUMMYFUNCTION("GOOGLEFINANCE(A617, ""changepct"")"),4.82)</f>
        <v>4.82</v>
      </c>
      <c r="D617" s="9">
        <f>IFERROR(__xludf.DUMMYFUNCTION("GOOGLEFINANCE(A617, ""priceopen"")"),1301.2)</f>
        <v>1301.2</v>
      </c>
      <c r="E617" s="9">
        <f>IFERROR(__xludf.DUMMYFUNCTION("GOOGLEFINANCE(A617, ""high"")"),1301.2)</f>
        <v>1301.2</v>
      </c>
      <c r="F617" s="9">
        <f>IFERROR(__xludf.DUMMYFUNCTION("GOOGLEFINANCE(A617, ""low"")"),1280.3)</f>
        <v>1280.3</v>
      </c>
      <c r="G617" s="9">
        <f>IFERROR(__xludf.DUMMYFUNCTION("GOOGLEFINANCE(A617, ""price"")"),1299.0)</f>
        <v>1299</v>
      </c>
      <c r="H617" s="9">
        <f>IFERROR(__xludf.DUMMYFUNCTION("MAX(INDEX(GOOGLEFINANCE(A617, ""high"", TODAY()-30, TODAY()), 0, 2))"),1301.2)</f>
        <v>1301.2</v>
      </c>
      <c r="I617" s="9">
        <f>IFERROR(__xludf.DUMMYFUNCTION("MIN(INDEX(GOOGLEFINANCE(A617, ""low"", TODAY()-30, TODAY()), 0, 2))"),1060.6)</f>
        <v>1060.6</v>
      </c>
      <c r="J617" s="9">
        <f>IFERROR(__xludf.DUMMYFUNCTION("GOOGLEFINANCE(A617, ""high52"")"),1441.0)</f>
        <v>1441</v>
      </c>
      <c r="K617" s="9">
        <f>IFERROR(__xludf.DUMMYFUNCTION("GOOGLEFINANCE(A617, ""low52"")"),581.0)</f>
        <v>581</v>
      </c>
      <c r="L617" s="9">
        <f t="shared" si="1"/>
        <v>0.0985426787</v>
      </c>
      <c r="M617" s="9">
        <f t="shared" si="2"/>
        <v>1.235800344</v>
      </c>
      <c r="N617" s="9">
        <f t="shared" si="3"/>
        <v>0.01632429899</v>
      </c>
      <c r="O617" s="9">
        <f t="shared" si="4"/>
        <v>0.9908561929</v>
      </c>
      <c r="P617" s="9">
        <f>IFERROR(__xludf.DUMMYFUNCTION("GOOGLEFINANCE(A617, ""pe"")"),75.47)</f>
        <v>75.47</v>
      </c>
      <c r="Q617" s="9">
        <f>IFERROR(__xludf.DUMMYFUNCTION("IFERROR(GOOGLEFINANCE(A617, ""volume"") / GOOGLEFINANCE(A617, ""volumeavg""), 0)"),0.0)</f>
        <v>0</v>
      </c>
      <c r="R617" s="9">
        <f>IFERROR(__xludf.DUMMYFUNCTION("AVERAGE(INDEX(GOOGLEFINANCE(A617, ""price"", TODAY()-30, TODAY()), 0, 2))"),1152.9521739130435)</f>
        <v>1152.952174</v>
      </c>
      <c r="S617" s="9">
        <f>IFERROR(__xludf.DUMMYFUNCTION("AVERAGE(INDEX(GOOGLEFINANCE(A617, ""price"", TODAY()-75, TODAY()), 0, 2))"),1165.8886792452831)</f>
        <v>1165.888679</v>
      </c>
      <c r="T617" s="9">
        <f>IFERROR(__xludf.DUMMYFUNCTION("AVERAGE(INDEX(GOOGLEFINANCE(A617, ""price"", TODAY()-300, TODAY()), 0, 2))"),961.7881188118811)</f>
        <v>961.7881188</v>
      </c>
      <c r="U617" s="9">
        <f t="shared" si="5"/>
        <v>0.1266729266</v>
      </c>
      <c r="V617" s="15">
        <f>IFERROR(__xludf.DUMMYFUNCTION("LET(hist, GOOGLEFINANCE(A617,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rs))))))"),74.68128505864354)</f>
        <v>74.68128506</v>
      </c>
      <c r="W617" s="16" t="str">
        <f>IFERROR(__xludf.DUMMYFUNCTION("IFERROR(GOOGLEFINANCE(A617, ""volume"") / GOOGLEFINANCE(A617, ""volumeavg""), )"),"")</f>
        <v/>
      </c>
      <c r="X617" s="9">
        <f>IFERROR(__xludf.DUMMYFUNCTION("B617 * GOOGLEFINANCE(A617, ""volume"")"),1.162455615E9)</f>
        <v>1162455615</v>
      </c>
      <c r="Y617" s="9">
        <f>IFERROR(__xludf.DUMMYFUNCTION("IFERROR(((B617 - GOOGLEFINANCE(A617, ""priceopen"")) / GOOGLEFINANCE(A617, ""priceopen"")) * GOOGLEFINANCE(A617, ""volume""), 0)"),-1513.0241315708888)</f>
        <v>-1513.024132</v>
      </c>
    </row>
    <row r="618">
      <c r="A618" s="4" t="s">
        <v>2411</v>
      </c>
      <c r="B618" s="7">
        <f>IFERROR(__xludf.DUMMYFUNCTION("GOOGLEFINANCE(A618, ""price"")"),178.6)</f>
        <v>178.6</v>
      </c>
      <c r="C618" s="7">
        <f>IFERROR(__xludf.DUMMYFUNCTION("GOOGLEFINANCE(A618, ""changepct"")"),-2.67)</f>
        <v>-2.67</v>
      </c>
      <c r="D618" s="9">
        <f>IFERROR(__xludf.DUMMYFUNCTION("GOOGLEFINANCE(A618, ""priceopen"")"),183.95)</f>
        <v>183.95</v>
      </c>
      <c r="E618" s="9">
        <f>IFERROR(__xludf.DUMMYFUNCTION("GOOGLEFINANCE(A618, ""high"")"),183.95)</f>
        <v>183.95</v>
      </c>
      <c r="F618" s="9">
        <f>IFERROR(__xludf.DUMMYFUNCTION("GOOGLEFINANCE(A618, ""low"")"),177.67)</f>
        <v>177.67</v>
      </c>
      <c r="G618" s="9">
        <f>IFERROR(__xludf.DUMMYFUNCTION("GOOGLEFINANCE(A618, ""price"")"),178.6)</f>
        <v>178.6</v>
      </c>
      <c r="H618" s="9">
        <f>IFERROR(__xludf.DUMMYFUNCTION("MAX(INDEX(GOOGLEFINANCE(A618, ""high"", TODAY()-30, TODAY()), 0, 2))"),212.9)</f>
        <v>212.9</v>
      </c>
      <c r="I618" s="9">
        <f>IFERROR(__xludf.DUMMYFUNCTION("MIN(INDEX(GOOGLEFINANCE(A618, ""low"", TODAY()-30, TODAY()), 0, 2))"),171.48)</f>
        <v>171.48</v>
      </c>
      <c r="J618" s="9">
        <f>IFERROR(__xludf.DUMMYFUNCTION("GOOGLEFINANCE(A618, ""high52"")"),339.15)</f>
        <v>339.15</v>
      </c>
      <c r="K618" s="9">
        <f>IFERROR(__xludf.DUMMYFUNCTION("GOOGLEFINANCE(A618, ""low52"")"),151.27)</f>
        <v>151.27</v>
      </c>
      <c r="L618" s="9">
        <f t="shared" si="1"/>
        <v>0.4733893557</v>
      </c>
      <c r="M618" s="9">
        <f t="shared" si="2"/>
        <v>0.1806703246</v>
      </c>
      <c r="N618" s="9">
        <f t="shared" si="3"/>
        <v>0.03534642877</v>
      </c>
      <c r="O618" s="9">
        <f t="shared" si="4"/>
        <v>0.171897634</v>
      </c>
      <c r="P618" s="9">
        <f>IFERROR(__xludf.DUMMYFUNCTION("GOOGLEFINANCE(A618, ""pe"")"),92.54)</f>
        <v>92.54</v>
      </c>
      <c r="Q618" s="9">
        <f>IFERROR(__xludf.DUMMYFUNCTION("IFERROR(GOOGLEFINANCE(A618, ""volume"") / GOOGLEFINANCE(A618, ""volumeavg""), 0)"),0.0)</f>
        <v>0</v>
      </c>
      <c r="R618" s="9">
        <f>IFERROR(__xludf.DUMMYFUNCTION("AVERAGE(INDEX(GOOGLEFINANCE(A618, ""price"", TODAY()-30, TODAY()), 0, 2))"),194.60608695652172)</f>
        <v>194.606087</v>
      </c>
      <c r="S618" s="9">
        <f>IFERROR(__xludf.DUMMYFUNCTION("AVERAGE(INDEX(GOOGLEFINANCE(A618, ""price"", TODAY()-75, TODAY()), 0, 2))"),188.97433962264157)</f>
        <v>188.9743396</v>
      </c>
      <c r="T618" s="9">
        <f>IFERROR(__xludf.DUMMYFUNCTION("AVERAGE(INDEX(GOOGLEFINANCE(A618, ""price"", TODAY()-300, TODAY()), 0, 2))"),209.55128712871297)</f>
        <v>209.5512871</v>
      </c>
      <c r="U618" s="9">
        <f t="shared" si="5"/>
        <v>-0.08224864498</v>
      </c>
      <c r="V618" s="15">
        <f>IFERROR(__xludf.DUMMYFUNCTION("LET(hist, GOOGLEFINANCE(A618,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rs))))))"),44.68379944570421)</f>
        <v>44.68379945</v>
      </c>
      <c r="W618" s="16" t="str">
        <f>IFERROR(__xludf.DUMMYFUNCTION("IFERROR(GOOGLEFINANCE(A618, ""volume"") / GOOGLEFINANCE(A618, ""volumeavg""), )"),"")</f>
        <v/>
      </c>
      <c r="X618" s="9">
        <f>IFERROR(__xludf.DUMMYFUNCTION("B618 * GOOGLEFINANCE(A618, ""volume"")"),8.32100972E7)</f>
        <v>83210097.2</v>
      </c>
      <c r="Y618" s="9">
        <f>IFERROR(__xludf.DUMMYFUNCTION("IFERROR(((B618 - GOOGLEFINANCE(A618, ""priceopen"")) / GOOGLEFINANCE(A618, ""priceopen"")) * GOOGLEFINANCE(A618, ""volume""), 0)"),-13550.289209024178)</f>
        <v>-13550.28921</v>
      </c>
    </row>
    <row r="619">
      <c r="A619" s="4" t="s">
        <v>2412</v>
      </c>
      <c r="B619" s="7">
        <f>IFERROR(__xludf.DUMMYFUNCTION("GOOGLEFINANCE(A619, ""price"")"),452.0)</f>
        <v>452</v>
      </c>
      <c r="C619" s="7">
        <f>IFERROR(__xludf.DUMMYFUNCTION("GOOGLEFINANCE(A619, ""changepct"")"),-0.04)</f>
        <v>-0.04</v>
      </c>
      <c r="D619" s="9">
        <f>IFERROR(__xludf.DUMMYFUNCTION("GOOGLEFINANCE(A619, ""priceopen"")"),454.1)</f>
        <v>454.1</v>
      </c>
      <c r="E619" s="9">
        <f>IFERROR(__xludf.DUMMYFUNCTION("GOOGLEFINANCE(A619, ""high"")"),473.1)</f>
        <v>473.1</v>
      </c>
      <c r="F619" s="9">
        <f>IFERROR(__xludf.DUMMYFUNCTION("GOOGLEFINANCE(A619, ""low"")"),445.6)</f>
        <v>445.6</v>
      </c>
      <c r="G619" s="9">
        <f>IFERROR(__xludf.DUMMYFUNCTION("GOOGLEFINANCE(A619, ""price"")"),452.0)</f>
        <v>452</v>
      </c>
      <c r="H619" s="9">
        <f>IFERROR(__xludf.DUMMYFUNCTION("MAX(INDEX(GOOGLEFINANCE(A619, ""high"", TODAY()-30, TODAY()), 0, 2))"),482.2)</f>
        <v>482.2</v>
      </c>
      <c r="I619" s="9">
        <f>IFERROR(__xludf.DUMMYFUNCTION("MIN(INDEX(GOOGLEFINANCE(A619, ""low"", TODAY()-30, TODAY()), 0, 2))"),424.9)</f>
        <v>424.9</v>
      </c>
      <c r="J619" s="9">
        <f>IFERROR(__xludf.DUMMYFUNCTION("GOOGLEFINANCE(A619, ""high52"")"),668.3)</f>
        <v>668.3</v>
      </c>
      <c r="K619" s="9">
        <f>IFERROR(__xludf.DUMMYFUNCTION("GOOGLEFINANCE(A619, ""low52"")"),403.2)</f>
        <v>403.2</v>
      </c>
      <c r="L619" s="9">
        <f t="shared" si="1"/>
        <v>0.3236570403</v>
      </c>
      <c r="M619" s="9">
        <f t="shared" si="2"/>
        <v>0.121031746</v>
      </c>
      <c r="N619" s="9">
        <f t="shared" si="3"/>
        <v>0.06171454219</v>
      </c>
      <c r="O619" s="9">
        <f t="shared" si="4"/>
        <v>0.4729493892</v>
      </c>
      <c r="P619" s="9">
        <f>IFERROR(__xludf.DUMMYFUNCTION("GOOGLEFINANCE(A619, ""pe"")"),54.05)</f>
        <v>54.05</v>
      </c>
      <c r="Q619" s="9">
        <f>IFERROR(__xludf.DUMMYFUNCTION("IFERROR(GOOGLEFINANCE(A619, ""volume"") / GOOGLEFINANCE(A619, ""volumeavg""), 0)"),0.0)</f>
        <v>0</v>
      </c>
      <c r="R619" s="9">
        <f>IFERROR(__xludf.DUMMYFUNCTION("AVERAGE(INDEX(GOOGLEFINANCE(A619, ""price"", TODAY()-30, TODAY()), 0, 2))"),455.1108695652173)</f>
        <v>455.1108696</v>
      </c>
      <c r="S619" s="9">
        <f>IFERROR(__xludf.DUMMYFUNCTION("AVERAGE(INDEX(GOOGLEFINANCE(A619, ""price"", TODAY()-75, TODAY()), 0, 2))"),454.3047169811322)</f>
        <v>454.304717</v>
      </c>
      <c r="T619" s="9">
        <f>IFERROR(__xludf.DUMMYFUNCTION("AVERAGE(INDEX(GOOGLEFINANCE(A619, ""price"", TODAY()-300, TODAY()), 0, 2))"),514.6160891089107)</f>
        <v>514.6160891</v>
      </c>
      <c r="U619" s="9">
        <f t="shared" si="5"/>
        <v>-0.006835410387</v>
      </c>
      <c r="V619" s="15">
        <f>IFERROR(__xludf.DUMMYFUNCTION("LET(hist, GOOGLEFINANCE(A619,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rs))))))"),63.11907270811382)</f>
        <v>63.11907271</v>
      </c>
      <c r="W619" s="16" t="str">
        <f>IFERROR(__xludf.DUMMYFUNCTION("IFERROR(GOOGLEFINANCE(A619, ""volume"") / GOOGLEFINANCE(A619, ""volumeavg""), )"),"")</f>
        <v/>
      </c>
      <c r="X619" s="9">
        <f>IFERROR(__xludf.DUMMYFUNCTION("B619 * GOOGLEFINANCE(A619, ""volume"")"),2.21330388E8)</f>
        <v>221330388</v>
      </c>
      <c r="Y619" s="9">
        <f>IFERROR(__xludf.DUMMYFUNCTION("IFERROR(((B619 - GOOGLEFINANCE(A619, ""priceopen"")) / GOOGLEFINANCE(A619, ""priceopen"")) * GOOGLEFINANCE(A619, ""volume""), 0)"),-2264.4899801806014)</f>
        <v>-2264.48998</v>
      </c>
    </row>
    <row r="620">
      <c r="A620" s="4" t="s">
        <v>2413</v>
      </c>
      <c r="B620" s="7">
        <f>IFERROR(__xludf.DUMMYFUNCTION("GOOGLEFINANCE(A620, ""price"")"),328.0)</f>
        <v>328</v>
      </c>
      <c r="C620" s="7">
        <f>IFERROR(__xludf.DUMMYFUNCTION("GOOGLEFINANCE(A620, ""changepct"")"),-3.67)</f>
        <v>-3.67</v>
      </c>
      <c r="D620" s="9">
        <f>IFERROR(__xludf.DUMMYFUNCTION("GOOGLEFINANCE(A620, ""priceopen"")"),343.0)</f>
        <v>343</v>
      </c>
      <c r="E620" s="9">
        <f>IFERROR(__xludf.DUMMYFUNCTION("GOOGLEFINANCE(A620, ""high"")"),343.1)</f>
        <v>343.1</v>
      </c>
      <c r="F620" s="9">
        <f>IFERROR(__xludf.DUMMYFUNCTION("GOOGLEFINANCE(A620, ""low"")"),327.05)</f>
        <v>327.05</v>
      </c>
      <c r="G620" s="9">
        <f>IFERROR(__xludf.DUMMYFUNCTION("GOOGLEFINANCE(A620, ""price"")"),328.0)</f>
        <v>328</v>
      </c>
      <c r="H620" s="9">
        <f>IFERROR(__xludf.DUMMYFUNCTION("MAX(INDEX(GOOGLEFINANCE(A620, ""high"", TODAY()-30, TODAY()), 0, 2))"),371.0)</f>
        <v>371</v>
      </c>
      <c r="I620" s="9">
        <f>IFERROR(__xludf.DUMMYFUNCTION("MIN(INDEX(GOOGLEFINANCE(A620, ""low"", TODAY()-30, TODAY()), 0, 2))"),290.5)</f>
        <v>290.5</v>
      </c>
      <c r="J620" s="9">
        <f>IFERROR(__xludf.DUMMYFUNCTION("GOOGLEFINANCE(A620, ""high52"")"),371.0)</f>
        <v>371</v>
      </c>
      <c r="K620" s="9">
        <f>IFERROR(__xludf.DUMMYFUNCTION("GOOGLEFINANCE(A620, ""low52"")"),124.11)</f>
        <v>124.11</v>
      </c>
      <c r="L620" s="9">
        <f t="shared" si="1"/>
        <v>0.115902965</v>
      </c>
      <c r="M620" s="9">
        <f t="shared" si="2"/>
        <v>1.642816856</v>
      </c>
      <c r="N620" s="9">
        <f t="shared" si="3"/>
        <v>0.04907506497</v>
      </c>
      <c r="O620" s="9">
        <f t="shared" si="4"/>
        <v>0.4658385093</v>
      </c>
      <c r="P620" s="9" t="str">
        <f>IFERROR(__xludf.DUMMYFUNCTION("GOOGLEFINANCE(A620, ""pe"")"),"#N/A")</f>
        <v>#N/A</v>
      </c>
      <c r="Q620" s="9">
        <f>IFERROR(__xludf.DUMMYFUNCTION("IFERROR(GOOGLEFINANCE(A620, ""volume"") / GOOGLEFINANCE(A620, ""volumeavg""), 0)"),0.0)</f>
        <v>0</v>
      </c>
      <c r="R620" s="9">
        <f>IFERROR(__xludf.DUMMYFUNCTION("AVERAGE(INDEX(GOOGLEFINANCE(A620, ""price"", TODAY()-30, TODAY()), 0, 2))"),324.83260869565225)</f>
        <v>324.8326087</v>
      </c>
      <c r="S620" s="9">
        <f>IFERROR(__xludf.DUMMYFUNCTION("AVERAGE(INDEX(GOOGLEFINANCE(A620, ""price"", TODAY()-75, TODAY()), 0, 2))"),299.3592452830189)</f>
        <v>299.3592453</v>
      </c>
      <c r="T620" s="9">
        <f>IFERROR(__xludf.DUMMYFUNCTION("AVERAGE(INDEX(GOOGLEFINANCE(A620, ""price"", TODAY()-300, TODAY()), 0, 2))"),207.83608910891084)</f>
        <v>207.8360891</v>
      </c>
      <c r="U620" s="9">
        <f t="shared" si="5"/>
        <v>0.009750841571</v>
      </c>
      <c r="V620" s="15">
        <f>IFERROR(__xludf.DUMMYFUNCTION("LET(hist, GOOGLEFINANCE(A620,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rs))))))"),55.42651181417701)</f>
        <v>55.42651181</v>
      </c>
      <c r="W620" s="16" t="str">
        <f>IFERROR(__xludf.DUMMYFUNCTION("IFERROR(GOOGLEFINANCE(A620, ""volume"") / GOOGLEFINANCE(A620, ""volumeavg""), )"),"")</f>
        <v/>
      </c>
      <c r="X620" s="9">
        <f>IFERROR(__xludf.DUMMYFUNCTION("B620 * GOOGLEFINANCE(A620, ""volume"")"),1.5292836E8)</f>
        <v>152928360</v>
      </c>
      <c r="Y620" s="9">
        <f>IFERROR(__xludf.DUMMYFUNCTION("IFERROR(((B620 - GOOGLEFINANCE(A620, ""priceopen"")) / GOOGLEFINANCE(A620, ""priceopen"")) * GOOGLEFINANCE(A620, ""volume""), 0)"),-20389.72303206997)</f>
        <v>-20389.72303</v>
      </c>
    </row>
    <row r="621">
      <c r="A621" s="4" t="s">
        <v>2414</v>
      </c>
      <c r="B621" s="7">
        <f>IFERROR(__xludf.DUMMYFUNCTION("GOOGLEFINANCE(A621, ""price"")"),5991.0)</f>
        <v>5991</v>
      </c>
      <c r="C621" s="7">
        <f>IFERROR(__xludf.DUMMYFUNCTION("GOOGLEFINANCE(A621, ""changepct"")"),2.93)</f>
        <v>2.93</v>
      </c>
      <c r="D621" s="9">
        <f>IFERROR(__xludf.DUMMYFUNCTION("GOOGLEFINANCE(A621, ""priceopen"")"),6312.0)</f>
        <v>6312</v>
      </c>
      <c r="E621" s="9">
        <f>IFERROR(__xludf.DUMMYFUNCTION("GOOGLEFINANCE(A621, ""high"")"),6400.0)</f>
        <v>6400</v>
      </c>
      <c r="F621" s="9">
        <f>IFERROR(__xludf.DUMMYFUNCTION("GOOGLEFINANCE(A621, ""low"")"),5951.0)</f>
        <v>5951</v>
      </c>
      <c r="G621" s="9">
        <f>IFERROR(__xludf.DUMMYFUNCTION("GOOGLEFINANCE(A621, ""price"")"),5991.0)</f>
        <v>5991</v>
      </c>
      <c r="H621" s="9">
        <f>IFERROR(__xludf.DUMMYFUNCTION("MAX(INDEX(GOOGLEFINANCE(A621, ""high"", TODAY()-30, TODAY()), 0, 2))"),6400.0)</f>
        <v>6400</v>
      </c>
      <c r="I621" s="9">
        <f>IFERROR(__xludf.DUMMYFUNCTION("MIN(INDEX(GOOGLEFINANCE(A621, ""low"", TODAY()-30, TODAY()), 0, 2))"),5521.0)</f>
        <v>5521</v>
      </c>
      <c r="J621" s="9">
        <f>IFERROR(__xludf.DUMMYFUNCTION("GOOGLEFINANCE(A621, ""high52"")"),7319.5)</f>
        <v>7319.5</v>
      </c>
      <c r="K621" s="9">
        <f>IFERROR(__xludf.DUMMYFUNCTION("GOOGLEFINANCE(A621, ""low52"")"),4710.0)</f>
        <v>4710</v>
      </c>
      <c r="L621" s="9">
        <f t="shared" si="1"/>
        <v>0.1815014687</v>
      </c>
      <c r="M621" s="9">
        <f t="shared" si="2"/>
        <v>0.2719745223</v>
      </c>
      <c r="N621" s="9">
        <f t="shared" si="3"/>
        <v>0.07544950428</v>
      </c>
      <c r="O621" s="9">
        <f t="shared" si="4"/>
        <v>0.534698521</v>
      </c>
      <c r="P621" s="9">
        <f>IFERROR(__xludf.DUMMYFUNCTION("GOOGLEFINANCE(A621, ""pe"")"),44.62)</f>
        <v>44.62</v>
      </c>
      <c r="Q621" s="9">
        <f>IFERROR(__xludf.DUMMYFUNCTION("IFERROR(GOOGLEFINANCE(A621, ""volume"") / GOOGLEFINANCE(A621, ""volumeavg""), 0)"),0.0)</f>
        <v>0</v>
      </c>
      <c r="R621" s="9">
        <f>IFERROR(__xludf.DUMMYFUNCTION("AVERAGE(INDEX(GOOGLEFINANCE(A621, ""price"", TODAY()-30, TODAY()), 0, 2))"),5694.826086956522)</f>
        <v>5694.826087</v>
      </c>
      <c r="S621" s="9">
        <f>IFERROR(__xludf.DUMMYFUNCTION("AVERAGE(INDEX(GOOGLEFINANCE(A621, ""price"", TODAY()-75, TODAY()), 0, 2))"),5759.207547169812)</f>
        <v>5759.207547</v>
      </c>
      <c r="T621" s="9">
        <f>IFERROR(__xludf.DUMMYFUNCTION("AVERAGE(INDEX(GOOGLEFINANCE(A621, ""price"", TODAY()-300, TODAY()), 0, 2))"),5731.45693069307)</f>
        <v>5731.456931</v>
      </c>
      <c r="U621" s="9">
        <f t="shared" si="5"/>
        <v>0.05200754308</v>
      </c>
      <c r="V621" s="15">
        <f>IFERROR(__xludf.DUMMYFUNCTION("LET(hist, GOOGLEFINANCE(A621,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rs))))))"),71.17437722419929)</f>
        <v>71.17437722</v>
      </c>
      <c r="W621" s="16" t="str">
        <f>IFERROR(__xludf.DUMMYFUNCTION("IFERROR(GOOGLEFINANCE(A621, ""volume"") / GOOGLEFINANCE(A621, ""volumeavg""), )"),"")</f>
        <v/>
      </c>
      <c r="X621" s="9">
        <f>IFERROR(__xludf.DUMMYFUNCTION("B621 * GOOGLEFINANCE(A621, ""volume"")"),3.98437446E8)</f>
        <v>398437446</v>
      </c>
      <c r="Y621" s="9">
        <f>IFERROR(__xludf.DUMMYFUNCTION("IFERROR(((B621 - GOOGLEFINANCE(A621, ""priceopen"")) / GOOGLEFINANCE(A621, ""priceopen"")) * GOOGLEFINANCE(A621, ""volume""), 0)"),-3382.1967680608363)</f>
        <v>-3382.196768</v>
      </c>
    </row>
    <row r="622">
      <c r="A622" s="4" t="s">
        <v>2415</v>
      </c>
      <c r="B622" s="7">
        <f>IFERROR(__xludf.DUMMYFUNCTION("GOOGLEFINANCE(A622, ""price"")"),109.12)</f>
        <v>109.12</v>
      </c>
      <c r="C622" s="7">
        <f>IFERROR(__xludf.DUMMYFUNCTION("GOOGLEFINANCE(A622, ""changepct"")"),-0.22)</f>
        <v>-0.22</v>
      </c>
      <c r="D622" s="9">
        <f>IFERROR(__xludf.DUMMYFUNCTION("GOOGLEFINANCE(A622, ""priceopen"")"),109.5)</f>
        <v>109.5</v>
      </c>
      <c r="E622" s="9">
        <f>IFERROR(__xludf.DUMMYFUNCTION("GOOGLEFINANCE(A622, ""high"")"),110.5)</f>
        <v>110.5</v>
      </c>
      <c r="F622" s="9">
        <f>IFERROR(__xludf.DUMMYFUNCTION("GOOGLEFINANCE(A622, ""low"")"),107.89)</f>
        <v>107.89</v>
      </c>
      <c r="G622" s="9">
        <f>IFERROR(__xludf.DUMMYFUNCTION("GOOGLEFINANCE(A622, ""price"")"),109.12)</f>
        <v>109.12</v>
      </c>
      <c r="H622" s="9">
        <f>IFERROR(__xludf.DUMMYFUNCTION("MAX(INDEX(GOOGLEFINANCE(A622, ""high"", TODAY()-30, TODAY()), 0, 2))"),119.0)</f>
        <v>119</v>
      </c>
      <c r="I622" s="9">
        <f>IFERROR(__xludf.DUMMYFUNCTION("MIN(INDEX(GOOGLEFINANCE(A622, ""low"", TODAY()-30, TODAY()), 0, 2))"),106.51)</f>
        <v>106.51</v>
      </c>
      <c r="J622" s="9">
        <f>IFERROR(__xludf.DUMMYFUNCTION("GOOGLEFINANCE(A622, ""high52"")"),180.68)</f>
        <v>180.68</v>
      </c>
      <c r="K622" s="9">
        <f>IFERROR(__xludf.DUMMYFUNCTION("GOOGLEFINANCE(A622, ""low52"")"),99.61)</f>
        <v>99.61</v>
      </c>
      <c r="L622" s="9">
        <f t="shared" si="1"/>
        <v>0.3960593314</v>
      </c>
      <c r="M622" s="9">
        <f t="shared" si="2"/>
        <v>0.09547234213</v>
      </c>
      <c r="N622" s="9">
        <f t="shared" si="3"/>
        <v>0.02419130596</v>
      </c>
      <c r="O622" s="9">
        <f t="shared" si="4"/>
        <v>0.2089671737</v>
      </c>
      <c r="P622" s="9">
        <f>IFERROR(__xludf.DUMMYFUNCTION("GOOGLEFINANCE(A622, ""pe"")"),36.74)</f>
        <v>36.74</v>
      </c>
      <c r="Q622" s="9">
        <f>IFERROR(__xludf.DUMMYFUNCTION("IFERROR(GOOGLEFINANCE(A622, ""volume"") / GOOGLEFINANCE(A622, ""volumeavg""), 0)"),0.0)</f>
        <v>0</v>
      </c>
      <c r="R622" s="9">
        <f>IFERROR(__xludf.DUMMYFUNCTION("AVERAGE(INDEX(GOOGLEFINANCE(A622, ""price"", TODAY()-30, TODAY()), 0, 2))"),111.49434782608697)</f>
        <v>111.4943478</v>
      </c>
      <c r="S622" s="9">
        <f>IFERROR(__xludf.DUMMYFUNCTION("AVERAGE(INDEX(GOOGLEFINANCE(A622, ""price"", TODAY()-75, TODAY()), 0, 2))"),112.81698113207543)</f>
        <v>112.8169811</v>
      </c>
      <c r="T622" s="9">
        <f>IFERROR(__xludf.DUMMYFUNCTION("AVERAGE(INDEX(GOOGLEFINANCE(A622, ""price"", TODAY()-300, TODAY()), 0, 2))"),129.16457711442797)</f>
        <v>129.1645771</v>
      </c>
      <c r="U622" s="9">
        <f t="shared" si="5"/>
        <v>-0.02129567886</v>
      </c>
      <c r="V622" s="15">
        <f>IFERROR(__xludf.DUMMYFUNCTION("LET(hist, GOOGLEFINANCE(A622,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rs))))))"),47.62419006479479)</f>
        <v>47.62419006</v>
      </c>
      <c r="W622" s="16" t="str">
        <f>IFERROR(__xludf.DUMMYFUNCTION("IFERROR(GOOGLEFINANCE(A622, ""volume"") / GOOGLEFINANCE(A622, ""volumeavg""), )"),"")</f>
        <v/>
      </c>
      <c r="X622" s="9">
        <f>IFERROR(__xludf.DUMMYFUNCTION("B622 * GOOGLEFINANCE(A622, ""volume"")"),3.209753888E8)</f>
        <v>320975388.8</v>
      </c>
      <c r="Y622" s="9">
        <f>IFERROR(__xludf.DUMMYFUNCTION("IFERROR(((B622 - GOOGLEFINANCE(A622, ""priceopen"")) / GOOGLEFINANCE(A622, ""priceopen"")) * GOOGLEFINANCE(A622, ""volume""), 0)"),-10207.910502282983)</f>
        <v>-10207.9105</v>
      </c>
    </row>
    <row r="623">
      <c r="A623" s="4" t="s">
        <v>2416</v>
      </c>
      <c r="B623" s="7">
        <f>IFERROR(__xludf.DUMMYFUNCTION("GOOGLEFINANCE(A623, ""price"")"),240.05)</f>
        <v>240.05</v>
      </c>
      <c r="C623" s="7">
        <f>IFERROR(__xludf.DUMMYFUNCTION("GOOGLEFINANCE(A623, ""changepct"")"),5.59)</f>
        <v>5.59</v>
      </c>
      <c r="D623" s="9">
        <f>IFERROR(__xludf.DUMMYFUNCTION("GOOGLEFINANCE(A623, ""priceopen"")"),227.35)</f>
        <v>227.35</v>
      </c>
      <c r="E623" s="9">
        <f>IFERROR(__xludf.DUMMYFUNCTION("GOOGLEFINANCE(A623, ""high"")"),240.5)</f>
        <v>240.5</v>
      </c>
      <c r="F623" s="9">
        <f>IFERROR(__xludf.DUMMYFUNCTION("GOOGLEFINANCE(A623, ""low"")"),226.2)</f>
        <v>226.2</v>
      </c>
      <c r="G623" s="9">
        <f>IFERROR(__xludf.DUMMYFUNCTION("GOOGLEFINANCE(A623, ""price"")"),240.05)</f>
        <v>240.05</v>
      </c>
      <c r="H623" s="9">
        <f>IFERROR(__xludf.DUMMYFUNCTION("MAX(INDEX(GOOGLEFINANCE(A623, ""high"", TODAY()-30, TODAY()), 0, 2))"),270.9)</f>
        <v>270.9</v>
      </c>
      <c r="I623" s="9">
        <f>IFERROR(__xludf.DUMMYFUNCTION("MIN(INDEX(GOOGLEFINANCE(A623, ""low"", TODAY()-30, TODAY()), 0, 2))"),226.2)</f>
        <v>226.2</v>
      </c>
      <c r="J623" s="9">
        <f>IFERROR(__xludf.DUMMYFUNCTION("GOOGLEFINANCE(A623, ""high52"")"),280.0)</f>
        <v>280</v>
      </c>
      <c r="K623" s="9">
        <f>IFERROR(__xludf.DUMMYFUNCTION("GOOGLEFINANCE(A623, ""low52"")"),196.51)</f>
        <v>196.51</v>
      </c>
      <c r="L623" s="9">
        <f t="shared" si="1"/>
        <v>0.1426785714</v>
      </c>
      <c r="M623" s="9">
        <f t="shared" si="2"/>
        <v>0.2215663325</v>
      </c>
      <c r="N623" s="9">
        <f t="shared" si="3"/>
        <v>0.0632183908</v>
      </c>
      <c r="O623" s="9">
        <f t="shared" si="4"/>
        <v>0.3098434004</v>
      </c>
      <c r="P623" s="9">
        <f>IFERROR(__xludf.DUMMYFUNCTION("GOOGLEFINANCE(A623, ""pe"")"),92.68)</f>
        <v>92.68</v>
      </c>
      <c r="Q623" s="9">
        <f>IFERROR(__xludf.DUMMYFUNCTION("IFERROR(GOOGLEFINANCE(A623, ""volume"") / GOOGLEFINANCE(A623, ""volumeavg""), 0)"),0.0)</f>
        <v>0</v>
      </c>
      <c r="R623" s="9">
        <f>IFERROR(__xludf.DUMMYFUNCTION("AVERAGE(INDEX(GOOGLEFINANCE(A623, ""price"", TODAY()-30, TODAY()), 0, 2))"),253.20652173913052)</f>
        <v>253.2065217</v>
      </c>
      <c r="S623" s="9">
        <f>IFERROR(__xludf.DUMMYFUNCTION("AVERAGE(INDEX(GOOGLEFINANCE(A623, ""price"", TODAY()-75, TODAY()), 0, 2))"),252.32037735849056)</f>
        <v>252.3203774</v>
      </c>
      <c r="T623" s="9">
        <f>IFERROR(__xludf.DUMMYFUNCTION("AVERAGE(INDEX(GOOGLEFINANCE(A623, ""price"", TODAY()-300, TODAY()), 0, 2))"),240.0281683168316)</f>
        <v>240.0281683</v>
      </c>
      <c r="U623" s="9">
        <f t="shared" si="5"/>
        <v>-0.05195964799</v>
      </c>
      <c r="V623" s="15">
        <f>IFERROR(__xludf.DUMMYFUNCTION("LET(hist, GOOGLEFINANCE(A623,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rs))))))"),38.70733478576616)</f>
        <v>38.70733479</v>
      </c>
      <c r="W623" s="16" t="str">
        <f>IFERROR(__xludf.DUMMYFUNCTION("IFERROR(GOOGLEFINANCE(A623, ""volume"") / GOOGLEFINANCE(A623, ""volumeavg""), )"),"")</f>
        <v/>
      </c>
      <c r="X623" s="9">
        <f>IFERROR(__xludf.DUMMYFUNCTION("B623 * GOOGLEFINANCE(A623, ""volume"")"),2.74972474E8)</f>
        <v>274972474</v>
      </c>
      <c r="Y623" s="9">
        <f>IFERROR(__xludf.DUMMYFUNCTION("IFERROR(((B623 - GOOGLEFINANCE(A623, ""priceopen"")) / GOOGLEFINANCE(A623, ""priceopen"")) * GOOGLEFINANCE(A623, ""volume""), 0)"),63987.66659335834)</f>
        <v>63987.66659</v>
      </c>
    </row>
    <row r="624">
      <c r="A624" s="4" t="s">
        <v>2417</v>
      </c>
      <c r="B624" s="7">
        <f>IFERROR(__xludf.DUMMYFUNCTION("GOOGLEFINANCE(A624, ""price"")"),74.53)</f>
        <v>74.53</v>
      </c>
      <c r="C624" s="7">
        <f>IFERROR(__xludf.DUMMYFUNCTION("GOOGLEFINANCE(A624, ""changepct"")"),-0.33)</f>
        <v>-0.33</v>
      </c>
      <c r="D624" s="9">
        <f>IFERROR(__xludf.DUMMYFUNCTION("GOOGLEFINANCE(A624, ""priceopen"")"),74.6)</f>
        <v>74.6</v>
      </c>
      <c r="E624" s="9">
        <f>IFERROR(__xludf.DUMMYFUNCTION("GOOGLEFINANCE(A624, ""high"")"),74.78)</f>
        <v>74.78</v>
      </c>
      <c r="F624" s="9">
        <f>IFERROR(__xludf.DUMMYFUNCTION("GOOGLEFINANCE(A624, ""low"")"),73.5)</f>
        <v>73.5</v>
      </c>
      <c r="G624" s="9">
        <f>IFERROR(__xludf.DUMMYFUNCTION("GOOGLEFINANCE(A624, ""price"")"),74.53)</f>
        <v>74.53</v>
      </c>
      <c r="H624" s="9">
        <f>IFERROR(__xludf.DUMMYFUNCTION("MAX(INDEX(GOOGLEFINANCE(A624, ""high"", TODAY()-30, TODAY()), 0, 2))"),83.9)</f>
        <v>83.9</v>
      </c>
      <c r="I624" s="9">
        <f>IFERROR(__xludf.DUMMYFUNCTION("MIN(INDEX(GOOGLEFINANCE(A624, ""low"", TODAY()-30, TODAY()), 0, 2))"),70.61)</f>
        <v>70.61</v>
      </c>
      <c r="J624" s="9">
        <f>IFERROR(__xludf.DUMMYFUNCTION("GOOGLEFINANCE(A624, ""high52"")"),83.9)</f>
        <v>83.9</v>
      </c>
      <c r="K624" s="9">
        <f>IFERROR(__xludf.DUMMYFUNCTION("GOOGLEFINANCE(A624, ""low52"")"),50.0)</f>
        <v>50</v>
      </c>
      <c r="L624" s="9">
        <f t="shared" si="1"/>
        <v>0.1116805721</v>
      </c>
      <c r="M624" s="9">
        <f t="shared" si="2"/>
        <v>0.4906</v>
      </c>
      <c r="N624" s="9">
        <f t="shared" si="3"/>
        <v>0.01741496599</v>
      </c>
      <c r="O624" s="9">
        <f t="shared" si="4"/>
        <v>0.2949586155</v>
      </c>
      <c r="P624" s="9">
        <f>IFERROR(__xludf.DUMMYFUNCTION("GOOGLEFINANCE(A624, ""pe"")"),16.71)</f>
        <v>16.71</v>
      </c>
      <c r="Q624" s="9">
        <f>IFERROR(__xludf.DUMMYFUNCTION("IFERROR(GOOGLEFINANCE(A624, ""volume"") / GOOGLEFINANCE(A624, ""volumeavg""), 0)"),0.0)</f>
        <v>0</v>
      </c>
      <c r="R624" s="9">
        <f>IFERROR(__xludf.DUMMYFUNCTION("AVERAGE(INDEX(GOOGLEFINANCE(A624, ""price"", TODAY()-30, TODAY()), 0, 2))"),77.11434782608694)</f>
        <v>77.11434783</v>
      </c>
      <c r="S624" s="9">
        <f>IFERROR(__xludf.DUMMYFUNCTION("AVERAGE(INDEX(GOOGLEFINANCE(A624, ""price"", TODAY()-75, TODAY()), 0, 2))"),76.26283018867926)</f>
        <v>76.26283019</v>
      </c>
      <c r="T624" s="9">
        <f>IFERROR(__xludf.DUMMYFUNCTION("AVERAGE(INDEX(GOOGLEFINANCE(A624, ""price"", TODAY()-300, TODAY()), 0, 2))"),66.81323383084569)</f>
        <v>66.81323383</v>
      </c>
      <c r="U624" s="9">
        <f t="shared" si="5"/>
        <v>-0.03351319046</v>
      </c>
      <c r="V624" s="15">
        <f>IFERROR(__xludf.DUMMYFUNCTION("LET(hist, GOOGLEFINANCE(A624,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rs))))))"),36.22047244094484)</f>
        <v>36.22047244</v>
      </c>
      <c r="W624" s="16" t="str">
        <f>IFERROR(__xludf.DUMMYFUNCTION("IFERROR(GOOGLEFINANCE(A624, ""volume"") / GOOGLEFINANCE(A624, ""volumeavg""), )"),"")</f>
        <v/>
      </c>
      <c r="X624" s="9">
        <f>IFERROR(__xludf.DUMMYFUNCTION("B624 * GOOGLEFINANCE(A624, ""volume"")"),8.83769287E7)</f>
        <v>88376928.7</v>
      </c>
      <c r="Y624" s="9">
        <f>IFERROR(__xludf.DUMMYFUNCTION("IFERROR(((B624 - GOOGLEFINANCE(A624, ""priceopen"")) / GOOGLEFINANCE(A624, ""priceopen"")) * GOOGLEFINANCE(A624, ""volume""), 0)"),-1112.6715817693287)</f>
        <v>-1112.671582</v>
      </c>
    </row>
    <row r="625">
      <c r="A625" s="4" t="s">
        <v>2418</v>
      </c>
      <c r="B625" s="7">
        <f>IFERROR(__xludf.DUMMYFUNCTION("GOOGLEFINANCE(A625, ""price"")"),691.5)</f>
        <v>691.5</v>
      </c>
      <c r="C625" s="7">
        <f>IFERROR(__xludf.DUMMYFUNCTION("GOOGLEFINANCE(A625, ""changepct"")"),1.8)</f>
        <v>1.8</v>
      </c>
      <c r="D625" s="9">
        <f>IFERROR(__xludf.DUMMYFUNCTION("GOOGLEFINANCE(A625, ""priceopen"")"),691.35)</f>
        <v>691.35</v>
      </c>
      <c r="E625" s="9">
        <f>IFERROR(__xludf.DUMMYFUNCTION("GOOGLEFINANCE(A625, ""high"")"),717.85)</f>
        <v>717.85</v>
      </c>
      <c r="F625" s="9">
        <f>IFERROR(__xludf.DUMMYFUNCTION("GOOGLEFINANCE(A625, ""low"")"),687.7)</f>
        <v>687.7</v>
      </c>
      <c r="G625" s="9">
        <f>IFERROR(__xludf.DUMMYFUNCTION("GOOGLEFINANCE(A625, ""price"")"),691.5)</f>
        <v>691.5</v>
      </c>
      <c r="H625" s="9">
        <f>IFERROR(__xludf.DUMMYFUNCTION("MAX(INDEX(GOOGLEFINANCE(A625, ""high"", TODAY()-30, TODAY()), 0, 2))"),832.45)</f>
        <v>832.45</v>
      </c>
      <c r="I625" s="9">
        <f>IFERROR(__xludf.DUMMYFUNCTION("MIN(INDEX(GOOGLEFINANCE(A625, ""low"", TODAY()-30, TODAY()), 0, 2))"),662.15)</f>
        <v>662.15</v>
      </c>
      <c r="J625" s="9">
        <f>IFERROR(__xludf.DUMMYFUNCTION("GOOGLEFINANCE(A625, ""high52"")"),832.45)</f>
        <v>832.45</v>
      </c>
      <c r="K625" s="9">
        <f>IFERROR(__xludf.DUMMYFUNCTION("GOOGLEFINANCE(A625, ""low52"")"),456.8)</f>
        <v>456.8</v>
      </c>
      <c r="L625" s="9">
        <f t="shared" si="1"/>
        <v>0.1693194786</v>
      </c>
      <c r="M625" s="9">
        <f t="shared" si="2"/>
        <v>0.5137915937</v>
      </c>
      <c r="N625" s="9">
        <f t="shared" si="3"/>
        <v>0.04384179148</v>
      </c>
      <c r="O625" s="9">
        <f t="shared" si="4"/>
        <v>0.1723429243</v>
      </c>
      <c r="P625" s="9">
        <f>IFERROR(__xludf.DUMMYFUNCTION("GOOGLEFINANCE(A625, ""pe"")"),35.31)</f>
        <v>35.31</v>
      </c>
      <c r="Q625" s="9">
        <f>IFERROR(__xludf.DUMMYFUNCTION("IFERROR(GOOGLEFINANCE(A625, ""volume"") / GOOGLEFINANCE(A625, ""volumeavg""), 0)"),0.0)</f>
        <v>0</v>
      </c>
      <c r="R625" s="9">
        <f>IFERROR(__xludf.DUMMYFUNCTION("AVERAGE(INDEX(GOOGLEFINANCE(A625, ""price"", TODAY()-30, TODAY()), 0, 2))"),752.9195652173911)</f>
        <v>752.9195652</v>
      </c>
      <c r="S625" s="9">
        <f>IFERROR(__xludf.DUMMYFUNCTION("AVERAGE(INDEX(GOOGLEFINANCE(A625, ""price"", TODAY()-75, TODAY()), 0, 2))"),724.7301886792455)</f>
        <v>724.7301887</v>
      </c>
      <c r="T625" s="9">
        <f>IFERROR(__xludf.DUMMYFUNCTION("AVERAGE(INDEX(GOOGLEFINANCE(A625, ""price"", TODAY()-300, TODAY()), 0, 2))"),615.403217821782)</f>
        <v>615.4032178</v>
      </c>
      <c r="U625" s="9">
        <f t="shared" si="5"/>
        <v>-0.08157520146</v>
      </c>
      <c r="V625" s="15">
        <f>IFERROR(__xludf.DUMMYFUNCTION("LET(hist, GOOGLEFINANCE(A625,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rs))))))"),35.726053188985674)</f>
        <v>35.72605319</v>
      </c>
      <c r="W625" s="16" t="str">
        <f>IFERROR(__xludf.DUMMYFUNCTION("IFERROR(GOOGLEFINANCE(A625, ""volume"") / GOOGLEFINANCE(A625, ""volumeavg""), )"),"")</f>
        <v/>
      </c>
      <c r="X625" s="9">
        <f>IFERROR(__xludf.DUMMYFUNCTION("B625 * GOOGLEFINANCE(A625, ""volume"")"),4.66524624E8)</f>
        <v>466524624</v>
      </c>
      <c r="Y625" s="9">
        <f>IFERROR(__xludf.DUMMYFUNCTION("IFERROR(((B625 - GOOGLEFINANCE(A625, ""priceopen"")) / GOOGLEFINANCE(A625, ""priceopen"")) * GOOGLEFINANCE(A625, ""volume""), 0)"),146.37795617268338)</f>
        <v>146.3779562</v>
      </c>
    </row>
    <row r="626">
      <c r="A626" s="4" t="s">
        <v>2419</v>
      </c>
      <c r="B626" s="7">
        <f>IFERROR(__xludf.DUMMYFUNCTION("GOOGLEFINANCE(A626, ""price"")"),885.0)</f>
        <v>885</v>
      </c>
      <c r="C626" s="7">
        <f>IFERROR(__xludf.DUMMYFUNCTION("GOOGLEFINANCE(A626, ""changepct"")"),0.55)</f>
        <v>0.55</v>
      </c>
      <c r="D626" s="9">
        <f>IFERROR(__xludf.DUMMYFUNCTION("GOOGLEFINANCE(A626, ""priceopen"")"),876.65)</f>
        <v>876.65</v>
      </c>
      <c r="E626" s="9">
        <f>IFERROR(__xludf.DUMMYFUNCTION("GOOGLEFINANCE(A626, ""high"")"),887.05)</f>
        <v>887.05</v>
      </c>
      <c r="F626" s="9">
        <f>IFERROR(__xludf.DUMMYFUNCTION("GOOGLEFINANCE(A626, ""low"")"),870.45)</f>
        <v>870.45</v>
      </c>
      <c r="G626" s="9">
        <f>IFERROR(__xludf.DUMMYFUNCTION("GOOGLEFINANCE(A626, ""price"")"),885.0)</f>
        <v>885</v>
      </c>
      <c r="H626" s="9">
        <f>IFERROR(__xludf.DUMMYFUNCTION("MAX(INDEX(GOOGLEFINANCE(A626, ""high"", TODAY()-30, TODAY()), 0, 2))"),948.8)</f>
        <v>948.8</v>
      </c>
      <c r="I626" s="9">
        <f>IFERROR(__xludf.DUMMYFUNCTION("MIN(INDEX(GOOGLEFINANCE(A626, ""low"", TODAY()-30, TODAY()), 0, 2))"),853.95)</f>
        <v>853.95</v>
      </c>
      <c r="J626" s="9">
        <f>IFERROR(__xludf.DUMMYFUNCTION("GOOGLEFINANCE(A626, ""high52"")"),1345.0)</f>
        <v>1345</v>
      </c>
      <c r="K626" s="9">
        <f>IFERROR(__xludf.DUMMYFUNCTION("GOOGLEFINANCE(A626, ""low52"")"),785.0)</f>
        <v>785</v>
      </c>
      <c r="L626" s="9">
        <f t="shared" si="1"/>
        <v>0.3420074349</v>
      </c>
      <c r="M626" s="9">
        <f t="shared" si="2"/>
        <v>0.127388535</v>
      </c>
      <c r="N626" s="9">
        <f t="shared" si="3"/>
        <v>0.01907059567</v>
      </c>
      <c r="O626" s="9">
        <f t="shared" si="4"/>
        <v>0.3273589879</v>
      </c>
      <c r="P626" s="9">
        <f>IFERROR(__xludf.DUMMYFUNCTION("GOOGLEFINANCE(A626, ""pe"")"),8.43)</f>
        <v>8.43</v>
      </c>
      <c r="Q626" s="9">
        <f>IFERROR(__xludf.DUMMYFUNCTION("IFERROR(GOOGLEFINANCE(A626, ""volume"") / GOOGLEFINANCE(A626, ""volumeavg""), 0)"),0.0)</f>
        <v>0</v>
      </c>
      <c r="R626" s="9">
        <f>IFERROR(__xludf.DUMMYFUNCTION("AVERAGE(INDEX(GOOGLEFINANCE(A626, ""price"", TODAY()-30, TODAY()), 0, 2))"),889.8565217391306)</f>
        <v>889.8565217</v>
      </c>
      <c r="S626" s="9">
        <f>IFERROR(__xludf.DUMMYFUNCTION("AVERAGE(INDEX(GOOGLEFINANCE(A626, ""price"", TODAY()-75, TODAY()), 0, 2))"),894.6150943396225)</f>
        <v>894.6150943</v>
      </c>
      <c r="T626" s="9">
        <f>IFERROR(__xludf.DUMMYFUNCTION("AVERAGE(INDEX(GOOGLEFINANCE(A626, ""price"", TODAY()-300, TODAY()), 0, 2))"),961.5524752475245)</f>
        <v>961.5524752</v>
      </c>
      <c r="U626" s="9">
        <f t="shared" si="5"/>
        <v>-0.005457645834</v>
      </c>
      <c r="V626" s="15">
        <f>IFERROR(__xludf.DUMMYFUNCTION("LET(hist, GOOGLEFINANCE(A626,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rs))))))"),54.232701971395464)</f>
        <v>54.23270197</v>
      </c>
      <c r="W626" s="16" t="str">
        <f>IFERROR(__xludf.DUMMYFUNCTION("IFERROR(GOOGLEFINANCE(A626, ""volume"") / GOOGLEFINANCE(A626, ""volumeavg""), )"),"")</f>
        <v/>
      </c>
      <c r="X626" s="9">
        <f>IFERROR(__xludf.DUMMYFUNCTION("B626 * GOOGLEFINANCE(A626, ""volume"")"),2.8359825E7)</f>
        <v>28359825</v>
      </c>
      <c r="Y626" s="9">
        <f>IFERROR(__xludf.DUMMYFUNCTION("IFERROR(((B626 - GOOGLEFINANCE(A626, ""priceopen"")) / GOOGLEFINANCE(A626, ""priceopen"")) * GOOGLEFINANCE(A626, ""volume""), 0)"),305.225289454173)</f>
        <v>305.2252895</v>
      </c>
    </row>
    <row r="627">
      <c r="A627" s="4" t="s">
        <v>2420</v>
      </c>
      <c r="B627" s="7">
        <f>IFERROR(__xludf.DUMMYFUNCTION("GOOGLEFINANCE(A627, ""price"")"),674.6)</f>
        <v>674.6</v>
      </c>
      <c r="C627" s="7">
        <f>IFERROR(__xludf.DUMMYFUNCTION("GOOGLEFINANCE(A627, ""changepct"")"),0.82)</f>
        <v>0.82</v>
      </c>
      <c r="D627" s="9">
        <f>IFERROR(__xludf.DUMMYFUNCTION("GOOGLEFINANCE(A627, ""priceopen"")"),677.0)</f>
        <v>677</v>
      </c>
      <c r="E627" s="9">
        <f>IFERROR(__xludf.DUMMYFUNCTION("GOOGLEFINANCE(A627, ""high"")"),680.35)</f>
        <v>680.35</v>
      </c>
      <c r="F627" s="9">
        <f>IFERROR(__xludf.DUMMYFUNCTION("GOOGLEFINANCE(A627, ""low"")"),666.4)</f>
        <v>666.4</v>
      </c>
      <c r="G627" s="9">
        <f>IFERROR(__xludf.DUMMYFUNCTION("GOOGLEFINANCE(A627, ""price"")"),674.6)</f>
        <v>674.6</v>
      </c>
      <c r="H627" s="9">
        <f>IFERROR(__xludf.DUMMYFUNCTION("MAX(INDEX(GOOGLEFINANCE(A627, ""high"", TODAY()-30, TODAY()), 0, 2))"),741.0)</f>
        <v>741</v>
      </c>
      <c r="I627" s="9">
        <f>IFERROR(__xludf.DUMMYFUNCTION("MIN(INDEX(GOOGLEFINANCE(A627, ""low"", TODAY()-30, TODAY()), 0, 2))"),611.85)</f>
        <v>611.85</v>
      </c>
      <c r="J627" s="9">
        <f>IFERROR(__xludf.DUMMYFUNCTION("GOOGLEFINANCE(A627, ""high52"")"),741.0)</f>
        <v>741</v>
      </c>
      <c r="K627" s="9">
        <f>IFERROR(__xludf.DUMMYFUNCTION("GOOGLEFINANCE(A627, ""low52"")"),481.15)</f>
        <v>481.15</v>
      </c>
      <c r="L627" s="9">
        <f t="shared" si="1"/>
        <v>0.08960863698</v>
      </c>
      <c r="M627" s="9">
        <f t="shared" si="2"/>
        <v>0.4020575704</v>
      </c>
      <c r="N627" s="9">
        <f t="shared" si="3"/>
        <v>0.02093337335</v>
      </c>
      <c r="O627" s="9">
        <f t="shared" si="4"/>
        <v>0.4858691444</v>
      </c>
      <c r="P627" s="9">
        <f>IFERROR(__xludf.DUMMYFUNCTION("GOOGLEFINANCE(A627, ""pe"")"),40.18)</f>
        <v>40.18</v>
      </c>
      <c r="Q627" s="9">
        <f>IFERROR(__xludf.DUMMYFUNCTION("IFERROR(GOOGLEFINANCE(A627, ""volume"") / GOOGLEFINANCE(A627, ""volumeavg""), 0)"),0.0)</f>
        <v>0</v>
      </c>
      <c r="R627" s="9">
        <f>IFERROR(__xludf.DUMMYFUNCTION("AVERAGE(INDEX(GOOGLEFINANCE(A627, ""price"", TODAY()-30, TODAY()), 0, 2))"),678.6717391304346)</f>
        <v>678.6717391</v>
      </c>
      <c r="S627" s="9">
        <f>IFERROR(__xludf.DUMMYFUNCTION("AVERAGE(INDEX(GOOGLEFINANCE(A627, ""price"", TODAY()-75, TODAY()), 0, 2))"),667.7462264150944)</f>
        <v>667.7462264</v>
      </c>
      <c r="T627" s="9">
        <f>IFERROR(__xludf.DUMMYFUNCTION("AVERAGE(INDEX(GOOGLEFINANCE(A627, ""price"", TODAY()-300, TODAY()), 0, 2))"),582.1641089108912)</f>
        <v>582.1641089</v>
      </c>
      <c r="U627" s="9">
        <f t="shared" si="5"/>
        <v>-0.005999570773</v>
      </c>
      <c r="V627" s="15">
        <f>IFERROR(__xludf.DUMMYFUNCTION("LET(hist, GOOGLEFINANCE(A627,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rs))))))"),49.38105489773949)</f>
        <v>49.3810549</v>
      </c>
      <c r="W627" s="16" t="str">
        <f>IFERROR(__xludf.DUMMYFUNCTION("IFERROR(GOOGLEFINANCE(A627, ""volume"") / GOOGLEFINANCE(A627, ""volumeavg""), )"),"")</f>
        <v/>
      </c>
      <c r="X627" s="9">
        <f>IFERROR(__xludf.DUMMYFUNCTION("B627 * GOOGLEFINANCE(A627, ""volume"")"),1.15602829E8)</f>
        <v>115602829</v>
      </c>
      <c r="Y627" s="9">
        <f>IFERROR(__xludf.DUMMYFUNCTION("IFERROR(((B627 - GOOGLEFINANCE(A627, ""priceopen"")) / GOOGLEFINANCE(A627, ""priceopen"")) * GOOGLEFINANCE(A627, ""volume""), 0)"),-607.4977843426825)</f>
        <v>-607.4977843</v>
      </c>
    </row>
    <row r="628">
      <c r="A628" s="4" t="s">
        <v>2421</v>
      </c>
      <c r="B628" s="7">
        <f>IFERROR(__xludf.DUMMYFUNCTION("GOOGLEFINANCE(A628, ""price"")"),62.0)</f>
        <v>62</v>
      </c>
      <c r="C628" s="7">
        <f>IFERROR(__xludf.DUMMYFUNCTION("GOOGLEFINANCE(A628, ""changepct"")"),-4.2)</f>
        <v>-4.2</v>
      </c>
      <c r="D628" s="9">
        <f>IFERROR(__xludf.DUMMYFUNCTION("GOOGLEFINANCE(A628, ""priceopen"")"),65.0)</f>
        <v>65</v>
      </c>
      <c r="E628" s="9">
        <f>IFERROR(__xludf.DUMMYFUNCTION("GOOGLEFINANCE(A628, ""high"")"),65.1)</f>
        <v>65.1</v>
      </c>
      <c r="F628" s="9">
        <f>IFERROR(__xludf.DUMMYFUNCTION("GOOGLEFINANCE(A628, ""low"")"),61.45)</f>
        <v>61.45</v>
      </c>
      <c r="G628" s="9">
        <f>IFERROR(__xludf.DUMMYFUNCTION("GOOGLEFINANCE(A628, ""price"")"),62.0)</f>
        <v>62</v>
      </c>
      <c r="H628" s="9">
        <f>IFERROR(__xludf.DUMMYFUNCTION("MAX(INDEX(GOOGLEFINANCE(A628, ""high"", TODAY()-30, TODAY()), 0, 2))"),69.6)</f>
        <v>69.6</v>
      </c>
      <c r="I628" s="9">
        <f>IFERROR(__xludf.DUMMYFUNCTION("MIN(INDEX(GOOGLEFINANCE(A628, ""low"", TODAY()-30, TODAY()), 0, 2))"),59.81)</f>
        <v>59.81</v>
      </c>
      <c r="J628" s="9">
        <f>IFERROR(__xludf.DUMMYFUNCTION("GOOGLEFINANCE(A628, ""high52"")"),105.7)</f>
        <v>105.7</v>
      </c>
      <c r="K628" s="9">
        <f>IFERROR(__xludf.DUMMYFUNCTION("GOOGLEFINANCE(A628, ""low52"")"),39.46)</f>
        <v>39.46</v>
      </c>
      <c r="L628" s="9">
        <f t="shared" si="1"/>
        <v>0.4134342479</v>
      </c>
      <c r="M628" s="9">
        <f t="shared" si="2"/>
        <v>0.5712113533</v>
      </c>
      <c r="N628" s="9">
        <f t="shared" si="3"/>
        <v>0.05939788446</v>
      </c>
      <c r="O628" s="9">
        <f t="shared" si="4"/>
        <v>0.2236976507</v>
      </c>
      <c r="P628" s="9" t="str">
        <f>IFERROR(__xludf.DUMMYFUNCTION("GOOGLEFINANCE(A628, ""pe"")"),"#N/A")</f>
        <v>#N/A</v>
      </c>
      <c r="Q628" s="9">
        <f>IFERROR(__xludf.DUMMYFUNCTION("IFERROR(GOOGLEFINANCE(A628, ""volume"") / GOOGLEFINANCE(A628, ""volumeavg""), 0)"),0.0)</f>
        <v>0</v>
      </c>
      <c r="R628" s="9">
        <f>IFERROR(__xludf.DUMMYFUNCTION("AVERAGE(INDEX(GOOGLEFINANCE(A628, ""price"", TODAY()-30, TODAY()), 0, 2))"),62.717826086956514)</f>
        <v>62.71782609</v>
      </c>
      <c r="S628" s="9">
        <f>IFERROR(__xludf.DUMMYFUNCTION("AVERAGE(INDEX(GOOGLEFINANCE(A628, ""price"", TODAY()-75, TODAY()), 0, 2))"),61.89056603773584)</f>
        <v>61.89056604</v>
      </c>
      <c r="T628" s="9">
        <f>IFERROR(__xludf.DUMMYFUNCTION("AVERAGE(INDEX(GOOGLEFINANCE(A628, ""price"", TODAY()-300, TODAY()), 0, 2))"),65.47731578947369)</f>
        <v>65.47731579</v>
      </c>
      <c r="U628" s="9">
        <f t="shared" si="5"/>
        <v>-0.01144532794</v>
      </c>
      <c r="V628" s="15">
        <f>IFERROR(__xludf.DUMMYFUNCTION("LET(hist, GOOGLEFINANCE(A628,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rs))))))"),52.36396074933096)</f>
        <v>52.36396075</v>
      </c>
      <c r="W628" s="16" t="str">
        <f>IFERROR(__xludf.DUMMYFUNCTION("IFERROR(GOOGLEFINANCE(A628, ""volume"") / GOOGLEFINANCE(A628, ""volumeavg""), )"),"")</f>
        <v/>
      </c>
      <c r="X628" s="9">
        <f>IFERROR(__xludf.DUMMYFUNCTION("B628 * GOOGLEFINANCE(A628, ""volume"")"),2.39393408E8)</f>
        <v>239393408</v>
      </c>
      <c r="Y628" s="9">
        <f>IFERROR(__xludf.DUMMYFUNCTION("IFERROR(((B628 - GOOGLEFINANCE(A628, ""priceopen"")) / GOOGLEFINANCE(A628, ""priceopen"")) * GOOGLEFINANCE(A628, ""volume""), 0)"),-178208.49230769233)</f>
        <v>-178208.4923</v>
      </c>
    </row>
    <row r="629">
      <c r="A629" s="4" t="s">
        <v>2422</v>
      </c>
      <c r="B629" s="7">
        <f>IFERROR(__xludf.DUMMYFUNCTION("GOOGLEFINANCE(A629, ""price"")"),780.2)</f>
        <v>780.2</v>
      </c>
      <c r="C629" s="7">
        <f>IFERROR(__xludf.DUMMYFUNCTION("GOOGLEFINANCE(A629, ""changepct"")"),5.84)</f>
        <v>5.84</v>
      </c>
      <c r="D629" s="9">
        <f>IFERROR(__xludf.DUMMYFUNCTION("GOOGLEFINANCE(A629, ""priceopen"")"),744.0)</f>
        <v>744</v>
      </c>
      <c r="E629" s="9">
        <f>IFERROR(__xludf.DUMMYFUNCTION("GOOGLEFINANCE(A629, ""high"")"),792.55)</f>
        <v>792.55</v>
      </c>
      <c r="F629" s="9">
        <f>IFERROR(__xludf.DUMMYFUNCTION("GOOGLEFINANCE(A629, ""low"")"),739.1)</f>
        <v>739.1</v>
      </c>
      <c r="G629" s="9">
        <f>IFERROR(__xludf.DUMMYFUNCTION("GOOGLEFINANCE(A629, ""price"")"),780.2)</f>
        <v>780.2</v>
      </c>
      <c r="H629" s="9">
        <f>IFERROR(__xludf.DUMMYFUNCTION("MAX(INDEX(GOOGLEFINANCE(A629, ""high"", TODAY()-30, TODAY()), 0, 2))"),792.55)</f>
        <v>792.55</v>
      </c>
      <c r="I629" s="9">
        <f>IFERROR(__xludf.DUMMYFUNCTION("MIN(INDEX(GOOGLEFINANCE(A629, ""low"", TODAY()-30, TODAY()), 0, 2))"),597.0)</f>
        <v>597</v>
      </c>
      <c r="J629" s="9">
        <f>IFERROR(__xludf.DUMMYFUNCTION("GOOGLEFINANCE(A629, ""high52"")"),792.55)</f>
        <v>792.55</v>
      </c>
      <c r="K629" s="9">
        <f>IFERROR(__xludf.DUMMYFUNCTION("GOOGLEFINANCE(A629, ""low52"")"),418.95)</f>
        <v>418.95</v>
      </c>
      <c r="L629" s="9">
        <f t="shared" si="1"/>
        <v>0.01558261308</v>
      </c>
      <c r="M629" s="9">
        <f t="shared" si="2"/>
        <v>0.8622747345</v>
      </c>
      <c r="N629" s="9">
        <f t="shared" si="3"/>
        <v>0.07231768367</v>
      </c>
      <c r="O629" s="9">
        <f t="shared" si="4"/>
        <v>0.9368447967</v>
      </c>
      <c r="P629" s="9">
        <f>IFERROR(__xludf.DUMMYFUNCTION("GOOGLEFINANCE(A629, ""pe"")"),35.51)</f>
        <v>35.51</v>
      </c>
      <c r="Q629" s="9">
        <f>IFERROR(__xludf.DUMMYFUNCTION("IFERROR(GOOGLEFINANCE(A629, ""volume"") / GOOGLEFINANCE(A629, ""volumeavg""), 0)"),0.0)</f>
        <v>0</v>
      </c>
      <c r="R629" s="9">
        <f>IFERROR(__xludf.DUMMYFUNCTION("AVERAGE(INDEX(GOOGLEFINANCE(A629, ""price"", TODAY()-30, TODAY()), 0, 2))"),676.8869565217392)</f>
        <v>676.8869565</v>
      </c>
      <c r="S629" s="9">
        <f>IFERROR(__xludf.DUMMYFUNCTION("AVERAGE(INDEX(GOOGLEFINANCE(A629, ""price"", TODAY()-75, TODAY()), 0, 2))"),622.943396226415)</f>
        <v>622.9433962</v>
      </c>
      <c r="T629" s="9">
        <f>IFERROR(__xludf.DUMMYFUNCTION("AVERAGE(INDEX(GOOGLEFINANCE(A629, ""price"", TODAY()-300, TODAY()), 0, 2))"),597.5695544554458)</f>
        <v>597.5695545</v>
      </c>
      <c r="U629" s="9">
        <f t="shared" si="5"/>
        <v>0.1526296858</v>
      </c>
      <c r="V629" s="15">
        <f>IFERROR(__xludf.DUMMYFUNCTION("LET(hist, GOOGLEFINANCE(A629,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rs))))))"),83.48604304282972)</f>
        <v>83.48604304</v>
      </c>
      <c r="W629" s="16" t="str">
        <f>IFERROR(__xludf.DUMMYFUNCTION("IFERROR(GOOGLEFINANCE(A629, ""volume"") / GOOGLEFINANCE(A629, ""volumeavg""), )"),"")</f>
        <v/>
      </c>
      <c r="X629" s="9">
        <f>IFERROR(__xludf.DUMMYFUNCTION("B629 * GOOGLEFINANCE(A629, ""volume"")"),1.0673580714000001E9)</f>
        <v>1067358071</v>
      </c>
      <c r="Y629" s="9">
        <f>IFERROR(__xludf.DUMMYFUNCTION("IFERROR(((B629 - GOOGLEFINANCE(A629, ""priceopen"")) / GOOGLEFINANCE(A629, ""priceopen"")) * GOOGLEFINANCE(A629, ""volume""), 0)"),66564.0637096775)</f>
        <v>66564.06371</v>
      </c>
    </row>
    <row r="630">
      <c r="A630" s="4" t="s">
        <v>2423</v>
      </c>
      <c r="B630" s="7">
        <f>IFERROR(__xludf.DUMMYFUNCTION("GOOGLEFINANCE(A630, ""price"")"),672.0)</f>
        <v>672</v>
      </c>
      <c r="C630" s="7">
        <f>IFERROR(__xludf.DUMMYFUNCTION("GOOGLEFINANCE(A630, ""changepct"")"),-1.05)</f>
        <v>-1.05</v>
      </c>
      <c r="D630" s="9">
        <f>IFERROR(__xludf.DUMMYFUNCTION("GOOGLEFINANCE(A630, ""priceopen"")"),680.0)</f>
        <v>680</v>
      </c>
      <c r="E630" s="9">
        <f>IFERROR(__xludf.DUMMYFUNCTION("GOOGLEFINANCE(A630, ""high"")"),690.5)</f>
        <v>690.5</v>
      </c>
      <c r="F630" s="9">
        <f>IFERROR(__xludf.DUMMYFUNCTION("GOOGLEFINANCE(A630, ""low"")"),672.0)</f>
        <v>672</v>
      </c>
      <c r="G630" s="9">
        <f>IFERROR(__xludf.DUMMYFUNCTION("GOOGLEFINANCE(A630, ""price"")"),672.0)</f>
        <v>672</v>
      </c>
      <c r="H630" s="9">
        <f>IFERROR(__xludf.DUMMYFUNCTION("MAX(INDEX(GOOGLEFINANCE(A630, ""high"", TODAY()-30, TODAY()), 0, 2))"),829.3)</f>
        <v>829.3</v>
      </c>
      <c r="I630" s="9">
        <f>IFERROR(__xludf.DUMMYFUNCTION("MIN(INDEX(GOOGLEFINANCE(A630, ""low"", TODAY()-30, TODAY()), 0, 2))"),653.0)</f>
        <v>653</v>
      </c>
      <c r="J630" s="9">
        <f>IFERROR(__xludf.DUMMYFUNCTION("GOOGLEFINANCE(A630, ""high52"")"),1022.2)</f>
        <v>1022.2</v>
      </c>
      <c r="K630" s="9">
        <f>IFERROR(__xludf.DUMMYFUNCTION("GOOGLEFINANCE(A630, ""low52"")"),653.0)</f>
        <v>653</v>
      </c>
      <c r="L630" s="9">
        <f t="shared" si="1"/>
        <v>0.3425944042</v>
      </c>
      <c r="M630" s="9">
        <f t="shared" si="2"/>
        <v>0.02909647779</v>
      </c>
      <c r="N630" s="9">
        <f t="shared" si="3"/>
        <v>0.0275297619</v>
      </c>
      <c r="O630" s="9">
        <f t="shared" si="4"/>
        <v>0.1077708452</v>
      </c>
      <c r="P630" s="9">
        <f>IFERROR(__xludf.DUMMYFUNCTION("GOOGLEFINANCE(A630, ""pe"")"),38.36)</f>
        <v>38.36</v>
      </c>
      <c r="Q630" s="9">
        <f>IFERROR(__xludf.DUMMYFUNCTION("IFERROR(GOOGLEFINANCE(A630, ""volume"") / GOOGLEFINANCE(A630, ""volumeavg""), 0)"),0.0)</f>
        <v>0</v>
      </c>
      <c r="R630" s="9">
        <f>IFERROR(__xludf.DUMMYFUNCTION("AVERAGE(INDEX(GOOGLEFINANCE(A630, ""price"", TODAY()-30, TODAY()), 0, 2))"),731.9804347826087)</f>
        <v>731.9804348</v>
      </c>
      <c r="S630" s="9">
        <f>IFERROR(__xludf.DUMMYFUNCTION("AVERAGE(INDEX(GOOGLEFINANCE(A630, ""price"", TODAY()-75, TODAY()), 0, 2))"),797.2905660377362)</f>
        <v>797.290566</v>
      </c>
      <c r="T630" s="9">
        <f>IFERROR(__xludf.DUMMYFUNCTION("AVERAGE(INDEX(GOOGLEFINANCE(A630, ""price"", TODAY()-300, TODAY()), 0, 2))"),821.6222772277225)</f>
        <v>821.6222772</v>
      </c>
      <c r="U630" s="9">
        <f t="shared" si="5"/>
        <v>-0.08194267488</v>
      </c>
      <c r="V630" s="15">
        <f>IFERROR(__xludf.DUMMYFUNCTION("LET(hist, GOOGLEFINANCE(A630,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rs))))))"),33.830044301248435)</f>
        <v>33.8300443</v>
      </c>
      <c r="W630" s="16" t="str">
        <f>IFERROR(__xludf.DUMMYFUNCTION("IFERROR(GOOGLEFINANCE(A630, ""volume"") / GOOGLEFINANCE(A630, ""volumeavg""), )"),"")</f>
        <v/>
      </c>
      <c r="X630" s="9">
        <f>IFERROR(__xludf.DUMMYFUNCTION("B630 * GOOGLEFINANCE(A630, ""volume"")"),1.11830208E8)</f>
        <v>111830208</v>
      </c>
      <c r="Y630" s="9">
        <f>IFERROR(__xludf.DUMMYFUNCTION("IFERROR(((B630 - GOOGLEFINANCE(A630, ""priceopen"")) / GOOGLEFINANCE(A630, ""priceopen"")) * GOOGLEFINANCE(A630, ""volume""), 0)"),-1957.8117647058823)</f>
        <v>-1957.811765</v>
      </c>
    </row>
    <row r="631">
      <c r="A631" s="4" t="s">
        <v>2424</v>
      </c>
      <c r="B631" s="7">
        <f>IFERROR(__xludf.DUMMYFUNCTION("GOOGLEFINANCE(A631, ""price"")"),312.6)</f>
        <v>312.6</v>
      </c>
      <c r="C631" s="7">
        <f>IFERROR(__xludf.DUMMYFUNCTION("GOOGLEFINANCE(A631, ""changepct"")"),-2.4)</f>
        <v>-2.4</v>
      </c>
      <c r="D631" s="9">
        <f>IFERROR(__xludf.DUMMYFUNCTION("GOOGLEFINANCE(A631, ""priceopen"")"),320.9)</f>
        <v>320.9</v>
      </c>
      <c r="E631" s="9">
        <f>IFERROR(__xludf.DUMMYFUNCTION("GOOGLEFINANCE(A631, ""high"")"),321.9)</f>
        <v>321.9</v>
      </c>
      <c r="F631" s="9">
        <f>IFERROR(__xludf.DUMMYFUNCTION("GOOGLEFINANCE(A631, ""low"")"),312.15)</f>
        <v>312.15</v>
      </c>
      <c r="G631" s="9">
        <f>IFERROR(__xludf.DUMMYFUNCTION("GOOGLEFINANCE(A631, ""price"")"),312.6)</f>
        <v>312.6</v>
      </c>
      <c r="H631" s="9">
        <f>IFERROR(__xludf.DUMMYFUNCTION("MAX(INDEX(GOOGLEFINANCE(A631, ""high"", TODAY()-30, TODAY()), 0, 2))"),331.0)</f>
        <v>331</v>
      </c>
      <c r="I631" s="9">
        <f>IFERROR(__xludf.DUMMYFUNCTION("MIN(INDEX(GOOGLEFINANCE(A631, ""low"", TODAY()-30, TODAY()), 0, 2))"),277.25)</f>
        <v>277.25</v>
      </c>
      <c r="J631" s="9">
        <f>IFERROR(__xludf.DUMMYFUNCTION("GOOGLEFINANCE(A631, ""high52"")"),474.0)</f>
        <v>474</v>
      </c>
      <c r="K631" s="9">
        <f>IFERROR(__xludf.DUMMYFUNCTION("GOOGLEFINANCE(A631, ""low52"")"),270.2)</f>
        <v>270.2</v>
      </c>
      <c r="L631" s="9">
        <f t="shared" si="1"/>
        <v>0.3405063291</v>
      </c>
      <c r="M631" s="9">
        <f t="shared" si="2"/>
        <v>0.1569207994</v>
      </c>
      <c r="N631" s="9">
        <f t="shared" si="3"/>
        <v>0.03123498318</v>
      </c>
      <c r="O631" s="9">
        <f t="shared" si="4"/>
        <v>0.6576744186</v>
      </c>
      <c r="P631" s="9">
        <f>IFERROR(__xludf.DUMMYFUNCTION("GOOGLEFINANCE(A631, ""pe"")"),15.38)</f>
        <v>15.38</v>
      </c>
      <c r="Q631" s="9">
        <f>IFERROR(__xludf.DUMMYFUNCTION("IFERROR(GOOGLEFINANCE(A631, ""volume"") / GOOGLEFINANCE(A631, ""volumeavg""), 0)"),0.0)</f>
        <v>0</v>
      </c>
      <c r="R631" s="9">
        <f>IFERROR(__xludf.DUMMYFUNCTION("AVERAGE(INDEX(GOOGLEFINANCE(A631, ""price"", TODAY()-30, TODAY()), 0, 2))"),301.8173913043478)</f>
        <v>301.8173913</v>
      </c>
      <c r="S631" s="9">
        <f>IFERROR(__xludf.DUMMYFUNCTION("AVERAGE(INDEX(GOOGLEFINANCE(A631, ""price"", TODAY()-75, TODAY()), 0, 2))"),305.33207547169803)</f>
        <v>305.3320755</v>
      </c>
      <c r="T631" s="9">
        <f>IFERROR(__xludf.DUMMYFUNCTION("AVERAGE(INDEX(GOOGLEFINANCE(A631, ""price"", TODAY()-300, TODAY()), 0, 2))"),366.3195544554454)</f>
        <v>366.3195545</v>
      </c>
      <c r="U631" s="9">
        <f t="shared" si="5"/>
        <v>0.03572560431</v>
      </c>
      <c r="V631" s="15">
        <f>IFERROR(__xludf.DUMMYFUNCTION("LET(hist, GOOGLEFINANCE(A631,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rs))))))"),71.69930511686673)</f>
        <v>71.69930512</v>
      </c>
      <c r="W631" s="16" t="str">
        <f>IFERROR(__xludf.DUMMYFUNCTION("IFERROR(GOOGLEFINANCE(A631, ""volume"") / GOOGLEFINANCE(A631, ""volumeavg""), )"),"")</f>
        <v/>
      </c>
      <c r="X631" s="9">
        <f>IFERROR(__xludf.DUMMYFUNCTION("B631 * GOOGLEFINANCE(A631, ""volume"")"),3.4482093240000004E8)</f>
        <v>344820932.4</v>
      </c>
      <c r="Y631" s="9">
        <f>IFERROR(__xludf.DUMMYFUNCTION("IFERROR(((B631 - GOOGLEFINANCE(A631, ""priceopen"")) / GOOGLEFINANCE(A631, ""priceopen"")) * GOOGLEFINANCE(A631, ""volume""), 0)"),-28530.73917108118)</f>
        <v>-28530.73917</v>
      </c>
    </row>
    <row r="632">
      <c r="A632" s="4" t="s">
        <v>2425</v>
      </c>
      <c r="B632" s="7">
        <f>IFERROR(__xludf.DUMMYFUNCTION("GOOGLEFINANCE(A632, ""price"")"),382.2)</f>
        <v>382.2</v>
      </c>
      <c r="C632" s="7">
        <f>IFERROR(__xludf.DUMMYFUNCTION("GOOGLEFINANCE(A632, ""changepct"")"),-0.12)</f>
        <v>-0.12</v>
      </c>
      <c r="D632" s="9">
        <f>IFERROR(__xludf.DUMMYFUNCTION("GOOGLEFINANCE(A632, ""priceopen"")"),383.0)</f>
        <v>383</v>
      </c>
      <c r="E632" s="9">
        <f>IFERROR(__xludf.DUMMYFUNCTION("GOOGLEFINANCE(A632, ""high"")"),385.75)</f>
        <v>385.75</v>
      </c>
      <c r="F632" s="9">
        <f>IFERROR(__xludf.DUMMYFUNCTION("GOOGLEFINANCE(A632, ""low"")"),378.1)</f>
        <v>378.1</v>
      </c>
      <c r="G632" s="9">
        <f>IFERROR(__xludf.DUMMYFUNCTION("GOOGLEFINANCE(A632, ""price"")"),382.2)</f>
        <v>382.2</v>
      </c>
      <c r="H632" s="9">
        <f>IFERROR(__xludf.DUMMYFUNCTION("MAX(INDEX(GOOGLEFINANCE(A632, ""high"", TODAY()-30, TODAY()), 0, 2))"),408.0)</f>
        <v>408</v>
      </c>
      <c r="I632" s="9">
        <f>IFERROR(__xludf.DUMMYFUNCTION("MIN(INDEX(GOOGLEFINANCE(A632, ""low"", TODAY()-30, TODAY()), 0, 2))"),364.0)</f>
        <v>364</v>
      </c>
      <c r="J632" s="9">
        <f>IFERROR(__xludf.DUMMYFUNCTION("GOOGLEFINANCE(A632, ""high52"")"),427.05)</f>
        <v>427.05</v>
      </c>
      <c r="K632" s="9">
        <f>IFERROR(__xludf.DUMMYFUNCTION("GOOGLEFINANCE(A632, ""low52"")"),286.8)</f>
        <v>286.8</v>
      </c>
      <c r="L632" s="9">
        <f t="shared" si="1"/>
        <v>0.1050228311</v>
      </c>
      <c r="M632" s="9">
        <f t="shared" si="2"/>
        <v>0.3326359833</v>
      </c>
      <c r="N632" s="9">
        <f t="shared" si="3"/>
        <v>0.02023274266</v>
      </c>
      <c r="O632" s="9">
        <f t="shared" si="4"/>
        <v>0.4136363636</v>
      </c>
      <c r="P632" s="9">
        <f>IFERROR(__xludf.DUMMYFUNCTION("GOOGLEFINANCE(A632, ""pe"")"),23.74)</f>
        <v>23.74</v>
      </c>
      <c r="Q632" s="9">
        <f>IFERROR(__xludf.DUMMYFUNCTION("IFERROR(GOOGLEFINANCE(A632, ""volume"") / GOOGLEFINANCE(A632, ""volumeavg""), 0)"),0.0)</f>
        <v>0</v>
      </c>
      <c r="R632" s="9">
        <f>IFERROR(__xludf.DUMMYFUNCTION("AVERAGE(INDEX(GOOGLEFINANCE(A632, ""price"", TODAY()-30, TODAY()), 0, 2))"),381.38695652173914)</f>
        <v>381.3869565</v>
      </c>
      <c r="S632" s="9">
        <f>IFERROR(__xludf.DUMMYFUNCTION("AVERAGE(INDEX(GOOGLEFINANCE(A632, ""price"", TODAY()-75, TODAY()), 0, 2))"),364.02358490566024)</f>
        <v>364.0235849</v>
      </c>
      <c r="T632" s="9">
        <f>IFERROR(__xludf.DUMMYFUNCTION("AVERAGE(INDEX(GOOGLEFINANCE(A632, ""price"", TODAY()-300, TODAY()), 0, 2))"),365.6834158415841)</f>
        <v>365.6834158</v>
      </c>
      <c r="U632" s="9">
        <f t="shared" si="5"/>
        <v>0.002131807248</v>
      </c>
      <c r="V632" s="15">
        <f>IFERROR(__xludf.DUMMYFUNCTION("LET(hist, GOOGLEFINANCE(A632,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rs))))))"),54.93998153277932)</f>
        <v>54.93998153</v>
      </c>
      <c r="W632" s="16" t="str">
        <f>IFERROR(__xludf.DUMMYFUNCTION("IFERROR(GOOGLEFINANCE(A632, ""volume"") / GOOGLEFINANCE(A632, ""volumeavg""), )"),"")</f>
        <v/>
      </c>
      <c r="X632" s="9">
        <f>IFERROR(__xludf.DUMMYFUNCTION("B632 * GOOGLEFINANCE(A632, ""volume"")"),2.660112E7)</f>
        <v>26601120</v>
      </c>
      <c r="Y632" s="9">
        <f>IFERROR(__xludf.DUMMYFUNCTION("IFERROR(((B632 - GOOGLEFINANCE(A632, ""priceopen"")) / GOOGLEFINANCE(A632, ""priceopen"")) * GOOGLEFINANCE(A632, ""volume""), 0)"),-145.37859007833106)</f>
        <v>-145.3785901</v>
      </c>
    </row>
    <row r="633">
      <c r="A633" s="4" t="s">
        <v>2426</v>
      </c>
      <c r="B633" s="7">
        <f>IFERROR(__xludf.DUMMYFUNCTION("GOOGLEFINANCE(A633, ""price"")"),90.34)</f>
        <v>90.34</v>
      </c>
      <c r="C633" s="7">
        <f>IFERROR(__xludf.DUMMYFUNCTION("GOOGLEFINANCE(A633, ""changepct"")"),-2.86)</f>
        <v>-2.86</v>
      </c>
      <c r="D633" s="9">
        <f>IFERROR(__xludf.DUMMYFUNCTION("GOOGLEFINANCE(A633, ""priceopen"")"),92.7)</f>
        <v>92.7</v>
      </c>
      <c r="E633" s="9">
        <f>IFERROR(__xludf.DUMMYFUNCTION("GOOGLEFINANCE(A633, ""high"")"),93.66)</f>
        <v>93.66</v>
      </c>
      <c r="F633" s="9">
        <f>IFERROR(__xludf.DUMMYFUNCTION("GOOGLEFINANCE(A633, ""low"")"),89.57)</f>
        <v>89.57</v>
      </c>
      <c r="G633" s="9">
        <f>IFERROR(__xludf.DUMMYFUNCTION("GOOGLEFINANCE(A633, ""price"")"),90.34)</f>
        <v>90.34</v>
      </c>
      <c r="H633" s="9">
        <f>IFERROR(__xludf.DUMMYFUNCTION("MAX(INDEX(GOOGLEFINANCE(A633, ""high"", TODAY()-30, TODAY()), 0, 2))"),95.99)</f>
        <v>95.99</v>
      </c>
      <c r="I633" s="9">
        <f>IFERROR(__xludf.DUMMYFUNCTION("MIN(INDEX(GOOGLEFINANCE(A633, ""low"", TODAY()-30, TODAY()), 0, 2))"),82.52)</f>
        <v>82.52</v>
      </c>
      <c r="J633" s="9">
        <f>IFERROR(__xludf.DUMMYFUNCTION("GOOGLEFINANCE(A633, ""high52"")"),117.0)</f>
        <v>117</v>
      </c>
      <c r="K633" s="9">
        <f>IFERROR(__xludf.DUMMYFUNCTION("GOOGLEFINANCE(A633, ""low52"")"),53.42)</f>
        <v>53.42</v>
      </c>
      <c r="L633" s="9">
        <f t="shared" si="1"/>
        <v>0.2278632479</v>
      </c>
      <c r="M633" s="9">
        <f t="shared" si="2"/>
        <v>0.6911269188</v>
      </c>
      <c r="N633" s="9">
        <f t="shared" si="3"/>
        <v>0.04566261025</v>
      </c>
      <c r="O633" s="9">
        <f t="shared" si="4"/>
        <v>0.580549369</v>
      </c>
      <c r="P633" s="9">
        <f>IFERROR(__xludf.DUMMYFUNCTION("GOOGLEFINANCE(A633, ""pe"")"),15.55)</f>
        <v>15.55</v>
      </c>
      <c r="Q633" s="9">
        <f>IFERROR(__xludf.DUMMYFUNCTION("IFERROR(GOOGLEFINANCE(A633, ""volume"") / GOOGLEFINANCE(A633, ""volumeavg""), 0)"),0.0)</f>
        <v>0</v>
      </c>
      <c r="R633" s="9">
        <f>IFERROR(__xludf.DUMMYFUNCTION("AVERAGE(INDEX(GOOGLEFINANCE(A633, ""price"", TODAY()-30, TODAY()), 0, 2))"),89.17782608695651)</f>
        <v>89.17782609</v>
      </c>
      <c r="S633" s="9">
        <f>IFERROR(__xludf.DUMMYFUNCTION("AVERAGE(INDEX(GOOGLEFINANCE(A633, ""price"", TODAY()-75, TODAY()), 0, 2))"),90.0498113207547)</f>
        <v>90.04981132</v>
      </c>
      <c r="T633" s="9">
        <f>IFERROR(__xludf.DUMMYFUNCTION("AVERAGE(INDEX(GOOGLEFINANCE(A633, ""price"", TODAY()-300, TODAY()), 0, 2))"),84.23756218905473)</f>
        <v>84.23756219</v>
      </c>
      <c r="U633" s="9">
        <f t="shared" si="5"/>
        <v>0.01303209513</v>
      </c>
      <c r="V633" s="15">
        <f>IFERROR(__xludf.DUMMYFUNCTION("LET(hist, GOOGLEFINANCE(A633,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rs))))))"),66.47785787847579)</f>
        <v>66.47785788</v>
      </c>
      <c r="W633" s="16" t="str">
        <f>IFERROR(__xludf.DUMMYFUNCTION("IFERROR(GOOGLEFINANCE(A633, ""volume"") / GOOGLEFINANCE(A633, ""volumeavg""), )"),"")</f>
        <v/>
      </c>
      <c r="X633" s="9">
        <f>IFERROR(__xludf.DUMMYFUNCTION("B633 * GOOGLEFINANCE(A633, ""volume"")"),2.2754730792000002E8)</f>
        <v>227547307.9</v>
      </c>
      <c r="Y633" s="9">
        <f>IFERROR(__xludf.DUMMYFUNCTION("IFERROR(((B633 - GOOGLEFINANCE(A633, ""priceopen"")) / GOOGLEFINANCE(A633, ""priceopen"")) * GOOGLEFINANCE(A633, ""volume""), 0)"),-64124.48414239481)</f>
        <v>-64124.48414</v>
      </c>
    </row>
    <row r="634">
      <c r="A634" s="4" t="s">
        <v>2427</v>
      </c>
      <c r="B634" s="7">
        <f>IFERROR(__xludf.DUMMYFUNCTION("GOOGLEFINANCE(A634, ""price"")"),621.0)</f>
        <v>621</v>
      </c>
      <c r="C634" s="7">
        <f>IFERROR(__xludf.DUMMYFUNCTION("GOOGLEFINANCE(A634, ""changepct"")"),0.8)</f>
        <v>0.8</v>
      </c>
      <c r="D634" s="9">
        <f>IFERROR(__xludf.DUMMYFUNCTION("GOOGLEFINANCE(A634, ""priceopen"")"),615.0)</f>
        <v>615</v>
      </c>
      <c r="E634" s="9">
        <f>IFERROR(__xludf.DUMMYFUNCTION("GOOGLEFINANCE(A634, ""high"")"),622.0)</f>
        <v>622</v>
      </c>
      <c r="F634" s="9">
        <f>IFERROR(__xludf.DUMMYFUNCTION("GOOGLEFINANCE(A634, ""low"")"),604.9)</f>
        <v>604.9</v>
      </c>
      <c r="G634" s="9">
        <f>IFERROR(__xludf.DUMMYFUNCTION("GOOGLEFINANCE(A634, ""price"")"),621.0)</f>
        <v>621</v>
      </c>
      <c r="H634" s="9">
        <f>IFERROR(__xludf.DUMMYFUNCTION("MAX(INDEX(GOOGLEFINANCE(A634, ""high"", TODAY()-30, TODAY()), 0, 2))"),664.55)</f>
        <v>664.55</v>
      </c>
      <c r="I634" s="9">
        <f>IFERROR(__xludf.DUMMYFUNCTION("MIN(INDEX(GOOGLEFINANCE(A634, ""low"", TODAY()-30, TODAY()), 0, 2))"),602.7)</f>
        <v>602.7</v>
      </c>
      <c r="J634" s="9">
        <f>IFERROR(__xludf.DUMMYFUNCTION("GOOGLEFINANCE(A634, ""high52"")"),705.0)</f>
        <v>705</v>
      </c>
      <c r="K634" s="9">
        <f>IFERROR(__xludf.DUMMYFUNCTION("GOOGLEFINANCE(A634, ""low52"")"),415.0)</f>
        <v>415</v>
      </c>
      <c r="L634" s="9">
        <f t="shared" si="1"/>
        <v>0.1191489362</v>
      </c>
      <c r="M634" s="9">
        <f t="shared" si="2"/>
        <v>0.4963855422</v>
      </c>
      <c r="N634" s="9">
        <f t="shared" si="3"/>
        <v>0.02826913539</v>
      </c>
      <c r="O634" s="9">
        <f t="shared" si="4"/>
        <v>0.2958771221</v>
      </c>
      <c r="P634" s="9">
        <f>IFERROR(__xludf.DUMMYFUNCTION("GOOGLEFINANCE(A634, ""pe"")"),57.71)</f>
        <v>57.71</v>
      </c>
      <c r="Q634" s="9">
        <f>IFERROR(__xludf.DUMMYFUNCTION("IFERROR(GOOGLEFINANCE(A634, ""volume"") / GOOGLEFINANCE(A634, ""volumeavg""), 0)"),0.0)</f>
        <v>0</v>
      </c>
      <c r="R634" s="9">
        <f>IFERROR(__xludf.DUMMYFUNCTION("AVERAGE(INDEX(GOOGLEFINANCE(A634, ""price"", TODAY()-30, TODAY()), 0, 2))"),627.9217391304348)</f>
        <v>627.9217391</v>
      </c>
      <c r="S634" s="9">
        <f>IFERROR(__xludf.DUMMYFUNCTION("AVERAGE(INDEX(GOOGLEFINANCE(A634, ""price"", TODAY()-75, TODAY()), 0, 2))"),610.0490566037736)</f>
        <v>610.0490566</v>
      </c>
      <c r="T634" s="9">
        <f>IFERROR(__xludf.DUMMYFUNCTION("AVERAGE(INDEX(GOOGLEFINANCE(A634, ""price"", TODAY()-300, TODAY()), 0, 2))"),535.3292079207921)</f>
        <v>535.3292079</v>
      </c>
      <c r="U634" s="9">
        <f t="shared" si="5"/>
        <v>-0.01102325131</v>
      </c>
      <c r="V634" s="15">
        <f>IFERROR(__xludf.DUMMYFUNCTION("LET(hist, GOOGLEFINANCE(A634,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rs))))))"),48.99135446685877)</f>
        <v>48.99135447</v>
      </c>
      <c r="W634" s="16" t="str">
        <f>IFERROR(__xludf.DUMMYFUNCTION("IFERROR(GOOGLEFINANCE(A634, ""volume"") / GOOGLEFINANCE(A634, ""volumeavg""), )"),"")</f>
        <v/>
      </c>
      <c r="X634" s="9">
        <f>IFERROR(__xludf.DUMMYFUNCTION("B634 * GOOGLEFINANCE(A634, ""volume"")"),9.6690321E7)</f>
        <v>96690321</v>
      </c>
      <c r="Y634" s="9">
        <f>IFERROR(__xludf.DUMMYFUNCTION("IFERROR(((B634 - GOOGLEFINANCE(A634, ""priceopen"")) / GOOGLEFINANCE(A634, ""priceopen"")) * GOOGLEFINANCE(A634, ""volume""), 0)"),1519.0341463414634)</f>
        <v>1519.034146</v>
      </c>
    </row>
    <row r="635">
      <c r="A635" s="4" t="s">
        <v>2428</v>
      </c>
      <c r="B635" s="7">
        <f>IFERROR(__xludf.DUMMYFUNCTION("GOOGLEFINANCE(A635, ""price"")"),5162.0)</f>
        <v>5162</v>
      </c>
      <c r="C635" s="7">
        <f>IFERROR(__xludf.DUMMYFUNCTION("GOOGLEFINANCE(A635, ""changepct"")"),-0.89)</f>
        <v>-0.89</v>
      </c>
      <c r="D635" s="9">
        <f>IFERROR(__xludf.DUMMYFUNCTION("GOOGLEFINANCE(A635, ""priceopen"")"),5200.0)</f>
        <v>5200</v>
      </c>
      <c r="E635" s="9">
        <f>IFERROR(__xludf.DUMMYFUNCTION("GOOGLEFINANCE(A635, ""high"")"),5270.0)</f>
        <v>5270</v>
      </c>
      <c r="F635" s="9">
        <f>IFERROR(__xludf.DUMMYFUNCTION("GOOGLEFINANCE(A635, ""low"")"),5125.5)</f>
        <v>5125.5</v>
      </c>
      <c r="G635" s="9">
        <f>IFERROR(__xludf.DUMMYFUNCTION("GOOGLEFINANCE(A635, ""price"")"),5162.0)</f>
        <v>5162</v>
      </c>
      <c r="H635" s="9">
        <f>IFERROR(__xludf.DUMMYFUNCTION("MAX(INDEX(GOOGLEFINANCE(A635, ""high"", TODAY()-30, TODAY()), 0, 2))"),5987.9)</f>
        <v>5987.9</v>
      </c>
      <c r="I635" s="9">
        <f>IFERROR(__xludf.DUMMYFUNCTION("MIN(INDEX(GOOGLEFINANCE(A635, ""low"", TODAY()-30, TODAY()), 0, 2))"),3766.0)</f>
        <v>3766</v>
      </c>
      <c r="J635" s="9">
        <f>IFERROR(__xludf.DUMMYFUNCTION("GOOGLEFINANCE(A635, ""high52"")"),5987.9)</f>
        <v>5987.9</v>
      </c>
      <c r="K635" s="9">
        <f>IFERROR(__xludf.DUMMYFUNCTION("GOOGLEFINANCE(A635, ""low52"")"),2749.0)</f>
        <v>2749</v>
      </c>
      <c r="L635" s="9">
        <f t="shared" si="1"/>
        <v>0.1379281551</v>
      </c>
      <c r="M635" s="9">
        <f t="shared" si="2"/>
        <v>0.8777737359</v>
      </c>
      <c r="N635" s="9">
        <f t="shared" si="3"/>
        <v>0.02819237148</v>
      </c>
      <c r="O635" s="9">
        <f t="shared" si="4"/>
        <v>0.6282911022</v>
      </c>
      <c r="P635" s="9" t="str">
        <f>IFERROR(__xludf.DUMMYFUNCTION("GOOGLEFINANCE(A635, ""pe"")"),"#N/A")</f>
        <v>#N/A</v>
      </c>
      <c r="Q635" s="9">
        <f>IFERROR(__xludf.DUMMYFUNCTION("IFERROR(GOOGLEFINANCE(A635, ""volume"") / GOOGLEFINANCE(A635, ""volumeavg""), 0)"),0.0)</f>
        <v>0</v>
      </c>
      <c r="R635" s="9">
        <f>IFERROR(__xludf.DUMMYFUNCTION("AVERAGE(INDEX(GOOGLEFINANCE(A635, ""price"", TODAY()-30, TODAY()), 0, 2))"),4672.408695652173)</f>
        <v>4672.408696</v>
      </c>
      <c r="S635" s="9">
        <f>IFERROR(__xludf.DUMMYFUNCTION("AVERAGE(INDEX(GOOGLEFINANCE(A635, ""price"", TODAY()-75, TODAY()), 0, 2))"),4246.016981132076)</f>
        <v>4246.016981</v>
      </c>
      <c r="T635" s="9">
        <f>IFERROR(__xludf.DUMMYFUNCTION("AVERAGE(INDEX(GOOGLEFINANCE(A635, ""price"", TODAY()-300, TODAY()), 0, 2))"),3985.782887700534)</f>
        <v>3985.782888</v>
      </c>
      <c r="U635" s="9">
        <f t="shared" si="5"/>
        <v>0.1047834931</v>
      </c>
      <c r="V635" s="15">
        <f>IFERROR(__xludf.DUMMYFUNCTION("LET(hist, GOOGLEFINANCE(A635,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rs))))))"),67.71427776076608)</f>
        <v>67.71427776</v>
      </c>
      <c r="W635" s="16" t="str">
        <f>IFERROR(__xludf.DUMMYFUNCTION("IFERROR(GOOGLEFINANCE(A635, ""volume"") / GOOGLEFINANCE(A635, ""volumeavg""), )"),"")</f>
        <v/>
      </c>
      <c r="X635" s="9">
        <f>IFERROR(__xludf.DUMMYFUNCTION("B635 * GOOGLEFINANCE(A635, ""volume"")"),3.69774708E8)</f>
        <v>369774708</v>
      </c>
      <c r="Y635" s="9">
        <f>IFERROR(__xludf.DUMMYFUNCTION("IFERROR(((B635 - GOOGLEFINANCE(A635, ""priceopen"")) / GOOGLEFINANCE(A635, ""priceopen"")) * GOOGLEFINANCE(A635, ""volume""), 0)"),-523.4792307692308)</f>
        <v>-523.4792308</v>
      </c>
    </row>
    <row r="636">
      <c r="A636" s="4" t="s">
        <v>2429</v>
      </c>
      <c r="B636" s="7">
        <f>IFERROR(__xludf.DUMMYFUNCTION("GOOGLEFINANCE(A636, ""price"")"),570.35)</f>
        <v>570.35</v>
      </c>
      <c r="C636" s="7">
        <f>IFERROR(__xludf.DUMMYFUNCTION("GOOGLEFINANCE(A636, ""changepct"")"),-0.34)</f>
        <v>-0.34</v>
      </c>
      <c r="D636" s="9">
        <f>IFERROR(__xludf.DUMMYFUNCTION("GOOGLEFINANCE(A636, ""priceopen"")"),574.5)</f>
        <v>574.5</v>
      </c>
      <c r="E636" s="9">
        <f>IFERROR(__xludf.DUMMYFUNCTION("GOOGLEFINANCE(A636, ""high"")"),579.5)</f>
        <v>579.5</v>
      </c>
      <c r="F636" s="9">
        <f>IFERROR(__xludf.DUMMYFUNCTION("GOOGLEFINANCE(A636, ""low"")"),568.0)</f>
        <v>568</v>
      </c>
      <c r="G636" s="9">
        <f>IFERROR(__xludf.DUMMYFUNCTION("GOOGLEFINANCE(A636, ""price"")"),570.35)</f>
        <v>570.35</v>
      </c>
      <c r="H636" s="9">
        <f>IFERROR(__xludf.DUMMYFUNCTION("MAX(INDEX(GOOGLEFINANCE(A636, ""high"", TODAY()-30, TODAY()), 0, 2))"),634.9)</f>
        <v>634.9</v>
      </c>
      <c r="I636" s="9">
        <f>IFERROR(__xludf.DUMMYFUNCTION("MIN(INDEX(GOOGLEFINANCE(A636, ""low"", TODAY()-30, TODAY()), 0, 2))"),558.4)</f>
        <v>558.4</v>
      </c>
      <c r="J636" s="9">
        <f>IFERROR(__xludf.DUMMYFUNCTION("GOOGLEFINANCE(A636, ""high52"")"),634.9)</f>
        <v>634.9</v>
      </c>
      <c r="K636" s="9">
        <f>IFERROR(__xludf.DUMMYFUNCTION("GOOGLEFINANCE(A636, ""low52"")"),412.0)</f>
        <v>412</v>
      </c>
      <c r="L636" s="9">
        <f t="shared" si="1"/>
        <v>0.1016695543</v>
      </c>
      <c r="M636" s="9">
        <f t="shared" si="2"/>
        <v>0.3843446602</v>
      </c>
      <c r="N636" s="9">
        <f t="shared" si="3"/>
        <v>0.02024647887</v>
      </c>
      <c r="O636" s="9">
        <f t="shared" si="4"/>
        <v>0.1562091503</v>
      </c>
      <c r="P636" s="9">
        <f>IFERROR(__xludf.DUMMYFUNCTION("GOOGLEFINANCE(A636, ""pe"")"),25.9)</f>
        <v>25.9</v>
      </c>
      <c r="Q636" s="9">
        <f>IFERROR(__xludf.DUMMYFUNCTION("IFERROR(GOOGLEFINANCE(A636, ""volume"") / GOOGLEFINANCE(A636, ""volumeavg""), 0)"),0.0)</f>
        <v>0</v>
      </c>
      <c r="R636" s="9">
        <f>IFERROR(__xludf.DUMMYFUNCTION("AVERAGE(INDEX(GOOGLEFINANCE(A636, ""price"", TODAY()-30, TODAY()), 0, 2))"),600.4173913043478)</f>
        <v>600.4173913</v>
      </c>
      <c r="S636" s="9">
        <f>IFERROR(__xludf.DUMMYFUNCTION("AVERAGE(INDEX(GOOGLEFINANCE(A636, ""price"", TODAY()-75, TODAY()), 0, 2))"),581.6801886792452)</f>
        <v>581.6801887</v>
      </c>
      <c r="T636" s="9">
        <f>IFERROR(__xludf.DUMMYFUNCTION("AVERAGE(INDEX(GOOGLEFINANCE(A636, ""price"", TODAY()-300, TODAY()), 0, 2))"),521.7039603960396)</f>
        <v>521.7039604</v>
      </c>
      <c r="U636" s="9">
        <f t="shared" si="5"/>
        <v>-0.05007748233</v>
      </c>
      <c r="V636" s="15">
        <f>IFERROR(__xludf.DUMMYFUNCTION("LET(hist, GOOGLEFINANCE(A636,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rs))))))"),37.078132223763276)</f>
        <v>37.07813222</v>
      </c>
      <c r="W636" s="16" t="str">
        <f>IFERROR(__xludf.DUMMYFUNCTION("IFERROR(GOOGLEFINANCE(A636, ""volume"") / GOOGLEFINANCE(A636, ""volumeavg""), )"),"")</f>
        <v/>
      </c>
      <c r="X636" s="9">
        <f>IFERROR(__xludf.DUMMYFUNCTION("B636 * GOOGLEFINANCE(A636, ""volume"")"),7.013422845E7)</f>
        <v>70134228.45</v>
      </c>
      <c r="Y636" s="9">
        <f>IFERROR(__xludf.DUMMYFUNCTION("IFERROR(((B636 - GOOGLEFINANCE(A636, ""priceopen"")) / GOOGLEFINANCE(A636, ""priceopen"")) * GOOGLEFINANCE(A636, ""volume""), 0)"),-888.2733681462092)</f>
        <v>-888.2733681</v>
      </c>
    </row>
    <row r="637">
      <c r="A637" s="4" t="s">
        <v>2430</v>
      </c>
      <c r="B637" s="7">
        <f>IFERROR(__xludf.DUMMYFUNCTION("GOOGLEFINANCE(A637, ""price"")"),199.98)</f>
        <v>199.98</v>
      </c>
      <c r="C637" s="7">
        <f>IFERROR(__xludf.DUMMYFUNCTION("GOOGLEFINANCE(A637, ""changepct"")"),1.01)</f>
        <v>1.01</v>
      </c>
      <c r="D637" s="9">
        <f>IFERROR(__xludf.DUMMYFUNCTION("GOOGLEFINANCE(A637, ""priceopen"")"),199.43)</f>
        <v>199.43</v>
      </c>
      <c r="E637" s="9">
        <f>IFERROR(__xludf.DUMMYFUNCTION("GOOGLEFINANCE(A637, ""high"")"),201.38)</f>
        <v>201.38</v>
      </c>
      <c r="F637" s="9">
        <f>IFERROR(__xludf.DUMMYFUNCTION("GOOGLEFINANCE(A637, ""low"")"),197.61)</f>
        <v>197.61</v>
      </c>
      <c r="G637" s="9">
        <f>IFERROR(__xludf.DUMMYFUNCTION("GOOGLEFINANCE(A637, ""price"")"),199.98)</f>
        <v>199.98</v>
      </c>
      <c r="H637" s="9">
        <f>IFERROR(__xludf.DUMMYFUNCTION("MAX(INDEX(GOOGLEFINANCE(A637, ""high"", TODAY()-30, TODAY()), 0, 2))"),212.92)</f>
        <v>212.92</v>
      </c>
      <c r="I637" s="9">
        <f>IFERROR(__xludf.DUMMYFUNCTION("MIN(INDEX(GOOGLEFINANCE(A637, ""low"", TODAY()-30, TODAY()), 0, 2))"),195.91)</f>
        <v>195.91</v>
      </c>
      <c r="J637" s="9">
        <f>IFERROR(__xludf.DUMMYFUNCTION("GOOGLEFINANCE(A637, ""high52"")"),308.95)</f>
        <v>308.95</v>
      </c>
      <c r="K637" s="9">
        <f>IFERROR(__xludf.DUMMYFUNCTION("GOOGLEFINANCE(A637, ""low52"")"),195.91)</f>
        <v>195.91</v>
      </c>
      <c r="L637" s="9">
        <f t="shared" si="1"/>
        <v>0.3527107946</v>
      </c>
      <c r="M637" s="9">
        <f t="shared" si="2"/>
        <v>0.02077484559</v>
      </c>
      <c r="N637" s="9">
        <f t="shared" si="3"/>
        <v>0.01907798188</v>
      </c>
      <c r="O637" s="9">
        <f t="shared" si="4"/>
        <v>0.239271017</v>
      </c>
      <c r="P637" s="9">
        <f>IFERROR(__xludf.DUMMYFUNCTION("GOOGLEFINANCE(A637, ""pe"")"),21.88)</f>
        <v>21.88</v>
      </c>
      <c r="Q637" s="9">
        <f>IFERROR(__xludf.DUMMYFUNCTION("IFERROR(GOOGLEFINANCE(A637, ""volume"") / GOOGLEFINANCE(A637, ""volumeavg""), 0)"),0.0)</f>
        <v>0</v>
      </c>
      <c r="R637" s="9">
        <f>IFERROR(__xludf.DUMMYFUNCTION("AVERAGE(INDEX(GOOGLEFINANCE(A637, ""price"", TODAY()-30, TODAY()), 0, 2))"),203.9252173913044)</f>
        <v>203.9252174</v>
      </c>
      <c r="S637" s="9">
        <f>IFERROR(__xludf.DUMMYFUNCTION("AVERAGE(INDEX(GOOGLEFINANCE(A637, ""price"", TODAY()-75, TODAY()), 0, 2))"),207.42245283018863)</f>
        <v>207.4224528</v>
      </c>
      <c r="T637" s="9">
        <f>IFERROR(__xludf.DUMMYFUNCTION("AVERAGE(INDEX(GOOGLEFINANCE(A637, ""price"", TODAY()-300, TODAY()), 0, 2))"),218.8417326732674)</f>
        <v>218.8417327</v>
      </c>
      <c r="U637" s="9">
        <f t="shared" si="5"/>
        <v>-0.01934639297</v>
      </c>
      <c r="V637" s="15">
        <f>IFERROR(__xludf.DUMMYFUNCTION("LET(hist, GOOGLEFINANCE(A637,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rs))))))"),37.13768115942037)</f>
        <v>37.13768116</v>
      </c>
      <c r="W637" s="16" t="str">
        <f>IFERROR(__xludf.DUMMYFUNCTION("IFERROR(GOOGLEFINANCE(A637, ""volume"") / GOOGLEFINANCE(A637, ""volumeavg""), )"),"")</f>
        <v/>
      </c>
      <c r="X637" s="9">
        <f>IFERROR(__xludf.DUMMYFUNCTION("B637 * GOOGLEFINANCE(A637, ""volume"")"),3.521827782E7)</f>
        <v>35218277.82</v>
      </c>
      <c r="Y637" s="9">
        <f>IFERROR(__xludf.DUMMYFUNCTION("IFERROR(((B637 - GOOGLEFINANCE(A637, ""priceopen"")) / GOOGLEFINANCE(A637, ""priceopen"")) * GOOGLEFINANCE(A637, ""volume""), 0)"),485.6839492553628)</f>
        <v>485.6839493</v>
      </c>
    </row>
    <row r="638">
      <c r="A638" s="4" t="s">
        <v>2431</v>
      </c>
      <c r="B638" s="7">
        <f>IFERROR(__xludf.DUMMYFUNCTION("GOOGLEFINANCE(A638, ""price"")"),2405.0)</f>
        <v>2405</v>
      </c>
      <c r="C638" s="7">
        <f>IFERROR(__xludf.DUMMYFUNCTION("GOOGLEFINANCE(A638, ""changepct"")"),-1.53)</f>
        <v>-1.53</v>
      </c>
      <c r="D638" s="9">
        <f>IFERROR(__xludf.DUMMYFUNCTION("GOOGLEFINANCE(A638, ""priceopen"")"),2430.9)</f>
        <v>2430.9</v>
      </c>
      <c r="E638" s="9">
        <f>IFERROR(__xludf.DUMMYFUNCTION("GOOGLEFINANCE(A638, ""high"")"),2438.9)</f>
        <v>2438.9</v>
      </c>
      <c r="F638" s="9">
        <f>IFERROR(__xludf.DUMMYFUNCTION("GOOGLEFINANCE(A638, ""low"")"),2400.0)</f>
        <v>2400</v>
      </c>
      <c r="G638" s="9">
        <f>IFERROR(__xludf.DUMMYFUNCTION("GOOGLEFINANCE(A638, ""price"")"),2405.0)</f>
        <v>2405</v>
      </c>
      <c r="H638" s="9">
        <f>IFERROR(__xludf.DUMMYFUNCTION("MAX(INDEX(GOOGLEFINANCE(A638, ""high"", TODAY()-30, TODAY()), 0, 2))"),2721.9)</f>
        <v>2721.9</v>
      </c>
      <c r="I638" s="9">
        <f>IFERROR(__xludf.DUMMYFUNCTION("MIN(INDEX(GOOGLEFINANCE(A638, ""low"", TODAY()-30, TODAY()), 0, 2))"),2400.0)</f>
        <v>2400</v>
      </c>
      <c r="J638" s="9">
        <f>IFERROR(__xludf.DUMMYFUNCTION("GOOGLEFINANCE(A638, ""high52"")"),3260.0)</f>
        <v>3260</v>
      </c>
      <c r="K638" s="9">
        <f>IFERROR(__xludf.DUMMYFUNCTION("GOOGLEFINANCE(A638, ""low52"")"),1717.7)</f>
        <v>1717.7</v>
      </c>
      <c r="L638" s="9">
        <f t="shared" si="1"/>
        <v>0.2622699387</v>
      </c>
      <c r="M638" s="9">
        <f t="shared" si="2"/>
        <v>0.4001280782</v>
      </c>
      <c r="N638" s="9">
        <f t="shared" si="3"/>
        <v>0.01620833333</v>
      </c>
      <c r="O638" s="9">
        <f t="shared" si="4"/>
        <v>0.01553277415</v>
      </c>
      <c r="P638" s="9">
        <f>IFERROR(__xludf.DUMMYFUNCTION("GOOGLEFINANCE(A638, ""pe"")"),19.43)</f>
        <v>19.43</v>
      </c>
      <c r="Q638" s="9">
        <f>IFERROR(__xludf.DUMMYFUNCTION("IFERROR(GOOGLEFINANCE(A638, ""volume"") / GOOGLEFINANCE(A638, ""volumeavg""), 0)"),0.0)</f>
        <v>0</v>
      </c>
      <c r="R638" s="9">
        <f>IFERROR(__xludf.DUMMYFUNCTION("AVERAGE(INDEX(GOOGLEFINANCE(A638, ""price"", TODAY()-30, TODAY()), 0, 2))"),2579.7130434782607)</f>
        <v>2579.713043</v>
      </c>
      <c r="S638" s="9">
        <f>IFERROR(__xludf.DUMMYFUNCTION("AVERAGE(INDEX(GOOGLEFINANCE(A638, ""price"", TODAY()-75, TODAY()), 0, 2))"),2635.016981132076)</f>
        <v>2635.016981</v>
      </c>
      <c r="T638" s="9">
        <f>IFERROR(__xludf.DUMMYFUNCTION("AVERAGE(INDEX(GOOGLEFINANCE(A638, ""price"", TODAY()-300, TODAY()), 0, 2))"),2367.1346534653453)</f>
        <v>2367.134653</v>
      </c>
      <c r="U638" s="9">
        <f t="shared" si="5"/>
        <v>-0.0677257666</v>
      </c>
      <c r="V638" s="15">
        <f>IFERROR(__xludf.DUMMYFUNCTION("LET(hist, GOOGLEFINANCE(A638,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rs))))))"),38.69446135118688)</f>
        <v>38.69446135</v>
      </c>
      <c r="W638" s="16" t="str">
        <f>IFERROR(__xludf.DUMMYFUNCTION("IFERROR(GOOGLEFINANCE(A638, ""volume"") / GOOGLEFINANCE(A638, ""volumeavg""), )"),"")</f>
        <v/>
      </c>
      <c r="X638" s="9">
        <f>IFERROR(__xludf.DUMMYFUNCTION("B638 * GOOGLEFINANCE(A638, ""volume"")"),1.68275445E8)</f>
        <v>168275445</v>
      </c>
      <c r="Y638" s="9">
        <f>IFERROR(__xludf.DUMMYFUNCTION("IFERROR(((B638 - GOOGLEFINANCE(A638, ""priceopen"")) / GOOGLEFINANCE(A638, ""priceopen"")) * GOOGLEFINANCE(A638, ""volume""), 0)"),-745.4840182648428)</f>
        <v>-745.4840183</v>
      </c>
    </row>
    <row r="639">
      <c r="A639" s="4" t="s">
        <v>2432</v>
      </c>
      <c r="B639" s="7">
        <f>IFERROR(__xludf.DUMMYFUNCTION("GOOGLEFINANCE(A639, ""price"")"),1052.0)</f>
        <v>1052</v>
      </c>
      <c r="C639" s="7">
        <f>IFERROR(__xludf.DUMMYFUNCTION("GOOGLEFINANCE(A639, ""changepct"")"),-5.23)</f>
        <v>-5.23</v>
      </c>
      <c r="D639" s="9">
        <f>IFERROR(__xludf.DUMMYFUNCTION("GOOGLEFINANCE(A639, ""priceopen"")"),1119.7)</f>
        <v>1119.7</v>
      </c>
      <c r="E639" s="9">
        <f>IFERROR(__xludf.DUMMYFUNCTION("GOOGLEFINANCE(A639, ""high"")"),1123.1)</f>
        <v>1123.1</v>
      </c>
      <c r="F639" s="9">
        <f>IFERROR(__xludf.DUMMYFUNCTION("GOOGLEFINANCE(A639, ""low"")"),1030.1)</f>
        <v>1030.1</v>
      </c>
      <c r="G639" s="9">
        <f>IFERROR(__xludf.DUMMYFUNCTION("GOOGLEFINANCE(A639, ""price"")"),1052.0)</f>
        <v>1052</v>
      </c>
      <c r="H639" s="9">
        <f>IFERROR(__xludf.DUMMYFUNCTION("MAX(INDEX(GOOGLEFINANCE(A639, ""high"", TODAY()-30, TODAY()), 0, 2))"),1164.9)</f>
        <v>1164.9</v>
      </c>
      <c r="I639" s="9">
        <f>IFERROR(__xludf.DUMMYFUNCTION("MIN(INDEX(GOOGLEFINANCE(A639, ""low"", TODAY()-30, TODAY()), 0, 2))"),986.2)</f>
        <v>986.2</v>
      </c>
      <c r="J639" s="9">
        <f>IFERROR(__xludf.DUMMYFUNCTION("GOOGLEFINANCE(A639, ""high52"")"),1603.0)</f>
        <v>1603</v>
      </c>
      <c r="K639" s="9">
        <f>IFERROR(__xludf.DUMMYFUNCTION("GOOGLEFINANCE(A639, ""low52"")"),726.4)</f>
        <v>726.4</v>
      </c>
      <c r="L639" s="9">
        <f t="shared" si="1"/>
        <v>0.3437305053</v>
      </c>
      <c r="M639" s="9">
        <f t="shared" si="2"/>
        <v>0.4482378855</v>
      </c>
      <c r="N639" s="9">
        <f t="shared" si="3"/>
        <v>0.09028249684</v>
      </c>
      <c r="O639" s="9">
        <f t="shared" si="4"/>
        <v>0.3682148853</v>
      </c>
      <c r="P639" s="9">
        <f>IFERROR(__xludf.DUMMYFUNCTION("GOOGLEFINANCE(A639, ""pe"")"),371.52)</f>
        <v>371.52</v>
      </c>
      <c r="Q639" s="9">
        <f>IFERROR(__xludf.DUMMYFUNCTION("IFERROR(GOOGLEFINANCE(A639, ""volume"") / GOOGLEFINANCE(A639, ""volumeavg""), 0)"),0.0)</f>
        <v>0</v>
      </c>
      <c r="R639" s="9">
        <f>IFERROR(__xludf.DUMMYFUNCTION("AVERAGE(INDEX(GOOGLEFINANCE(A639, ""price"", TODAY()-30, TODAY()), 0, 2))"),1058.7499999999998)</f>
        <v>1058.75</v>
      </c>
      <c r="S639" s="9">
        <f>IFERROR(__xludf.DUMMYFUNCTION("AVERAGE(INDEX(GOOGLEFINANCE(A639, ""price"", TODAY()-75, TODAY()), 0, 2))"),968.9103773584906)</f>
        <v>968.9103774</v>
      </c>
      <c r="T639" s="9">
        <f>IFERROR(__xludf.DUMMYFUNCTION("AVERAGE(INDEX(GOOGLEFINANCE(A639, ""price"", TODAY()-300, TODAY()), 0, 2))"),949.4937810945275)</f>
        <v>949.4937811</v>
      </c>
      <c r="U639" s="9">
        <f t="shared" si="5"/>
        <v>-0.006375442739</v>
      </c>
      <c r="V639" s="15">
        <f>IFERROR(__xludf.DUMMYFUNCTION("LET(hist, GOOGLEFINANCE(A639,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rs))))))"),54.15852637454649)</f>
        <v>54.15852637</v>
      </c>
      <c r="W639" s="16" t="str">
        <f>IFERROR(__xludf.DUMMYFUNCTION("IFERROR(GOOGLEFINANCE(A639, ""volume"") / GOOGLEFINANCE(A639, ""volumeavg""), )"),"")</f>
        <v/>
      </c>
      <c r="X639" s="9">
        <f>IFERROR(__xludf.DUMMYFUNCTION("B639 * GOOGLEFINANCE(A639, ""volume"")"),4.59526224E8)</f>
        <v>459526224</v>
      </c>
      <c r="Y639" s="9">
        <f>IFERROR(__xludf.DUMMYFUNCTION("IFERROR(((B639 - GOOGLEFINANCE(A639, ""priceopen"")) / GOOGLEFINANCE(A639, ""priceopen"")) * GOOGLEFINANCE(A639, ""volume""), 0)"),-26410.799678485328)</f>
        <v>-26410.79968</v>
      </c>
    </row>
    <row r="640">
      <c r="A640" s="4" t="s">
        <v>2433</v>
      </c>
      <c r="B640" s="7">
        <f>IFERROR(__xludf.DUMMYFUNCTION("GOOGLEFINANCE(A640, ""price"")"),2500.0)</f>
        <v>2500</v>
      </c>
      <c r="C640" s="7">
        <f>IFERROR(__xludf.DUMMYFUNCTION("GOOGLEFINANCE(A640, ""changepct"")"),0.85)</f>
        <v>0.85</v>
      </c>
      <c r="D640" s="9">
        <f>IFERROR(__xludf.DUMMYFUNCTION("GOOGLEFINANCE(A640, ""priceopen"")"),2471.0)</f>
        <v>2471</v>
      </c>
      <c r="E640" s="9">
        <f>IFERROR(__xludf.DUMMYFUNCTION("GOOGLEFINANCE(A640, ""high"")"),2516.8)</f>
        <v>2516.8</v>
      </c>
      <c r="F640" s="9">
        <f>IFERROR(__xludf.DUMMYFUNCTION("GOOGLEFINANCE(A640, ""low"")"),2465.0)</f>
        <v>2465</v>
      </c>
      <c r="G640" s="9">
        <f>IFERROR(__xludf.DUMMYFUNCTION("GOOGLEFINANCE(A640, ""price"")"),2500.0)</f>
        <v>2500</v>
      </c>
      <c r="H640" s="9">
        <f>IFERROR(__xludf.DUMMYFUNCTION("MAX(INDEX(GOOGLEFINANCE(A640, ""high"", TODAY()-30, TODAY()), 0, 2))"),2750.0)</f>
        <v>2750</v>
      </c>
      <c r="I640" s="9">
        <f>IFERROR(__xludf.DUMMYFUNCTION("MIN(INDEX(GOOGLEFINANCE(A640, ""low"", TODAY()-30, TODAY()), 0, 2))"),2461.3)</f>
        <v>2461.3</v>
      </c>
      <c r="J640" s="9">
        <f>IFERROR(__xludf.DUMMYFUNCTION("GOOGLEFINANCE(A640, ""high52"")"),2750.0)</f>
        <v>2750</v>
      </c>
      <c r="K640" s="9">
        <f>IFERROR(__xludf.DUMMYFUNCTION("GOOGLEFINANCE(A640, ""low52"")"),2461.0)</f>
        <v>2461</v>
      </c>
      <c r="L640" s="9">
        <f t="shared" si="1"/>
        <v>0.09090909091</v>
      </c>
      <c r="M640" s="9">
        <f t="shared" si="2"/>
        <v>0.01584721658</v>
      </c>
      <c r="N640" s="9">
        <f t="shared" si="3"/>
        <v>0.02101419878</v>
      </c>
      <c r="O640" s="9">
        <f t="shared" si="4"/>
        <v>0.134049186</v>
      </c>
      <c r="P640" s="9">
        <f>IFERROR(__xludf.DUMMYFUNCTION("GOOGLEFINANCE(A640, ""pe"")"),8.62)</f>
        <v>8.62</v>
      </c>
      <c r="Q640" s="9">
        <f>IFERROR(__xludf.DUMMYFUNCTION("IFERROR(GOOGLEFINANCE(A640, ""volume"") / GOOGLEFINANCE(A640, ""volumeavg""), 0)"),0.0)</f>
        <v>0</v>
      </c>
      <c r="R640" s="9">
        <f>IFERROR(__xludf.DUMMYFUNCTION("AVERAGE(INDEX(GOOGLEFINANCE(A640, ""price"", TODAY()-30, TODAY()), 0, 2))"),2546.4217391304346)</f>
        <v>2546.421739</v>
      </c>
      <c r="S640" s="9">
        <f>IFERROR(__xludf.DUMMYFUNCTION("AVERAGE(INDEX(GOOGLEFINANCE(A640, ""price"", TODAY()-75, TODAY()), 0, 2))"),2576.967924528302)</f>
        <v>2576.967925</v>
      </c>
      <c r="T640" s="9">
        <f>IFERROR(__xludf.DUMMYFUNCTION("AVERAGE(INDEX(GOOGLEFINANCE(A640, ""price"", TODAY()-300, TODAY()), 0, 2))"),2577.6931250000007)</f>
        <v>2577.693125</v>
      </c>
      <c r="U640" s="9">
        <f t="shared" si="5"/>
        <v>-0.0182301849</v>
      </c>
      <c r="V640" s="15">
        <f>IFERROR(__xludf.DUMMYFUNCTION("LET(hist, GOOGLEFINANCE(A640,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rs))))))"),42.68937169700529)</f>
        <v>42.6893717</v>
      </c>
      <c r="W640" s="16" t="str">
        <f>IFERROR(__xludf.DUMMYFUNCTION("IFERROR(GOOGLEFINANCE(A640, ""volume"") / GOOGLEFINANCE(A640, ""volumeavg""), )"),"")</f>
        <v/>
      </c>
      <c r="X640" s="9">
        <f>IFERROR(__xludf.DUMMYFUNCTION("B640 * GOOGLEFINANCE(A640, ""volume"")"),5697500.0)</f>
        <v>5697500</v>
      </c>
      <c r="Y640" s="9">
        <f>IFERROR(__xludf.DUMMYFUNCTION("IFERROR(((B640 - GOOGLEFINANCE(A640, ""priceopen"")) / GOOGLEFINANCE(A640, ""priceopen"")) * GOOGLEFINANCE(A640, ""volume""), 0)"),26.746661270740592)</f>
        <v>26.74666127</v>
      </c>
    </row>
    <row r="641">
      <c r="A641" s="4" t="s">
        <v>2434</v>
      </c>
      <c r="B641" s="7">
        <f>IFERROR(__xludf.DUMMYFUNCTION("GOOGLEFINANCE(A641, ""price"")"),375.0)</f>
        <v>375</v>
      </c>
      <c r="C641" s="7">
        <f>IFERROR(__xludf.DUMMYFUNCTION("GOOGLEFINANCE(A641, ""changepct"")"),1.2)</f>
        <v>1.2</v>
      </c>
      <c r="D641" s="9">
        <f>IFERROR(__xludf.DUMMYFUNCTION("GOOGLEFINANCE(A641, ""priceopen"")"),370.4)</f>
        <v>370.4</v>
      </c>
      <c r="E641" s="9">
        <f>IFERROR(__xludf.DUMMYFUNCTION("GOOGLEFINANCE(A641, ""high"")"),376.05)</f>
        <v>376.05</v>
      </c>
      <c r="F641" s="9">
        <f>IFERROR(__xludf.DUMMYFUNCTION("GOOGLEFINANCE(A641, ""low"")"),366.0)</f>
        <v>366</v>
      </c>
      <c r="G641" s="9">
        <f>IFERROR(__xludf.DUMMYFUNCTION("GOOGLEFINANCE(A641, ""price"")"),375.0)</f>
        <v>375</v>
      </c>
      <c r="H641" s="9">
        <f>IFERROR(__xludf.DUMMYFUNCTION("MAX(INDEX(GOOGLEFINANCE(A641, ""high"", TODAY()-30, TODAY()), 0, 2))"),384.9)</f>
        <v>384.9</v>
      </c>
      <c r="I641" s="9">
        <f>IFERROR(__xludf.DUMMYFUNCTION("MIN(INDEX(GOOGLEFINANCE(A641, ""low"", TODAY()-30, TODAY()), 0, 2))"),339.5)</f>
        <v>339.5</v>
      </c>
      <c r="J641" s="9">
        <f>IFERROR(__xludf.DUMMYFUNCTION("GOOGLEFINANCE(A641, ""high52"")"),495.0)</f>
        <v>495</v>
      </c>
      <c r="K641" s="9">
        <f>IFERROR(__xludf.DUMMYFUNCTION("GOOGLEFINANCE(A641, ""low52"")"),274.65)</f>
        <v>274.65</v>
      </c>
      <c r="L641" s="9">
        <f t="shared" si="1"/>
        <v>0.2424242424</v>
      </c>
      <c r="M641" s="9">
        <f t="shared" si="2"/>
        <v>0.3653741125</v>
      </c>
      <c r="N641" s="9">
        <f t="shared" si="3"/>
        <v>0.02745901639</v>
      </c>
      <c r="O641" s="9">
        <f t="shared" si="4"/>
        <v>0.781938326</v>
      </c>
      <c r="P641" s="9">
        <f>IFERROR(__xludf.DUMMYFUNCTION("GOOGLEFINANCE(A641, ""pe"")"),13.25)</f>
        <v>13.25</v>
      </c>
      <c r="Q641" s="9">
        <f>IFERROR(__xludf.DUMMYFUNCTION("IFERROR(GOOGLEFINANCE(A641, ""volume"") / GOOGLEFINANCE(A641, ""volumeavg""), 0)"),0.0)</f>
        <v>0</v>
      </c>
      <c r="R641" s="9">
        <f>IFERROR(__xludf.DUMMYFUNCTION("AVERAGE(INDEX(GOOGLEFINANCE(A641, ""price"", TODAY()-30, TODAY()), 0, 2))"),360.1434782608696)</f>
        <v>360.1434783</v>
      </c>
      <c r="S641" s="9">
        <f>IFERROR(__xludf.DUMMYFUNCTION("AVERAGE(INDEX(GOOGLEFINANCE(A641, ""price"", TODAY()-75, TODAY()), 0, 2))"),364.34905660377353)</f>
        <v>364.3490566</v>
      </c>
      <c r="T641" s="9">
        <f>IFERROR(__xludf.DUMMYFUNCTION("AVERAGE(INDEX(GOOGLEFINANCE(A641, ""price"", TODAY()-300, TODAY()), 0, 2))"),362.1878712871288)</f>
        <v>362.1878713</v>
      </c>
      <c r="U641" s="9">
        <f t="shared" si="5"/>
        <v>0.04125167506</v>
      </c>
      <c r="V641" s="15">
        <f>IFERROR(__xludf.DUMMYFUNCTION("LET(hist, GOOGLEFINANCE(A641,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rs))))))"),71.78916109873799)</f>
        <v>71.7891611</v>
      </c>
      <c r="W641" s="16" t="str">
        <f>IFERROR(__xludf.DUMMYFUNCTION("IFERROR(GOOGLEFINANCE(A641, ""volume"") / GOOGLEFINANCE(A641, ""volumeavg""), )"),"")</f>
        <v/>
      </c>
      <c r="X641" s="9">
        <f>IFERROR(__xludf.DUMMYFUNCTION("B641 * GOOGLEFINANCE(A641, ""volume"")"),8.04645E7)</f>
        <v>80464500</v>
      </c>
      <c r="Y641" s="9">
        <f>IFERROR(__xludf.DUMMYFUNCTION("IFERROR(((B641 - GOOGLEFINANCE(A641, ""priceopen"")) / GOOGLEFINANCE(A641, ""priceopen"")) * GOOGLEFINANCE(A641, ""volume""), 0)"),2664.771058315348)</f>
        <v>2664.771058</v>
      </c>
    </row>
    <row r="642">
      <c r="A642" s="4" t="s">
        <v>2435</v>
      </c>
      <c r="B642" s="7">
        <f>IFERROR(__xludf.DUMMYFUNCTION("GOOGLEFINANCE(A642, ""price"")"),385.65)</f>
        <v>385.65</v>
      </c>
      <c r="C642" s="7">
        <f>IFERROR(__xludf.DUMMYFUNCTION("GOOGLEFINANCE(A642, ""changepct"")"),-7.2)</f>
        <v>-7.2</v>
      </c>
      <c r="D642" s="9">
        <f>IFERROR(__xludf.DUMMYFUNCTION("GOOGLEFINANCE(A642, ""priceopen"")"),420.0)</f>
        <v>420</v>
      </c>
      <c r="E642" s="9">
        <f>IFERROR(__xludf.DUMMYFUNCTION("GOOGLEFINANCE(A642, ""high"")"),420.0)</f>
        <v>420</v>
      </c>
      <c r="F642" s="9">
        <f>IFERROR(__xludf.DUMMYFUNCTION("GOOGLEFINANCE(A642, ""low"")"),385.0)</f>
        <v>385</v>
      </c>
      <c r="G642" s="9">
        <f>IFERROR(__xludf.DUMMYFUNCTION("GOOGLEFINANCE(A642, ""price"")"),385.65)</f>
        <v>385.65</v>
      </c>
      <c r="H642" s="9">
        <f>IFERROR(__xludf.DUMMYFUNCTION("MAX(INDEX(GOOGLEFINANCE(A642, ""high"", TODAY()-30, TODAY()), 0, 2))"),433.0)</f>
        <v>433</v>
      </c>
      <c r="I642" s="9">
        <f>IFERROR(__xludf.DUMMYFUNCTION("MIN(INDEX(GOOGLEFINANCE(A642, ""low"", TODAY()-30, TODAY()), 0, 2))"),383.3)</f>
        <v>383.3</v>
      </c>
      <c r="J642" s="9">
        <f>IFERROR(__xludf.DUMMYFUNCTION("GOOGLEFINANCE(A642, ""high52"")"),515.55)</f>
        <v>515.55</v>
      </c>
      <c r="K642" s="9">
        <f>IFERROR(__xludf.DUMMYFUNCTION("GOOGLEFINANCE(A642, ""low52"")"),323.05)</f>
        <v>323.05</v>
      </c>
      <c r="L642" s="9">
        <f t="shared" si="1"/>
        <v>0.251963922</v>
      </c>
      <c r="M642" s="9">
        <f t="shared" si="2"/>
        <v>0.1937780529</v>
      </c>
      <c r="N642" s="9">
        <f t="shared" si="3"/>
        <v>0.09090909091</v>
      </c>
      <c r="O642" s="9">
        <f t="shared" si="4"/>
        <v>0.04728370221</v>
      </c>
      <c r="P642" s="9" t="str">
        <f>IFERROR(__xludf.DUMMYFUNCTION("GOOGLEFINANCE(A642, ""pe"")"),"#N/A")</f>
        <v>#N/A</v>
      </c>
      <c r="Q642" s="9">
        <f>IFERROR(__xludf.DUMMYFUNCTION("IFERROR(GOOGLEFINANCE(A642, ""volume"") / GOOGLEFINANCE(A642, ""volumeavg""), 0)"),0.0)</f>
        <v>0</v>
      </c>
      <c r="R642" s="9">
        <f>IFERROR(__xludf.DUMMYFUNCTION("AVERAGE(INDEX(GOOGLEFINANCE(A642, ""price"", TODAY()-30, TODAY()), 0, 2))"),404.145652173913)</f>
        <v>404.1456522</v>
      </c>
      <c r="S642" s="9">
        <f>IFERROR(__xludf.DUMMYFUNCTION("AVERAGE(INDEX(GOOGLEFINANCE(A642, ""price"", TODAY()-75, TODAY()), 0, 2))"),391.5801886792453)</f>
        <v>391.5801887</v>
      </c>
      <c r="T642" s="9">
        <f>IFERROR(__xludf.DUMMYFUNCTION("AVERAGE(INDEX(GOOGLEFINANCE(A642, ""price"", TODAY()-300, TODAY()), 0, 2))"),419.11336633663376)</f>
        <v>419.1133663</v>
      </c>
      <c r="U642" s="9">
        <f t="shared" si="5"/>
        <v>-0.04576481789</v>
      </c>
      <c r="V642" s="15">
        <f>IFERROR(__xludf.DUMMYFUNCTION("LET(hist, GOOGLEFINANCE(A642,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rs))))))"),45.40719696969695)</f>
        <v>45.40719697</v>
      </c>
      <c r="W642" s="16" t="str">
        <f>IFERROR(__xludf.DUMMYFUNCTION("IFERROR(GOOGLEFINANCE(A642, ""volume"") / GOOGLEFINANCE(A642, ""volumeavg""), )"),"")</f>
        <v/>
      </c>
      <c r="X642" s="9">
        <f>IFERROR(__xludf.DUMMYFUNCTION("B642 * GOOGLEFINANCE(A642, ""volume"")"),1.9786625536499999E9)</f>
        <v>1978662554</v>
      </c>
      <c r="Y642" s="9">
        <f>IFERROR(__xludf.DUMMYFUNCTION("IFERROR(((B642 - GOOGLEFINANCE(A642, ""priceopen"")) / GOOGLEFINANCE(A642, ""priceopen"")) * GOOGLEFINANCE(A642, ""volume""), 0)"),-419619.6817857145)</f>
        <v>-419619.6818</v>
      </c>
    </row>
    <row r="643">
      <c r="A643" s="4" t="s">
        <v>2436</v>
      </c>
      <c r="B643" s="7">
        <f>IFERROR(__xludf.DUMMYFUNCTION("GOOGLEFINANCE(A643, ""price"")"),219.4)</f>
        <v>219.4</v>
      </c>
      <c r="C643" s="7">
        <f>IFERROR(__xludf.DUMMYFUNCTION("GOOGLEFINANCE(A643, ""changepct"")"),-2.19)</f>
        <v>-2.19</v>
      </c>
      <c r="D643" s="9">
        <f>IFERROR(__xludf.DUMMYFUNCTION("GOOGLEFINANCE(A643, ""priceopen"")"),225.15)</f>
        <v>225.15</v>
      </c>
      <c r="E643" s="9">
        <f>IFERROR(__xludf.DUMMYFUNCTION("GOOGLEFINANCE(A643, ""high"")"),225.15)</f>
        <v>225.15</v>
      </c>
      <c r="F643" s="9">
        <f>IFERROR(__xludf.DUMMYFUNCTION("GOOGLEFINANCE(A643, ""low"")"),217.8)</f>
        <v>217.8</v>
      </c>
      <c r="G643" s="9">
        <f>IFERROR(__xludf.DUMMYFUNCTION("GOOGLEFINANCE(A643, ""price"")"),219.4)</f>
        <v>219.4</v>
      </c>
      <c r="H643" s="9">
        <f>IFERROR(__xludf.DUMMYFUNCTION("MAX(INDEX(GOOGLEFINANCE(A643, ""high"", TODAY()-30, TODAY()), 0, 2))"),230.07)</f>
        <v>230.07</v>
      </c>
      <c r="I643" s="9">
        <f>IFERROR(__xludf.DUMMYFUNCTION("MIN(INDEX(GOOGLEFINANCE(A643, ""low"", TODAY()-30, TODAY()), 0, 2))"),213.91)</f>
        <v>213.91</v>
      </c>
      <c r="J643" s="9">
        <f>IFERROR(__xludf.DUMMYFUNCTION("GOOGLEFINANCE(A643, ""high52"")"),259.25)</f>
        <v>259.25</v>
      </c>
      <c r="K643" s="9">
        <f>IFERROR(__xludf.DUMMYFUNCTION("GOOGLEFINANCE(A643, ""low52"")"),158.56)</f>
        <v>158.56</v>
      </c>
      <c r="L643" s="9">
        <f t="shared" si="1"/>
        <v>0.1537126326</v>
      </c>
      <c r="M643" s="9">
        <f t="shared" si="2"/>
        <v>0.38370333</v>
      </c>
      <c r="N643" s="9">
        <f t="shared" si="3"/>
        <v>0.03374655647</v>
      </c>
      <c r="O643" s="9">
        <f t="shared" si="4"/>
        <v>0.3397277228</v>
      </c>
      <c r="P643" s="9">
        <f>IFERROR(__xludf.DUMMYFUNCTION("GOOGLEFINANCE(A643, ""pe"")"),47.86)</f>
        <v>47.86</v>
      </c>
      <c r="Q643" s="9">
        <f>IFERROR(__xludf.DUMMYFUNCTION("IFERROR(GOOGLEFINANCE(A643, ""volume"") / GOOGLEFINANCE(A643, ""volumeavg""), 0)"),0.0)</f>
        <v>0</v>
      </c>
      <c r="R643" s="9">
        <f>IFERROR(__xludf.DUMMYFUNCTION("AVERAGE(INDEX(GOOGLEFINANCE(A643, ""price"", TODAY()-30, TODAY()), 0, 2))"),220.81347826086952)</f>
        <v>220.8134783</v>
      </c>
      <c r="S643" s="9">
        <f>IFERROR(__xludf.DUMMYFUNCTION("AVERAGE(INDEX(GOOGLEFINANCE(A643, ""price"", TODAY()-75, TODAY()), 0, 2))"),227.2069811320754)</f>
        <v>227.2069811</v>
      </c>
      <c r="T643" s="9">
        <f>IFERROR(__xludf.DUMMYFUNCTION("AVERAGE(INDEX(GOOGLEFINANCE(A643, ""price"", TODAY()-300, TODAY()), 0, 2))"),217.47000000000008)</f>
        <v>217.47</v>
      </c>
      <c r="U643" s="9">
        <f t="shared" si="5"/>
        <v>-0.006401231809</v>
      </c>
      <c r="V643" s="15">
        <f>IFERROR(__xludf.DUMMYFUNCTION("LET(hist, GOOGLEFINANCE(A643,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rs))))))"),49.24389298177586)</f>
        <v>49.24389298</v>
      </c>
      <c r="W643" s="16" t="str">
        <f>IFERROR(__xludf.DUMMYFUNCTION("IFERROR(GOOGLEFINANCE(A643, ""volume"") / GOOGLEFINANCE(A643, ""volumeavg""), )"),"")</f>
        <v/>
      </c>
      <c r="X643" s="9">
        <f>IFERROR(__xludf.DUMMYFUNCTION("B643 * GOOGLEFINANCE(A643, ""volume"")"),1.243346382E8)</f>
        <v>124334638.2</v>
      </c>
      <c r="Y643" s="9">
        <f>IFERROR(__xludf.DUMMYFUNCTION("IFERROR(((B643 - GOOGLEFINANCE(A643, ""priceopen"")) / GOOGLEFINANCE(A643, ""priceopen"")) * GOOGLEFINANCE(A643, ""volume""), 0)"),-14472.76149233844)</f>
        <v>-14472.76149</v>
      </c>
    </row>
    <row r="644">
      <c r="A644" s="4" t="s">
        <v>2437</v>
      </c>
      <c r="B644" s="7">
        <f>IFERROR(__xludf.DUMMYFUNCTION("GOOGLEFINANCE(A644, ""price"")"),405.8)</f>
        <v>405.8</v>
      </c>
      <c r="C644" s="7">
        <f>IFERROR(__xludf.DUMMYFUNCTION("GOOGLEFINANCE(A644, ""changepct"")"),-4.11)</f>
        <v>-4.11</v>
      </c>
      <c r="D644" s="9">
        <f>IFERROR(__xludf.DUMMYFUNCTION("GOOGLEFINANCE(A644, ""priceopen"")"),423.0)</f>
        <v>423</v>
      </c>
      <c r="E644" s="9">
        <f>IFERROR(__xludf.DUMMYFUNCTION("GOOGLEFINANCE(A644, ""high"")"),445.15)</f>
        <v>445.15</v>
      </c>
      <c r="F644" s="9">
        <f>IFERROR(__xludf.DUMMYFUNCTION("GOOGLEFINANCE(A644, ""low"")"),389.45)</f>
        <v>389.45</v>
      </c>
      <c r="G644" s="9">
        <f>IFERROR(__xludf.DUMMYFUNCTION("GOOGLEFINANCE(A644, ""price"")"),405.8)</f>
        <v>405.8</v>
      </c>
      <c r="H644" s="9">
        <f>IFERROR(__xludf.DUMMYFUNCTION("MAX(INDEX(GOOGLEFINANCE(A644, ""high"", TODAY()-30, TODAY()), 0, 2))"),445.15)</f>
        <v>445.15</v>
      </c>
      <c r="I644" s="9">
        <f>IFERROR(__xludf.DUMMYFUNCTION("MIN(INDEX(GOOGLEFINANCE(A644, ""low"", TODAY()-30, TODAY()), 0, 2))"),384.2)</f>
        <v>384.2</v>
      </c>
      <c r="J644" s="9">
        <f>IFERROR(__xludf.DUMMYFUNCTION("GOOGLEFINANCE(A644, ""high52"")"),463.8)</f>
        <v>463.8</v>
      </c>
      <c r="K644" s="9">
        <f>IFERROR(__xludf.DUMMYFUNCTION("GOOGLEFINANCE(A644, ""low52"")"),216.9)</f>
        <v>216.9</v>
      </c>
      <c r="L644" s="9">
        <f t="shared" si="1"/>
        <v>0.1250539025</v>
      </c>
      <c r="M644" s="9">
        <f t="shared" si="2"/>
        <v>0.8709082527</v>
      </c>
      <c r="N644" s="9">
        <f t="shared" si="3"/>
        <v>0.1430222108</v>
      </c>
      <c r="O644" s="9">
        <f t="shared" si="4"/>
        <v>0.3543888433</v>
      </c>
      <c r="P644" s="9">
        <f>IFERROR(__xludf.DUMMYFUNCTION("GOOGLEFINANCE(A644, ""pe"")"),63.45)</f>
        <v>63.45</v>
      </c>
      <c r="Q644" s="9">
        <f>IFERROR(__xludf.DUMMYFUNCTION("IFERROR(GOOGLEFINANCE(A644, ""volume"") / GOOGLEFINANCE(A644, ""volumeavg""), 0)"),0.0)</f>
        <v>0</v>
      </c>
      <c r="R644" s="9">
        <f>IFERROR(__xludf.DUMMYFUNCTION("AVERAGE(INDEX(GOOGLEFINANCE(A644, ""price"", TODAY()-30, TODAY()), 0, 2))"),407.2173913043479)</f>
        <v>407.2173913</v>
      </c>
      <c r="S644" s="9">
        <f>IFERROR(__xludf.DUMMYFUNCTION("AVERAGE(INDEX(GOOGLEFINANCE(A644, ""price"", TODAY()-75, TODAY()), 0, 2))"),391.87641509433956)</f>
        <v>391.8764151</v>
      </c>
      <c r="T644" s="9">
        <f>IFERROR(__xludf.DUMMYFUNCTION("AVERAGE(INDEX(GOOGLEFINANCE(A644, ""price"", TODAY()-300, TODAY()), 0, 2))"),306.83722772277224)</f>
        <v>306.8372277</v>
      </c>
      <c r="U644" s="9">
        <f t="shared" si="5"/>
        <v>-0.003480674781</v>
      </c>
      <c r="V644" s="15">
        <f>IFERROR(__xludf.DUMMYFUNCTION("LET(hist, GOOGLEFINANCE(A644,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rs))))))"),53.606965174129364)</f>
        <v>53.60696517</v>
      </c>
      <c r="W644" s="16" t="str">
        <f>IFERROR(__xludf.DUMMYFUNCTION("IFERROR(GOOGLEFINANCE(A644, ""volume"") / GOOGLEFINANCE(A644, ""volumeavg""), )"),"")</f>
        <v/>
      </c>
      <c r="X644" s="9">
        <f>IFERROR(__xludf.DUMMYFUNCTION("B644 * GOOGLEFINANCE(A644, ""volume"")"),9.783014226E8)</f>
        <v>978301422.6</v>
      </c>
      <c r="Y644" s="9">
        <f>IFERROR(__xludf.DUMMYFUNCTION("IFERROR(((B644 - GOOGLEFINANCE(A644, ""priceopen"")) / GOOGLEFINANCE(A644, ""priceopen"")) * GOOGLEFINANCE(A644, ""volume""), 0)"),-98027.67943262405)</f>
        <v>-98027.67943</v>
      </c>
    </row>
    <row r="645">
      <c r="A645" s="4" t="s">
        <v>2438</v>
      </c>
      <c r="B645" s="7">
        <f>IFERROR(__xludf.DUMMYFUNCTION("GOOGLEFINANCE(A645, ""price"")"),534.35)</f>
        <v>534.35</v>
      </c>
      <c r="C645" s="7">
        <f>IFERROR(__xludf.DUMMYFUNCTION("GOOGLEFINANCE(A645, ""changepct"")"),-3.74)</f>
        <v>-3.74</v>
      </c>
      <c r="D645" s="9">
        <f>IFERROR(__xludf.DUMMYFUNCTION("GOOGLEFINANCE(A645, ""priceopen"")"),555.0)</f>
        <v>555</v>
      </c>
      <c r="E645" s="9">
        <f>IFERROR(__xludf.DUMMYFUNCTION("GOOGLEFINANCE(A645, ""high"")"),555.65)</f>
        <v>555.65</v>
      </c>
      <c r="F645" s="9">
        <f>IFERROR(__xludf.DUMMYFUNCTION("GOOGLEFINANCE(A645, ""low"")"),525.5)</f>
        <v>525.5</v>
      </c>
      <c r="G645" s="9">
        <f>IFERROR(__xludf.DUMMYFUNCTION("GOOGLEFINANCE(A645, ""price"")"),534.35)</f>
        <v>534.35</v>
      </c>
      <c r="H645" s="9">
        <f>IFERROR(__xludf.DUMMYFUNCTION("MAX(INDEX(GOOGLEFINANCE(A645, ""high"", TODAY()-30, TODAY()), 0, 2))"),607.0)</f>
        <v>607</v>
      </c>
      <c r="I645" s="9">
        <f>IFERROR(__xludf.DUMMYFUNCTION("MIN(INDEX(GOOGLEFINANCE(A645, ""low"", TODAY()-30, TODAY()), 0, 2))"),497.05)</f>
        <v>497.05</v>
      </c>
      <c r="J645" s="9">
        <f>IFERROR(__xludf.DUMMYFUNCTION("GOOGLEFINANCE(A645, ""high52"")"),1041.95)</f>
        <v>1041.95</v>
      </c>
      <c r="K645" s="9">
        <f>IFERROR(__xludf.DUMMYFUNCTION("GOOGLEFINANCE(A645, ""low52"")"),401.05)</f>
        <v>401.05</v>
      </c>
      <c r="L645" s="9">
        <f t="shared" si="1"/>
        <v>0.4871634915</v>
      </c>
      <c r="M645" s="9">
        <f t="shared" si="2"/>
        <v>0.332377509</v>
      </c>
      <c r="N645" s="9">
        <f t="shared" si="3"/>
        <v>0.05737392959</v>
      </c>
      <c r="O645" s="9">
        <f t="shared" si="4"/>
        <v>0.3392451114</v>
      </c>
      <c r="P645" s="9">
        <f>IFERROR(__xludf.DUMMYFUNCTION("GOOGLEFINANCE(A645, ""pe"")"),24.31)</f>
        <v>24.31</v>
      </c>
      <c r="Q645" s="9">
        <f>IFERROR(__xludf.DUMMYFUNCTION("IFERROR(GOOGLEFINANCE(A645, ""volume"") / GOOGLEFINANCE(A645, ""volumeavg""), 0)"),0.0)</f>
        <v>0</v>
      </c>
      <c r="R645" s="9">
        <f>IFERROR(__xludf.DUMMYFUNCTION("AVERAGE(INDEX(GOOGLEFINANCE(A645, ""price"", TODAY()-30, TODAY()), 0, 2))"),546.6934782608696)</f>
        <v>546.6934783</v>
      </c>
      <c r="S645" s="9">
        <f>IFERROR(__xludf.DUMMYFUNCTION("AVERAGE(INDEX(GOOGLEFINANCE(A645, ""price"", TODAY()-75, TODAY()), 0, 2))"),508.1933962264152)</f>
        <v>508.1933962</v>
      </c>
      <c r="T645" s="9">
        <f>IFERROR(__xludf.DUMMYFUNCTION("AVERAGE(INDEX(GOOGLEFINANCE(A645, ""price"", TODAY()-300, TODAY()), 0, 2))"),618.5410891089106)</f>
        <v>618.5410891</v>
      </c>
      <c r="U645" s="9">
        <f t="shared" si="5"/>
        <v>-0.02257842603</v>
      </c>
      <c r="V645" s="15">
        <f>IFERROR(__xludf.DUMMYFUNCTION("LET(hist, GOOGLEFINANCE(A645,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rs))))))"),59.141274238227155)</f>
        <v>59.14127424</v>
      </c>
      <c r="W645" s="16" t="str">
        <f>IFERROR(__xludf.DUMMYFUNCTION("IFERROR(GOOGLEFINANCE(A645, ""volume"") / GOOGLEFINANCE(A645, ""volumeavg""), )"),"")</f>
        <v/>
      </c>
      <c r="X645" s="9">
        <f>IFERROR(__xludf.DUMMYFUNCTION("B645 * GOOGLEFINANCE(A645, ""volume"")"),6.282972796E8)</f>
        <v>628297279.6</v>
      </c>
      <c r="Y645" s="9">
        <f>IFERROR(__xludf.DUMMYFUNCTION("IFERROR(((B645 - GOOGLEFINANCE(A645, ""priceopen"")) / GOOGLEFINANCE(A645, ""priceopen"")) * GOOGLEFINANCE(A645, ""volume""), 0)"),-43748.829549549504)</f>
        <v>-43748.82955</v>
      </c>
    </row>
    <row r="646">
      <c r="A646" s="4" t="s">
        <v>2439</v>
      </c>
      <c r="B646" s="7">
        <f>IFERROR(__xludf.DUMMYFUNCTION("GOOGLEFINANCE(A646, ""price"")"),679.0)</f>
        <v>679</v>
      </c>
      <c r="C646" s="7">
        <f>IFERROR(__xludf.DUMMYFUNCTION("GOOGLEFINANCE(A646, ""changepct"")"),4.97)</f>
        <v>4.97</v>
      </c>
      <c r="D646" s="9">
        <f>IFERROR(__xludf.DUMMYFUNCTION("GOOGLEFINANCE(A646, ""priceopen"")"),642.6)</f>
        <v>642.6</v>
      </c>
      <c r="E646" s="9">
        <f>IFERROR(__xludf.DUMMYFUNCTION("GOOGLEFINANCE(A646, ""high"")"),688.2)</f>
        <v>688.2</v>
      </c>
      <c r="F646" s="9">
        <f>IFERROR(__xludf.DUMMYFUNCTION("GOOGLEFINANCE(A646, ""low"")"),642.6)</f>
        <v>642.6</v>
      </c>
      <c r="G646" s="9">
        <f>IFERROR(__xludf.DUMMYFUNCTION("GOOGLEFINANCE(A646, ""price"")"),679.0)</f>
        <v>679</v>
      </c>
      <c r="H646" s="9">
        <f>IFERROR(__xludf.DUMMYFUNCTION("MAX(INDEX(GOOGLEFINANCE(A646, ""high"", TODAY()-30, TODAY()), 0, 2))"),829.25)</f>
        <v>829.25</v>
      </c>
      <c r="I646" s="9">
        <f>IFERROR(__xludf.DUMMYFUNCTION("MIN(INDEX(GOOGLEFINANCE(A646, ""low"", TODAY()-30, TODAY()), 0, 2))"),640.0)</f>
        <v>640</v>
      </c>
      <c r="J646" s="9">
        <f>IFERROR(__xludf.DUMMYFUNCTION("GOOGLEFINANCE(A646, ""high52"")"),968.75)</f>
        <v>968.75</v>
      </c>
      <c r="K646" s="9">
        <f>IFERROR(__xludf.DUMMYFUNCTION("GOOGLEFINANCE(A646, ""low52"")"),640.0)</f>
        <v>640</v>
      </c>
      <c r="L646" s="9">
        <f t="shared" si="1"/>
        <v>0.2990967742</v>
      </c>
      <c r="M646" s="9">
        <f t="shared" si="2"/>
        <v>0.0609375</v>
      </c>
      <c r="N646" s="9">
        <f t="shared" si="3"/>
        <v>0.07096171802</v>
      </c>
      <c r="O646" s="9">
        <f t="shared" si="4"/>
        <v>0.2060766182</v>
      </c>
      <c r="P646" s="9">
        <f>IFERROR(__xludf.DUMMYFUNCTION("GOOGLEFINANCE(A646, ""pe"")"),14.33)</f>
        <v>14.33</v>
      </c>
      <c r="Q646" s="9">
        <f>IFERROR(__xludf.DUMMYFUNCTION("IFERROR(GOOGLEFINANCE(A646, ""volume"") / GOOGLEFINANCE(A646, ""volumeavg""), 0)"),0.0)</f>
        <v>0</v>
      </c>
      <c r="R646" s="9">
        <f>IFERROR(__xludf.DUMMYFUNCTION("AVERAGE(INDEX(GOOGLEFINANCE(A646, ""price"", TODAY()-30, TODAY()), 0, 2))"),746.6782608695652)</f>
        <v>746.6782609</v>
      </c>
      <c r="S646" s="9">
        <f>IFERROR(__xludf.DUMMYFUNCTION("AVERAGE(INDEX(GOOGLEFINANCE(A646, ""price"", TODAY()-75, TODAY()), 0, 2))"),759.8518867924529)</f>
        <v>759.8518868</v>
      </c>
      <c r="T646" s="9">
        <f>IFERROR(__xludf.DUMMYFUNCTION("AVERAGE(INDEX(GOOGLEFINANCE(A646, ""price"", TODAY()-300, TODAY()), 0, 2))"),790.8759900990101)</f>
        <v>790.8759901</v>
      </c>
      <c r="U646" s="9">
        <f t="shared" si="5"/>
        <v>-0.09063912051</v>
      </c>
      <c r="V646" s="15">
        <f>IFERROR(__xludf.DUMMYFUNCTION("LET(hist, GOOGLEFINANCE(A646,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rs))))))"),32.70951993490644)</f>
        <v>32.70951993</v>
      </c>
      <c r="W646" s="16" t="str">
        <f>IFERROR(__xludf.DUMMYFUNCTION("IFERROR(GOOGLEFINANCE(A646, ""volume"") / GOOGLEFINANCE(A646, ""volumeavg""), )"),"")</f>
        <v/>
      </c>
      <c r="X646" s="9">
        <f>IFERROR(__xludf.DUMMYFUNCTION("B646 * GOOGLEFINANCE(A646, ""volume"")"),2.39621816E8)</f>
        <v>239621816</v>
      </c>
      <c r="Y646" s="9">
        <f>IFERROR(__xludf.DUMMYFUNCTION("IFERROR(((B646 - GOOGLEFINANCE(A646, ""priceopen"")) / GOOGLEFINANCE(A646, ""priceopen"")) * GOOGLEFINANCE(A646, ""volume""), 0)"),19990.204793028308)</f>
        <v>19990.20479</v>
      </c>
    </row>
    <row r="647">
      <c r="A647" s="4" t="s">
        <v>2440</v>
      </c>
      <c r="B647" s="7">
        <f>IFERROR(__xludf.DUMMYFUNCTION("GOOGLEFINANCE(A647, ""price"")"),595.0)</f>
        <v>595</v>
      </c>
      <c r="C647" s="7">
        <f>IFERROR(__xludf.DUMMYFUNCTION("GOOGLEFINANCE(A647, ""changepct"")"),1.98)</f>
        <v>1.98</v>
      </c>
      <c r="D647" s="9">
        <f>IFERROR(__xludf.DUMMYFUNCTION("GOOGLEFINANCE(A647, ""priceopen"")"),583.45)</f>
        <v>583.45</v>
      </c>
      <c r="E647" s="9">
        <f>IFERROR(__xludf.DUMMYFUNCTION("GOOGLEFINANCE(A647, ""high"")"),599.1)</f>
        <v>599.1</v>
      </c>
      <c r="F647" s="9">
        <f>IFERROR(__xludf.DUMMYFUNCTION("GOOGLEFINANCE(A647, ""low"")"),571.3)</f>
        <v>571.3</v>
      </c>
      <c r="G647" s="9">
        <f>IFERROR(__xludf.DUMMYFUNCTION("GOOGLEFINANCE(A647, ""price"")"),595.0)</f>
        <v>595</v>
      </c>
      <c r="H647" s="9">
        <f>IFERROR(__xludf.DUMMYFUNCTION("MAX(INDEX(GOOGLEFINANCE(A647, ""high"", TODAY()-30, TODAY()), 0, 2))"),608.95)</f>
        <v>608.95</v>
      </c>
      <c r="I647" s="9">
        <f>IFERROR(__xludf.DUMMYFUNCTION("MIN(INDEX(GOOGLEFINANCE(A647, ""low"", TODAY()-30, TODAY()), 0, 2))"),443.75)</f>
        <v>443.75</v>
      </c>
      <c r="J647" s="9">
        <f>IFERROR(__xludf.DUMMYFUNCTION("GOOGLEFINANCE(A647, ""high52"")"),775.0)</f>
        <v>775</v>
      </c>
      <c r="K647" s="9">
        <f>IFERROR(__xludf.DUMMYFUNCTION("GOOGLEFINANCE(A647, ""low52"")"),398.4)</f>
        <v>398.4</v>
      </c>
      <c r="L647" s="9">
        <f t="shared" si="1"/>
        <v>0.2322580645</v>
      </c>
      <c r="M647" s="9">
        <f t="shared" si="2"/>
        <v>0.4934738956</v>
      </c>
      <c r="N647" s="9">
        <f t="shared" si="3"/>
        <v>0.04866094871</v>
      </c>
      <c r="O647" s="9">
        <f t="shared" si="4"/>
        <v>0.9155569007</v>
      </c>
      <c r="P647" s="9">
        <f>IFERROR(__xludf.DUMMYFUNCTION("GOOGLEFINANCE(A647, ""pe"")"),291.29)</f>
        <v>291.29</v>
      </c>
      <c r="Q647" s="9">
        <f>IFERROR(__xludf.DUMMYFUNCTION("IFERROR(GOOGLEFINANCE(A647, ""volume"") / GOOGLEFINANCE(A647, ""volumeavg""), 0)"),0.0)</f>
        <v>0</v>
      </c>
      <c r="R647" s="9">
        <f>IFERROR(__xludf.DUMMYFUNCTION("AVERAGE(INDEX(GOOGLEFINANCE(A647, ""price"", TODAY()-30, TODAY()), 0, 2))"),513.154347826087)</f>
        <v>513.1543478</v>
      </c>
      <c r="S647" s="9">
        <f>IFERROR(__xludf.DUMMYFUNCTION("AVERAGE(INDEX(GOOGLEFINANCE(A647, ""price"", TODAY()-75, TODAY()), 0, 2))"),487.8698113207547)</f>
        <v>487.8698113</v>
      </c>
      <c r="T647" s="9">
        <f>IFERROR(__xludf.DUMMYFUNCTION("AVERAGE(INDEX(GOOGLEFINANCE(A647, ""price"", TODAY()-300, TODAY()), 0, 2))"),505.8019801980199)</f>
        <v>505.8019802</v>
      </c>
      <c r="U647" s="9">
        <f t="shared" si="5"/>
        <v>0.1594951938</v>
      </c>
      <c r="V647" s="15">
        <f>IFERROR(__xludf.DUMMYFUNCTION("LET(hist, GOOGLEFINANCE(A647,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rs))))))"),79.56499747091551)</f>
        <v>79.56499747</v>
      </c>
      <c r="W647" s="16" t="str">
        <f>IFERROR(__xludf.DUMMYFUNCTION("IFERROR(GOOGLEFINANCE(A647, ""volume"") / GOOGLEFINANCE(A647, ""volumeavg""), )"),"")</f>
        <v/>
      </c>
      <c r="X647" s="9">
        <f>IFERROR(__xludf.DUMMYFUNCTION("B647 * GOOGLEFINANCE(A647, ""volume"")"),4.988718E7)</f>
        <v>49887180</v>
      </c>
      <c r="Y647" s="9">
        <f>IFERROR(__xludf.DUMMYFUNCTION("IFERROR(((B647 - GOOGLEFINANCE(A647, ""priceopen"")) / GOOGLEFINANCE(A647, ""priceopen"")) * GOOGLEFINANCE(A647, ""volume""), 0)"),1659.779244151163)</f>
        <v>1659.779244</v>
      </c>
    </row>
    <row r="648">
      <c r="A648" s="4" t="s">
        <v>2441</v>
      </c>
      <c r="B648" s="7">
        <f>IFERROR(__xludf.DUMMYFUNCTION("GOOGLEFINANCE(A648, ""price"")"),5890.0)</f>
        <v>5890</v>
      </c>
      <c r="C648" s="7">
        <f>IFERROR(__xludf.DUMMYFUNCTION("GOOGLEFINANCE(A648, ""changepct"")"),-1.58)</f>
        <v>-1.58</v>
      </c>
      <c r="D648" s="9">
        <f>IFERROR(__xludf.DUMMYFUNCTION("GOOGLEFINANCE(A648, ""priceopen"")"),6007.0)</f>
        <v>6007</v>
      </c>
      <c r="E648" s="9">
        <f>IFERROR(__xludf.DUMMYFUNCTION("GOOGLEFINANCE(A648, ""high"")"),6033.5)</f>
        <v>6033.5</v>
      </c>
      <c r="F648" s="9">
        <f>IFERROR(__xludf.DUMMYFUNCTION("GOOGLEFINANCE(A648, ""low"")"),5872.5)</f>
        <v>5872.5</v>
      </c>
      <c r="G648" s="9">
        <f>IFERROR(__xludf.DUMMYFUNCTION("GOOGLEFINANCE(A648, ""price"")"),5890.0)</f>
        <v>5890</v>
      </c>
      <c r="H648" s="9">
        <f>IFERROR(__xludf.DUMMYFUNCTION("MAX(INDEX(GOOGLEFINANCE(A648, ""high"", TODAY()-30, TODAY()), 0, 2))"),6493.5)</f>
        <v>6493.5</v>
      </c>
      <c r="I648" s="9">
        <f>IFERROR(__xludf.DUMMYFUNCTION("MIN(INDEX(GOOGLEFINANCE(A648, ""low"", TODAY()-30, TODAY()), 0, 2))"),5872.5)</f>
        <v>5872.5</v>
      </c>
      <c r="J648" s="9">
        <f>IFERROR(__xludf.DUMMYFUNCTION("GOOGLEFINANCE(A648, ""high52"")"),6740.0)</f>
        <v>6740</v>
      </c>
      <c r="K648" s="9">
        <f>IFERROR(__xludf.DUMMYFUNCTION("GOOGLEFINANCE(A648, ""low52"")"),4461.1)</f>
        <v>4461.1</v>
      </c>
      <c r="L648" s="9">
        <f t="shared" si="1"/>
        <v>0.1261127596</v>
      </c>
      <c r="M648" s="9">
        <f t="shared" si="2"/>
        <v>0.3203021676</v>
      </c>
      <c r="N648" s="9">
        <f t="shared" si="3"/>
        <v>0.02741592167</v>
      </c>
      <c r="O648" s="9">
        <f t="shared" si="4"/>
        <v>0.02818035427</v>
      </c>
      <c r="P648" s="9">
        <f>IFERROR(__xludf.DUMMYFUNCTION("GOOGLEFINANCE(A648, ""pe"")"),37.43)</f>
        <v>37.43</v>
      </c>
      <c r="Q648" s="9">
        <f>IFERROR(__xludf.DUMMYFUNCTION("IFERROR(GOOGLEFINANCE(A648, ""volume"") / GOOGLEFINANCE(A648, ""volumeavg""), 0)"),0.0)</f>
        <v>0</v>
      </c>
      <c r="R648" s="9">
        <f>IFERROR(__xludf.DUMMYFUNCTION("AVERAGE(INDEX(GOOGLEFINANCE(A648, ""price"", TODAY()-30, TODAY()), 0, 2))"),6136.195652173913)</f>
        <v>6136.195652</v>
      </c>
      <c r="S648" s="9">
        <f>IFERROR(__xludf.DUMMYFUNCTION("AVERAGE(INDEX(GOOGLEFINANCE(A648, ""price"", TODAY()-75, TODAY()), 0, 2))"),6129.169811320755)</f>
        <v>6129.169811</v>
      </c>
      <c r="T648" s="9">
        <f>IFERROR(__xludf.DUMMYFUNCTION("AVERAGE(INDEX(GOOGLEFINANCE(A648, ""price"", TODAY()-300, TODAY()), 0, 2))"),5525.491089108912)</f>
        <v>5525.491089</v>
      </c>
      <c r="U648" s="9">
        <f t="shared" si="5"/>
        <v>-0.04012187129</v>
      </c>
      <c r="V648" s="15">
        <f>IFERROR(__xludf.DUMMYFUNCTION("LET(hist, GOOGLEFINANCE(A648,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rs))))))"),43.58731661145291)</f>
        <v>43.58731661</v>
      </c>
      <c r="W648" s="16" t="str">
        <f>IFERROR(__xludf.DUMMYFUNCTION("IFERROR(GOOGLEFINANCE(A648, ""volume"") / GOOGLEFINANCE(A648, ""volumeavg""), )"),"")</f>
        <v/>
      </c>
      <c r="X648" s="9">
        <f>IFERROR(__xludf.DUMMYFUNCTION("B648 * GOOGLEFINANCE(A648, ""volume"")"),5.438237E7)</f>
        <v>54382370</v>
      </c>
      <c r="Y648" s="9">
        <f>IFERROR(__xludf.DUMMYFUNCTION("IFERROR(((B648 - GOOGLEFINANCE(A648, ""priceopen"")) / GOOGLEFINANCE(A648, ""priceopen"")) * GOOGLEFINANCE(A648, ""volume""), 0)"),-179.83369402363908)</f>
        <v>-179.833694</v>
      </c>
    </row>
    <row r="649">
      <c r="A649" s="4" t="s">
        <v>2442</v>
      </c>
      <c r="B649" s="7">
        <f>IFERROR(__xludf.DUMMYFUNCTION("GOOGLEFINANCE(A649, ""price"")"),596.6)</f>
        <v>596.6</v>
      </c>
      <c r="C649" s="7">
        <f>IFERROR(__xludf.DUMMYFUNCTION("GOOGLEFINANCE(A649, ""changepct"")"),-3.25)</f>
        <v>-3.25</v>
      </c>
      <c r="D649" s="9">
        <f>IFERROR(__xludf.DUMMYFUNCTION("GOOGLEFINANCE(A649, ""priceopen"")"),620.05)</f>
        <v>620.05</v>
      </c>
      <c r="E649" s="9">
        <f>IFERROR(__xludf.DUMMYFUNCTION("GOOGLEFINANCE(A649, ""high"")"),620.85)</f>
        <v>620.85</v>
      </c>
      <c r="F649" s="9">
        <f>IFERROR(__xludf.DUMMYFUNCTION("GOOGLEFINANCE(A649, ""low"")"),591.3)</f>
        <v>591.3</v>
      </c>
      <c r="G649" s="9">
        <f>IFERROR(__xludf.DUMMYFUNCTION("GOOGLEFINANCE(A649, ""price"")"),596.6)</f>
        <v>596.6</v>
      </c>
      <c r="H649" s="9">
        <f>IFERROR(__xludf.DUMMYFUNCTION("MAX(INDEX(GOOGLEFINANCE(A649, ""high"", TODAY()-30, TODAY()), 0, 2))"),656.0)</f>
        <v>656</v>
      </c>
      <c r="I649" s="9">
        <f>IFERROR(__xludf.DUMMYFUNCTION("MIN(INDEX(GOOGLEFINANCE(A649, ""low"", TODAY()-30, TODAY()), 0, 2))"),542.5)</f>
        <v>542.5</v>
      </c>
      <c r="J649" s="9">
        <f>IFERROR(__xludf.DUMMYFUNCTION("GOOGLEFINANCE(A649, ""high52"")"),766.0)</f>
        <v>766</v>
      </c>
      <c r="K649" s="9">
        <f>IFERROR(__xludf.DUMMYFUNCTION("GOOGLEFINANCE(A649, ""low52"")"),365.9)</f>
        <v>365.9</v>
      </c>
      <c r="L649" s="9">
        <f t="shared" si="1"/>
        <v>0.2211488251</v>
      </c>
      <c r="M649" s="9">
        <f t="shared" si="2"/>
        <v>0.6305001366</v>
      </c>
      <c r="N649" s="9">
        <f t="shared" si="3"/>
        <v>0.04997463217</v>
      </c>
      <c r="O649" s="9">
        <f t="shared" si="4"/>
        <v>0.4766519824</v>
      </c>
      <c r="P649" s="9">
        <f>IFERROR(__xludf.DUMMYFUNCTION("GOOGLEFINANCE(A649, ""pe"")"),14.85)</f>
        <v>14.85</v>
      </c>
      <c r="Q649" s="9">
        <f>IFERROR(__xludf.DUMMYFUNCTION("IFERROR(GOOGLEFINANCE(A649, ""volume"") / GOOGLEFINANCE(A649, ""volumeavg""), 0)"),0.0)</f>
        <v>0</v>
      </c>
      <c r="R649" s="9">
        <f>IFERROR(__xludf.DUMMYFUNCTION("AVERAGE(INDEX(GOOGLEFINANCE(A649, ""price"", TODAY()-30, TODAY()), 0, 2))"),593.6543478260868)</f>
        <v>593.6543478</v>
      </c>
      <c r="S649" s="9">
        <f>IFERROR(__xludf.DUMMYFUNCTION("AVERAGE(INDEX(GOOGLEFINANCE(A649, ""price"", TODAY()-75, TODAY()), 0, 2))"),554.8509433962264)</f>
        <v>554.8509434</v>
      </c>
      <c r="T649" s="9">
        <f>IFERROR(__xludf.DUMMYFUNCTION("AVERAGE(INDEX(GOOGLEFINANCE(A649, ""price"", TODAY()-300, TODAY()), 0, 2))"),526.3007425742577)</f>
        <v>526.3007426</v>
      </c>
      <c r="U649" s="9">
        <f t="shared" si="5"/>
        <v>0.004961897752</v>
      </c>
      <c r="V649" s="15">
        <f>IFERROR(__xludf.DUMMYFUNCTION("LET(hist, GOOGLEFINANCE(A649,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rs))))))"),43.16505955757232)</f>
        <v>43.16505956</v>
      </c>
      <c r="W649" s="16" t="str">
        <f>IFERROR(__xludf.DUMMYFUNCTION("IFERROR(GOOGLEFINANCE(A649, ""volume"") / GOOGLEFINANCE(A649, ""volumeavg""), )"),"")</f>
        <v/>
      </c>
      <c r="X649" s="9">
        <f>IFERROR(__xludf.DUMMYFUNCTION("B649 * GOOGLEFINANCE(A649, ""volume"")"),3.618563946E8)</f>
        <v>361856394.6</v>
      </c>
      <c r="Y649" s="9">
        <f>IFERROR(__xludf.DUMMYFUNCTION("IFERROR(((B649 - GOOGLEFINANCE(A649, ""priceopen"")) / GOOGLEFINANCE(A649, ""priceopen"")) * GOOGLEFINANCE(A649, ""volume""), 0)"),-22938.71776469633)</f>
        <v>-22938.71776</v>
      </c>
    </row>
    <row r="650">
      <c r="A650" s="4" t="s">
        <v>2443</v>
      </c>
      <c r="B650" s="7">
        <f>IFERROR(__xludf.DUMMYFUNCTION("GOOGLEFINANCE(A650, ""price"")"),165.0)</f>
        <v>165</v>
      </c>
      <c r="C650" s="7">
        <f>IFERROR(__xludf.DUMMYFUNCTION("GOOGLEFINANCE(A650, ""changepct"")"),-2.29)</f>
        <v>-2.29</v>
      </c>
      <c r="D650" s="9">
        <f>IFERROR(__xludf.DUMMYFUNCTION("GOOGLEFINANCE(A650, ""priceopen"")"),169.0)</f>
        <v>169</v>
      </c>
      <c r="E650" s="9">
        <f>IFERROR(__xludf.DUMMYFUNCTION("GOOGLEFINANCE(A650, ""high"")"),169.7)</f>
        <v>169.7</v>
      </c>
      <c r="F650" s="9">
        <f>IFERROR(__xludf.DUMMYFUNCTION("GOOGLEFINANCE(A650, ""low"")"),165.0)</f>
        <v>165</v>
      </c>
      <c r="G650" s="9">
        <f>IFERROR(__xludf.DUMMYFUNCTION("GOOGLEFINANCE(A650, ""price"")"),165.0)</f>
        <v>165</v>
      </c>
      <c r="H650" s="9">
        <f>IFERROR(__xludf.DUMMYFUNCTION("MAX(INDEX(GOOGLEFINANCE(A650, ""high"", TODAY()-30, TODAY()), 0, 2))"),184.03)</f>
        <v>184.03</v>
      </c>
      <c r="I650" s="9">
        <f>IFERROR(__xludf.DUMMYFUNCTION("MIN(INDEX(GOOGLEFINANCE(A650, ""low"", TODAY()-30, TODAY()), 0, 2))"),137.7)</f>
        <v>137.7</v>
      </c>
      <c r="J650" s="9">
        <f>IFERROR(__xludf.DUMMYFUNCTION("GOOGLEFINANCE(A650, ""high52"")"),184.03)</f>
        <v>184.03</v>
      </c>
      <c r="K650" s="9">
        <f>IFERROR(__xludf.DUMMYFUNCTION("GOOGLEFINANCE(A650, ""low52"")"),101.2)</f>
        <v>101.2</v>
      </c>
      <c r="L650" s="9">
        <f t="shared" si="1"/>
        <v>0.1034070532</v>
      </c>
      <c r="M650" s="9">
        <f t="shared" si="2"/>
        <v>0.6304347826</v>
      </c>
      <c r="N650" s="9">
        <f t="shared" si="3"/>
        <v>0.02848484848</v>
      </c>
      <c r="O650" s="9">
        <f t="shared" si="4"/>
        <v>0.5892510253</v>
      </c>
      <c r="P650" s="9">
        <f>IFERROR(__xludf.DUMMYFUNCTION("GOOGLEFINANCE(A650, ""pe"")"),18.19)</f>
        <v>18.19</v>
      </c>
      <c r="Q650" s="9">
        <f>IFERROR(__xludf.DUMMYFUNCTION("IFERROR(GOOGLEFINANCE(A650, ""volume"") / GOOGLEFINANCE(A650, ""volumeavg""), 0)"),0.0)</f>
        <v>0</v>
      </c>
      <c r="R650" s="9">
        <f>IFERROR(__xludf.DUMMYFUNCTION("AVERAGE(INDEX(GOOGLEFINANCE(A650, ""price"", TODAY()-30, TODAY()), 0, 2))"),159.7173913043478)</f>
        <v>159.7173913</v>
      </c>
      <c r="S650" s="9">
        <f>IFERROR(__xludf.DUMMYFUNCTION("AVERAGE(INDEX(GOOGLEFINANCE(A650, ""price"", TODAY()-75, TODAY()), 0, 2))"),159.19320754716983)</f>
        <v>159.1932075</v>
      </c>
      <c r="T650" s="9">
        <f>IFERROR(__xludf.DUMMYFUNCTION("AVERAGE(INDEX(GOOGLEFINANCE(A650, ""price"", TODAY()-300, TODAY()), 0, 2))"),140.06447761194036)</f>
        <v>140.0644776</v>
      </c>
      <c r="U650" s="9">
        <f t="shared" si="5"/>
        <v>0.03307472438</v>
      </c>
      <c r="V650" s="15">
        <f>IFERROR(__xludf.DUMMYFUNCTION("LET(hist, GOOGLEFINANCE(A650,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rs))))))"),68.06780595369352)</f>
        <v>68.06780595</v>
      </c>
      <c r="W650" s="16" t="str">
        <f>IFERROR(__xludf.DUMMYFUNCTION("IFERROR(GOOGLEFINANCE(A650, ""volume"") / GOOGLEFINANCE(A650, ""volumeavg""), )"),"")</f>
        <v/>
      </c>
      <c r="X650" s="9">
        <f>IFERROR(__xludf.DUMMYFUNCTION("B650 * GOOGLEFINANCE(A650, ""volume"")"),9.6342675E7)</f>
        <v>96342675</v>
      </c>
      <c r="Y650" s="9">
        <f>IFERROR(__xludf.DUMMYFUNCTION("IFERROR(((B650 - GOOGLEFINANCE(A650, ""priceopen"")) / GOOGLEFINANCE(A650, ""priceopen"")) * GOOGLEFINANCE(A650, ""volume""), 0)"),-13820.0)</f>
        <v>-13820</v>
      </c>
    </row>
    <row r="651">
      <c r="A651" s="4" t="s">
        <v>2444</v>
      </c>
      <c r="B651" s="7">
        <f>IFERROR(__xludf.DUMMYFUNCTION("GOOGLEFINANCE(A651, ""price"")"),863.0)</f>
        <v>863</v>
      </c>
      <c r="C651" s="7">
        <f>IFERROR(__xludf.DUMMYFUNCTION("GOOGLEFINANCE(A651, ""changepct"")"),-0.31)</f>
        <v>-0.31</v>
      </c>
      <c r="D651" s="9">
        <f>IFERROR(__xludf.DUMMYFUNCTION("GOOGLEFINANCE(A651, ""priceopen"")"),862.6)</f>
        <v>862.6</v>
      </c>
      <c r="E651" s="9">
        <f>IFERROR(__xludf.DUMMYFUNCTION("GOOGLEFINANCE(A651, ""high"")"),880.0)</f>
        <v>880</v>
      </c>
      <c r="F651" s="9">
        <f>IFERROR(__xludf.DUMMYFUNCTION("GOOGLEFINANCE(A651, ""low"")"),856.05)</f>
        <v>856.05</v>
      </c>
      <c r="G651" s="9">
        <f>IFERROR(__xludf.DUMMYFUNCTION("GOOGLEFINANCE(A651, ""price"")"),863.0)</f>
        <v>863</v>
      </c>
      <c r="H651" s="9">
        <f>IFERROR(__xludf.DUMMYFUNCTION("MAX(INDEX(GOOGLEFINANCE(A651, ""high"", TODAY()-30, TODAY()), 0, 2))"),919.5)</f>
        <v>919.5</v>
      </c>
      <c r="I651" s="9">
        <f>IFERROR(__xludf.DUMMYFUNCTION("MIN(INDEX(GOOGLEFINANCE(A651, ""low"", TODAY()-30, TODAY()), 0, 2))"),806.35)</f>
        <v>806.35</v>
      </c>
      <c r="J651" s="9">
        <f>IFERROR(__xludf.DUMMYFUNCTION("GOOGLEFINANCE(A651, ""high52"")"),919.5)</f>
        <v>919.5</v>
      </c>
      <c r="K651" s="9">
        <f>IFERROR(__xludf.DUMMYFUNCTION("GOOGLEFINANCE(A651, ""low52"")"),538.25)</f>
        <v>538.25</v>
      </c>
      <c r="L651" s="9">
        <f t="shared" si="1"/>
        <v>0.06144643828</v>
      </c>
      <c r="M651" s="9">
        <f t="shared" si="2"/>
        <v>0.6033441709</v>
      </c>
      <c r="N651" s="9">
        <f t="shared" si="3"/>
        <v>0.02797733777</v>
      </c>
      <c r="O651" s="9">
        <f t="shared" si="4"/>
        <v>0.5006628369</v>
      </c>
      <c r="P651" s="9">
        <f>IFERROR(__xludf.DUMMYFUNCTION("GOOGLEFINANCE(A651, ""pe"")"),47.42)</f>
        <v>47.42</v>
      </c>
      <c r="Q651" s="9">
        <f>IFERROR(__xludf.DUMMYFUNCTION("IFERROR(GOOGLEFINANCE(A651, ""volume"") / GOOGLEFINANCE(A651, ""volumeavg""), 0)"),0.0)</f>
        <v>0</v>
      </c>
      <c r="R651" s="9">
        <f>IFERROR(__xludf.DUMMYFUNCTION("AVERAGE(INDEX(GOOGLEFINANCE(A651, ""price"", TODAY()-30, TODAY()), 0, 2))"),848.9282608695653)</f>
        <v>848.9282609</v>
      </c>
      <c r="S651" s="9">
        <f>IFERROR(__xludf.DUMMYFUNCTION("AVERAGE(INDEX(GOOGLEFINANCE(A651, ""price"", TODAY()-75, TODAY()), 0, 2))"),839.3745283018865)</f>
        <v>839.3745283</v>
      </c>
      <c r="T651" s="9">
        <f>IFERROR(__xludf.DUMMYFUNCTION("AVERAGE(INDEX(GOOGLEFINANCE(A651, ""price"", TODAY()-300, TODAY()), 0, 2))"),749.7433168316834)</f>
        <v>749.7433168</v>
      </c>
      <c r="U651" s="9">
        <f t="shared" si="5"/>
        <v>0.01657588724</v>
      </c>
      <c r="V651" s="15">
        <f>IFERROR(__xludf.DUMMYFUNCTION("LET(hist, GOOGLEFINANCE(A651,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rs))))))"),58.97858319604613)</f>
        <v>58.9785832</v>
      </c>
      <c r="W651" s="16" t="str">
        <f>IFERROR(__xludf.DUMMYFUNCTION("IFERROR(GOOGLEFINANCE(A651, ""volume"") / GOOGLEFINANCE(A651, ""volumeavg""), )"),"")</f>
        <v/>
      </c>
      <c r="X651" s="9">
        <f>IFERROR(__xludf.DUMMYFUNCTION("B651 * GOOGLEFINANCE(A651, ""volume"")"),3.72277488E8)</f>
        <v>372277488</v>
      </c>
      <c r="Y651" s="9">
        <f>IFERROR(__xludf.DUMMYFUNCTION("IFERROR(((B651 - GOOGLEFINANCE(A651, ""priceopen"")) / GOOGLEFINANCE(A651, ""priceopen"")) * GOOGLEFINANCE(A651, ""volume""), 0)"),200.03524229073753)</f>
        <v>200.0352423</v>
      </c>
    </row>
    <row r="652">
      <c r="A652" s="4" t="s">
        <v>2445</v>
      </c>
      <c r="B652" s="7">
        <f>IFERROR(__xludf.DUMMYFUNCTION("GOOGLEFINANCE(A652, ""price"")"),435.0)</f>
        <v>435</v>
      </c>
      <c r="C652" s="7">
        <f>IFERROR(__xludf.DUMMYFUNCTION("GOOGLEFINANCE(A652, ""changepct"")"),-1.17)</f>
        <v>-1.17</v>
      </c>
      <c r="D652" s="9">
        <f>IFERROR(__xludf.DUMMYFUNCTION("GOOGLEFINANCE(A652, ""priceopen"")"),439.9)</f>
        <v>439.9</v>
      </c>
      <c r="E652" s="9">
        <f>IFERROR(__xludf.DUMMYFUNCTION("GOOGLEFINANCE(A652, ""high"")"),442.2)</f>
        <v>442.2</v>
      </c>
      <c r="F652" s="9">
        <f>IFERROR(__xludf.DUMMYFUNCTION("GOOGLEFINANCE(A652, ""low"")"),434.65)</f>
        <v>434.65</v>
      </c>
      <c r="G652" s="9">
        <f>IFERROR(__xludf.DUMMYFUNCTION("GOOGLEFINANCE(A652, ""price"")"),435.0)</f>
        <v>435</v>
      </c>
      <c r="H652" s="9">
        <f>IFERROR(__xludf.DUMMYFUNCTION("MAX(INDEX(GOOGLEFINANCE(A652, ""high"", TODAY()-30, TODAY()), 0, 2))"),489.4)</f>
        <v>489.4</v>
      </c>
      <c r="I652" s="9">
        <f>IFERROR(__xludf.DUMMYFUNCTION("MIN(INDEX(GOOGLEFINANCE(A652, ""low"", TODAY()-30, TODAY()), 0, 2))"),434.5)</f>
        <v>434.5</v>
      </c>
      <c r="J652" s="9">
        <f>IFERROR(__xludf.DUMMYFUNCTION("GOOGLEFINANCE(A652, ""high52"")"),513.0)</f>
        <v>513</v>
      </c>
      <c r="K652" s="9">
        <f>IFERROR(__xludf.DUMMYFUNCTION("GOOGLEFINANCE(A652, ""low52"")"),408.0)</f>
        <v>408</v>
      </c>
      <c r="L652" s="9">
        <f t="shared" si="1"/>
        <v>0.1520467836</v>
      </c>
      <c r="M652" s="9">
        <f t="shared" si="2"/>
        <v>0.06617647059</v>
      </c>
      <c r="N652" s="9">
        <f t="shared" si="3"/>
        <v>0.01737029794</v>
      </c>
      <c r="O652" s="9">
        <f t="shared" si="4"/>
        <v>0.009107468124</v>
      </c>
      <c r="P652" s="9">
        <f>IFERROR(__xludf.DUMMYFUNCTION("GOOGLEFINANCE(A652, ""pe"")"),14.56)</f>
        <v>14.56</v>
      </c>
      <c r="Q652" s="9">
        <f>IFERROR(__xludf.DUMMYFUNCTION("IFERROR(GOOGLEFINANCE(A652, ""volume"") / GOOGLEFINANCE(A652, ""volumeavg""), 0)"),0.0)</f>
        <v>0</v>
      </c>
      <c r="R652" s="9">
        <f>IFERROR(__xludf.DUMMYFUNCTION("AVERAGE(INDEX(GOOGLEFINANCE(A652, ""price"", TODAY()-30, TODAY()), 0, 2))"),464.04130434782604)</f>
        <v>464.0413043</v>
      </c>
      <c r="S652" s="9">
        <f>IFERROR(__xludf.DUMMYFUNCTION("AVERAGE(INDEX(GOOGLEFINANCE(A652, ""price"", TODAY()-75, TODAY()), 0, 2))"),456.2500000000001)</f>
        <v>456.25</v>
      </c>
      <c r="T652" s="9">
        <f>IFERROR(__xludf.DUMMYFUNCTION("AVERAGE(INDEX(GOOGLEFINANCE(A652, ""price"", TODAY()-300, TODAY()), 0, 2))"),450.4687500000001)</f>
        <v>450.46875</v>
      </c>
      <c r="U652" s="9">
        <f t="shared" si="5"/>
        <v>-0.06258344694</v>
      </c>
      <c r="V652" s="15">
        <f>IFERROR(__xludf.DUMMYFUNCTION("LET(hist, GOOGLEFINANCE(A652,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rs))))))"),33.72164316370322)</f>
        <v>33.72164316</v>
      </c>
      <c r="W652" s="16" t="str">
        <f>IFERROR(__xludf.DUMMYFUNCTION("IFERROR(GOOGLEFINANCE(A652, ""volume"") / GOOGLEFINANCE(A652, ""volumeavg""), )"),"")</f>
        <v/>
      </c>
      <c r="X652" s="9">
        <f>IFERROR(__xludf.DUMMYFUNCTION("B652 * GOOGLEFINANCE(A652, ""volume"")"),2.982186E7)</f>
        <v>29821860</v>
      </c>
      <c r="Y652" s="9">
        <f>IFERROR(__xludf.DUMMYFUNCTION("IFERROR(((B652 - GOOGLEFINANCE(A652, ""priceopen"")) / GOOGLEFINANCE(A652, ""priceopen"")) * GOOGLEFINANCE(A652, ""volume""), 0)"),-763.6380995680802)</f>
        <v>-763.6380996</v>
      </c>
    </row>
    <row r="653">
      <c r="A653" s="4" t="s">
        <v>2446</v>
      </c>
      <c r="B653" s="7">
        <f>IFERROR(__xludf.DUMMYFUNCTION("GOOGLEFINANCE(A653, ""price"")"),1472.0)</f>
        <v>1472</v>
      </c>
      <c r="C653" s="7">
        <f>IFERROR(__xludf.DUMMYFUNCTION("GOOGLEFINANCE(A653, ""changepct"")"),-0.65)</f>
        <v>-0.65</v>
      </c>
      <c r="D653" s="9">
        <f>IFERROR(__xludf.DUMMYFUNCTION("GOOGLEFINANCE(A653, ""priceopen"")"),1481.0)</f>
        <v>1481</v>
      </c>
      <c r="E653" s="9">
        <f>IFERROR(__xludf.DUMMYFUNCTION("GOOGLEFINANCE(A653, ""high"")"),1505.0)</f>
        <v>1505</v>
      </c>
      <c r="F653" s="9">
        <f>IFERROR(__xludf.DUMMYFUNCTION("GOOGLEFINANCE(A653, ""low"")"),1465.0)</f>
        <v>1465</v>
      </c>
      <c r="G653" s="9">
        <f>IFERROR(__xludf.DUMMYFUNCTION("GOOGLEFINANCE(A653, ""price"")"),1472.0)</f>
        <v>1472</v>
      </c>
      <c r="H653" s="9">
        <f>IFERROR(__xludf.DUMMYFUNCTION("MAX(INDEX(GOOGLEFINANCE(A653, ""high"", TODAY()-30, TODAY()), 0, 2))"),1541.5)</f>
        <v>1541.5</v>
      </c>
      <c r="I653" s="9">
        <f>IFERROR(__xludf.DUMMYFUNCTION("MIN(INDEX(GOOGLEFINANCE(A653, ""low"", TODAY()-30, TODAY()), 0, 2))"),1300.1)</f>
        <v>1300.1</v>
      </c>
      <c r="J653" s="9">
        <f>IFERROR(__xludf.DUMMYFUNCTION("GOOGLEFINANCE(A653, ""high52"")"),1679.9)</f>
        <v>1679.9</v>
      </c>
      <c r="K653" s="9">
        <f>IFERROR(__xludf.DUMMYFUNCTION("GOOGLEFINANCE(A653, ""low52"")"),727.15)</f>
        <v>727.15</v>
      </c>
      <c r="L653" s="9">
        <f t="shared" si="1"/>
        <v>0.1237573665</v>
      </c>
      <c r="M653" s="9">
        <f t="shared" si="2"/>
        <v>1.024341608</v>
      </c>
      <c r="N653" s="9">
        <f t="shared" si="3"/>
        <v>0.02730375427</v>
      </c>
      <c r="O653" s="9">
        <f t="shared" si="4"/>
        <v>0.712096106</v>
      </c>
      <c r="P653" s="9">
        <f>IFERROR(__xludf.DUMMYFUNCTION("GOOGLEFINANCE(A653, ""pe"")"),15.15)</f>
        <v>15.15</v>
      </c>
      <c r="Q653" s="9">
        <f>IFERROR(__xludf.DUMMYFUNCTION("IFERROR(GOOGLEFINANCE(A653, ""volume"") / GOOGLEFINANCE(A653, ""volumeavg""), 0)"),0.0)</f>
        <v>0</v>
      </c>
      <c r="R653" s="9">
        <f>IFERROR(__xludf.DUMMYFUNCTION("AVERAGE(INDEX(GOOGLEFINANCE(A653, ""price"", TODAY()-30, TODAY()), 0, 2))"),1411.3608695652174)</f>
        <v>1411.36087</v>
      </c>
      <c r="S653" s="9">
        <f>IFERROR(__xludf.DUMMYFUNCTION("AVERAGE(INDEX(GOOGLEFINANCE(A653, ""price"", TODAY()-75, TODAY()), 0, 2))"),1405.020754716981)</f>
        <v>1405.020755</v>
      </c>
      <c r="T653" s="9">
        <f>IFERROR(__xludf.DUMMYFUNCTION("AVERAGE(INDEX(GOOGLEFINANCE(A653, ""price"", TODAY()-300, TODAY()), 0, 2))"),1345.2217821782178)</f>
        <v>1345.221782</v>
      </c>
      <c r="U653" s="9">
        <f t="shared" si="5"/>
        <v>0.04296500756</v>
      </c>
      <c r="V653" s="15">
        <f>IFERROR(__xludf.DUMMYFUNCTION("LET(hist, GOOGLEFINANCE(A653,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rs))))))"),68.5840707964602)</f>
        <v>68.5840708</v>
      </c>
      <c r="W653" s="16" t="str">
        <f>IFERROR(__xludf.DUMMYFUNCTION("IFERROR(GOOGLEFINANCE(A653, ""volume"") / GOOGLEFINANCE(A653, ""volumeavg""), )"),"")</f>
        <v/>
      </c>
      <c r="X653" s="9">
        <f>IFERROR(__xludf.DUMMYFUNCTION("B653 * GOOGLEFINANCE(A653, ""volume"")"),1.93732864E8)</f>
        <v>193732864</v>
      </c>
      <c r="Y653" s="9">
        <f>IFERROR(__xludf.DUMMYFUNCTION("IFERROR(((B653 - GOOGLEFINANCE(A653, ""priceopen"")) / GOOGLEFINANCE(A653, ""priceopen"")) * GOOGLEFINANCE(A653, ""volume""), 0)"),-799.8028359216745)</f>
        <v>-799.8028359</v>
      </c>
    </row>
    <row r="654">
      <c r="A654" s="4" t="s">
        <v>2447</v>
      </c>
      <c r="B654" s="7">
        <f>IFERROR(__xludf.DUMMYFUNCTION("GOOGLEFINANCE(A654, ""price"")"),576.0)</f>
        <v>576</v>
      </c>
      <c r="C654" s="7">
        <f>IFERROR(__xludf.DUMMYFUNCTION("GOOGLEFINANCE(A654, ""changepct"")"),2.4)</f>
        <v>2.4</v>
      </c>
      <c r="D654" s="9">
        <f>IFERROR(__xludf.DUMMYFUNCTION("GOOGLEFINANCE(A654, ""priceopen"")"),565.1)</f>
        <v>565.1</v>
      </c>
      <c r="E654" s="9">
        <f>IFERROR(__xludf.DUMMYFUNCTION("GOOGLEFINANCE(A654, ""high"")"),581.35)</f>
        <v>581.35</v>
      </c>
      <c r="F654" s="9">
        <f>IFERROR(__xludf.DUMMYFUNCTION("GOOGLEFINANCE(A654, ""low"")"),562.05)</f>
        <v>562.05</v>
      </c>
      <c r="G654" s="9">
        <f>IFERROR(__xludf.DUMMYFUNCTION("GOOGLEFINANCE(A654, ""price"")"),576.0)</f>
        <v>576</v>
      </c>
      <c r="H654" s="9">
        <f>IFERROR(__xludf.DUMMYFUNCTION("MAX(INDEX(GOOGLEFINANCE(A654, ""high"", TODAY()-30, TODAY()), 0, 2))"),658.0)</f>
        <v>658</v>
      </c>
      <c r="I654" s="9">
        <f>IFERROR(__xludf.DUMMYFUNCTION("MIN(INDEX(GOOGLEFINANCE(A654, ""low"", TODAY()-30, TODAY()), 0, 2))"),544.1)</f>
        <v>544.1</v>
      </c>
      <c r="J654" s="9">
        <f>IFERROR(__xludf.DUMMYFUNCTION("GOOGLEFINANCE(A654, ""high52"")"),721.0)</f>
        <v>721</v>
      </c>
      <c r="K654" s="9">
        <f>IFERROR(__xludf.DUMMYFUNCTION("GOOGLEFINANCE(A654, ""low52"")"),374.4)</f>
        <v>374.4</v>
      </c>
      <c r="L654" s="9">
        <f t="shared" si="1"/>
        <v>0.20110957</v>
      </c>
      <c r="M654" s="9">
        <f t="shared" si="2"/>
        <v>0.5384615385</v>
      </c>
      <c r="N654" s="9">
        <f t="shared" si="3"/>
        <v>0.03433858198</v>
      </c>
      <c r="O654" s="9">
        <f t="shared" si="4"/>
        <v>0.2800702371</v>
      </c>
      <c r="P654" s="9">
        <f>IFERROR(__xludf.DUMMYFUNCTION("GOOGLEFINANCE(A654, ""pe"")"),21.04)</f>
        <v>21.04</v>
      </c>
      <c r="Q654" s="9">
        <f>IFERROR(__xludf.DUMMYFUNCTION("IFERROR(GOOGLEFINANCE(A654, ""volume"") / GOOGLEFINANCE(A654, ""volumeavg""), 0)"),0.0)</f>
        <v>0</v>
      </c>
      <c r="R654" s="9">
        <f>IFERROR(__xludf.DUMMYFUNCTION("AVERAGE(INDEX(GOOGLEFINANCE(A654, ""price"", TODAY()-30, TODAY()), 0, 2))"),581.4369565217391)</f>
        <v>581.4369565</v>
      </c>
      <c r="S654" s="9">
        <f>IFERROR(__xludf.DUMMYFUNCTION("AVERAGE(INDEX(GOOGLEFINANCE(A654, ""price"", TODAY()-75, TODAY()), 0, 2))"),577.2981132075473)</f>
        <v>577.2981132</v>
      </c>
      <c r="T654" s="9">
        <f>IFERROR(__xludf.DUMMYFUNCTION("AVERAGE(INDEX(GOOGLEFINANCE(A654, ""price"", TODAY()-300, TODAY()), 0, 2))"),539.2076732673268)</f>
        <v>539.2076733</v>
      </c>
      <c r="U654" s="9">
        <f t="shared" si="5"/>
        <v>-0.009350896018</v>
      </c>
      <c r="V654" s="15">
        <f>IFERROR(__xludf.DUMMYFUNCTION("LET(hist, GOOGLEFINANCE(A654,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rs))))))"),47.314423657211876)</f>
        <v>47.31442366</v>
      </c>
      <c r="W654" s="16" t="str">
        <f>IFERROR(__xludf.DUMMYFUNCTION("IFERROR(GOOGLEFINANCE(A654, ""volume"") / GOOGLEFINANCE(A654, ""volumeavg""), )"),"")</f>
        <v/>
      </c>
      <c r="X654" s="9">
        <f>IFERROR(__xludf.DUMMYFUNCTION("B654 * GOOGLEFINANCE(A654, ""volume"")"),4.3730784E8)</f>
        <v>437307840</v>
      </c>
      <c r="Y654" s="9">
        <f>IFERROR(__xludf.DUMMYFUNCTION("IFERROR(((B654 - GOOGLEFINANCE(A654, ""priceopen"")) / GOOGLEFINANCE(A654, ""priceopen"")) * GOOGLEFINANCE(A654, ""volume""), 0)"),14644.21075915764)</f>
        <v>14644.21076</v>
      </c>
    </row>
    <row r="655">
      <c r="A655" s="4" t="s">
        <v>2448</v>
      </c>
      <c r="B655" s="7">
        <f>IFERROR(__xludf.DUMMYFUNCTION("GOOGLEFINANCE(A655, ""price"")"),38.13)</f>
        <v>38.13</v>
      </c>
      <c r="C655" s="7">
        <f>IFERROR(__xludf.DUMMYFUNCTION("GOOGLEFINANCE(A655, ""changepct"")"),-1.75)</f>
        <v>-1.75</v>
      </c>
      <c r="D655" s="9">
        <f>IFERROR(__xludf.DUMMYFUNCTION("GOOGLEFINANCE(A655, ""priceopen"")"),38.75)</f>
        <v>38.75</v>
      </c>
      <c r="E655" s="9">
        <f>IFERROR(__xludf.DUMMYFUNCTION("GOOGLEFINANCE(A655, ""high"")"),38.81)</f>
        <v>38.81</v>
      </c>
      <c r="F655" s="9">
        <f>IFERROR(__xludf.DUMMYFUNCTION("GOOGLEFINANCE(A655, ""low"")"),38.0)</f>
        <v>38</v>
      </c>
      <c r="G655" s="9">
        <f>IFERROR(__xludf.DUMMYFUNCTION("GOOGLEFINANCE(A655, ""price"")"),38.13)</f>
        <v>38.13</v>
      </c>
      <c r="H655" s="9">
        <f>IFERROR(__xludf.DUMMYFUNCTION("MAX(INDEX(GOOGLEFINANCE(A655, ""high"", TODAY()-30, TODAY()), 0, 2))"),42.82)</f>
        <v>42.82</v>
      </c>
      <c r="I655" s="9">
        <f>IFERROR(__xludf.DUMMYFUNCTION("MIN(INDEX(GOOGLEFINANCE(A655, ""low"", TODAY()-30, TODAY()), 0, 2))"),38.0)</f>
        <v>38</v>
      </c>
      <c r="J655" s="9">
        <f>IFERROR(__xludf.DUMMYFUNCTION("GOOGLEFINANCE(A655, ""high52"")"),60.89)</f>
        <v>60.89</v>
      </c>
      <c r="K655" s="9">
        <f>IFERROR(__xludf.DUMMYFUNCTION("GOOGLEFINANCE(A655, ""low52"")"),31.22)</f>
        <v>31.22</v>
      </c>
      <c r="L655" s="9">
        <f t="shared" si="1"/>
        <v>0.3737887995</v>
      </c>
      <c r="M655" s="9">
        <f t="shared" si="2"/>
        <v>0.2213324792</v>
      </c>
      <c r="N655" s="9">
        <f t="shared" si="3"/>
        <v>0.02131578947</v>
      </c>
      <c r="O655" s="9">
        <f t="shared" si="4"/>
        <v>0.02697095436</v>
      </c>
      <c r="P655" s="9">
        <f>IFERROR(__xludf.DUMMYFUNCTION("GOOGLEFINANCE(A655, ""pe"")"),192.51)</f>
        <v>192.51</v>
      </c>
      <c r="Q655" s="9">
        <f>IFERROR(__xludf.DUMMYFUNCTION("IFERROR(GOOGLEFINANCE(A655, ""volume"") / GOOGLEFINANCE(A655, ""volumeavg""), 0)"),0.0)</f>
        <v>0</v>
      </c>
      <c r="R655" s="9">
        <f>IFERROR(__xludf.DUMMYFUNCTION("AVERAGE(INDEX(GOOGLEFINANCE(A655, ""price"", TODAY()-30, TODAY()), 0, 2))"),39.81521739130435)</f>
        <v>39.81521739</v>
      </c>
      <c r="S655" s="9">
        <f>IFERROR(__xludf.DUMMYFUNCTION("AVERAGE(INDEX(GOOGLEFINANCE(A655, ""price"", TODAY()-75, TODAY()), 0, 2))"),41.78849056603774)</f>
        <v>41.78849057</v>
      </c>
      <c r="T655" s="9">
        <f>IFERROR(__xludf.DUMMYFUNCTION("AVERAGE(INDEX(GOOGLEFINANCE(A655, ""price"", TODAY()-300, TODAY()), 0, 2))"),44.772178217821754)</f>
        <v>44.77217822</v>
      </c>
      <c r="U655" s="9">
        <f t="shared" si="5"/>
        <v>-0.04232596233</v>
      </c>
      <c r="V655" s="15">
        <f>IFERROR(__xludf.DUMMYFUNCTION("LET(hist, GOOGLEFINANCE(A655,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rs))))))"),35.5294117647059)</f>
        <v>35.52941176</v>
      </c>
      <c r="W655" s="16" t="str">
        <f>IFERROR(__xludf.DUMMYFUNCTION("IFERROR(GOOGLEFINANCE(A655, ""volume"") / GOOGLEFINANCE(A655, ""volumeavg""), )"),"")</f>
        <v/>
      </c>
      <c r="X655" s="9">
        <f>IFERROR(__xludf.DUMMYFUNCTION("B655 * GOOGLEFINANCE(A655, ""volume"")"),4.205910585E7)</f>
        <v>42059105.85</v>
      </c>
      <c r="Y655" s="9">
        <f>IFERROR(__xludf.DUMMYFUNCTION("IFERROR(((B655 - GOOGLEFINANCE(A655, ""priceopen"")) / GOOGLEFINANCE(A655, ""priceopen"")) * GOOGLEFINANCE(A655, ""volume""), 0)"),-17648.71999999993)</f>
        <v>-17648.72</v>
      </c>
    </row>
    <row r="656">
      <c r="A656" s="4" t="s">
        <v>2449</v>
      </c>
      <c r="B656" s="7">
        <f>IFERROR(__xludf.DUMMYFUNCTION("GOOGLEFINANCE(A656, ""price"")"),805.0)</f>
        <v>805</v>
      </c>
      <c r="C656" s="7">
        <f>IFERROR(__xludf.DUMMYFUNCTION("GOOGLEFINANCE(A656, ""changepct"")"),-0.62)</f>
        <v>-0.62</v>
      </c>
      <c r="D656" s="9">
        <f>IFERROR(__xludf.DUMMYFUNCTION("GOOGLEFINANCE(A656, ""priceopen"")"),814.95)</f>
        <v>814.95</v>
      </c>
      <c r="E656" s="9">
        <f>IFERROR(__xludf.DUMMYFUNCTION("GOOGLEFINANCE(A656, ""high"")"),814.95)</f>
        <v>814.95</v>
      </c>
      <c r="F656" s="9">
        <f>IFERROR(__xludf.DUMMYFUNCTION("GOOGLEFINANCE(A656, ""low"")"),800.2)</f>
        <v>800.2</v>
      </c>
      <c r="G656" s="9">
        <f>IFERROR(__xludf.DUMMYFUNCTION("GOOGLEFINANCE(A656, ""price"")"),805.0)</f>
        <v>805</v>
      </c>
      <c r="H656" s="9">
        <f>IFERROR(__xludf.DUMMYFUNCTION("MAX(INDEX(GOOGLEFINANCE(A656, ""high"", TODAY()-30, TODAY()), 0, 2))"),820.6)</f>
        <v>820.6</v>
      </c>
      <c r="I656" s="9">
        <f>IFERROR(__xludf.DUMMYFUNCTION("MIN(INDEX(GOOGLEFINANCE(A656, ""low"", TODAY()-30, TODAY()), 0, 2))"),715.5)</f>
        <v>715.5</v>
      </c>
      <c r="J656" s="9">
        <f>IFERROR(__xludf.DUMMYFUNCTION("GOOGLEFINANCE(A656, ""high52"")"),1256.8)</f>
        <v>1256.8</v>
      </c>
      <c r="K656" s="9">
        <f>IFERROR(__xludf.DUMMYFUNCTION("GOOGLEFINANCE(A656, ""low52"")"),652.0)</f>
        <v>652</v>
      </c>
      <c r="L656" s="9">
        <f t="shared" si="1"/>
        <v>0.3594844048</v>
      </c>
      <c r="M656" s="9">
        <f t="shared" si="2"/>
        <v>0.2346625767</v>
      </c>
      <c r="N656" s="9">
        <f t="shared" si="3"/>
        <v>0.01843289178</v>
      </c>
      <c r="O656" s="9">
        <f t="shared" si="4"/>
        <v>0.8515699334</v>
      </c>
      <c r="P656" s="9">
        <f>IFERROR(__xludf.DUMMYFUNCTION("GOOGLEFINANCE(A656, ""pe"")"),36.74)</f>
        <v>36.74</v>
      </c>
      <c r="Q656" s="9">
        <f>IFERROR(__xludf.DUMMYFUNCTION("IFERROR(GOOGLEFINANCE(A656, ""volume"") / GOOGLEFINANCE(A656, ""volumeavg""), 0)"),0.0)</f>
        <v>0</v>
      </c>
      <c r="R656" s="9">
        <f>IFERROR(__xludf.DUMMYFUNCTION("AVERAGE(INDEX(GOOGLEFINANCE(A656, ""price"", TODAY()-30, TODAY()), 0, 2))"),758.2152173913042)</f>
        <v>758.2152174</v>
      </c>
      <c r="S656" s="9">
        <f>IFERROR(__xludf.DUMMYFUNCTION("AVERAGE(INDEX(GOOGLEFINANCE(A656, ""price"", TODAY()-75, TODAY()), 0, 2))"),770.3179245283021)</f>
        <v>770.3179245</v>
      </c>
      <c r="T656" s="9">
        <f>IFERROR(__xludf.DUMMYFUNCTION("AVERAGE(INDEX(GOOGLEFINANCE(A656, ""price"", TODAY()-300, TODAY()), 0, 2))"),818.6017326732667)</f>
        <v>818.6017327</v>
      </c>
      <c r="U656" s="9">
        <f t="shared" si="5"/>
        <v>0.06170382965</v>
      </c>
      <c r="V656" s="15">
        <f>IFERROR(__xludf.DUMMYFUNCTION("LET(hist, GOOGLEFINANCE(A656,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rs))))))"),79.32896259159276)</f>
        <v>79.32896259</v>
      </c>
      <c r="W656" s="16" t="str">
        <f>IFERROR(__xludf.DUMMYFUNCTION("IFERROR(GOOGLEFINANCE(A656, ""volume"") / GOOGLEFINANCE(A656, ""volumeavg""), )"),"")</f>
        <v/>
      </c>
      <c r="X656" s="9">
        <f>IFERROR(__xludf.DUMMYFUNCTION("B656 * GOOGLEFINANCE(A656, ""volume"")"),2.78529195E8)</f>
        <v>278529195</v>
      </c>
      <c r="Y656" s="9">
        <f>IFERROR(__xludf.DUMMYFUNCTION("IFERROR(((B656 - GOOGLEFINANCE(A656, ""priceopen"")) / GOOGLEFINANCE(A656, ""priceopen"")) * GOOGLEFINANCE(A656, ""volume""), 0)"),-4224.418737345868)</f>
        <v>-4224.418737</v>
      </c>
    </row>
    <row r="657">
      <c r="A657" s="4" t="s">
        <v>2450</v>
      </c>
      <c r="B657" s="7">
        <f>IFERROR(__xludf.DUMMYFUNCTION("GOOGLEFINANCE(A657, ""price"")"),96.95)</f>
        <v>96.95</v>
      </c>
      <c r="C657" s="7">
        <f>IFERROR(__xludf.DUMMYFUNCTION("GOOGLEFINANCE(A657, ""changepct"")"),1.18)</f>
        <v>1.18</v>
      </c>
      <c r="D657" s="9">
        <f>IFERROR(__xludf.DUMMYFUNCTION("GOOGLEFINANCE(A657, ""priceopen"")"),95.82)</f>
        <v>95.82</v>
      </c>
      <c r="E657" s="9">
        <f>IFERROR(__xludf.DUMMYFUNCTION("GOOGLEFINANCE(A657, ""high"")"),97.4)</f>
        <v>97.4</v>
      </c>
      <c r="F657" s="9">
        <f>IFERROR(__xludf.DUMMYFUNCTION("GOOGLEFINANCE(A657, ""low"")"),95.0)</f>
        <v>95</v>
      </c>
      <c r="G657" s="9">
        <f>IFERROR(__xludf.DUMMYFUNCTION("GOOGLEFINANCE(A657, ""price"")"),96.95)</f>
        <v>96.95</v>
      </c>
      <c r="H657" s="9">
        <f>IFERROR(__xludf.DUMMYFUNCTION("MAX(INDEX(GOOGLEFINANCE(A657, ""high"", TODAY()-30, TODAY()), 0, 2))"),103.0)</f>
        <v>103</v>
      </c>
      <c r="I657" s="9">
        <f>IFERROR(__xludf.DUMMYFUNCTION("MIN(INDEX(GOOGLEFINANCE(A657, ""low"", TODAY()-30, TODAY()), 0, 2))"),94.57)</f>
        <v>94.57</v>
      </c>
      <c r="J657" s="9">
        <f>IFERROR(__xludf.DUMMYFUNCTION("GOOGLEFINANCE(A657, ""high52"")"),136.95)</f>
        <v>136.95</v>
      </c>
      <c r="K657" s="9">
        <f>IFERROR(__xludf.DUMMYFUNCTION("GOOGLEFINANCE(A657, ""low52"")"),89.0)</f>
        <v>89</v>
      </c>
      <c r="L657" s="9">
        <f t="shared" si="1"/>
        <v>0.2920774005</v>
      </c>
      <c r="M657" s="9">
        <f t="shared" si="2"/>
        <v>0.0893258427</v>
      </c>
      <c r="N657" s="9">
        <f t="shared" si="3"/>
        <v>0.02526315789</v>
      </c>
      <c r="O657" s="9">
        <f t="shared" si="4"/>
        <v>0.2823250297</v>
      </c>
      <c r="P657" s="9">
        <f>IFERROR(__xludf.DUMMYFUNCTION("GOOGLEFINANCE(A657, ""pe"")"),12.38)</f>
        <v>12.38</v>
      </c>
      <c r="Q657" s="9">
        <f>IFERROR(__xludf.DUMMYFUNCTION("IFERROR(GOOGLEFINANCE(A657, ""volume"") / GOOGLEFINANCE(A657, ""volumeavg""), 0)"),0.0)</f>
        <v>0</v>
      </c>
      <c r="R657" s="9">
        <f>IFERROR(__xludf.DUMMYFUNCTION("AVERAGE(INDEX(GOOGLEFINANCE(A657, ""price"", TODAY()-30, TODAY()), 0, 2))"),97.85913043478261)</f>
        <v>97.85913043</v>
      </c>
      <c r="S657" s="9">
        <f>IFERROR(__xludf.DUMMYFUNCTION("AVERAGE(INDEX(GOOGLEFINANCE(A657, ""price"", TODAY()-75, TODAY()), 0, 2))"),100.90849056603767)</f>
        <v>100.9084906</v>
      </c>
      <c r="T657" s="9">
        <f>IFERROR(__xludf.DUMMYFUNCTION("AVERAGE(INDEX(GOOGLEFINANCE(A657, ""price"", TODAY()-300, TODAY()), 0, 2))"),108.01499999999996)</f>
        <v>108.015</v>
      </c>
      <c r="U657" s="9">
        <f t="shared" si="5"/>
        <v>-0.009290195312</v>
      </c>
      <c r="V657" s="15">
        <f>IFERROR(__xludf.DUMMYFUNCTION("LET(hist, GOOGLEFINANCE(A657,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rs))))))"),40.19736842105266)</f>
        <v>40.19736842</v>
      </c>
      <c r="W657" s="16" t="str">
        <f>IFERROR(__xludf.DUMMYFUNCTION("IFERROR(GOOGLEFINANCE(A657, ""volume"") / GOOGLEFINANCE(A657, ""volumeavg""), )"),"")</f>
        <v/>
      </c>
      <c r="X657" s="9">
        <f>IFERROR(__xludf.DUMMYFUNCTION("B657 * GOOGLEFINANCE(A657, ""volume"")"),6.6860985800000004E7)</f>
        <v>66860985.8</v>
      </c>
      <c r="Y657" s="9">
        <f>IFERROR(__xludf.DUMMYFUNCTION("IFERROR(((B657 - GOOGLEFINANCE(A657, ""priceopen"")) / GOOGLEFINANCE(A657, ""priceopen"")) * GOOGLEFINANCE(A657, ""volume""), 0)"),8132.933834272665)</f>
        <v>8132.933834</v>
      </c>
    </row>
    <row r="658">
      <c r="A658" s="4" t="s">
        <v>2451</v>
      </c>
      <c r="B658" s="7">
        <f>IFERROR(__xludf.DUMMYFUNCTION("GOOGLEFINANCE(A658, ""price"")"),1049.9)</f>
        <v>1049.9</v>
      </c>
      <c r="C658" s="7">
        <f>IFERROR(__xludf.DUMMYFUNCTION("GOOGLEFINANCE(A658, ""changepct"")"),-2.16)</f>
        <v>-2.16</v>
      </c>
      <c r="D658" s="9">
        <f>IFERROR(__xludf.DUMMYFUNCTION("GOOGLEFINANCE(A658, ""priceopen"")"),1077.0)</f>
        <v>1077</v>
      </c>
      <c r="E658" s="9">
        <f>IFERROR(__xludf.DUMMYFUNCTION("GOOGLEFINANCE(A658, ""high"")"),1085.0)</f>
        <v>1085</v>
      </c>
      <c r="F658" s="9">
        <f>IFERROR(__xludf.DUMMYFUNCTION("GOOGLEFINANCE(A658, ""low"")"),1044.0)</f>
        <v>1044</v>
      </c>
      <c r="G658" s="9">
        <f>IFERROR(__xludf.DUMMYFUNCTION("GOOGLEFINANCE(A658, ""price"")"),1049.9)</f>
        <v>1049.9</v>
      </c>
      <c r="H658" s="9">
        <f>IFERROR(__xludf.DUMMYFUNCTION("MAX(INDEX(GOOGLEFINANCE(A658, ""high"", TODAY()-30, TODAY()), 0, 2))"),1199.05)</f>
        <v>1199.05</v>
      </c>
      <c r="I658" s="9">
        <f>IFERROR(__xludf.DUMMYFUNCTION("MIN(INDEX(GOOGLEFINANCE(A658, ""low"", TODAY()-30, TODAY()), 0, 2))"),1044.0)</f>
        <v>1044</v>
      </c>
      <c r="J658" s="9">
        <f>IFERROR(__xludf.DUMMYFUNCTION("GOOGLEFINANCE(A658, ""high52"")"),1222.0)</f>
        <v>1222</v>
      </c>
      <c r="K658" s="9">
        <f>IFERROR(__xludf.DUMMYFUNCTION("GOOGLEFINANCE(A658, ""low52"")"),792.5)</f>
        <v>792.5</v>
      </c>
      <c r="L658" s="9">
        <f t="shared" si="1"/>
        <v>0.1408346972</v>
      </c>
      <c r="M658" s="9">
        <f t="shared" si="2"/>
        <v>0.3247949527</v>
      </c>
      <c r="N658" s="9">
        <f t="shared" si="3"/>
        <v>0.03927203065</v>
      </c>
      <c r="O658" s="9">
        <f t="shared" si="4"/>
        <v>0.03805224121</v>
      </c>
      <c r="P658" s="9">
        <f>IFERROR(__xludf.DUMMYFUNCTION("GOOGLEFINANCE(A658, ""pe"")"),22.85)</f>
        <v>22.85</v>
      </c>
      <c r="Q658" s="9">
        <f>IFERROR(__xludf.DUMMYFUNCTION("IFERROR(GOOGLEFINANCE(A658, ""volume"") / GOOGLEFINANCE(A658, ""volumeavg""), 0)"),0.0)</f>
        <v>0</v>
      </c>
      <c r="R658" s="9">
        <f>IFERROR(__xludf.DUMMYFUNCTION("AVERAGE(INDEX(GOOGLEFINANCE(A658, ""price"", TODAY()-30, TODAY()), 0, 2))"),1136.1499999999999)</f>
        <v>1136.15</v>
      </c>
      <c r="S658" s="9">
        <f>IFERROR(__xludf.DUMMYFUNCTION("AVERAGE(INDEX(GOOGLEFINANCE(A658, ""price"", TODAY()-75, TODAY()), 0, 2))"),1055.8688679245283)</f>
        <v>1055.868868</v>
      </c>
      <c r="T658" s="9">
        <f>IFERROR(__xludf.DUMMYFUNCTION("AVERAGE(INDEX(GOOGLEFINANCE(A658, ""price"", TODAY()-300, TODAY()), 0, 2))"),997.4730198019803)</f>
        <v>997.4730198</v>
      </c>
      <c r="U658" s="9">
        <f t="shared" si="5"/>
        <v>-0.07591427188</v>
      </c>
      <c r="V658" s="15">
        <f>IFERROR(__xludf.DUMMYFUNCTION("LET(hist, GOOGLEFINANCE(A658,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rs))))))"),25.53317535545027)</f>
        <v>25.53317536</v>
      </c>
      <c r="W658" s="16" t="str">
        <f>IFERROR(__xludf.DUMMYFUNCTION("IFERROR(GOOGLEFINANCE(A658, ""volume"") / GOOGLEFINANCE(A658, ""volumeavg""), )"),"")</f>
        <v/>
      </c>
      <c r="X658" s="9">
        <f>IFERROR(__xludf.DUMMYFUNCTION("B658 * GOOGLEFINANCE(A658, ""volume"")"),1.0888407910000001E8)</f>
        <v>108884079.1</v>
      </c>
      <c r="Y658" s="9">
        <f>IFERROR(__xludf.DUMMYFUNCTION("IFERROR(((B658 - GOOGLEFINANCE(A658, ""priceopen"")) / GOOGLEFINANCE(A658, ""priceopen"")) * GOOGLEFINANCE(A658, ""volume""), 0)"),-2609.5765088207895)</f>
        <v>-2609.576509</v>
      </c>
    </row>
    <row r="659">
      <c r="A659" s="4" t="s">
        <v>2452</v>
      </c>
      <c r="B659" s="7">
        <f>IFERROR(__xludf.DUMMYFUNCTION("GOOGLEFINANCE(A659, ""price"")"),2430.3)</f>
        <v>2430.3</v>
      </c>
      <c r="C659" s="7">
        <f>IFERROR(__xludf.DUMMYFUNCTION("GOOGLEFINANCE(A659, ""changepct"")"),1.14)</f>
        <v>1.14</v>
      </c>
      <c r="D659" s="9">
        <f>IFERROR(__xludf.DUMMYFUNCTION("GOOGLEFINANCE(A659, ""priceopen"")"),2411.0)</f>
        <v>2411</v>
      </c>
      <c r="E659" s="9">
        <f>IFERROR(__xludf.DUMMYFUNCTION("GOOGLEFINANCE(A659, ""high"")"),2478.0)</f>
        <v>2478</v>
      </c>
      <c r="F659" s="9">
        <f>IFERROR(__xludf.DUMMYFUNCTION("GOOGLEFINANCE(A659, ""low"")"),2408.6)</f>
        <v>2408.6</v>
      </c>
      <c r="G659" s="9">
        <f>IFERROR(__xludf.DUMMYFUNCTION("GOOGLEFINANCE(A659, ""price"")"),2430.3)</f>
        <v>2430.3</v>
      </c>
      <c r="H659" s="9">
        <f>IFERROR(__xludf.DUMMYFUNCTION("MAX(INDEX(GOOGLEFINANCE(A659, ""high"", TODAY()-30, TODAY()), 0, 2))"),2590.0)</f>
        <v>2590</v>
      </c>
      <c r="I659" s="9">
        <f>IFERROR(__xludf.DUMMYFUNCTION("MIN(INDEX(GOOGLEFINANCE(A659, ""low"", TODAY()-30, TODAY()), 0, 2))"),2104.0)</f>
        <v>2104</v>
      </c>
      <c r="J659" s="9">
        <f>IFERROR(__xludf.DUMMYFUNCTION("GOOGLEFINANCE(A659, ""high52"")"),2590.0)</f>
        <v>2590</v>
      </c>
      <c r="K659" s="9">
        <f>IFERROR(__xludf.DUMMYFUNCTION("GOOGLEFINANCE(A659, ""low52"")"),1152.2)</f>
        <v>1152.2</v>
      </c>
      <c r="L659" s="9">
        <f t="shared" si="1"/>
        <v>0.06166023166</v>
      </c>
      <c r="M659" s="9">
        <f t="shared" si="2"/>
        <v>1.109269224</v>
      </c>
      <c r="N659" s="9">
        <f t="shared" si="3"/>
        <v>0.02881341858</v>
      </c>
      <c r="O659" s="9">
        <f t="shared" si="4"/>
        <v>0.671399177</v>
      </c>
      <c r="P659" s="9">
        <f>IFERROR(__xludf.DUMMYFUNCTION("GOOGLEFINANCE(A659, ""pe"")"),37.34)</f>
        <v>37.34</v>
      </c>
      <c r="Q659" s="9">
        <f>IFERROR(__xludf.DUMMYFUNCTION("IFERROR(GOOGLEFINANCE(A659, ""volume"") / GOOGLEFINANCE(A659, ""volumeavg""), 0)"),0.0)</f>
        <v>0</v>
      </c>
      <c r="R659" s="9">
        <f>IFERROR(__xludf.DUMMYFUNCTION("AVERAGE(INDEX(GOOGLEFINANCE(A659, ""price"", TODAY()-30, TODAY()), 0, 2))"),2323.695652173913)</f>
        <v>2323.695652</v>
      </c>
      <c r="S659" s="9">
        <f>IFERROR(__xludf.DUMMYFUNCTION("AVERAGE(INDEX(GOOGLEFINANCE(A659, ""price"", TODAY()-75, TODAY()), 0, 2))"),2221.033962264151)</f>
        <v>2221.033962</v>
      </c>
      <c r="T659" s="9">
        <f>IFERROR(__xludf.DUMMYFUNCTION("AVERAGE(INDEX(GOOGLEFINANCE(A659, ""price"", TODAY()-300, TODAY()), 0, 2))"),1853.235643564357)</f>
        <v>1853.235644</v>
      </c>
      <c r="U659" s="9">
        <f t="shared" si="5"/>
        <v>0.04587706988</v>
      </c>
      <c r="V659" s="15">
        <f>IFERROR(__xludf.DUMMYFUNCTION("LET(hist, GOOGLEFINANCE(A659,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rs))))))"),61.53956012567838)</f>
        <v>61.53956013</v>
      </c>
      <c r="W659" s="16" t="str">
        <f>IFERROR(__xludf.DUMMYFUNCTION("IFERROR(GOOGLEFINANCE(A659, ""volume"") / GOOGLEFINANCE(A659, ""volumeavg""), )"),"")</f>
        <v/>
      </c>
      <c r="X659" s="9">
        <f>IFERROR(__xludf.DUMMYFUNCTION("B659 * GOOGLEFINANCE(A659, ""volume"")"),3.698065995E8)</f>
        <v>369806599.5</v>
      </c>
      <c r="Y659" s="9">
        <f>IFERROR(__xludf.DUMMYFUNCTION("IFERROR(((B659 - GOOGLEFINANCE(A659, ""priceopen"")) / GOOGLEFINANCE(A659, ""priceopen"")) * GOOGLEFINANCE(A659, ""volume""), 0)"),1218.0773537951172)</f>
        <v>1218.077354</v>
      </c>
    </row>
    <row r="660">
      <c r="A660" s="4" t="s">
        <v>2453</v>
      </c>
      <c r="B660" s="7">
        <f>IFERROR(__xludf.DUMMYFUNCTION("GOOGLEFINANCE(A660, ""price"")"),3244.0)</f>
        <v>3244</v>
      </c>
      <c r="C660" s="7">
        <f>IFERROR(__xludf.DUMMYFUNCTION("GOOGLEFINANCE(A660, ""changepct"")"),-1.79)</f>
        <v>-1.79</v>
      </c>
      <c r="D660" s="9">
        <f>IFERROR(__xludf.DUMMYFUNCTION("GOOGLEFINANCE(A660, ""priceopen"")"),3304.5)</f>
        <v>3304.5</v>
      </c>
      <c r="E660" s="9">
        <f>IFERROR(__xludf.DUMMYFUNCTION("GOOGLEFINANCE(A660, ""high"")"),3305.4)</f>
        <v>3305.4</v>
      </c>
      <c r="F660" s="9">
        <f>IFERROR(__xludf.DUMMYFUNCTION("GOOGLEFINANCE(A660, ""low"")"),3232.0)</f>
        <v>3232</v>
      </c>
      <c r="G660" s="9">
        <f>IFERROR(__xludf.DUMMYFUNCTION("GOOGLEFINANCE(A660, ""price"")"),3244.0)</f>
        <v>3244</v>
      </c>
      <c r="H660" s="9">
        <f>IFERROR(__xludf.DUMMYFUNCTION("MAX(INDEX(GOOGLEFINANCE(A660, ""high"", TODAY()-30, TODAY()), 0, 2))"),3450.0)</f>
        <v>3450</v>
      </c>
      <c r="I660" s="9">
        <f>IFERROR(__xludf.DUMMYFUNCTION("MIN(INDEX(GOOGLEFINANCE(A660, ""low"", TODAY()-30, TODAY()), 0, 2))"),3232.0)</f>
        <v>3232</v>
      </c>
      <c r="J660" s="9">
        <f>IFERROR(__xludf.DUMMYFUNCTION("GOOGLEFINANCE(A660, ""high52"")"),5291.0)</f>
        <v>5291</v>
      </c>
      <c r="K660" s="9">
        <f>IFERROR(__xludf.DUMMYFUNCTION("GOOGLEFINANCE(A660, ""low52"")"),3054.0)</f>
        <v>3054</v>
      </c>
      <c r="L660" s="9">
        <f t="shared" si="1"/>
        <v>0.3868833869</v>
      </c>
      <c r="M660" s="9">
        <f t="shared" si="2"/>
        <v>0.0622134905</v>
      </c>
      <c r="N660" s="9">
        <f t="shared" si="3"/>
        <v>0.02271039604</v>
      </c>
      <c r="O660" s="9">
        <f t="shared" si="4"/>
        <v>0.05504587156</v>
      </c>
      <c r="P660" s="9">
        <f>IFERROR(__xludf.DUMMYFUNCTION("GOOGLEFINANCE(A660, ""pe"")"),23.07)</f>
        <v>23.07</v>
      </c>
      <c r="Q660" s="9">
        <f>IFERROR(__xludf.DUMMYFUNCTION("IFERROR(GOOGLEFINANCE(A660, ""volume"") / GOOGLEFINANCE(A660, ""volumeavg""), 0)"),0.0)</f>
        <v>0</v>
      </c>
      <c r="R660" s="9">
        <f>IFERROR(__xludf.DUMMYFUNCTION("AVERAGE(INDEX(GOOGLEFINANCE(A660, ""price"", TODAY()-30, TODAY()), 0, 2))"),3364.84347826087)</f>
        <v>3364.843478</v>
      </c>
      <c r="S660" s="9">
        <f>IFERROR(__xludf.DUMMYFUNCTION("AVERAGE(INDEX(GOOGLEFINANCE(A660, ""price"", TODAY()-75, TODAY()), 0, 2))"),3327.545283018867)</f>
        <v>3327.545283</v>
      </c>
      <c r="T660" s="9">
        <f>IFERROR(__xludf.DUMMYFUNCTION("AVERAGE(INDEX(GOOGLEFINANCE(A660, ""price"", TODAY()-300, TODAY()), 0, 2))"),3785.3797029702955)</f>
        <v>3785.379703</v>
      </c>
      <c r="U660" s="9">
        <f t="shared" si="5"/>
        <v>-0.03591355112</v>
      </c>
      <c r="V660" s="15">
        <f>IFERROR(__xludf.DUMMYFUNCTION("LET(hist, GOOGLEFINANCE(A660,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rs))))))"),33.79918297140401)</f>
        <v>33.79918297</v>
      </c>
      <c r="W660" s="16" t="str">
        <f>IFERROR(__xludf.DUMMYFUNCTION("IFERROR(GOOGLEFINANCE(A660, ""volume"") / GOOGLEFINANCE(A660, ""volumeavg""), )"),"")</f>
        <v/>
      </c>
      <c r="X660" s="9">
        <f>IFERROR(__xludf.DUMMYFUNCTION("B660 * GOOGLEFINANCE(A660, ""volume"")"),6.7627668E7)</f>
        <v>67627668</v>
      </c>
      <c r="Y660" s="9">
        <f>IFERROR(__xludf.DUMMYFUNCTION("IFERROR(((B660 - GOOGLEFINANCE(A660, ""priceopen"")) / GOOGLEFINANCE(A660, ""priceopen"")) * GOOGLEFINANCE(A660, ""volume""), 0)"),-381.6745347253745)</f>
        <v>-381.6745347</v>
      </c>
    </row>
    <row r="661">
      <c r="A661" s="4" t="s">
        <v>2454</v>
      </c>
      <c r="B661" s="7">
        <f>IFERROR(__xludf.DUMMYFUNCTION("GOOGLEFINANCE(A661, ""price"")"),550.9)</f>
        <v>550.9</v>
      </c>
      <c r="C661" s="7">
        <f>IFERROR(__xludf.DUMMYFUNCTION("GOOGLEFINANCE(A661, ""changepct"")"),-0.74)</f>
        <v>-0.74</v>
      </c>
      <c r="D661" s="9">
        <f>IFERROR(__xludf.DUMMYFUNCTION("GOOGLEFINANCE(A661, ""priceopen"")"),554.85)</f>
        <v>554.85</v>
      </c>
      <c r="E661" s="9">
        <f>IFERROR(__xludf.DUMMYFUNCTION("GOOGLEFINANCE(A661, ""high"")"),556.6)</f>
        <v>556.6</v>
      </c>
      <c r="F661" s="9">
        <f>IFERROR(__xludf.DUMMYFUNCTION("GOOGLEFINANCE(A661, ""low"")"),543.7)</f>
        <v>543.7</v>
      </c>
      <c r="G661" s="9">
        <f>IFERROR(__xludf.DUMMYFUNCTION("GOOGLEFINANCE(A661, ""price"")"),550.9)</f>
        <v>550.9</v>
      </c>
      <c r="H661" s="9">
        <f>IFERROR(__xludf.DUMMYFUNCTION("MAX(INDEX(GOOGLEFINANCE(A661, ""high"", TODAY()-30, TODAY()), 0, 2))"),598.05)</f>
        <v>598.05</v>
      </c>
      <c r="I661" s="9">
        <f>IFERROR(__xludf.DUMMYFUNCTION("MIN(INDEX(GOOGLEFINANCE(A661, ""low"", TODAY()-30, TODAY()), 0, 2))"),543.7)</f>
        <v>543.7</v>
      </c>
      <c r="J661" s="9">
        <f>IFERROR(__xludf.DUMMYFUNCTION("GOOGLEFINANCE(A661, ""high52"")"),760.0)</f>
        <v>760</v>
      </c>
      <c r="K661" s="9">
        <f>IFERROR(__xludf.DUMMYFUNCTION("GOOGLEFINANCE(A661, ""low52"")"),533.25)</f>
        <v>533.25</v>
      </c>
      <c r="L661" s="9">
        <f t="shared" si="1"/>
        <v>0.2751315789</v>
      </c>
      <c r="M661" s="9">
        <f t="shared" si="2"/>
        <v>0.03309892171</v>
      </c>
      <c r="N661" s="9">
        <f t="shared" si="3"/>
        <v>0.02372631966</v>
      </c>
      <c r="O661" s="9">
        <f t="shared" si="4"/>
        <v>0.132474701</v>
      </c>
      <c r="P661" s="9">
        <f>IFERROR(__xludf.DUMMYFUNCTION("GOOGLEFINANCE(A661, ""pe"")"),25.68)</f>
        <v>25.68</v>
      </c>
      <c r="Q661" s="9">
        <f>IFERROR(__xludf.DUMMYFUNCTION("IFERROR(GOOGLEFINANCE(A661, ""volume"") / GOOGLEFINANCE(A661, ""volumeavg""), 0)"),0.0)</f>
        <v>0</v>
      </c>
      <c r="R661" s="9">
        <f>IFERROR(__xludf.DUMMYFUNCTION("AVERAGE(INDEX(GOOGLEFINANCE(A661, ""price"", TODAY()-30, TODAY()), 0, 2))"),570.9152173913043)</f>
        <v>570.9152174</v>
      </c>
      <c r="S661" s="9">
        <f>IFERROR(__xludf.DUMMYFUNCTION("AVERAGE(INDEX(GOOGLEFINANCE(A661, ""price"", TODAY()-75, TODAY()), 0, 2))"),595.2198113207545)</f>
        <v>595.2198113</v>
      </c>
      <c r="T661" s="9">
        <f>IFERROR(__xludf.DUMMYFUNCTION("AVERAGE(INDEX(GOOGLEFINANCE(A661, ""price"", TODAY()-300, TODAY()), 0, 2))"),607.4034391534394)</f>
        <v>607.4034392</v>
      </c>
      <c r="U661" s="9">
        <f t="shared" si="5"/>
        <v>-0.03505812559</v>
      </c>
      <c r="V661" s="15">
        <f>IFERROR(__xludf.DUMMYFUNCTION("LET(hist, GOOGLEFINANCE(A661,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rs))))))"),45.668449197860944)</f>
        <v>45.6684492</v>
      </c>
      <c r="W661" s="16" t="str">
        <f>IFERROR(__xludf.DUMMYFUNCTION("IFERROR(GOOGLEFINANCE(A661, ""volume"") / GOOGLEFINANCE(A661, ""volumeavg""), )"),"")</f>
        <v/>
      </c>
      <c r="X661" s="9">
        <f>IFERROR(__xludf.DUMMYFUNCTION("B661 * GOOGLEFINANCE(A661, ""volume"")"),6.712771589999999E7)</f>
        <v>67127715.9</v>
      </c>
      <c r="Y661" s="9">
        <f>IFERROR(__xludf.DUMMYFUNCTION("IFERROR(((B661 - GOOGLEFINANCE(A661, ""priceopen"")) / GOOGLEFINANCE(A661, ""priceopen"")) * GOOGLEFINANCE(A661, ""volume""), 0)"),-867.4622871046329)</f>
        <v>-867.4622871</v>
      </c>
    </row>
    <row r="662">
      <c r="A662" s="4" t="s">
        <v>2455</v>
      </c>
      <c r="B662" s="7">
        <f>IFERROR(__xludf.DUMMYFUNCTION("GOOGLEFINANCE(A662, ""price"")"),1477.0)</f>
        <v>1477</v>
      </c>
      <c r="C662" s="7">
        <f>IFERROR(__xludf.DUMMYFUNCTION("GOOGLEFINANCE(A662, ""changepct"")"),-1.55)</f>
        <v>-1.55</v>
      </c>
      <c r="D662" s="9">
        <f>IFERROR(__xludf.DUMMYFUNCTION("GOOGLEFINANCE(A662, ""priceopen"")"),1502.0)</f>
        <v>1502</v>
      </c>
      <c r="E662" s="9">
        <f>IFERROR(__xludf.DUMMYFUNCTION("GOOGLEFINANCE(A662, ""high"")"),1507.0)</f>
        <v>1507</v>
      </c>
      <c r="F662" s="9">
        <f>IFERROR(__xludf.DUMMYFUNCTION("GOOGLEFINANCE(A662, ""low"")"),1476.8)</f>
        <v>1476.8</v>
      </c>
      <c r="G662" s="9">
        <f>IFERROR(__xludf.DUMMYFUNCTION("GOOGLEFINANCE(A662, ""price"")"),1477.0)</f>
        <v>1477</v>
      </c>
      <c r="H662" s="9">
        <f>IFERROR(__xludf.DUMMYFUNCTION("MAX(INDEX(GOOGLEFINANCE(A662, ""high"", TODAY()-30, TODAY()), 0, 2))"),1696.0)</f>
        <v>1696</v>
      </c>
      <c r="I662" s="9">
        <f>IFERROR(__xludf.DUMMYFUNCTION("MIN(INDEX(GOOGLEFINANCE(A662, ""low"", TODAY()-30, TODAY()), 0, 2))"),1475.1)</f>
        <v>1475.1</v>
      </c>
      <c r="J662" s="9">
        <f>IFERROR(__xludf.DUMMYFUNCTION("GOOGLEFINANCE(A662, ""high52"")"),2507.1)</f>
        <v>2507.1</v>
      </c>
      <c r="K662" s="9">
        <f>IFERROR(__xludf.DUMMYFUNCTION("GOOGLEFINANCE(A662, ""low52"")"),1363.1)</f>
        <v>1363.1</v>
      </c>
      <c r="L662" s="9">
        <f t="shared" si="1"/>
        <v>0.4108731203</v>
      </c>
      <c r="M662" s="9">
        <f t="shared" si="2"/>
        <v>0.08355953342</v>
      </c>
      <c r="N662" s="9">
        <f t="shared" si="3"/>
        <v>0.0204496208</v>
      </c>
      <c r="O662" s="9">
        <f t="shared" si="4"/>
        <v>0.008601177003</v>
      </c>
      <c r="P662" s="9">
        <f>IFERROR(__xludf.DUMMYFUNCTION("GOOGLEFINANCE(A662, ""pe"")"),43.89)</f>
        <v>43.89</v>
      </c>
      <c r="Q662" s="9">
        <f>IFERROR(__xludf.DUMMYFUNCTION("IFERROR(GOOGLEFINANCE(A662, ""volume"") / GOOGLEFINANCE(A662, ""volumeavg""), 0)"),0.0)</f>
        <v>0</v>
      </c>
      <c r="R662" s="9">
        <f>IFERROR(__xludf.DUMMYFUNCTION("AVERAGE(INDEX(GOOGLEFINANCE(A662, ""price"", TODAY()-30, TODAY()), 0, 2))"),1568.852173913043)</f>
        <v>1568.852174</v>
      </c>
      <c r="S662" s="9">
        <f>IFERROR(__xludf.DUMMYFUNCTION("AVERAGE(INDEX(GOOGLEFINANCE(A662, ""price"", TODAY()-75, TODAY()), 0, 2))"),1588.7452830188686)</f>
        <v>1588.745283</v>
      </c>
      <c r="T662" s="9">
        <f>IFERROR(__xludf.DUMMYFUNCTION("AVERAGE(INDEX(GOOGLEFINANCE(A662, ""price"", TODAY()-300, TODAY()), 0, 2))"),1821.3123762376224)</f>
        <v>1821.312376</v>
      </c>
      <c r="U662" s="9">
        <f t="shared" si="5"/>
        <v>-0.05854737332</v>
      </c>
      <c r="V662" s="15">
        <f>IFERROR(__xludf.DUMMYFUNCTION("LET(hist, GOOGLEFINANCE(A662,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rs))))))"),38.458927359131025)</f>
        <v>38.45892736</v>
      </c>
      <c r="W662" s="16" t="str">
        <f>IFERROR(__xludf.DUMMYFUNCTION("IFERROR(GOOGLEFINANCE(A662, ""volume"") / GOOGLEFINANCE(A662, ""volumeavg""), )"),"")</f>
        <v/>
      </c>
      <c r="X662" s="9">
        <f>IFERROR(__xludf.DUMMYFUNCTION("B662 * GOOGLEFINANCE(A662, ""volume"")"),3.8647182E7)</f>
        <v>38647182</v>
      </c>
      <c r="Y662" s="9">
        <f>IFERROR(__xludf.DUMMYFUNCTION("IFERROR(((B662 - GOOGLEFINANCE(A662, ""priceopen"")) / GOOGLEFINANCE(A662, ""priceopen"")) * GOOGLEFINANCE(A662, ""volume""), 0)"),-435.5193075898802)</f>
        <v>-435.5193076</v>
      </c>
    </row>
    <row r="663">
      <c r="A663" s="4" t="s">
        <v>2456</v>
      </c>
      <c r="B663" s="7">
        <f>IFERROR(__xludf.DUMMYFUNCTION("GOOGLEFINANCE(A663, ""price"")"),377.15)</f>
        <v>377.15</v>
      </c>
      <c r="C663" s="7">
        <f>IFERROR(__xludf.DUMMYFUNCTION("GOOGLEFINANCE(A663, ""changepct"")"),-0.38)</f>
        <v>-0.38</v>
      </c>
      <c r="D663" s="9">
        <f>IFERROR(__xludf.DUMMYFUNCTION("GOOGLEFINANCE(A663, ""priceopen"")"),382.35)</f>
        <v>382.35</v>
      </c>
      <c r="E663" s="9">
        <f>IFERROR(__xludf.DUMMYFUNCTION("GOOGLEFINANCE(A663, ""high"")"),382.35)</f>
        <v>382.35</v>
      </c>
      <c r="F663" s="9">
        <f>IFERROR(__xludf.DUMMYFUNCTION("GOOGLEFINANCE(A663, ""low"")"),366.5)</f>
        <v>366.5</v>
      </c>
      <c r="G663" s="9">
        <f>IFERROR(__xludf.DUMMYFUNCTION("GOOGLEFINANCE(A663, ""price"")"),377.15)</f>
        <v>377.15</v>
      </c>
      <c r="H663" s="9">
        <f>IFERROR(__xludf.DUMMYFUNCTION("MAX(INDEX(GOOGLEFINANCE(A663, ""high"", TODAY()-30, TODAY()), 0, 2))"),408.8)</f>
        <v>408.8</v>
      </c>
      <c r="I663" s="9">
        <f>IFERROR(__xludf.DUMMYFUNCTION("MIN(INDEX(GOOGLEFINANCE(A663, ""low"", TODAY()-30, TODAY()), 0, 2))"),336.6)</f>
        <v>336.6</v>
      </c>
      <c r="J663" s="9">
        <f>IFERROR(__xludf.DUMMYFUNCTION("GOOGLEFINANCE(A663, ""high52"")"),673.8)</f>
        <v>673.8</v>
      </c>
      <c r="K663" s="9">
        <f>IFERROR(__xludf.DUMMYFUNCTION("GOOGLEFINANCE(A663, ""low52"")"),336.6)</f>
        <v>336.6</v>
      </c>
      <c r="L663" s="9">
        <f t="shared" si="1"/>
        <v>0.4402641733</v>
      </c>
      <c r="M663" s="9">
        <f t="shared" si="2"/>
        <v>0.1204693999</v>
      </c>
      <c r="N663" s="9">
        <f t="shared" si="3"/>
        <v>0.04324693042</v>
      </c>
      <c r="O663" s="9">
        <f t="shared" si="4"/>
        <v>0.561634349</v>
      </c>
      <c r="P663" s="9">
        <f>IFERROR(__xludf.DUMMYFUNCTION("GOOGLEFINANCE(A663, ""pe"")"),27.39)</f>
        <v>27.39</v>
      </c>
      <c r="Q663" s="9">
        <f>IFERROR(__xludf.DUMMYFUNCTION("IFERROR(GOOGLEFINANCE(A663, ""volume"") / GOOGLEFINANCE(A663, ""volumeavg""), 0)"),0.0)</f>
        <v>0</v>
      </c>
      <c r="R663" s="9">
        <f>IFERROR(__xludf.DUMMYFUNCTION("AVERAGE(INDEX(GOOGLEFINANCE(A663, ""price"", TODAY()-30, TODAY()), 0, 2))"),359.33478260869566)</f>
        <v>359.3347826</v>
      </c>
      <c r="S663" s="9">
        <f>IFERROR(__xludf.DUMMYFUNCTION("AVERAGE(INDEX(GOOGLEFINANCE(A663, ""price"", TODAY()-75, TODAY()), 0, 2))"),369.16037735849056)</f>
        <v>369.1603774</v>
      </c>
      <c r="T663" s="9">
        <f>IFERROR(__xludf.DUMMYFUNCTION("AVERAGE(INDEX(GOOGLEFINANCE(A663, ""price"", TODAY()-300, TODAY()), 0, 2))"),462.50371287128735)</f>
        <v>462.5037129</v>
      </c>
      <c r="U663" s="9">
        <f t="shared" si="5"/>
        <v>0.0495783271</v>
      </c>
      <c r="V663" s="15">
        <f>IFERROR(__xludf.DUMMYFUNCTION("LET(hist, GOOGLEFINANCE(A663,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rs))))))"),63.13993174061431)</f>
        <v>63.13993174</v>
      </c>
      <c r="W663" s="16" t="str">
        <f>IFERROR(__xludf.DUMMYFUNCTION("IFERROR(GOOGLEFINANCE(A663, ""volume"") / GOOGLEFINANCE(A663, ""volumeavg""), )"),"")</f>
        <v/>
      </c>
      <c r="X663" s="9">
        <f>IFERROR(__xludf.DUMMYFUNCTION("B663 * GOOGLEFINANCE(A663, ""volume"")"),2.28077691E8)</f>
        <v>228077691</v>
      </c>
      <c r="Y663" s="9">
        <f>IFERROR(__xludf.DUMMYFUNCTION("IFERROR(((B663 - GOOGLEFINANCE(A663, ""priceopen"")) / GOOGLEFINANCE(A663, ""priceopen"")) * GOOGLEFINANCE(A663, ""volume""), 0)"),-8224.52726559442)</f>
        <v>-8224.527266</v>
      </c>
    </row>
    <row r="664">
      <c r="A664" s="4" t="s">
        <v>2457</v>
      </c>
      <c r="B664" s="7">
        <f>IFERROR(__xludf.DUMMYFUNCTION("GOOGLEFINANCE(A664, ""price"")"),610.05)</f>
        <v>610.05</v>
      </c>
      <c r="C664" s="7">
        <f>IFERROR(__xludf.DUMMYFUNCTION("GOOGLEFINANCE(A664, ""changepct"")"),2.53)</f>
        <v>2.53</v>
      </c>
      <c r="D664" s="9">
        <f>IFERROR(__xludf.DUMMYFUNCTION("GOOGLEFINANCE(A664, ""priceopen"")"),597.75)</f>
        <v>597.75</v>
      </c>
      <c r="E664" s="9">
        <f>IFERROR(__xludf.DUMMYFUNCTION("GOOGLEFINANCE(A664, ""high"")"),612.05)</f>
        <v>612.05</v>
      </c>
      <c r="F664" s="9">
        <f>IFERROR(__xludf.DUMMYFUNCTION("GOOGLEFINANCE(A664, ""low"")"),592.9)</f>
        <v>592.9</v>
      </c>
      <c r="G664" s="9">
        <f>IFERROR(__xludf.DUMMYFUNCTION("GOOGLEFINANCE(A664, ""price"")"),610.05)</f>
        <v>610.05</v>
      </c>
      <c r="H664" s="9">
        <f>IFERROR(__xludf.DUMMYFUNCTION("MAX(INDEX(GOOGLEFINANCE(A664, ""high"", TODAY()-30, TODAY()), 0, 2))"),617.9)</f>
        <v>617.9</v>
      </c>
      <c r="I664" s="9">
        <f>IFERROR(__xludf.DUMMYFUNCTION("MIN(INDEX(GOOGLEFINANCE(A664, ""low"", TODAY()-30, TODAY()), 0, 2))"),557.2)</f>
        <v>557.2</v>
      </c>
      <c r="J664" s="9">
        <f>IFERROR(__xludf.DUMMYFUNCTION("GOOGLEFINANCE(A664, ""high52"")"),698.0)</f>
        <v>698</v>
      </c>
      <c r="K664" s="9">
        <f>IFERROR(__xludf.DUMMYFUNCTION("GOOGLEFINANCE(A664, ""low52"")"),500.7)</f>
        <v>500.7</v>
      </c>
      <c r="L664" s="9">
        <f t="shared" si="1"/>
        <v>0.1260028653</v>
      </c>
      <c r="M664" s="9">
        <f t="shared" si="2"/>
        <v>0.2183942481</v>
      </c>
      <c r="N664" s="9">
        <f t="shared" si="3"/>
        <v>0.03229886996</v>
      </c>
      <c r="O664" s="9">
        <f t="shared" si="4"/>
        <v>0.870675453</v>
      </c>
      <c r="P664" s="9">
        <f>IFERROR(__xludf.DUMMYFUNCTION("GOOGLEFINANCE(A664, ""pe"")"),11.09)</f>
        <v>11.09</v>
      </c>
      <c r="Q664" s="9">
        <f>IFERROR(__xludf.DUMMYFUNCTION("IFERROR(GOOGLEFINANCE(A664, ""volume"") / GOOGLEFINANCE(A664, ""volumeavg""), 0)"),0.0)</f>
        <v>0</v>
      </c>
      <c r="R664" s="9">
        <f>IFERROR(__xludf.DUMMYFUNCTION("AVERAGE(INDEX(GOOGLEFINANCE(A664, ""price"", TODAY()-30, TODAY()), 0, 2))"),582.7739130434784)</f>
        <v>582.773913</v>
      </c>
      <c r="S664" s="9">
        <f>IFERROR(__xludf.DUMMYFUNCTION("AVERAGE(INDEX(GOOGLEFINANCE(A664, ""price"", TODAY()-75, TODAY()), 0, 2))"),600.7066037735847)</f>
        <v>600.7066038</v>
      </c>
      <c r="T664" s="9">
        <f>IFERROR(__xludf.DUMMYFUNCTION("AVERAGE(INDEX(GOOGLEFINANCE(A664, ""price"", TODAY()-300, TODAY()), 0, 2))"),580.5801980198022)</f>
        <v>580.580198</v>
      </c>
      <c r="U664" s="9">
        <f t="shared" si="5"/>
        <v>0.04680389143</v>
      </c>
      <c r="V664" s="15">
        <f>IFERROR(__xludf.DUMMYFUNCTION("LET(hist, GOOGLEFINANCE(A664,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rs))))))"),70.52631578947367)</f>
        <v>70.52631579</v>
      </c>
      <c r="W664" s="16" t="str">
        <f>IFERROR(__xludf.DUMMYFUNCTION("IFERROR(GOOGLEFINANCE(A664, ""volume"") / GOOGLEFINANCE(A664, ""volumeavg""), )"),"")</f>
        <v/>
      </c>
      <c r="X664" s="9">
        <f>IFERROR(__xludf.DUMMYFUNCTION("B664 * GOOGLEFINANCE(A664, ""volume"")"),7.23226476E7)</f>
        <v>72322647.6</v>
      </c>
      <c r="Y664" s="9">
        <f>IFERROR(__xludf.DUMMYFUNCTION("IFERROR(((B664 - GOOGLEFINANCE(A664, ""priceopen"")) / GOOGLEFINANCE(A664, ""priceopen"")) * GOOGLEFINANCE(A664, ""volume""), 0)"),2439.46398996235)</f>
        <v>2439.46399</v>
      </c>
    </row>
    <row r="665">
      <c r="A665" s="4" t="s">
        <v>2458</v>
      </c>
      <c r="B665" s="7">
        <f>IFERROR(__xludf.DUMMYFUNCTION("GOOGLEFINANCE(A665, ""price"")"),1036.0)</f>
        <v>1036</v>
      </c>
      <c r="C665" s="7">
        <f>IFERROR(__xludf.DUMMYFUNCTION("GOOGLEFINANCE(A665, ""changepct"")"),-1.17)</f>
        <v>-1.17</v>
      </c>
      <c r="D665" s="9">
        <f>IFERROR(__xludf.DUMMYFUNCTION("GOOGLEFINANCE(A665, ""priceopen"")"),1050.0)</f>
        <v>1050</v>
      </c>
      <c r="E665" s="9">
        <f>IFERROR(__xludf.DUMMYFUNCTION("GOOGLEFINANCE(A665, ""high"")"),1060.0)</f>
        <v>1060</v>
      </c>
      <c r="F665" s="9">
        <f>IFERROR(__xludf.DUMMYFUNCTION("GOOGLEFINANCE(A665, ""low"")"),1034.0)</f>
        <v>1034</v>
      </c>
      <c r="G665" s="9">
        <f>IFERROR(__xludf.DUMMYFUNCTION("GOOGLEFINANCE(A665, ""price"")"),1036.0)</f>
        <v>1036</v>
      </c>
      <c r="H665" s="9">
        <f>IFERROR(__xludf.DUMMYFUNCTION("MAX(INDEX(GOOGLEFINANCE(A665, ""high"", TODAY()-30, TODAY()), 0, 2))"),1108.0)</f>
        <v>1108</v>
      </c>
      <c r="I665" s="9">
        <f>IFERROR(__xludf.DUMMYFUNCTION("MIN(INDEX(GOOGLEFINANCE(A665, ""low"", TODAY()-30, TODAY()), 0, 2))"),1001.6)</f>
        <v>1001.6</v>
      </c>
      <c r="J665" s="9">
        <f>IFERROR(__xludf.DUMMYFUNCTION("GOOGLEFINANCE(A665, ""high52"")"),1638.9)</f>
        <v>1638.9</v>
      </c>
      <c r="K665" s="9">
        <f>IFERROR(__xludf.DUMMYFUNCTION("GOOGLEFINANCE(A665, ""low52"")"),996.0)</f>
        <v>996</v>
      </c>
      <c r="L665" s="9">
        <f t="shared" si="1"/>
        <v>0.3678686924</v>
      </c>
      <c r="M665" s="9">
        <f t="shared" si="2"/>
        <v>0.04016064257</v>
      </c>
      <c r="N665" s="9">
        <f t="shared" si="3"/>
        <v>0.0251450677</v>
      </c>
      <c r="O665" s="9">
        <f t="shared" si="4"/>
        <v>0.3233082707</v>
      </c>
      <c r="P665" s="9">
        <f>IFERROR(__xludf.DUMMYFUNCTION("GOOGLEFINANCE(A665, ""pe"")"),17.52)</f>
        <v>17.52</v>
      </c>
      <c r="Q665" s="9">
        <f>IFERROR(__xludf.DUMMYFUNCTION("IFERROR(GOOGLEFINANCE(A665, ""volume"") / GOOGLEFINANCE(A665, ""volumeavg""), 0)"),0.0)</f>
        <v>0</v>
      </c>
      <c r="R665" s="9">
        <f>IFERROR(__xludf.DUMMYFUNCTION("AVERAGE(INDEX(GOOGLEFINANCE(A665, ""price"", TODAY()-30, TODAY()), 0, 2))"),1063.1782608695653)</f>
        <v>1063.178261</v>
      </c>
      <c r="S665" s="9">
        <f>IFERROR(__xludf.DUMMYFUNCTION("AVERAGE(INDEX(GOOGLEFINANCE(A665, ""price"", TODAY()-75, TODAY()), 0, 2))"),1092.3754716981132)</f>
        <v>1092.375472</v>
      </c>
      <c r="T665" s="9">
        <f>IFERROR(__xludf.DUMMYFUNCTION("AVERAGE(INDEX(GOOGLEFINANCE(A665, ""price"", TODAY()-300, TODAY()), 0, 2))"),1172.736633663366)</f>
        <v>1172.736634</v>
      </c>
      <c r="U665" s="9">
        <f t="shared" si="5"/>
        <v>-0.02556322102</v>
      </c>
      <c r="V665" s="15">
        <f>IFERROR(__xludf.DUMMYFUNCTION("LET(hist, GOOGLEFINANCE(A665,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rs))))))"),48.48632812500005)</f>
        <v>48.48632813</v>
      </c>
      <c r="W665" s="16" t="str">
        <f>IFERROR(__xludf.DUMMYFUNCTION("IFERROR(GOOGLEFINANCE(A665, ""volume"") / GOOGLEFINANCE(A665, ""volumeavg""), )"),"")</f>
        <v/>
      </c>
      <c r="X665" s="9">
        <f>IFERROR(__xludf.DUMMYFUNCTION("B665 * GOOGLEFINANCE(A665, ""volume"")"),3.257702E7)</f>
        <v>32577020</v>
      </c>
      <c r="Y665" s="9">
        <f>IFERROR(__xludf.DUMMYFUNCTION("IFERROR(((B665 - GOOGLEFINANCE(A665, ""priceopen"")) / GOOGLEFINANCE(A665, ""priceopen"")) * GOOGLEFINANCE(A665, ""volume""), 0)"),-419.2666666666667)</f>
        <v>-419.2666667</v>
      </c>
    </row>
    <row r="666">
      <c r="A666" s="4" t="s">
        <v>2459</v>
      </c>
      <c r="B666" s="7">
        <f>IFERROR(__xludf.DUMMYFUNCTION("GOOGLEFINANCE(A666, ""price"")"),209.9)</f>
        <v>209.9</v>
      </c>
      <c r="C666" s="7">
        <f>IFERROR(__xludf.DUMMYFUNCTION("GOOGLEFINANCE(A666, ""changepct"")"),3.44)</f>
        <v>3.44</v>
      </c>
      <c r="D666" s="9">
        <f>IFERROR(__xludf.DUMMYFUNCTION("GOOGLEFINANCE(A666, ""priceopen"")"),203.7)</f>
        <v>203.7</v>
      </c>
      <c r="E666" s="9">
        <f>IFERROR(__xludf.DUMMYFUNCTION("GOOGLEFINANCE(A666, ""high"")"),211.29)</f>
        <v>211.29</v>
      </c>
      <c r="F666" s="9">
        <f>IFERROR(__xludf.DUMMYFUNCTION("GOOGLEFINANCE(A666, ""low"")"),200.15)</f>
        <v>200.15</v>
      </c>
      <c r="G666" s="9">
        <f>IFERROR(__xludf.DUMMYFUNCTION("GOOGLEFINANCE(A666, ""price"")"),209.9)</f>
        <v>209.9</v>
      </c>
      <c r="H666" s="9">
        <f>IFERROR(__xludf.DUMMYFUNCTION("MAX(INDEX(GOOGLEFINANCE(A666, ""high"", TODAY()-30, TODAY()), 0, 2))"),252.0)</f>
        <v>252</v>
      </c>
      <c r="I666" s="9">
        <f>IFERROR(__xludf.DUMMYFUNCTION("MIN(INDEX(GOOGLEFINANCE(A666, ""low"", TODAY()-30, TODAY()), 0, 2))"),200.15)</f>
        <v>200.15</v>
      </c>
      <c r="J666" s="9">
        <f>IFERROR(__xludf.DUMMYFUNCTION("GOOGLEFINANCE(A666, ""high52"")"),252.0)</f>
        <v>252</v>
      </c>
      <c r="K666" s="9">
        <f>IFERROR(__xludf.DUMMYFUNCTION("GOOGLEFINANCE(A666, ""low52"")"),99.9)</f>
        <v>99.9</v>
      </c>
      <c r="L666" s="9">
        <f t="shared" si="1"/>
        <v>0.1670634921</v>
      </c>
      <c r="M666" s="9">
        <f t="shared" si="2"/>
        <v>1.101101101</v>
      </c>
      <c r="N666" s="9">
        <f t="shared" si="3"/>
        <v>0.05565825631</v>
      </c>
      <c r="O666" s="9">
        <f t="shared" si="4"/>
        <v>0.1880424301</v>
      </c>
      <c r="P666" s="9">
        <f>IFERROR(__xludf.DUMMYFUNCTION("GOOGLEFINANCE(A666, ""pe"")"),23.42)</f>
        <v>23.42</v>
      </c>
      <c r="Q666" s="9">
        <f>IFERROR(__xludf.DUMMYFUNCTION("IFERROR(GOOGLEFINANCE(A666, ""volume"") / GOOGLEFINANCE(A666, ""volumeavg""), 0)"),0.0)</f>
        <v>0</v>
      </c>
      <c r="R666" s="9">
        <f>IFERROR(__xludf.DUMMYFUNCTION("AVERAGE(INDEX(GOOGLEFINANCE(A666, ""price"", TODAY()-30, TODAY()), 0, 2))"),219.78130434782614)</f>
        <v>219.7813043</v>
      </c>
      <c r="S666" s="9">
        <f>IFERROR(__xludf.DUMMYFUNCTION("AVERAGE(INDEX(GOOGLEFINANCE(A666, ""price"", TODAY()-75, TODAY()), 0, 2))"),205.27830188679246)</f>
        <v>205.2783019</v>
      </c>
      <c r="T666" s="9">
        <f>IFERROR(__xludf.DUMMYFUNCTION("AVERAGE(INDEX(GOOGLEFINANCE(A666, ""price"", TODAY()-300, TODAY()), 0, 2))"),151.67861386138617)</f>
        <v>151.6786139</v>
      </c>
      <c r="U666" s="9">
        <f t="shared" si="5"/>
        <v>-0.04495971292</v>
      </c>
      <c r="V666" s="15">
        <f>IFERROR(__xludf.DUMMYFUNCTION("LET(hist, GOOGLEFINANCE(A666,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rs))))))"),41.40586797066015)</f>
        <v>41.40586797</v>
      </c>
      <c r="W666" s="16" t="str">
        <f>IFERROR(__xludf.DUMMYFUNCTION("IFERROR(GOOGLEFINANCE(A666, ""volume"") / GOOGLEFINANCE(A666, ""volumeavg""), )"),"")</f>
        <v/>
      </c>
      <c r="X666" s="9">
        <f>IFERROR(__xludf.DUMMYFUNCTION("B666 * GOOGLEFINANCE(A666, ""volume"")"),1.3245422551000001E9)</f>
        <v>1324542255</v>
      </c>
      <c r="Y666" s="9">
        <f>IFERROR(__xludf.DUMMYFUNCTION("IFERROR(((B666 - GOOGLEFINANCE(A666, ""priceopen"")) / GOOGLEFINANCE(A666, ""priceopen"")) * GOOGLEFINANCE(A666, ""volume""), 0)"),192067.5689739819)</f>
        <v>192067.569</v>
      </c>
    </row>
    <row r="667">
      <c r="A667" s="4" t="s">
        <v>2460</v>
      </c>
      <c r="B667" s="7">
        <f>IFERROR(__xludf.DUMMYFUNCTION("GOOGLEFINANCE(A667, ""price"")"),550.0)</f>
        <v>550</v>
      </c>
      <c r="C667" s="7">
        <f>IFERROR(__xludf.DUMMYFUNCTION("GOOGLEFINANCE(A667, ""changepct"")"),0.29)</f>
        <v>0.29</v>
      </c>
      <c r="D667" s="9">
        <f>IFERROR(__xludf.DUMMYFUNCTION("GOOGLEFINANCE(A667, ""priceopen"")"),549.85)</f>
        <v>549.85</v>
      </c>
      <c r="E667" s="9">
        <f>IFERROR(__xludf.DUMMYFUNCTION("GOOGLEFINANCE(A667, ""high"")"),556.4)</f>
        <v>556.4</v>
      </c>
      <c r="F667" s="9">
        <f>IFERROR(__xludf.DUMMYFUNCTION("GOOGLEFINANCE(A667, ""low"")"),548.9)</f>
        <v>548.9</v>
      </c>
      <c r="G667" s="9">
        <f>IFERROR(__xludf.DUMMYFUNCTION("GOOGLEFINANCE(A667, ""price"")"),550.0)</f>
        <v>550</v>
      </c>
      <c r="H667" s="9">
        <f>IFERROR(__xludf.DUMMYFUNCTION("MAX(INDEX(GOOGLEFINANCE(A667, ""high"", TODAY()-30, TODAY()), 0, 2))"),561.95)</f>
        <v>561.95</v>
      </c>
      <c r="I667" s="9">
        <f>IFERROR(__xludf.DUMMYFUNCTION("MIN(INDEX(GOOGLEFINANCE(A667, ""low"", TODAY()-30, TODAY()), 0, 2))"),492.1)</f>
        <v>492.1</v>
      </c>
      <c r="J667" s="9">
        <f>IFERROR(__xludf.DUMMYFUNCTION("GOOGLEFINANCE(A667, ""high52"")"),616.0)</f>
        <v>616</v>
      </c>
      <c r="K667" s="9">
        <f>IFERROR(__xludf.DUMMYFUNCTION("GOOGLEFINANCE(A667, ""low52"")"),365.0)</f>
        <v>365</v>
      </c>
      <c r="L667" s="9">
        <f t="shared" si="1"/>
        <v>0.1071428571</v>
      </c>
      <c r="M667" s="9">
        <f t="shared" si="2"/>
        <v>0.5068493151</v>
      </c>
      <c r="N667" s="9">
        <f t="shared" si="3"/>
        <v>0.01366369102</v>
      </c>
      <c r="O667" s="9">
        <f t="shared" si="4"/>
        <v>0.8289191124</v>
      </c>
      <c r="P667" s="9">
        <f>IFERROR(__xludf.DUMMYFUNCTION("GOOGLEFINANCE(A667, ""pe"")"),7.8)</f>
        <v>7.8</v>
      </c>
      <c r="Q667" s="9">
        <f>IFERROR(__xludf.DUMMYFUNCTION("IFERROR(GOOGLEFINANCE(A667, ""volume"") / GOOGLEFINANCE(A667, ""volumeavg""), 0)"),0.0)</f>
        <v>0</v>
      </c>
      <c r="R667" s="9">
        <f>IFERROR(__xludf.DUMMYFUNCTION("AVERAGE(INDEX(GOOGLEFINANCE(A667, ""price"", TODAY()-30, TODAY()), 0, 2))"),517.9695652173913)</f>
        <v>517.9695652</v>
      </c>
      <c r="S667" s="9">
        <f>IFERROR(__xludf.DUMMYFUNCTION("AVERAGE(INDEX(GOOGLEFINANCE(A667, ""price"", TODAY()-75, TODAY()), 0, 2))"),520.8990566037735)</f>
        <v>520.8990566</v>
      </c>
      <c r="T667" s="9">
        <f>IFERROR(__xludf.DUMMYFUNCTION("AVERAGE(INDEX(GOOGLEFINANCE(A667, ""price"", TODAY()-300, TODAY()), 0, 2))"),486.1975247524754)</f>
        <v>486.1975248</v>
      </c>
      <c r="U667" s="9">
        <f t="shared" si="5"/>
        <v>0.06183844946</v>
      </c>
      <c r="V667" s="15">
        <f>IFERROR(__xludf.DUMMYFUNCTION("LET(hist, GOOGLEFINANCE(A667,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rs))))))"),75.18796992481201)</f>
        <v>75.18796992</v>
      </c>
      <c r="W667" s="16" t="str">
        <f>IFERROR(__xludf.DUMMYFUNCTION("IFERROR(GOOGLEFINANCE(A667, ""volume"") / GOOGLEFINANCE(A667, ""volumeavg""), )"),"")</f>
        <v/>
      </c>
      <c r="X667" s="9">
        <f>IFERROR(__xludf.DUMMYFUNCTION("B667 * GOOGLEFINANCE(A667, ""volume"")"),2.473526E8)</f>
        <v>247352600</v>
      </c>
      <c r="Y667" s="9">
        <f>IFERROR(__xludf.DUMMYFUNCTION("IFERROR(((B667 - GOOGLEFINANCE(A667, ""priceopen"")) / GOOGLEFINANCE(A667, ""priceopen"")) * GOOGLEFINANCE(A667, ""volume""), 0)"),122.6876420841862)</f>
        <v>122.6876421</v>
      </c>
    </row>
    <row r="668">
      <c r="A668" s="4" t="s">
        <v>2461</v>
      </c>
      <c r="B668" s="7">
        <f>IFERROR(__xludf.DUMMYFUNCTION("GOOGLEFINANCE(A668, ""price"")"),11401.0)</f>
        <v>11401</v>
      </c>
      <c r="C668" s="7">
        <f>IFERROR(__xludf.DUMMYFUNCTION("GOOGLEFINANCE(A668, ""changepct"")"),-2.2)</f>
        <v>-2.2</v>
      </c>
      <c r="D668" s="9">
        <f>IFERROR(__xludf.DUMMYFUNCTION("GOOGLEFINANCE(A668, ""priceopen"")"),11840.0)</f>
        <v>11840</v>
      </c>
      <c r="E668" s="9">
        <f>IFERROR(__xludf.DUMMYFUNCTION("GOOGLEFINANCE(A668, ""high"")"),11840.0)</f>
        <v>11840</v>
      </c>
      <c r="F668" s="9">
        <f>IFERROR(__xludf.DUMMYFUNCTION("GOOGLEFINANCE(A668, ""low"")"),10880.0)</f>
        <v>10880</v>
      </c>
      <c r="G668" s="9">
        <f>IFERROR(__xludf.DUMMYFUNCTION("GOOGLEFINANCE(A668, ""price"")"),11401.0)</f>
        <v>11401</v>
      </c>
      <c r="H668" s="9">
        <f>IFERROR(__xludf.DUMMYFUNCTION("MAX(INDEX(GOOGLEFINANCE(A668, ""high"", TODAY()-30, TODAY()), 0, 2))"),13200.0)</f>
        <v>13200</v>
      </c>
      <c r="I668" s="9">
        <f>IFERROR(__xludf.DUMMYFUNCTION("MIN(INDEX(GOOGLEFINANCE(A668, ""low"", TODAY()-30, TODAY()), 0, 2))"),9151.0)</f>
        <v>9151</v>
      </c>
      <c r="J668" s="9">
        <f>IFERROR(__xludf.DUMMYFUNCTION("GOOGLEFINANCE(A668, ""high52"")"),13200.0)</f>
        <v>13200</v>
      </c>
      <c r="K668" s="9">
        <f>IFERROR(__xludf.DUMMYFUNCTION("GOOGLEFINANCE(A668, ""low52"")"),8900.0)</f>
        <v>8900</v>
      </c>
      <c r="L668" s="9">
        <f t="shared" si="1"/>
        <v>0.1362878788</v>
      </c>
      <c r="M668" s="9">
        <f t="shared" si="2"/>
        <v>0.281011236</v>
      </c>
      <c r="N668" s="9">
        <f t="shared" si="3"/>
        <v>0.08823529412</v>
      </c>
      <c r="O668" s="9">
        <f t="shared" si="4"/>
        <v>0.5556927636</v>
      </c>
      <c r="P668" s="9">
        <f>IFERROR(__xludf.DUMMYFUNCTION("GOOGLEFINANCE(A668, ""pe"")"),50.9)</f>
        <v>50.9</v>
      </c>
      <c r="Q668" s="9">
        <f>IFERROR(__xludf.DUMMYFUNCTION("IFERROR(GOOGLEFINANCE(A668, ""volume"") / GOOGLEFINANCE(A668, ""volumeavg""), 0)"),0.0)</f>
        <v>0</v>
      </c>
      <c r="R668" s="9">
        <f>IFERROR(__xludf.DUMMYFUNCTION("AVERAGE(INDEX(GOOGLEFINANCE(A668, ""price"", TODAY()-30, TODAY()), 0, 2))"),10085.217391304348)</f>
        <v>10085.21739</v>
      </c>
      <c r="S668" s="9">
        <f>IFERROR(__xludf.DUMMYFUNCTION("AVERAGE(INDEX(GOOGLEFINANCE(A668, ""price"", TODAY()-75, TODAY()), 0, 2))"),10024.075471698114)</f>
        <v>10024.07547</v>
      </c>
      <c r="T668" s="9">
        <f>IFERROR(__xludf.DUMMYFUNCTION("AVERAGE(INDEX(GOOGLEFINANCE(A668, ""price"", TODAY()-300, TODAY()), 0, 2))"),9801.54375)</f>
        <v>9801.54375</v>
      </c>
      <c r="U668" s="9">
        <f t="shared" si="5"/>
        <v>0.1304664597</v>
      </c>
      <c r="V668" s="15">
        <f>IFERROR(__xludf.DUMMYFUNCTION("LET(hist, GOOGLEFINANCE(A668,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rs))))))"),71.88466526987928)</f>
        <v>71.88466527</v>
      </c>
      <c r="W668" s="16" t="str">
        <f>IFERROR(__xludf.DUMMYFUNCTION("IFERROR(GOOGLEFINANCE(A668, ""volume"") / GOOGLEFINANCE(A668, ""volumeavg""), )"),"")</f>
        <v/>
      </c>
      <c r="X668" s="9">
        <f>IFERROR(__xludf.DUMMYFUNCTION("B668 * GOOGLEFINANCE(A668, ""volume"")"),5.2763828E7)</f>
        <v>52763828</v>
      </c>
      <c r="Y668" s="9">
        <f>IFERROR(__xludf.DUMMYFUNCTION("IFERROR(((B668 - GOOGLEFINANCE(A668, ""priceopen"")) / GOOGLEFINANCE(A668, ""priceopen"")) * GOOGLEFINANCE(A668, ""volume""), 0)"),-171.5956081081081)</f>
        <v>-171.5956081</v>
      </c>
    </row>
    <row r="669">
      <c r="A669" s="4" t="s">
        <v>2462</v>
      </c>
      <c r="B669" s="7">
        <f>IFERROR(__xludf.DUMMYFUNCTION("GOOGLEFINANCE(A669, ""price"")"),403.7)</f>
        <v>403.7</v>
      </c>
      <c r="C669" s="7">
        <f>IFERROR(__xludf.DUMMYFUNCTION("GOOGLEFINANCE(A669, ""changepct"")"),-5.62)</f>
        <v>-5.62</v>
      </c>
      <c r="D669" s="9">
        <f>IFERROR(__xludf.DUMMYFUNCTION("GOOGLEFINANCE(A669, ""priceopen"")"),427.75)</f>
        <v>427.75</v>
      </c>
      <c r="E669" s="9">
        <f>IFERROR(__xludf.DUMMYFUNCTION("GOOGLEFINANCE(A669, ""high"")"),438.6)</f>
        <v>438.6</v>
      </c>
      <c r="F669" s="9">
        <f>IFERROR(__xludf.DUMMYFUNCTION("GOOGLEFINANCE(A669, ""low"")"),400.15)</f>
        <v>400.15</v>
      </c>
      <c r="G669" s="9">
        <f>IFERROR(__xludf.DUMMYFUNCTION("GOOGLEFINANCE(A669, ""price"")"),403.7)</f>
        <v>403.7</v>
      </c>
      <c r="H669" s="9">
        <f>IFERROR(__xludf.DUMMYFUNCTION("MAX(INDEX(GOOGLEFINANCE(A669, ""high"", TODAY()-30, TODAY()), 0, 2))"),443.7)</f>
        <v>443.7</v>
      </c>
      <c r="I669" s="9">
        <f>IFERROR(__xludf.DUMMYFUNCTION("MIN(INDEX(GOOGLEFINANCE(A669, ""low"", TODAY()-30, TODAY()), 0, 2))"),386.6)</f>
        <v>386.6</v>
      </c>
      <c r="J669" s="9">
        <f>IFERROR(__xludf.DUMMYFUNCTION("GOOGLEFINANCE(A669, ""high52"")"),454.8)</f>
        <v>454.8</v>
      </c>
      <c r="K669" s="9">
        <f>IFERROR(__xludf.DUMMYFUNCTION("GOOGLEFINANCE(A669, ""low52"")"),266.65)</f>
        <v>266.65</v>
      </c>
      <c r="L669" s="9">
        <f t="shared" si="1"/>
        <v>0.11235708</v>
      </c>
      <c r="M669" s="9">
        <f t="shared" si="2"/>
        <v>0.5139696231</v>
      </c>
      <c r="N669" s="9">
        <f t="shared" si="3"/>
        <v>0.09608896664</v>
      </c>
      <c r="O669" s="9">
        <f t="shared" si="4"/>
        <v>0.299474606</v>
      </c>
      <c r="P669" s="9">
        <f>IFERROR(__xludf.DUMMYFUNCTION("GOOGLEFINANCE(A669, ""pe"")"),57.51)</f>
        <v>57.51</v>
      </c>
      <c r="Q669" s="9">
        <f>IFERROR(__xludf.DUMMYFUNCTION("IFERROR(GOOGLEFINANCE(A669, ""volume"") / GOOGLEFINANCE(A669, ""volumeavg""), 0)"),0.0)</f>
        <v>0</v>
      </c>
      <c r="R669" s="9">
        <f>IFERROR(__xludf.DUMMYFUNCTION("AVERAGE(INDEX(GOOGLEFINANCE(A669, ""price"", TODAY()-30, TODAY()), 0, 2))"),409.42391304347825)</f>
        <v>409.423913</v>
      </c>
      <c r="S669" s="9">
        <f>IFERROR(__xludf.DUMMYFUNCTION("AVERAGE(INDEX(GOOGLEFINANCE(A669, ""price"", TODAY()-75, TODAY()), 0, 2))"),419.47358490566046)</f>
        <v>419.4735849</v>
      </c>
      <c r="T669" s="9">
        <f>IFERROR(__xludf.DUMMYFUNCTION("AVERAGE(INDEX(GOOGLEFINANCE(A669, ""price"", TODAY()-300, TODAY()), 0, 2))"),370.0814356435645)</f>
        <v>370.0814356</v>
      </c>
      <c r="U669" s="9">
        <f t="shared" si="5"/>
        <v>-0.01398040725</v>
      </c>
      <c r="V669" s="15">
        <f>IFERROR(__xludf.DUMMYFUNCTION("LET(hist, GOOGLEFINANCE(A669,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rs))))))"),57.06272310045893)</f>
        <v>57.0627231</v>
      </c>
      <c r="W669" s="16" t="str">
        <f>IFERROR(__xludf.DUMMYFUNCTION("IFERROR(GOOGLEFINANCE(A669, ""volume"") / GOOGLEFINANCE(A669, ""volumeavg""), )"),"")</f>
        <v/>
      </c>
      <c r="X669" s="9">
        <f>IFERROR(__xludf.DUMMYFUNCTION("B669 * GOOGLEFINANCE(A669, ""volume"")"),9.523795699E8)</f>
        <v>952379569.9</v>
      </c>
      <c r="Y669" s="9">
        <f>IFERROR(__xludf.DUMMYFUNCTION("IFERROR(((B669 - GOOGLEFINANCE(A669, ""priceopen"")) / GOOGLEFINANCE(A669, ""priceopen"")) * GOOGLEFINANCE(A669, ""volume""), 0)"),-132640.5712448861)</f>
        <v>-132640.5712</v>
      </c>
    </row>
    <row r="670">
      <c r="A670" s="4" t="s">
        <v>2463</v>
      </c>
      <c r="B670" s="7">
        <f>IFERROR(__xludf.DUMMYFUNCTION("GOOGLEFINANCE(A670, ""price"")"),798.8)</f>
        <v>798.8</v>
      </c>
      <c r="C670" s="7">
        <f>IFERROR(__xludf.DUMMYFUNCTION("GOOGLEFINANCE(A670, ""changepct"")"),-0.94)</f>
        <v>-0.94</v>
      </c>
      <c r="D670" s="9">
        <f>IFERROR(__xludf.DUMMYFUNCTION("GOOGLEFINANCE(A670, ""priceopen"")"),803.3)</f>
        <v>803.3</v>
      </c>
      <c r="E670" s="9">
        <f>IFERROR(__xludf.DUMMYFUNCTION("GOOGLEFINANCE(A670, ""high"")"),808.85)</f>
        <v>808.85</v>
      </c>
      <c r="F670" s="9">
        <f>IFERROR(__xludf.DUMMYFUNCTION("GOOGLEFINANCE(A670, ""low"")"),795.05)</f>
        <v>795.05</v>
      </c>
      <c r="G670" s="9">
        <f>IFERROR(__xludf.DUMMYFUNCTION("GOOGLEFINANCE(A670, ""price"")"),798.8)</f>
        <v>798.8</v>
      </c>
      <c r="H670" s="9">
        <f>IFERROR(__xludf.DUMMYFUNCTION("MAX(INDEX(GOOGLEFINANCE(A670, ""high"", TODAY()-30, TODAY()), 0, 2))"),936.95)</f>
        <v>936.95</v>
      </c>
      <c r="I670" s="9">
        <f>IFERROR(__xludf.DUMMYFUNCTION("MIN(INDEX(GOOGLEFINANCE(A670, ""low"", TODAY()-30, TODAY()), 0, 2))"),795.05)</f>
        <v>795.05</v>
      </c>
      <c r="J670" s="9">
        <f>IFERROR(__xludf.DUMMYFUNCTION("GOOGLEFINANCE(A670, ""high52"")"),1297.0)</f>
        <v>1297</v>
      </c>
      <c r="K670" s="9">
        <f>IFERROR(__xludf.DUMMYFUNCTION("GOOGLEFINANCE(A670, ""low52"")"),755.55)</f>
        <v>755.55</v>
      </c>
      <c r="L670" s="9">
        <f t="shared" si="1"/>
        <v>0.3841171935</v>
      </c>
      <c r="M670" s="9">
        <f t="shared" si="2"/>
        <v>0.05724306796</v>
      </c>
      <c r="N670" s="9">
        <f t="shared" si="3"/>
        <v>0.01735739891</v>
      </c>
      <c r="O670" s="9">
        <f t="shared" si="4"/>
        <v>0.02642706131</v>
      </c>
      <c r="P670" s="9">
        <f>IFERROR(__xludf.DUMMYFUNCTION("GOOGLEFINANCE(A670, ""pe"")"),11.51)</f>
        <v>11.51</v>
      </c>
      <c r="Q670" s="9">
        <f>IFERROR(__xludf.DUMMYFUNCTION("IFERROR(GOOGLEFINANCE(A670, ""volume"") / GOOGLEFINANCE(A670, ""volumeavg""), 0)"),0.0)</f>
        <v>0</v>
      </c>
      <c r="R670" s="9">
        <f>IFERROR(__xludf.DUMMYFUNCTION("AVERAGE(INDEX(GOOGLEFINANCE(A670, ""price"", TODAY()-30, TODAY()), 0, 2))"),855.841304347826)</f>
        <v>855.8413043</v>
      </c>
      <c r="S670" s="9">
        <f>IFERROR(__xludf.DUMMYFUNCTION("AVERAGE(INDEX(GOOGLEFINANCE(A670, ""price"", TODAY()-75, TODAY()), 0, 2))"),880.3254716981132)</f>
        <v>880.3254717</v>
      </c>
      <c r="T670" s="9">
        <f>IFERROR(__xludf.DUMMYFUNCTION("AVERAGE(INDEX(GOOGLEFINANCE(A670, ""price"", TODAY()-300, TODAY()), 0, 2))"),939.7462871287129)</f>
        <v>939.7462871</v>
      </c>
      <c r="U670" s="9">
        <f t="shared" si="5"/>
        <v>-0.06664939406</v>
      </c>
      <c r="V670" s="15">
        <f>IFERROR(__xludf.DUMMYFUNCTION("LET(hist, GOOGLEFINANCE(A670,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rs))))))"),26.810881678138315)</f>
        <v>26.81088168</v>
      </c>
      <c r="W670" s="16" t="str">
        <f>IFERROR(__xludf.DUMMYFUNCTION("IFERROR(GOOGLEFINANCE(A670, ""volume"") / GOOGLEFINANCE(A670, ""volumeavg""), )"),"")</f>
        <v/>
      </c>
      <c r="X670" s="9">
        <f>IFERROR(__xludf.DUMMYFUNCTION("B670 * GOOGLEFINANCE(A670, ""volume"")"),1.141293488E8)</f>
        <v>114129348.8</v>
      </c>
      <c r="Y670" s="9">
        <f>IFERROR(__xludf.DUMMYFUNCTION("IFERROR(((B670 - GOOGLEFINANCE(A670, ""priceopen"")) / GOOGLEFINANCE(A670, ""priceopen"")) * GOOGLEFINANCE(A670, ""volume""), 0)"),-800.3759492095108)</f>
        <v>-800.3759492</v>
      </c>
    </row>
    <row r="671">
      <c r="A671" s="4" t="s">
        <v>2464</v>
      </c>
      <c r="B671" s="7">
        <f>IFERROR(__xludf.DUMMYFUNCTION("GOOGLEFINANCE(A671, ""price"")"),58.75)</f>
        <v>58.75</v>
      </c>
      <c r="C671" s="7">
        <f>IFERROR(__xludf.DUMMYFUNCTION("GOOGLEFINANCE(A671, ""changepct"")"),-1.95)</f>
        <v>-1.95</v>
      </c>
      <c r="D671" s="9">
        <f>IFERROR(__xludf.DUMMYFUNCTION("GOOGLEFINANCE(A671, ""priceopen"")"),60.95)</f>
        <v>60.95</v>
      </c>
      <c r="E671" s="9">
        <f>IFERROR(__xludf.DUMMYFUNCTION("GOOGLEFINANCE(A671, ""high"")"),60.95)</f>
        <v>60.95</v>
      </c>
      <c r="F671" s="9">
        <f>IFERROR(__xludf.DUMMYFUNCTION("GOOGLEFINANCE(A671, ""low"")"),58.51)</f>
        <v>58.51</v>
      </c>
      <c r="G671" s="9">
        <f>IFERROR(__xludf.DUMMYFUNCTION("GOOGLEFINANCE(A671, ""price"")"),58.75)</f>
        <v>58.75</v>
      </c>
      <c r="H671" s="9">
        <f>IFERROR(__xludf.DUMMYFUNCTION("MAX(INDEX(GOOGLEFINANCE(A671, ""high"", TODAY()-30, TODAY()), 0, 2))"),65.99)</f>
        <v>65.99</v>
      </c>
      <c r="I671" s="9">
        <f>IFERROR(__xludf.DUMMYFUNCTION("MIN(INDEX(GOOGLEFINANCE(A671, ""low"", TODAY()-30, TODAY()), 0, 2))"),58.51)</f>
        <v>58.51</v>
      </c>
      <c r="J671" s="9">
        <f>IFERROR(__xludf.DUMMYFUNCTION("GOOGLEFINANCE(A671, ""high52"")"),72.95)</f>
        <v>72.95</v>
      </c>
      <c r="K671" s="9">
        <f>IFERROR(__xludf.DUMMYFUNCTION("GOOGLEFINANCE(A671, ""low52"")"),41.0)</f>
        <v>41</v>
      </c>
      <c r="L671" s="9">
        <f t="shared" si="1"/>
        <v>0.1946538725</v>
      </c>
      <c r="M671" s="9">
        <f t="shared" si="2"/>
        <v>0.4329268293</v>
      </c>
      <c r="N671" s="9">
        <f t="shared" si="3"/>
        <v>0.04170227312</v>
      </c>
      <c r="O671" s="9">
        <f t="shared" si="4"/>
        <v>0.0320855615</v>
      </c>
      <c r="P671" s="9" t="str">
        <f>IFERROR(__xludf.DUMMYFUNCTION("GOOGLEFINANCE(A671, ""pe"")"),"#N/A")</f>
        <v>#N/A</v>
      </c>
      <c r="Q671" s="9">
        <f>IFERROR(__xludf.DUMMYFUNCTION("IFERROR(GOOGLEFINANCE(A671, ""volume"") / GOOGLEFINANCE(A671, ""volumeavg""), 0)"),0.0)</f>
        <v>0</v>
      </c>
      <c r="R671" s="9">
        <f>IFERROR(__xludf.DUMMYFUNCTION("AVERAGE(INDEX(GOOGLEFINANCE(A671, ""price"", TODAY()-30, TODAY()), 0, 2))"),61.200869565217396)</f>
        <v>61.20086957</v>
      </c>
      <c r="S671" s="9">
        <f>IFERROR(__xludf.DUMMYFUNCTION("AVERAGE(INDEX(GOOGLEFINANCE(A671, ""price"", TODAY()-75, TODAY()), 0, 2))"),61.42811320754718)</f>
        <v>61.42811321</v>
      </c>
      <c r="T671" s="9">
        <f>IFERROR(__xludf.DUMMYFUNCTION("AVERAGE(INDEX(GOOGLEFINANCE(A671, ""price"", TODAY()-300, TODAY()), 0, 2))"),55.77965346534653)</f>
        <v>55.77965347</v>
      </c>
      <c r="U671" s="9">
        <f t="shared" si="5"/>
        <v>-0.04004631932</v>
      </c>
      <c r="V671" s="15">
        <f>IFERROR(__xludf.DUMMYFUNCTION("LET(hist, GOOGLEFINANCE(A671,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rs))))))"),44.31818181818183)</f>
        <v>44.31818182</v>
      </c>
      <c r="W671" s="16" t="str">
        <f>IFERROR(__xludf.DUMMYFUNCTION("IFERROR(GOOGLEFINANCE(A671, ""volume"") / GOOGLEFINANCE(A671, ""volumeavg""), )"),"")</f>
        <v/>
      </c>
      <c r="X671" s="9">
        <f>IFERROR(__xludf.DUMMYFUNCTION("B671 * GOOGLEFINANCE(A671, ""volume"")"),502958.75)</f>
        <v>502958.75</v>
      </c>
      <c r="Y671" s="9">
        <f>IFERROR(__xludf.DUMMYFUNCTION("IFERROR(((B671 - GOOGLEFINANCE(A671, ""priceopen"")) / GOOGLEFINANCE(A671, ""priceopen"")) * GOOGLEFINANCE(A671, ""volume""), 0)"),-309.0106644790816)</f>
        <v>-309.0106645</v>
      </c>
    </row>
    <row r="672">
      <c r="A672" s="4" t="s">
        <v>2465</v>
      </c>
      <c r="B672" s="7">
        <f>IFERROR(__xludf.DUMMYFUNCTION("GOOGLEFINANCE(A672, ""price"")"),336.6)</f>
        <v>336.6</v>
      </c>
      <c r="C672" s="7">
        <f>IFERROR(__xludf.DUMMYFUNCTION("GOOGLEFINANCE(A672, ""changepct"")"),-4.08)</f>
        <v>-4.08</v>
      </c>
      <c r="D672" s="9">
        <f>IFERROR(__xludf.DUMMYFUNCTION("GOOGLEFINANCE(A672, ""priceopen"")"),348.0)</f>
        <v>348</v>
      </c>
      <c r="E672" s="9">
        <f>IFERROR(__xludf.DUMMYFUNCTION("GOOGLEFINANCE(A672, ""high"")"),352.75)</f>
        <v>352.75</v>
      </c>
      <c r="F672" s="9">
        <f>IFERROR(__xludf.DUMMYFUNCTION("GOOGLEFINANCE(A672, ""low"")"),335.1)</f>
        <v>335.1</v>
      </c>
      <c r="G672" s="9">
        <f>IFERROR(__xludf.DUMMYFUNCTION("GOOGLEFINANCE(A672, ""price"")"),336.6)</f>
        <v>336.6</v>
      </c>
      <c r="H672" s="9">
        <f>IFERROR(__xludf.DUMMYFUNCTION("MAX(INDEX(GOOGLEFINANCE(A672, ""high"", TODAY()-30, TODAY()), 0, 2))"),419.9)</f>
        <v>419.9</v>
      </c>
      <c r="I672" s="9">
        <f>IFERROR(__xludf.DUMMYFUNCTION("MIN(INDEX(GOOGLEFINANCE(A672, ""low"", TODAY()-30, TODAY()), 0, 2))"),332.9)</f>
        <v>332.9</v>
      </c>
      <c r="J672" s="9">
        <f>IFERROR(__xludf.DUMMYFUNCTION("GOOGLEFINANCE(A672, ""high52"")"),542.25)</f>
        <v>542.25</v>
      </c>
      <c r="K672" s="9">
        <f>IFERROR(__xludf.DUMMYFUNCTION("GOOGLEFINANCE(A672, ""low52"")"),332.9)</f>
        <v>332.9</v>
      </c>
      <c r="L672" s="9">
        <f t="shared" si="1"/>
        <v>0.379253112</v>
      </c>
      <c r="M672" s="9">
        <f t="shared" si="2"/>
        <v>0.01111444878</v>
      </c>
      <c r="N672" s="9">
        <f t="shared" si="3"/>
        <v>0.05267084452</v>
      </c>
      <c r="O672" s="9">
        <f t="shared" si="4"/>
        <v>0.04252873563</v>
      </c>
      <c r="P672" s="9">
        <f>IFERROR(__xludf.DUMMYFUNCTION("GOOGLEFINANCE(A672, ""pe"")"),14.0)</f>
        <v>14</v>
      </c>
      <c r="Q672" s="9">
        <f>IFERROR(__xludf.DUMMYFUNCTION("IFERROR(GOOGLEFINANCE(A672, ""volume"") / GOOGLEFINANCE(A672, ""volumeavg""), 0)"),0.0)</f>
        <v>0</v>
      </c>
      <c r="R672" s="9">
        <f>IFERROR(__xludf.DUMMYFUNCTION("AVERAGE(INDEX(GOOGLEFINANCE(A672, ""price"", TODAY()-30, TODAY()), 0, 2))"),386.4891304347827)</f>
        <v>386.4891304</v>
      </c>
      <c r="S672" s="9">
        <f>IFERROR(__xludf.DUMMYFUNCTION("AVERAGE(INDEX(GOOGLEFINANCE(A672, ""price"", TODAY()-75, TODAY()), 0, 2))"),395.9330188679245)</f>
        <v>395.9330189</v>
      </c>
      <c r="T672" s="9">
        <f>IFERROR(__xludf.DUMMYFUNCTION("AVERAGE(INDEX(GOOGLEFINANCE(A672, ""price"", TODAY()-300, TODAY()), 0, 2))"),422.83044554455427)</f>
        <v>422.8304455</v>
      </c>
      <c r="U672" s="9">
        <f t="shared" si="5"/>
        <v>-0.129082881</v>
      </c>
      <c r="V672" s="15">
        <f>IFERROR(__xludf.DUMMYFUNCTION("LET(hist, GOOGLEFINANCE(A672,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rs))))))"),17.30295566502464)</f>
        <v>17.30295567</v>
      </c>
      <c r="W672" s="16" t="str">
        <f>IFERROR(__xludf.DUMMYFUNCTION("IFERROR(GOOGLEFINANCE(A672, ""volume"") / GOOGLEFINANCE(A672, ""volumeavg""), )"),"")</f>
        <v/>
      </c>
      <c r="X672" s="9">
        <f>IFERROR(__xludf.DUMMYFUNCTION("B672 * GOOGLEFINANCE(A672, ""volume"")"),5.977635642E8)</f>
        <v>597763564.2</v>
      </c>
      <c r="Y672" s="9">
        <f>IFERROR(__xludf.DUMMYFUNCTION("IFERROR(((B672 - GOOGLEFINANCE(A672, ""priceopen"")) / GOOGLEFINANCE(A672, ""priceopen"")) * GOOGLEFINANCE(A672, ""volume""), 0)"),-58175.608620689534)</f>
        <v>-58175.60862</v>
      </c>
    </row>
    <row r="673">
      <c r="A673" s="4" t="s">
        <v>2466</v>
      </c>
      <c r="B673" s="7">
        <f>IFERROR(__xludf.DUMMYFUNCTION("GOOGLEFINANCE(A673, ""price"")"),57.25)</f>
        <v>57.25</v>
      </c>
      <c r="C673" s="7">
        <f>IFERROR(__xludf.DUMMYFUNCTION("GOOGLEFINANCE(A673, ""changepct"")"),-2.35)</f>
        <v>-2.35</v>
      </c>
      <c r="D673" s="9">
        <f>IFERROR(__xludf.DUMMYFUNCTION("GOOGLEFINANCE(A673, ""priceopen"")"),58.8)</f>
        <v>58.8</v>
      </c>
      <c r="E673" s="9">
        <f>IFERROR(__xludf.DUMMYFUNCTION("GOOGLEFINANCE(A673, ""high"")"),59.1)</f>
        <v>59.1</v>
      </c>
      <c r="F673" s="9">
        <f>IFERROR(__xludf.DUMMYFUNCTION("GOOGLEFINANCE(A673, ""low"")"),57.02)</f>
        <v>57.02</v>
      </c>
      <c r="G673" s="9">
        <f>IFERROR(__xludf.DUMMYFUNCTION("GOOGLEFINANCE(A673, ""price"")"),57.25)</f>
        <v>57.25</v>
      </c>
      <c r="H673" s="9">
        <f>IFERROR(__xludf.DUMMYFUNCTION("MAX(INDEX(GOOGLEFINANCE(A673, ""high"", TODAY()-30, TODAY()), 0, 2))"),64.1)</f>
        <v>64.1</v>
      </c>
      <c r="I673" s="9">
        <f>IFERROR(__xludf.DUMMYFUNCTION("MIN(INDEX(GOOGLEFINANCE(A673, ""low"", TODAY()-30, TODAY()), 0, 2))"),55.1)</f>
        <v>55.1</v>
      </c>
      <c r="J673" s="9">
        <f>IFERROR(__xludf.DUMMYFUNCTION("GOOGLEFINANCE(A673, ""high52"")"),94.95)</f>
        <v>94.95</v>
      </c>
      <c r="K673" s="9">
        <f>IFERROR(__xludf.DUMMYFUNCTION("GOOGLEFINANCE(A673, ""low52"")"),53.51)</f>
        <v>53.51</v>
      </c>
      <c r="L673" s="9">
        <f t="shared" si="1"/>
        <v>0.3970510795</v>
      </c>
      <c r="M673" s="9">
        <f t="shared" si="2"/>
        <v>0.06989347785</v>
      </c>
      <c r="N673" s="9">
        <f t="shared" si="3"/>
        <v>0.03647842862</v>
      </c>
      <c r="O673" s="9">
        <f t="shared" si="4"/>
        <v>0.2388888889</v>
      </c>
      <c r="P673" s="9" t="str">
        <f>IFERROR(__xludf.DUMMYFUNCTION("GOOGLEFINANCE(A673, ""pe"")"),"#N/A")</f>
        <v>#N/A</v>
      </c>
      <c r="Q673" s="9">
        <f>IFERROR(__xludf.DUMMYFUNCTION("IFERROR(GOOGLEFINANCE(A673, ""volume"") / GOOGLEFINANCE(A673, ""volumeavg""), 0)"),0.0)</f>
        <v>0</v>
      </c>
      <c r="R673" s="9">
        <f>IFERROR(__xludf.DUMMYFUNCTION("AVERAGE(INDEX(GOOGLEFINANCE(A673, ""price"", TODAY()-30, TODAY()), 0, 2))"),59.09434782608696)</f>
        <v>59.09434783</v>
      </c>
      <c r="S673" s="9">
        <f>IFERROR(__xludf.DUMMYFUNCTION("AVERAGE(INDEX(GOOGLEFINANCE(A673, ""price"", TODAY()-75, TODAY()), 0, 2))"),59.876226415094344)</f>
        <v>59.87622642</v>
      </c>
      <c r="T673" s="9">
        <f>IFERROR(__xludf.DUMMYFUNCTION("AVERAGE(INDEX(GOOGLEFINANCE(A673, ""price"", TODAY()-300, TODAY()), 0, 2))"),67.45004950495053)</f>
        <v>67.4500495</v>
      </c>
      <c r="U673" s="9">
        <f t="shared" si="5"/>
        <v>-0.03121022389</v>
      </c>
      <c r="V673" s="15">
        <f>IFERROR(__xludf.DUMMYFUNCTION("LET(hist, GOOGLEFINANCE(A673,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rs))))))"),53.32548557975278)</f>
        <v>53.32548558</v>
      </c>
      <c r="W673" s="16" t="str">
        <f>IFERROR(__xludf.DUMMYFUNCTION("IFERROR(GOOGLEFINANCE(A673, ""volume"") / GOOGLEFINANCE(A673, ""volumeavg""), )"),"")</f>
        <v/>
      </c>
      <c r="X673" s="9">
        <f>IFERROR(__xludf.DUMMYFUNCTION("B673 * GOOGLEFINANCE(A673, ""volume"")"),2.9423173775E8)</f>
        <v>294231737.8</v>
      </c>
      <c r="Y673" s="9">
        <f>IFERROR(__xludf.DUMMYFUNCTION("IFERROR(((B673 - GOOGLEFINANCE(A673, ""priceopen"")) / GOOGLEFINANCE(A673, ""priceopen"")) * GOOGLEFINANCE(A673, ""volume""), 0)"),-135477.88180272083)</f>
        <v>-135477.8818</v>
      </c>
    </row>
    <row r="674">
      <c r="A674" s="4" t="s">
        <v>2467</v>
      </c>
      <c r="B674" s="7">
        <f>IFERROR(__xludf.DUMMYFUNCTION("GOOGLEFINANCE(A674, ""price"")"),126.63)</f>
        <v>126.63</v>
      </c>
      <c r="C674" s="7">
        <f>IFERROR(__xludf.DUMMYFUNCTION("GOOGLEFINANCE(A674, ""changepct"")"),-0.75)</f>
        <v>-0.75</v>
      </c>
      <c r="D674" s="9">
        <f>IFERROR(__xludf.DUMMYFUNCTION("GOOGLEFINANCE(A674, ""priceopen"")"),128.61)</f>
        <v>128.61</v>
      </c>
      <c r="E674" s="9">
        <f>IFERROR(__xludf.DUMMYFUNCTION("GOOGLEFINANCE(A674, ""high"")"),128.61)</f>
        <v>128.61</v>
      </c>
      <c r="F674" s="9">
        <f>IFERROR(__xludf.DUMMYFUNCTION("GOOGLEFINANCE(A674, ""low"")"),124.5)</f>
        <v>124.5</v>
      </c>
      <c r="G674" s="9">
        <f>IFERROR(__xludf.DUMMYFUNCTION("GOOGLEFINANCE(A674, ""price"")"),126.63)</f>
        <v>126.63</v>
      </c>
      <c r="H674" s="9">
        <f>IFERROR(__xludf.DUMMYFUNCTION("MAX(INDEX(GOOGLEFINANCE(A674, ""high"", TODAY()-30, TODAY()), 0, 2))"),148.49)</f>
        <v>148.49</v>
      </c>
      <c r="I674" s="9">
        <f>IFERROR(__xludf.DUMMYFUNCTION("MIN(INDEX(GOOGLEFINANCE(A674, ""low"", TODAY()-30, TODAY()), 0, 2))"),124.5)</f>
        <v>124.5</v>
      </c>
      <c r="J674" s="9">
        <f>IFERROR(__xludf.DUMMYFUNCTION("GOOGLEFINANCE(A674, ""high52"")"),163.5)</f>
        <v>163.5</v>
      </c>
      <c r="K674" s="9">
        <f>IFERROR(__xludf.DUMMYFUNCTION("GOOGLEFINANCE(A674, ""low52"")"),107.53)</f>
        <v>107.53</v>
      </c>
      <c r="L674" s="9">
        <f t="shared" si="1"/>
        <v>0.2255045872</v>
      </c>
      <c r="M674" s="9">
        <f t="shared" si="2"/>
        <v>0.1776248489</v>
      </c>
      <c r="N674" s="9">
        <f t="shared" si="3"/>
        <v>0.03301204819</v>
      </c>
      <c r="O674" s="9">
        <f t="shared" si="4"/>
        <v>0.08878699458</v>
      </c>
      <c r="P674" s="9">
        <f>IFERROR(__xludf.DUMMYFUNCTION("GOOGLEFINANCE(A674, ""pe"")"),29.1)</f>
        <v>29.1</v>
      </c>
      <c r="Q674" s="9">
        <f>IFERROR(__xludf.DUMMYFUNCTION("IFERROR(GOOGLEFINANCE(A674, ""volume"") / GOOGLEFINANCE(A674, ""volumeavg""), 0)"),0.0)</f>
        <v>0</v>
      </c>
      <c r="R674" s="9">
        <f>IFERROR(__xludf.DUMMYFUNCTION("AVERAGE(INDEX(GOOGLEFINANCE(A674, ""price"", TODAY()-30, TODAY()), 0, 2))"),131.80782608695648)</f>
        <v>131.8078261</v>
      </c>
      <c r="S674" s="9">
        <f>IFERROR(__xludf.DUMMYFUNCTION("AVERAGE(INDEX(GOOGLEFINANCE(A674, ""price"", TODAY()-75, TODAY()), 0, 2))"),133.7926415094339)</f>
        <v>133.7926415</v>
      </c>
      <c r="T674" s="9">
        <f>IFERROR(__xludf.DUMMYFUNCTION("AVERAGE(INDEX(GOOGLEFINANCE(A674, ""price"", TODAY()-300, TODAY()), 0, 2))"),127.92019801980202)</f>
        <v>127.920198</v>
      </c>
      <c r="U674" s="9">
        <f t="shared" si="5"/>
        <v>-0.03928314608</v>
      </c>
      <c r="V674" s="15">
        <f>IFERROR(__xludf.DUMMYFUNCTION("LET(hist, GOOGLEFINANCE(A674,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rs))))))"),47.207977207977216)</f>
        <v>47.20797721</v>
      </c>
      <c r="W674" s="16" t="str">
        <f>IFERROR(__xludf.DUMMYFUNCTION("IFERROR(GOOGLEFINANCE(A674, ""volume"") / GOOGLEFINANCE(A674, ""volumeavg""), )"),"")</f>
        <v/>
      </c>
      <c r="X674" s="9">
        <f>IFERROR(__xludf.DUMMYFUNCTION("B674 * GOOGLEFINANCE(A674, ""volume"")"),5.7736695239999995E7)</f>
        <v>57736695.24</v>
      </c>
      <c r="Y674" s="9">
        <f>IFERROR(__xludf.DUMMYFUNCTION("IFERROR(((B674 - GOOGLEFINANCE(A674, ""priceopen"")) / GOOGLEFINANCE(A674, ""priceopen"")) * GOOGLEFINANCE(A674, ""volume""), 0)"),-7019.493351994465)</f>
        <v>-7019.493352</v>
      </c>
    </row>
    <row r="675">
      <c r="A675" s="4" t="s">
        <v>2468</v>
      </c>
      <c r="B675" s="7">
        <f>IFERROR(__xludf.DUMMYFUNCTION("GOOGLEFINANCE(A675, ""price"")"),1530.0)</f>
        <v>1530</v>
      </c>
      <c r="C675" s="7">
        <f>IFERROR(__xludf.DUMMYFUNCTION("GOOGLEFINANCE(A675, ""changepct"")"),0.48)</f>
        <v>0.48</v>
      </c>
      <c r="D675" s="9">
        <f>IFERROR(__xludf.DUMMYFUNCTION("GOOGLEFINANCE(A675, ""priceopen"")"),1527.2)</f>
        <v>1527.2</v>
      </c>
      <c r="E675" s="9">
        <f>IFERROR(__xludf.DUMMYFUNCTION("GOOGLEFINANCE(A675, ""high"")"),1545.0)</f>
        <v>1545</v>
      </c>
      <c r="F675" s="9">
        <f>IFERROR(__xludf.DUMMYFUNCTION("GOOGLEFINANCE(A675, ""low"")"),1510.0)</f>
        <v>1510</v>
      </c>
      <c r="G675" s="9">
        <f>IFERROR(__xludf.DUMMYFUNCTION("GOOGLEFINANCE(A675, ""price"")"),1530.0)</f>
        <v>1530</v>
      </c>
      <c r="H675" s="9">
        <f>IFERROR(__xludf.DUMMYFUNCTION("MAX(INDEX(GOOGLEFINANCE(A675, ""high"", TODAY()-30, TODAY()), 0, 2))"),1584.2)</f>
        <v>1584.2</v>
      </c>
      <c r="I675" s="9">
        <f>IFERROR(__xludf.DUMMYFUNCTION("MIN(INDEX(GOOGLEFINANCE(A675, ""low"", TODAY()-30, TODAY()), 0, 2))"),1425.5)</f>
        <v>1425.5</v>
      </c>
      <c r="J675" s="9">
        <f>IFERROR(__xludf.DUMMYFUNCTION("GOOGLEFINANCE(A675, ""high52"")"),2426.09)</f>
        <v>2426.09</v>
      </c>
      <c r="K675" s="9">
        <f>IFERROR(__xludf.DUMMYFUNCTION("GOOGLEFINANCE(A675, ""low52"")"),1404.0)</f>
        <v>1404</v>
      </c>
      <c r="L675" s="9">
        <f t="shared" si="1"/>
        <v>0.3693556298</v>
      </c>
      <c r="M675" s="9">
        <f t="shared" si="2"/>
        <v>0.08974358974</v>
      </c>
      <c r="N675" s="9">
        <f t="shared" si="3"/>
        <v>0.02317880795</v>
      </c>
      <c r="O675" s="9">
        <f t="shared" si="4"/>
        <v>0.6584751103</v>
      </c>
      <c r="P675" s="9">
        <f>IFERROR(__xludf.DUMMYFUNCTION("GOOGLEFINANCE(A675, ""pe"")"),28.44)</f>
        <v>28.44</v>
      </c>
      <c r="Q675" s="9">
        <f>IFERROR(__xludf.DUMMYFUNCTION("IFERROR(GOOGLEFINANCE(A675, ""volume"") / GOOGLEFINANCE(A675, ""volumeavg""), 0)"),0.0)</f>
        <v>0</v>
      </c>
      <c r="R675" s="9">
        <f>IFERROR(__xludf.DUMMYFUNCTION("AVERAGE(INDEX(GOOGLEFINANCE(A675, ""price"", TODAY()-30, TODAY()), 0, 2))"),1502.9478260869564)</f>
        <v>1502.947826</v>
      </c>
      <c r="S675" s="9">
        <f>IFERROR(__xludf.DUMMYFUNCTION("AVERAGE(INDEX(GOOGLEFINANCE(A675, ""price"", TODAY()-75, TODAY()), 0, 2))"),1570.360377358491)</f>
        <v>1570.360377</v>
      </c>
      <c r="T675" s="9">
        <f>IFERROR(__xludf.DUMMYFUNCTION("AVERAGE(INDEX(GOOGLEFINANCE(A675, ""price"", TODAY()-300, TODAY()), 0, 2))"),1733.7306930693073)</f>
        <v>1733.730693</v>
      </c>
      <c r="U675" s="9">
        <f t="shared" si="5"/>
        <v>0.01799940986</v>
      </c>
      <c r="V675" s="15">
        <f>IFERROR(__xludf.DUMMYFUNCTION("LET(hist, GOOGLEFINANCE(A675,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rs))))))"),68.06615776081429)</f>
        <v>68.06615776</v>
      </c>
      <c r="W675" s="16" t="str">
        <f>IFERROR(__xludf.DUMMYFUNCTION("IFERROR(GOOGLEFINANCE(A675, ""volume"") / GOOGLEFINANCE(A675, ""volumeavg""), )"),"")</f>
        <v/>
      </c>
      <c r="X675" s="9">
        <f>IFERROR(__xludf.DUMMYFUNCTION("B675 * GOOGLEFINANCE(A675, ""volume"")"),5.960268E7)</f>
        <v>59602680</v>
      </c>
      <c r="Y675" s="9">
        <f>IFERROR(__xludf.DUMMYFUNCTION("IFERROR(((B675 - GOOGLEFINANCE(A675, ""priceopen"")) / GOOGLEFINANCE(A675, ""priceopen"")) * GOOGLEFINANCE(A675, ""volume""), 0)"),71.4227344159234)</f>
        <v>71.42273442</v>
      </c>
    </row>
    <row r="676">
      <c r="A676" s="4" t="s">
        <v>2469</v>
      </c>
      <c r="B676" s="7">
        <f>IFERROR(__xludf.DUMMYFUNCTION("GOOGLEFINANCE(A676, ""price"")"),200.0)</f>
        <v>200</v>
      </c>
      <c r="C676" s="7">
        <f>IFERROR(__xludf.DUMMYFUNCTION("GOOGLEFINANCE(A676, ""changepct"")"),-1.98)</f>
        <v>-1.98</v>
      </c>
      <c r="D676" s="9">
        <f>IFERROR(__xludf.DUMMYFUNCTION("GOOGLEFINANCE(A676, ""priceopen"")"),203.5)</f>
        <v>203.5</v>
      </c>
      <c r="E676" s="9">
        <f>IFERROR(__xludf.DUMMYFUNCTION("GOOGLEFINANCE(A676, ""high"")"),203.5)</f>
        <v>203.5</v>
      </c>
      <c r="F676" s="9">
        <f>IFERROR(__xludf.DUMMYFUNCTION("GOOGLEFINANCE(A676, ""low"")"),190.11)</f>
        <v>190.11</v>
      </c>
      <c r="G676" s="9">
        <f>IFERROR(__xludf.DUMMYFUNCTION("GOOGLEFINANCE(A676, ""price"")"),200.0)</f>
        <v>200</v>
      </c>
      <c r="H676" s="9">
        <f>IFERROR(__xludf.DUMMYFUNCTION("MAX(INDEX(GOOGLEFINANCE(A676, ""high"", TODAY()-30, TODAY()), 0, 2))"),208.82)</f>
        <v>208.82</v>
      </c>
      <c r="I676" s="9">
        <f>IFERROR(__xludf.DUMMYFUNCTION("MIN(INDEX(GOOGLEFINANCE(A676, ""low"", TODAY()-30, TODAY()), 0, 2))"),190.11)</f>
        <v>190.11</v>
      </c>
      <c r="J676" s="9">
        <f>IFERROR(__xludf.DUMMYFUNCTION("GOOGLEFINANCE(A676, ""high52"")"),352.7)</f>
        <v>352.7</v>
      </c>
      <c r="K676" s="9">
        <f>IFERROR(__xludf.DUMMYFUNCTION("GOOGLEFINANCE(A676, ""low52"")"),188.1)</f>
        <v>188.1</v>
      </c>
      <c r="L676" s="9">
        <f t="shared" si="1"/>
        <v>0.4329458463</v>
      </c>
      <c r="M676" s="9">
        <f t="shared" si="2"/>
        <v>0.06326422116</v>
      </c>
      <c r="N676" s="9">
        <f t="shared" si="3"/>
        <v>0.07043290726</v>
      </c>
      <c r="O676" s="9">
        <f t="shared" si="4"/>
        <v>0.5285943346</v>
      </c>
      <c r="P676" s="9">
        <f>IFERROR(__xludf.DUMMYFUNCTION("GOOGLEFINANCE(A676, ""pe"")"),22.05)</f>
        <v>22.05</v>
      </c>
      <c r="Q676" s="9">
        <f>IFERROR(__xludf.DUMMYFUNCTION("IFERROR(GOOGLEFINANCE(A676, ""volume"") / GOOGLEFINANCE(A676, ""volumeavg""), 0)"),0.0)</f>
        <v>0</v>
      </c>
      <c r="R676" s="9">
        <f>IFERROR(__xludf.DUMMYFUNCTION("AVERAGE(INDEX(GOOGLEFINANCE(A676, ""price"", TODAY()-30, TODAY()), 0, 2))"),202.09130434782605)</f>
        <v>202.0913043</v>
      </c>
      <c r="S676" s="9">
        <f>IFERROR(__xludf.DUMMYFUNCTION("AVERAGE(INDEX(GOOGLEFINANCE(A676, ""price"", TODAY()-75, TODAY()), 0, 2))"),200.27000000000004)</f>
        <v>200.27</v>
      </c>
      <c r="T676" s="9">
        <f>IFERROR(__xludf.DUMMYFUNCTION("AVERAGE(INDEX(GOOGLEFINANCE(A676, ""price"", TODAY()-300, TODAY()), 0, 2))"),245.04480198019806)</f>
        <v>245.044802</v>
      </c>
      <c r="U676" s="9">
        <f t="shared" si="5"/>
        <v>-0.01034831437</v>
      </c>
      <c r="V676" s="15">
        <f>IFERROR(__xludf.DUMMYFUNCTION("LET(hist, GOOGLEFINANCE(A676,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rs))))))"),52.343750000000014)</f>
        <v>52.34375</v>
      </c>
      <c r="W676" s="16" t="str">
        <f>IFERROR(__xludf.DUMMYFUNCTION("IFERROR(GOOGLEFINANCE(A676, ""volume"") / GOOGLEFINANCE(A676, ""volumeavg""), )"),"")</f>
        <v/>
      </c>
      <c r="X676" s="9">
        <f>IFERROR(__xludf.DUMMYFUNCTION("B676 * GOOGLEFINANCE(A676, ""volume"")"),6.829378E8)</f>
        <v>682937800</v>
      </c>
      <c r="Y676" s="9">
        <f>IFERROR(__xludf.DUMMYFUNCTION("IFERROR(((B676 - GOOGLEFINANCE(A676, ""priceopen"")) / GOOGLEFINANCE(A676, ""priceopen"")) * GOOGLEFINANCE(A676, ""volume""), 0)"),-58729.29484029484)</f>
        <v>-58729.29484</v>
      </c>
    </row>
    <row r="677">
      <c r="A677" s="4" t="s">
        <v>2470</v>
      </c>
      <c r="B677" s="7">
        <f>IFERROR(__xludf.DUMMYFUNCTION("GOOGLEFINANCE(A677, ""price"")"),1335.0)</f>
        <v>1335</v>
      </c>
      <c r="C677" s="7">
        <f>IFERROR(__xludf.DUMMYFUNCTION("GOOGLEFINANCE(A677, ""changepct"")"),3.67)</f>
        <v>3.67</v>
      </c>
      <c r="D677" s="9">
        <f>IFERROR(__xludf.DUMMYFUNCTION("GOOGLEFINANCE(A677, ""priceopen"")"),1295.0)</f>
        <v>1295</v>
      </c>
      <c r="E677" s="9">
        <f>IFERROR(__xludf.DUMMYFUNCTION("GOOGLEFINANCE(A677, ""high"")"),1345.0)</f>
        <v>1345</v>
      </c>
      <c r="F677" s="9">
        <f>IFERROR(__xludf.DUMMYFUNCTION("GOOGLEFINANCE(A677, ""low"")"),1294.0)</f>
        <v>1294</v>
      </c>
      <c r="G677" s="9">
        <f>IFERROR(__xludf.DUMMYFUNCTION("GOOGLEFINANCE(A677, ""price"")"),1335.0)</f>
        <v>1335</v>
      </c>
      <c r="H677" s="9">
        <f>IFERROR(__xludf.DUMMYFUNCTION("MAX(INDEX(GOOGLEFINANCE(A677, ""high"", TODAY()-30, TODAY()), 0, 2))"),1345.0)</f>
        <v>1345</v>
      </c>
      <c r="I677" s="9">
        <f>IFERROR(__xludf.DUMMYFUNCTION("MIN(INDEX(GOOGLEFINANCE(A677, ""low"", TODAY()-30, TODAY()), 0, 2))"),1150.0)</f>
        <v>1150</v>
      </c>
      <c r="J677" s="9">
        <f>IFERROR(__xludf.DUMMYFUNCTION("GOOGLEFINANCE(A677, ""high52"")"),1405.0)</f>
        <v>1405</v>
      </c>
      <c r="K677" s="9">
        <f>IFERROR(__xludf.DUMMYFUNCTION("GOOGLEFINANCE(A677, ""low52"")"),589.8)</f>
        <v>589.8</v>
      </c>
      <c r="L677" s="9">
        <f t="shared" si="1"/>
        <v>0.04982206406</v>
      </c>
      <c r="M677" s="9">
        <f t="shared" si="2"/>
        <v>1.263479145</v>
      </c>
      <c r="N677" s="9">
        <f t="shared" si="3"/>
        <v>0.03941267388</v>
      </c>
      <c r="O677" s="9">
        <f t="shared" si="4"/>
        <v>0.9487179487</v>
      </c>
      <c r="P677" s="9">
        <f>IFERROR(__xludf.DUMMYFUNCTION("GOOGLEFINANCE(A677, ""pe"")"),108.54)</f>
        <v>108.54</v>
      </c>
      <c r="Q677" s="9">
        <f>IFERROR(__xludf.DUMMYFUNCTION("IFERROR(GOOGLEFINANCE(A677, ""volume"") / GOOGLEFINANCE(A677, ""volumeavg""), 0)"),0.0)</f>
        <v>0</v>
      </c>
      <c r="R677" s="9">
        <f>IFERROR(__xludf.DUMMYFUNCTION("AVERAGE(INDEX(GOOGLEFINANCE(A677, ""price"", TODAY()-30, TODAY()), 0, 2))"),1234.8782608695653)</f>
        <v>1234.878261</v>
      </c>
      <c r="S677" s="9">
        <f>IFERROR(__xludf.DUMMYFUNCTION("AVERAGE(INDEX(GOOGLEFINANCE(A677, ""price"", TODAY()-75, TODAY()), 0, 2))"),1219.143396226415)</f>
        <v>1219.143396</v>
      </c>
      <c r="T677" s="9">
        <f>IFERROR(__xludf.DUMMYFUNCTION("AVERAGE(INDEX(GOOGLEFINANCE(A677, ""price"", TODAY()-300, TODAY()), 0, 2))"),969.1069306930697)</f>
        <v>969.1069307</v>
      </c>
      <c r="U677" s="9">
        <f t="shared" si="5"/>
        <v>0.08107822633</v>
      </c>
      <c r="V677" s="15">
        <f>IFERROR(__xludf.DUMMYFUNCTION("LET(hist, GOOGLEFINANCE(A677,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rs))))))"),65.94292803970225)</f>
        <v>65.94292804</v>
      </c>
      <c r="W677" s="16" t="str">
        <f>IFERROR(__xludf.DUMMYFUNCTION("IFERROR(GOOGLEFINANCE(A677, ""volume"") / GOOGLEFINANCE(A677, ""volumeavg""), )"),"")</f>
        <v/>
      </c>
      <c r="X677" s="9">
        <f>IFERROR(__xludf.DUMMYFUNCTION("B677 * GOOGLEFINANCE(A677, ""volume"")"),4.555554E8)</f>
        <v>455555400</v>
      </c>
      <c r="Y677" s="9">
        <f>IFERROR(__xludf.DUMMYFUNCTION("IFERROR(((B677 - GOOGLEFINANCE(A677, ""priceopen"")) / GOOGLEFINANCE(A677, ""priceopen"")) * GOOGLEFINANCE(A677, ""volume""), 0)"),10540.23166023166)</f>
        <v>10540.23166</v>
      </c>
    </row>
    <row r="678">
      <c r="A678" s="4" t="s">
        <v>2471</v>
      </c>
      <c r="B678" s="7">
        <f>IFERROR(__xludf.DUMMYFUNCTION("GOOGLEFINANCE(A678, ""price"")"),509.0)</f>
        <v>509</v>
      </c>
      <c r="C678" s="7">
        <f>IFERROR(__xludf.DUMMYFUNCTION("GOOGLEFINANCE(A678, ""changepct"")"),-5.6)</f>
        <v>-5.6</v>
      </c>
      <c r="D678" s="9">
        <f>IFERROR(__xludf.DUMMYFUNCTION("GOOGLEFINANCE(A678, ""priceopen"")"),539.25)</f>
        <v>539.25</v>
      </c>
      <c r="E678" s="9">
        <f>IFERROR(__xludf.DUMMYFUNCTION("GOOGLEFINANCE(A678, ""high"")"),541.45)</f>
        <v>541.45</v>
      </c>
      <c r="F678" s="9">
        <f>IFERROR(__xludf.DUMMYFUNCTION("GOOGLEFINANCE(A678, ""low"")"),505.0)</f>
        <v>505</v>
      </c>
      <c r="G678" s="9">
        <f>IFERROR(__xludf.DUMMYFUNCTION("GOOGLEFINANCE(A678, ""price"")"),509.0)</f>
        <v>509</v>
      </c>
      <c r="H678" s="9">
        <f>IFERROR(__xludf.DUMMYFUNCTION("MAX(INDEX(GOOGLEFINANCE(A678, ""high"", TODAY()-30, TODAY()), 0, 2))"),612.35)</f>
        <v>612.35</v>
      </c>
      <c r="I678" s="9">
        <f>IFERROR(__xludf.DUMMYFUNCTION("MIN(INDEX(GOOGLEFINANCE(A678, ""low"", TODAY()-30, TODAY()), 0, 2))"),505.0)</f>
        <v>505</v>
      </c>
      <c r="J678" s="9">
        <f>IFERROR(__xludf.DUMMYFUNCTION("GOOGLEFINANCE(A678, ""high52"")"),849.5)</f>
        <v>849.5</v>
      </c>
      <c r="K678" s="9">
        <f>IFERROR(__xludf.DUMMYFUNCTION("GOOGLEFINANCE(A678, ""low52"")"),492.0)</f>
        <v>492</v>
      </c>
      <c r="L678" s="9">
        <f t="shared" si="1"/>
        <v>0.4008240141</v>
      </c>
      <c r="M678" s="9">
        <f t="shared" si="2"/>
        <v>0.03455284553</v>
      </c>
      <c r="N678" s="9">
        <f t="shared" si="3"/>
        <v>0.07217821782</v>
      </c>
      <c r="O678" s="9">
        <f t="shared" si="4"/>
        <v>0.03726129483</v>
      </c>
      <c r="P678" s="9">
        <f>IFERROR(__xludf.DUMMYFUNCTION("GOOGLEFINANCE(A678, ""pe"")"),28.58)</f>
        <v>28.58</v>
      </c>
      <c r="Q678" s="9">
        <f>IFERROR(__xludf.DUMMYFUNCTION("IFERROR(GOOGLEFINANCE(A678, ""volume"") / GOOGLEFINANCE(A678, ""volumeavg""), 0)"),0.0)</f>
        <v>0</v>
      </c>
      <c r="R678" s="9">
        <f>IFERROR(__xludf.DUMMYFUNCTION("AVERAGE(INDEX(GOOGLEFINANCE(A678, ""price"", TODAY()-30, TODAY()), 0, 2))"),568.3978260869567)</f>
        <v>568.3978261</v>
      </c>
      <c r="S678" s="9">
        <f>IFERROR(__xludf.DUMMYFUNCTION("AVERAGE(INDEX(GOOGLEFINANCE(A678, ""price"", TODAY()-75, TODAY()), 0, 2))"),581.2792452830189)</f>
        <v>581.2792453</v>
      </c>
      <c r="T678" s="9">
        <f>IFERROR(__xludf.DUMMYFUNCTION("AVERAGE(INDEX(GOOGLEFINANCE(A678, ""price"", TODAY()-300, TODAY()), 0, 2))"),657.3376237623761)</f>
        <v>657.3376238</v>
      </c>
      <c r="U678" s="9">
        <f t="shared" si="5"/>
        <v>-0.1045004456</v>
      </c>
      <c r="V678" s="15">
        <f>IFERROR(__xludf.DUMMYFUNCTION("LET(hist, GOOGLEFINANCE(A678,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rs))))))"),36.03238866396761)</f>
        <v>36.03238866</v>
      </c>
      <c r="W678" s="16" t="str">
        <f>IFERROR(__xludf.DUMMYFUNCTION("IFERROR(GOOGLEFINANCE(A678, ""volume"") / GOOGLEFINANCE(A678, ""volumeavg""), )"),"")</f>
        <v/>
      </c>
      <c r="X678" s="9">
        <f>IFERROR(__xludf.DUMMYFUNCTION("B678 * GOOGLEFINANCE(A678, ""volume"")"),4.52136556E8)</f>
        <v>452136556</v>
      </c>
      <c r="Y678" s="9">
        <f>IFERROR(__xludf.DUMMYFUNCTION("IFERROR(((B678 - GOOGLEFINANCE(A678, ""priceopen"")) / GOOGLEFINANCE(A678, ""priceopen"")) * GOOGLEFINANCE(A678, ""volume""), 0)"),-49829.56142790913)</f>
        <v>-49829.56143</v>
      </c>
    </row>
    <row r="679">
      <c r="A679" s="4" t="s">
        <v>2472</v>
      </c>
      <c r="B679" s="7">
        <f>IFERROR(__xludf.DUMMYFUNCTION("GOOGLEFINANCE(A679, ""price"")"),768.15)</f>
        <v>768.15</v>
      </c>
      <c r="C679" s="7">
        <f>IFERROR(__xludf.DUMMYFUNCTION("GOOGLEFINANCE(A679, ""changepct"")"),-2.32)</f>
        <v>-2.32</v>
      </c>
      <c r="D679" s="9">
        <f>IFERROR(__xludf.DUMMYFUNCTION("GOOGLEFINANCE(A679, ""priceopen"")"),786.4)</f>
        <v>786.4</v>
      </c>
      <c r="E679" s="9">
        <f>IFERROR(__xludf.DUMMYFUNCTION("GOOGLEFINANCE(A679, ""high"")"),789.35)</f>
        <v>789.35</v>
      </c>
      <c r="F679" s="9">
        <f>IFERROR(__xludf.DUMMYFUNCTION("GOOGLEFINANCE(A679, ""low"")"),765.0)</f>
        <v>765</v>
      </c>
      <c r="G679" s="9">
        <f>IFERROR(__xludf.DUMMYFUNCTION("GOOGLEFINANCE(A679, ""price"")"),768.15)</f>
        <v>768.15</v>
      </c>
      <c r="H679" s="9">
        <f>IFERROR(__xludf.DUMMYFUNCTION("MAX(INDEX(GOOGLEFINANCE(A679, ""high"", TODAY()-30, TODAY()), 0, 2))"),863.4)</f>
        <v>863.4</v>
      </c>
      <c r="I679" s="9">
        <f>IFERROR(__xludf.DUMMYFUNCTION("MIN(INDEX(GOOGLEFINANCE(A679, ""low"", TODAY()-30, TODAY()), 0, 2))"),708.4)</f>
        <v>708.4</v>
      </c>
      <c r="J679" s="9">
        <f>IFERROR(__xludf.DUMMYFUNCTION("GOOGLEFINANCE(A679, ""high52"")"),870.45)</f>
        <v>870.45</v>
      </c>
      <c r="K679" s="9">
        <f>IFERROR(__xludf.DUMMYFUNCTION("GOOGLEFINANCE(A679, ""low52"")"),579.75)</f>
        <v>579.75</v>
      </c>
      <c r="L679" s="9">
        <f t="shared" si="1"/>
        <v>0.1175254179</v>
      </c>
      <c r="M679" s="9">
        <f t="shared" si="2"/>
        <v>0.3249676585</v>
      </c>
      <c r="N679" s="9">
        <f t="shared" si="3"/>
        <v>0.03183006536</v>
      </c>
      <c r="O679" s="9">
        <f t="shared" si="4"/>
        <v>0.385483871</v>
      </c>
      <c r="P679" s="9">
        <f>IFERROR(__xludf.DUMMYFUNCTION("GOOGLEFINANCE(A679, ""pe"")"),36.22)</f>
        <v>36.22</v>
      </c>
      <c r="Q679" s="9">
        <f>IFERROR(__xludf.DUMMYFUNCTION("IFERROR(GOOGLEFINANCE(A679, ""volume"") / GOOGLEFINANCE(A679, ""volumeavg""), 0)"),0.0)</f>
        <v>0</v>
      </c>
      <c r="R679" s="9">
        <f>IFERROR(__xludf.DUMMYFUNCTION("AVERAGE(INDEX(GOOGLEFINANCE(A679, ""price"", TODAY()-30, TODAY()), 0, 2))"),765.9739130434783)</f>
        <v>765.973913</v>
      </c>
      <c r="S679" s="9">
        <f>IFERROR(__xludf.DUMMYFUNCTION("AVERAGE(INDEX(GOOGLEFINANCE(A679, ""price"", TODAY()-75, TODAY()), 0, 2))"),732.7377358490565)</f>
        <v>732.7377358</v>
      </c>
      <c r="T679" s="9">
        <f>IFERROR(__xludf.DUMMYFUNCTION("AVERAGE(INDEX(GOOGLEFINANCE(A679, ""price"", TODAY()-300, TODAY()), 0, 2))"),684.4059405940591)</f>
        <v>684.4059406</v>
      </c>
      <c r="U679" s="9">
        <f t="shared" si="5"/>
        <v>0.002840941342</v>
      </c>
      <c r="V679" s="15">
        <f>IFERROR(__xludf.DUMMYFUNCTION("LET(hist, GOOGLEFINANCE(A679,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rs))))))"),55.06726457399103)</f>
        <v>55.06726457</v>
      </c>
      <c r="W679" s="16" t="str">
        <f>IFERROR(__xludf.DUMMYFUNCTION("IFERROR(GOOGLEFINANCE(A679, ""volume"") / GOOGLEFINANCE(A679, ""volumeavg""), )"),"")</f>
        <v/>
      </c>
      <c r="X679" s="9">
        <f>IFERROR(__xludf.DUMMYFUNCTION("B679 * GOOGLEFINANCE(A679, ""volume"")"),3.913801065E7)</f>
        <v>39138010.65</v>
      </c>
      <c r="Y679" s="9">
        <f>IFERROR(__xludf.DUMMYFUNCTION("IFERROR(((B679 - GOOGLEFINANCE(A679, ""priceopen"")) / GOOGLEFINANCE(A679, ""priceopen"")) * GOOGLEFINANCE(A679, ""volume""), 0)"),-1182.4208418107835)</f>
        <v>-1182.420842</v>
      </c>
    </row>
    <row r="680">
      <c r="A680" s="4" t="s">
        <v>2473</v>
      </c>
      <c r="B680" s="7">
        <f>IFERROR(__xludf.DUMMYFUNCTION("GOOGLEFINANCE(A680, ""price"")"),150.49)</f>
        <v>150.49</v>
      </c>
      <c r="C680" s="7">
        <f>IFERROR(__xludf.DUMMYFUNCTION("GOOGLEFINANCE(A680, ""changepct"")"),1.59)</f>
        <v>1.59</v>
      </c>
      <c r="D680" s="9">
        <f>IFERROR(__xludf.DUMMYFUNCTION("GOOGLEFINANCE(A680, ""priceopen"")"),148.49)</f>
        <v>148.49</v>
      </c>
      <c r="E680" s="9">
        <f>IFERROR(__xludf.DUMMYFUNCTION("GOOGLEFINANCE(A680, ""high"")"),150.8)</f>
        <v>150.8</v>
      </c>
      <c r="F680" s="9">
        <f>IFERROR(__xludf.DUMMYFUNCTION("GOOGLEFINANCE(A680, ""low"")"),147.86)</f>
        <v>147.86</v>
      </c>
      <c r="G680" s="9">
        <f>IFERROR(__xludf.DUMMYFUNCTION("GOOGLEFINANCE(A680, ""price"")"),150.49)</f>
        <v>150.49</v>
      </c>
      <c r="H680" s="9">
        <f>IFERROR(__xludf.DUMMYFUNCTION("MAX(INDEX(GOOGLEFINANCE(A680, ""high"", TODAY()-30, TODAY()), 0, 2))"),155.89)</f>
        <v>155.89</v>
      </c>
      <c r="I680" s="9">
        <f>IFERROR(__xludf.DUMMYFUNCTION("MIN(INDEX(GOOGLEFINANCE(A680, ""low"", TODAY()-30, TODAY()), 0, 2))"),146.6)</f>
        <v>146.6</v>
      </c>
      <c r="J680" s="9">
        <f>IFERROR(__xludf.DUMMYFUNCTION("GOOGLEFINANCE(A680, ""high52"")"),200.09)</f>
        <v>200.09</v>
      </c>
      <c r="K680" s="9">
        <f>IFERROR(__xludf.DUMMYFUNCTION("GOOGLEFINANCE(A680, ""low52"")"),141.55)</f>
        <v>141.55</v>
      </c>
      <c r="L680" s="9">
        <f t="shared" si="1"/>
        <v>0.2478884502</v>
      </c>
      <c r="M680" s="9">
        <f t="shared" si="2"/>
        <v>0.06315789474</v>
      </c>
      <c r="N680" s="9">
        <f t="shared" si="3"/>
        <v>0.01988367375</v>
      </c>
      <c r="O680" s="9">
        <f t="shared" si="4"/>
        <v>0.418729817</v>
      </c>
      <c r="P680" s="9">
        <f>IFERROR(__xludf.DUMMYFUNCTION("GOOGLEFINANCE(A680, ""pe"")"),14.12)</f>
        <v>14.12</v>
      </c>
      <c r="Q680" s="9">
        <f>IFERROR(__xludf.DUMMYFUNCTION("IFERROR(GOOGLEFINANCE(A680, ""volume"") / GOOGLEFINANCE(A680, ""volumeavg""), 0)"),0.0)</f>
        <v>0</v>
      </c>
      <c r="R680" s="9">
        <f>IFERROR(__xludf.DUMMYFUNCTION("AVERAGE(INDEX(GOOGLEFINANCE(A680, ""price"", TODAY()-30, TODAY()), 0, 2))"),150.4517391304348)</f>
        <v>150.4517391</v>
      </c>
      <c r="S680" s="9">
        <f>IFERROR(__xludf.DUMMYFUNCTION("AVERAGE(INDEX(GOOGLEFINANCE(A680, ""price"", TODAY()-75, TODAY()), 0, 2))"),152.56150943396227)</f>
        <v>152.5615094</v>
      </c>
      <c r="T680" s="9">
        <f>IFERROR(__xludf.DUMMYFUNCTION("AVERAGE(INDEX(GOOGLEFINANCE(A680, ""price"", TODAY()-300, TODAY()), 0, 2))"),164.36742574257434)</f>
        <v>164.3674257</v>
      </c>
      <c r="U680" s="9">
        <f t="shared" si="5"/>
        <v>0.0002543065955</v>
      </c>
      <c r="V680" s="15">
        <f>IFERROR(__xludf.DUMMYFUNCTION("LET(hist, GOOGLEFINANCE(A680,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rs))))))"),60.0)</f>
        <v>60</v>
      </c>
      <c r="W680" s="16" t="str">
        <f>IFERROR(__xludf.DUMMYFUNCTION("IFERROR(GOOGLEFINANCE(A680, ""volume"") / GOOGLEFINANCE(A680, ""volumeavg""), )"),"")</f>
        <v/>
      </c>
      <c r="X680" s="9">
        <f>IFERROR(__xludf.DUMMYFUNCTION("B680 * GOOGLEFINANCE(A680, ""volume"")"),1.4850925062E8)</f>
        <v>148509250.6</v>
      </c>
      <c r="Y680" s="9">
        <f>IFERROR(__xludf.DUMMYFUNCTION("IFERROR(((B680 - GOOGLEFINANCE(A680, ""priceopen"")) / GOOGLEFINANCE(A680, ""priceopen"")) * GOOGLEFINANCE(A680, ""volume""), 0)"),13291.642534850831)</f>
        <v>13291.64253</v>
      </c>
    </row>
    <row r="681">
      <c r="A681" s="4" t="s">
        <v>2474</v>
      </c>
      <c r="B681" s="7">
        <f>IFERROR(__xludf.DUMMYFUNCTION("GOOGLEFINANCE(A681, ""price"")"),36.45)</f>
        <v>36.45</v>
      </c>
      <c r="C681" s="7">
        <f>IFERROR(__xludf.DUMMYFUNCTION("GOOGLEFINANCE(A681, ""changepct"")"),4.62)</f>
        <v>4.62</v>
      </c>
      <c r="D681" s="9">
        <f>IFERROR(__xludf.DUMMYFUNCTION("GOOGLEFINANCE(A681, ""priceopen"")"),34.85)</f>
        <v>34.85</v>
      </c>
      <c r="E681" s="9">
        <f>IFERROR(__xludf.DUMMYFUNCTION("GOOGLEFINANCE(A681, ""high"")"),36.75)</f>
        <v>36.75</v>
      </c>
      <c r="F681" s="9">
        <f>IFERROR(__xludf.DUMMYFUNCTION("GOOGLEFINANCE(A681, ""low"")"),34.24)</f>
        <v>34.24</v>
      </c>
      <c r="G681" s="9">
        <f>IFERROR(__xludf.DUMMYFUNCTION("GOOGLEFINANCE(A681, ""price"")"),36.45)</f>
        <v>36.45</v>
      </c>
      <c r="H681" s="9">
        <f>IFERROR(__xludf.DUMMYFUNCTION("MAX(INDEX(GOOGLEFINANCE(A681, ""high"", TODAY()-30, TODAY()), 0, 2))"),36.75)</f>
        <v>36.75</v>
      </c>
      <c r="I681" s="9">
        <f>IFERROR(__xludf.DUMMYFUNCTION("MIN(INDEX(GOOGLEFINANCE(A681, ""low"", TODAY()-30, TODAY()), 0, 2))"),30.13)</f>
        <v>30.13</v>
      </c>
      <c r="J681" s="9">
        <f>IFERROR(__xludf.DUMMYFUNCTION("GOOGLEFINANCE(A681, ""high52"")"),39.45)</f>
        <v>39.45</v>
      </c>
      <c r="K681" s="9">
        <f>IFERROR(__xludf.DUMMYFUNCTION("GOOGLEFINANCE(A681, ""low52"")"),22.24)</f>
        <v>22.24</v>
      </c>
      <c r="L681" s="9">
        <f t="shared" si="1"/>
        <v>0.07604562738</v>
      </c>
      <c r="M681" s="9">
        <f t="shared" si="2"/>
        <v>0.6389388489</v>
      </c>
      <c r="N681" s="9">
        <f t="shared" si="3"/>
        <v>0.07330607477</v>
      </c>
      <c r="O681" s="9">
        <f t="shared" si="4"/>
        <v>0.9546827795</v>
      </c>
      <c r="P681" s="9" t="str">
        <f>IFERROR(__xludf.DUMMYFUNCTION("GOOGLEFINANCE(A681, ""pe"")"),"#N/A")</f>
        <v>#N/A</v>
      </c>
      <c r="Q681" s="9">
        <f>IFERROR(__xludf.DUMMYFUNCTION("IFERROR(GOOGLEFINANCE(A681, ""volume"") / GOOGLEFINANCE(A681, ""volumeavg""), 0)"),0.0)</f>
        <v>0</v>
      </c>
      <c r="R681" s="9">
        <f>IFERROR(__xludf.DUMMYFUNCTION("AVERAGE(INDEX(GOOGLEFINANCE(A681, ""price"", TODAY()-30, TODAY()), 0, 2))"),32.830000000000005)</f>
        <v>32.83</v>
      </c>
      <c r="S681" s="9">
        <f>IFERROR(__xludf.DUMMYFUNCTION("AVERAGE(INDEX(GOOGLEFINANCE(A681, ""price"", TODAY()-75, TODAY()), 0, 2))"),33.43622641509434)</f>
        <v>33.43622642</v>
      </c>
      <c r="T681" s="9">
        <f>IFERROR(__xludf.DUMMYFUNCTION("AVERAGE(INDEX(GOOGLEFINANCE(A681, ""price"", TODAY()-300, TODAY()), 0, 2))"),29.431083333333337)</f>
        <v>29.43108333</v>
      </c>
      <c r="U681" s="9">
        <f t="shared" si="5"/>
        <v>0.1102650015</v>
      </c>
      <c r="V681" s="15">
        <f>IFERROR(__xludf.DUMMYFUNCTION("LET(hist, GOOGLEFINANCE(A681,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rs))))))"),72.72727272727275)</f>
        <v>72.72727273</v>
      </c>
      <c r="W681" s="16" t="str">
        <f>IFERROR(__xludf.DUMMYFUNCTION("IFERROR(GOOGLEFINANCE(A681, ""volume"") / GOOGLEFINANCE(A681, ""volumeavg""), )"),"")</f>
        <v/>
      </c>
      <c r="X681" s="9">
        <f>IFERROR(__xludf.DUMMYFUNCTION("B681 * GOOGLEFINANCE(A681, ""volume"")"),1.22342715495E9)</f>
        <v>1223427155</v>
      </c>
      <c r="Y681" s="9">
        <f>IFERROR(__xludf.DUMMYFUNCTION("IFERROR(((B681 - GOOGLEFINANCE(A681, ""priceopen"")) / GOOGLEFINANCE(A681, ""priceopen"")) * GOOGLEFINANCE(A681, ""volume""), 0)"),1540982.7718794846)</f>
        <v>1540982.772</v>
      </c>
    </row>
    <row r="682">
      <c r="A682" s="4" t="s">
        <v>2475</v>
      </c>
      <c r="B682" s="7">
        <f>IFERROR(__xludf.DUMMYFUNCTION("GOOGLEFINANCE(A682, ""price"")"),691.95)</f>
        <v>691.95</v>
      </c>
      <c r="C682" s="7">
        <f>IFERROR(__xludf.DUMMYFUNCTION("GOOGLEFINANCE(A682, ""changepct"")"),-11.09)</f>
        <v>-11.09</v>
      </c>
      <c r="D682" s="9">
        <f>IFERROR(__xludf.DUMMYFUNCTION("GOOGLEFINANCE(A682, ""priceopen"")"),711.0)</f>
        <v>711</v>
      </c>
      <c r="E682" s="9">
        <f>IFERROR(__xludf.DUMMYFUNCTION("GOOGLEFINANCE(A682, ""high"")"),725.2)</f>
        <v>725.2</v>
      </c>
      <c r="F682" s="9">
        <f>IFERROR(__xludf.DUMMYFUNCTION("GOOGLEFINANCE(A682, ""low"")"),640.7)</f>
        <v>640.7</v>
      </c>
      <c r="G682" s="9">
        <f>IFERROR(__xludf.DUMMYFUNCTION("GOOGLEFINANCE(A682, ""price"")"),691.95)</f>
        <v>691.95</v>
      </c>
      <c r="H682" s="9">
        <f>IFERROR(__xludf.DUMMYFUNCTION("MAX(INDEX(GOOGLEFINANCE(A682, ""high"", TODAY()-30, TODAY()), 0, 2))"),809.7)</f>
        <v>809.7</v>
      </c>
      <c r="I682" s="9">
        <f>IFERROR(__xludf.DUMMYFUNCTION("MIN(INDEX(GOOGLEFINANCE(A682, ""low"", TODAY()-30, TODAY()), 0, 2))"),640.7)</f>
        <v>640.7</v>
      </c>
      <c r="J682" s="9">
        <f>IFERROR(__xludf.DUMMYFUNCTION("GOOGLEFINANCE(A682, ""high52"")"),809.7)</f>
        <v>809.7</v>
      </c>
      <c r="K682" s="9">
        <f>IFERROR(__xludf.DUMMYFUNCTION("GOOGLEFINANCE(A682, ""low52"")"),515.0)</f>
        <v>515</v>
      </c>
      <c r="L682" s="9">
        <f t="shared" si="1"/>
        <v>0.1454242312</v>
      </c>
      <c r="M682" s="9">
        <f t="shared" si="2"/>
        <v>0.343592233</v>
      </c>
      <c r="N682" s="9">
        <f t="shared" si="3"/>
        <v>0.1318869986</v>
      </c>
      <c r="O682" s="9">
        <f t="shared" si="4"/>
        <v>0.3032544379</v>
      </c>
      <c r="P682" s="9">
        <f>IFERROR(__xludf.DUMMYFUNCTION("GOOGLEFINANCE(A682, ""pe"")"),48.69)</f>
        <v>48.69</v>
      </c>
      <c r="Q682" s="9">
        <f>IFERROR(__xludf.DUMMYFUNCTION("IFERROR(GOOGLEFINANCE(A682, ""volume"") / GOOGLEFINANCE(A682, ""volumeavg""), 0)"),0.0)</f>
        <v>0</v>
      </c>
      <c r="R682" s="9">
        <f>IFERROR(__xludf.DUMMYFUNCTION("AVERAGE(INDEX(GOOGLEFINANCE(A682, ""price"", TODAY()-30, TODAY()), 0, 2))"),742.0282608695653)</f>
        <v>742.0282609</v>
      </c>
      <c r="S682" s="9">
        <f>IFERROR(__xludf.DUMMYFUNCTION("AVERAGE(INDEX(GOOGLEFINANCE(A682, ""price"", TODAY()-75, TODAY()), 0, 2))"),658.1198113207548)</f>
        <v>658.1198113</v>
      </c>
      <c r="T682" s="9">
        <f>IFERROR(__xludf.DUMMYFUNCTION("AVERAGE(INDEX(GOOGLEFINANCE(A682, ""price"", TODAY()-300, TODAY()), 0, 2))"),608.8576732673266)</f>
        <v>608.8576733</v>
      </c>
      <c r="U682" s="9">
        <f t="shared" si="5"/>
        <v>-0.06748834716</v>
      </c>
      <c r="V682" s="15">
        <f>IFERROR(__xludf.DUMMYFUNCTION("LET(hist, GOOGLEFINANCE(A682,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rs))))))"),42.226117440841364)</f>
        <v>42.22611744</v>
      </c>
      <c r="W682" s="16" t="str">
        <f>IFERROR(__xludf.DUMMYFUNCTION("IFERROR(GOOGLEFINANCE(A682, ""volume"") / GOOGLEFINANCE(A682, ""volumeavg""), )"),"")</f>
        <v/>
      </c>
      <c r="X682" s="9">
        <f>IFERROR(__xludf.DUMMYFUNCTION("B682 * GOOGLEFINANCE(A682, ""volume"")"),2.2261456917000003E9)</f>
        <v>2226145692</v>
      </c>
      <c r="Y682" s="9">
        <f>IFERROR(__xludf.DUMMYFUNCTION("IFERROR(((B682 - GOOGLEFINANCE(A682, ""priceopen"")) / GOOGLEFINANCE(A682, ""priceopen"")) * GOOGLEFINANCE(A682, ""volume""), 0)"),-86199.40126582258)</f>
        <v>-86199.40127</v>
      </c>
    </row>
    <row r="683">
      <c r="A683" s="4" t="s">
        <v>2476</v>
      </c>
      <c r="B683" s="7">
        <f>IFERROR(__xludf.DUMMYFUNCTION("GOOGLEFINANCE(A683, ""price"")"),571.9)</f>
        <v>571.9</v>
      </c>
      <c r="C683" s="7">
        <f>IFERROR(__xludf.DUMMYFUNCTION("GOOGLEFINANCE(A683, ""changepct"")"),-4.4)</f>
        <v>-4.4</v>
      </c>
      <c r="D683" s="9">
        <f>IFERROR(__xludf.DUMMYFUNCTION("GOOGLEFINANCE(A683, ""priceopen"")"),601.0)</f>
        <v>601</v>
      </c>
      <c r="E683" s="9">
        <f>IFERROR(__xludf.DUMMYFUNCTION("GOOGLEFINANCE(A683, ""high"")"),606.0)</f>
        <v>606</v>
      </c>
      <c r="F683" s="9">
        <f>IFERROR(__xludf.DUMMYFUNCTION("GOOGLEFINANCE(A683, ""low"")"),565.0)</f>
        <v>565</v>
      </c>
      <c r="G683" s="9">
        <f>IFERROR(__xludf.DUMMYFUNCTION("GOOGLEFINANCE(A683, ""price"")"),571.9)</f>
        <v>571.9</v>
      </c>
      <c r="H683" s="9">
        <f>IFERROR(__xludf.DUMMYFUNCTION("MAX(INDEX(GOOGLEFINANCE(A683, ""high"", TODAY()-30, TODAY()), 0, 2))"),764.85)</f>
        <v>764.85</v>
      </c>
      <c r="I683" s="9">
        <f>IFERROR(__xludf.DUMMYFUNCTION("MIN(INDEX(GOOGLEFINANCE(A683, ""low"", TODAY()-30, TODAY()), 0, 2))"),510.4)</f>
        <v>510.4</v>
      </c>
      <c r="J683" s="9">
        <f>IFERROR(__xludf.DUMMYFUNCTION("GOOGLEFINANCE(A683, ""high52"")"),764.85)</f>
        <v>764.85</v>
      </c>
      <c r="K683" s="9">
        <f>IFERROR(__xludf.DUMMYFUNCTION("GOOGLEFINANCE(A683, ""low52"")"),176.25)</f>
        <v>176.25</v>
      </c>
      <c r="L683" s="9">
        <f t="shared" si="1"/>
        <v>0.2522716873</v>
      </c>
      <c r="M683" s="9">
        <f t="shared" si="2"/>
        <v>2.244822695</v>
      </c>
      <c r="N683" s="9">
        <f t="shared" si="3"/>
        <v>0.07256637168</v>
      </c>
      <c r="O683" s="9">
        <f t="shared" si="4"/>
        <v>0.2416977795</v>
      </c>
      <c r="P683" s="9">
        <f>IFERROR(__xludf.DUMMYFUNCTION("GOOGLEFINANCE(A683, ""pe"")"),76.77)</f>
        <v>76.77</v>
      </c>
      <c r="Q683" s="9">
        <f>IFERROR(__xludf.DUMMYFUNCTION("IFERROR(GOOGLEFINANCE(A683, ""volume"") / GOOGLEFINANCE(A683, ""volumeavg""), 0)"),0.0)</f>
        <v>0</v>
      </c>
      <c r="R683" s="9">
        <f>IFERROR(__xludf.DUMMYFUNCTION("AVERAGE(INDEX(GOOGLEFINANCE(A683, ""price"", TODAY()-30, TODAY()), 0, 2))"),589.8478260869565)</f>
        <v>589.8478261</v>
      </c>
      <c r="S683" s="9">
        <f>IFERROR(__xludf.DUMMYFUNCTION("AVERAGE(INDEX(GOOGLEFINANCE(A683, ""price"", TODAY()-75, TODAY()), 0, 2))"),540.0443396226414)</f>
        <v>540.0443396</v>
      </c>
      <c r="T683" s="9">
        <f>IFERROR(__xludf.DUMMYFUNCTION("AVERAGE(INDEX(GOOGLEFINANCE(A683, ""price"", TODAY()-300, TODAY()), 0, 2))"),434.6783333333335)</f>
        <v>434.6783333</v>
      </c>
      <c r="U683" s="9">
        <f t="shared" si="5"/>
        <v>-0.03042789223</v>
      </c>
      <c r="V683" s="15">
        <f>IFERROR(__xludf.DUMMYFUNCTION("LET(hist, GOOGLEFINANCE(A683,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rs))))))"),48.05799555508519)</f>
        <v>48.05799556</v>
      </c>
      <c r="W683" s="16" t="str">
        <f>IFERROR(__xludf.DUMMYFUNCTION("IFERROR(GOOGLEFINANCE(A683, ""volume"") / GOOGLEFINANCE(A683, ""volumeavg""), )"),"")</f>
        <v/>
      </c>
      <c r="X683" s="9">
        <f>IFERROR(__xludf.DUMMYFUNCTION("B683 * GOOGLEFINANCE(A683, ""volume"")"),8.221662995E8)</f>
        <v>822166299.5</v>
      </c>
      <c r="Y683" s="9">
        <f>IFERROR(__xludf.DUMMYFUNCTION("IFERROR(((B683 - GOOGLEFINANCE(A683, ""priceopen"")) / GOOGLEFINANCE(A683, ""priceopen"")) * GOOGLEFINANCE(A683, ""volume""), 0)"),-69607.82945091519)</f>
        <v>-69607.82945</v>
      </c>
    </row>
    <row r="684">
      <c r="A684" s="4" t="s">
        <v>2477</v>
      </c>
      <c r="B684" s="7">
        <f>IFERROR(__xludf.DUMMYFUNCTION("GOOGLEFINANCE(A684, ""price"")"),913.0)</f>
        <v>913</v>
      </c>
      <c r="C684" s="7">
        <f>IFERROR(__xludf.DUMMYFUNCTION("GOOGLEFINANCE(A684, ""changepct"")"),-2.39)</f>
        <v>-2.39</v>
      </c>
      <c r="D684" s="9">
        <f>IFERROR(__xludf.DUMMYFUNCTION("GOOGLEFINANCE(A684, ""priceopen"")"),930.7)</f>
        <v>930.7</v>
      </c>
      <c r="E684" s="9">
        <f>IFERROR(__xludf.DUMMYFUNCTION("GOOGLEFINANCE(A684, ""high"")"),932.95)</f>
        <v>932.95</v>
      </c>
      <c r="F684" s="9">
        <f>IFERROR(__xludf.DUMMYFUNCTION("GOOGLEFINANCE(A684, ""low"")"),910.0)</f>
        <v>910</v>
      </c>
      <c r="G684" s="9">
        <f>IFERROR(__xludf.DUMMYFUNCTION("GOOGLEFINANCE(A684, ""price"")"),913.0)</f>
        <v>913</v>
      </c>
      <c r="H684" s="9">
        <f>IFERROR(__xludf.DUMMYFUNCTION("MAX(INDEX(GOOGLEFINANCE(A684, ""high"", TODAY()-30, TODAY()), 0, 2))"),954.9)</f>
        <v>954.9</v>
      </c>
      <c r="I684" s="9">
        <f>IFERROR(__xludf.DUMMYFUNCTION("MIN(INDEX(GOOGLEFINANCE(A684, ""low"", TODAY()-30, TODAY()), 0, 2))"),901.0)</f>
        <v>901</v>
      </c>
      <c r="J684" s="9">
        <f>IFERROR(__xludf.DUMMYFUNCTION("GOOGLEFINANCE(A684, ""high52"")"),1242.0)</f>
        <v>1242</v>
      </c>
      <c r="K684" s="9">
        <f>IFERROR(__xludf.DUMMYFUNCTION("GOOGLEFINANCE(A684, ""low52"")"),868.05)</f>
        <v>868.05</v>
      </c>
      <c r="L684" s="9">
        <f t="shared" si="1"/>
        <v>0.2648953301</v>
      </c>
      <c r="M684" s="9">
        <f t="shared" si="2"/>
        <v>0.05178273141</v>
      </c>
      <c r="N684" s="9">
        <f t="shared" si="3"/>
        <v>0.02521978022</v>
      </c>
      <c r="O684" s="9">
        <f t="shared" si="4"/>
        <v>0.2226345083</v>
      </c>
      <c r="P684" s="9">
        <f>IFERROR(__xludf.DUMMYFUNCTION("GOOGLEFINANCE(A684, ""pe"")"),15.4)</f>
        <v>15.4</v>
      </c>
      <c r="Q684" s="9">
        <f>IFERROR(__xludf.DUMMYFUNCTION("IFERROR(GOOGLEFINANCE(A684, ""volume"") / GOOGLEFINANCE(A684, ""volumeavg""), 0)"),0.0)</f>
        <v>0</v>
      </c>
      <c r="R684" s="9">
        <f>IFERROR(__xludf.DUMMYFUNCTION("AVERAGE(INDEX(GOOGLEFINANCE(A684, ""price"", TODAY()-30, TODAY()), 0, 2))"),926.4130434782608)</f>
        <v>926.4130435</v>
      </c>
      <c r="S684" s="9">
        <f>IFERROR(__xludf.DUMMYFUNCTION("AVERAGE(INDEX(GOOGLEFINANCE(A684, ""price"", TODAY()-75, TODAY()), 0, 2))"),931.9094339622641)</f>
        <v>931.909434</v>
      </c>
      <c r="T684" s="9">
        <f>IFERROR(__xludf.DUMMYFUNCTION("AVERAGE(INDEX(GOOGLEFINANCE(A684, ""price"", TODAY()-300, TODAY()), 0, 2))"),1006.5445544554457)</f>
        <v>1006.544554</v>
      </c>
      <c r="U684" s="9">
        <f t="shared" si="5"/>
        <v>-0.01447847002</v>
      </c>
      <c r="V684" s="15">
        <f>IFERROR(__xludf.DUMMYFUNCTION("LET(hist, GOOGLEFINANCE(A684,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rs))))))"),44.30598823122186)</f>
        <v>44.30598823</v>
      </c>
      <c r="W684" s="16" t="str">
        <f>IFERROR(__xludf.DUMMYFUNCTION("IFERROR(GOOGLEFINANCE(A684, ""volume"") / GOOGLEFINANCE(A684, ""volumeavg""), )"),"")</f>
        <v/>
      </c>
      <c r="X684" s="9">
        <f>IFERROR(__xludf.DUMMYFUNCTION("B684 * GOOGLEFINANCE(A684, ""volume"")"),1.9804796E7)</f>
        <v>19804796</v>
      </c>
      <c r="Y684" s="9">
        <f>IFERROR(__xludf.DUMMYFUNCTION("IFERROR(((B684 - GOOGLEFINANCE(A684, ""priceopen"")) / GOOGLEFINANCE(A684, ""priceopen"")) * GOOGLEFINANCE(A684, ""volume""), 0)"),-412.537230041905)</f>
        <v>-412.53723</v>
      </c>
    </row>
    <row r="685">
      <c r="A685" s="4" t="s">
        <v>2478</v>
      </c>
      <c r="B685" s="7">
        <f>IFERROR(__xludf.DUMMYFUNCTION("GOOGLEFINANCE(A685, ""price"")"),241.96)</f>
        <v>241.96</v>
      </c>
      <c r="C685" s="7">
        <f>IFERROR(__xludf.DUMMYFUNCTION("GOOGLEFINANCE(A685, ""changepct"")"),2.62)</f>
        <v>2.62</v>
      </c>
      <c r="D685" s="9">
        <f>IFERROR(__xludf.DUMMYFUNCTION("GOOGLEFINANCE(A685, ""priceopen"")"),244.27)</f>
        <v>244.27</v>
      </c>
      <c r="E685" s="9">
        <f>IFERROR(__xludf.DUMMYFUNCTION("GOOGLEFINANCE(A685, ""high"")"),259.83)</f>
        <v>259.83</v>
      </c>
      <c r="F685" s="9">
        <f>IFERROR(__xludf.DUMMYFUNCTION("GOOGLEFINANCE(A685, ""low"")"),236.29)</f>
        <v>236.29</v>
      </c>
      <c r="G685" s="9">
        <f>IFERROR(__xludf.DUMMYFUNCTION("GOOGLEFINANCE(A685, ""price"")"),241.96)</f>
        <v>241.96</v>
      </c>
      <c r="H685" s="9">
        <f>IFERROR(__xludf.DUMMYFUNCTION("MAX(INDEX(GOOGLEFINANCE(A685, ""high"", TODAY()-30, TODAY()), 0, 2))"),259.83)</f>
        <v>259.83</v>
      </c>
      <c r="I685" s="9">
        <f>IFERROR(__xludf.DUMMYFUNCTION("MIN(INDEX(GOOGLEFINANCE(A685, ""low"", TODAY()-30, TODAY()), 0, 2))"),221.24)</f>
        <v>221.24</v>
      </c>
      <c r="J685" s="9">
        <f>IFERROR(__xludf.DUMMYFUNCTION("GOOGLEFINANCE(A685, ""high52"")"),259.83)</f>
        <v>259.83</v>
      </c>
      <c r="K685" s="9">
        <f>IFERROR(__xludf.DUMMYFUNCTION("GOOGLEFINANCE(A685, ""low52"")"),176.4)</f>
        <v>176.4</v>
      </c>
      <c r="L685" s="9">
        <f t="shared" si="1"/>
        <v>0.06877573798</v>
      </c>
      <c r="M685" s="9">
        <f t="shared" si="2"/>
        <v>0.3716553288</v>
      </c>
      <c r="N685" s="9">
        <f t="shared" si="3"/>
        <v>0.0996233442</v>
      </c>
      <c r="O685" s="9">
        <f t="shared" si="4"/>
        <v>0.5369266649</v>
      </c>
      <c r="P685" s="9">
        <f>IFERROR(__xludf.DUMMYFUNCTION("GOOGLEFINANCE(A685, ""pe"")"),19.95)</f>
        <v>19.95</v>
      </c>
      <c r="Q685" s="9">
        <f>IFERROR(__xludf.DUMMYFUNCTION("IFERROR(GOOGLEFINANCE(A685, ""volume"") / GOOGLEFINANCE(A685, ""volumeavg""), 0)"),0.0)</f>
        <v>0</v>
      </c>
      <c r="R685" s="9">
        <f>IFERROR(__xludf.DUMMYFUNCTION("AVERAGE(INDEX(GOOGLEFINANCE(A685, ""price"", TODAY()-30, TODAY()), 0, 2))"),233.4460869565217)</f>
        <v>233.446087</v>
      </c>
      <c r="S685" s="9">
        <f>IFERROR(__xludf.DUMMYFUNCTION("AVERAGE(INDEX(GOOGLEFINANCE(A685, ""price"", TODAY()-75, TODAY()), 0, 2))"),229.2422641509434)</f>
        <v>229.2422642</v>
      </c>
      <c r="T685" s="9">
        <f>IFERROR(__xludf.DUMMYFUNCTION("AVERAGE(INDEX(GOOGLEFINANCE(A685, ""price"", TODAY()-300, TODAY()), 0, 2))"),215.21393034825874)</f>
        <v>215.2139303</v>
      </c>
      <c r="U685" s="9">
        <f t="shared" si="5"/>
        <v>0.03647057509</v>
      </c>
      <c r="V685" s="15">
        <f>IFERROR(__xludf.DUMMYFUNCTION("LET(hist, GOOGLEFINANCE(A685,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rs))))))"),59.78220745662605)</f>
        <v>59.78220746</v>
      </c>
      <c r="W685" s="16" t="str">
        <f>IFERROR(__xludf.DUMMYFUNCTION("IFERROR(GOOGLEFINANCE(A685, ""volume"") / GOOGLEFINANCE(A685, ""volumeavg""), )"),"")</f>
        <v/>
      </c>
      <c r="X685" s="9">
        <f>IFERROR(__xludf.DUMMYFUNCTION("B685 * GOOGLEFINANCE(A685, ""volume"")"),3.71541678E9)</f>
        <v>3715416780</v>
      </c>
      <c r="Y685" s="9">
        <f>IFERROR(__xludf.DUMMYFUNCTION("IFERROR(((B685 - GOOGLEFINANCE(A685, ""priceopen"")) / GOOGLEFINANCE(A685, ""priceopen"")) * GOOGLEFINANCE(A685, ""volume""), 0)"),-145213.10435174205)</f>
        <v>-145213.1044</v>
      </c>
    </row>
    <row r="686">
      <c r="A686" s="4" t="s">
        <v>2479</v>
      </c>
      <c r="B686" s="7">
        <f>IFERROR(__xludf.DUMMYFUNCTION("GOOGLEFINANCE(A686, ""price"")"),5958.0)</f>
        <v>5958</v>
      </c>
      <c r="C686" s="7">
        <f>IFERROR(__xludf.DUMMYFUNCTION("GOOGLEFINANCE(A686, ""changepct"")"),4.38)</f>
        <v>4.38</v>
      </c>
      <c r="D686" s="9">
        <f>IFERROR(__xludf.DUMMYFUNCTION("GOOGLEFINANCE(A686, ""priceopen"")"),5730.0)</f>
        <v>5730</v>
      </c>
      <c r="E686" s="9">
        <f>IFERROR(__xludf.DUMMYFUNCTION("GOOGLEFINANCE(A686, ""high"")"),6077.0)</f>
        <v>6077</v>
      </c>
      <c r="F686" s="9">
        <f>IFERROR(__xludf.DUMMYFUNCTION("GOOGLEFINANCE(A686, ""low"")"),5720.0)</f>
        <v>5720</v>
      </c>
      <c r="G686" s="9">
        <f>IFERROR(__xludf.DUMMYFUNCTION("GOOGLEFINANCE(A686, ""price"")"),5958.0)</f>
        <v>5958</v>
      </c>
      <c r="H686" s="9">
        <f>IFERROR(__xludf.DUMMYFUNCTION("MAX(INDEX(GOOGLEFINANCE(A686, ""high"", TODAY()-30, TODAY()), 0, 2))"),6077.0)</f>
        <v>6077</v>
      </c>
      <c r="I686" s="9">
        <f>IFERROR(__xludf.DUMMYFUNCTION("MIN(INDEX(GOOGLEFINANCE(A686, ""low"", TODAY()-30, TODAY()), 0, 2))"),4891.0)</f>
        <v>4891</v>
      </c>
      <c r="J686" s="9">
        <f>IFERROR(__xludf.DUMMYFUNCTION("GOOGLEFINANCE(A686, ""high52"")"),6077.0)</f>
        <v>6077</v>
      </c>
      <c r="K686" s="9">
        <f>IFERROR(__xludf.DUMMYFUNCTION("GOOGLEFINANCE(A686, ""low52"")"),3495.3)</f>
        <v>3495.3</v>
      </c>
      <c r="L686" s="9">
        <f t="shared" si="1"/>
        <v>0.01958203061</v>
      </c>
      <c r="M686" s="9">
        <f t="shared" si="2"/>
        <v>0.7045747146</v>
      </c>
      <c r="N686" s="9">
        <f t="shared" si="3"/>
        <v>0.06241258741</v>
      </c>
      <c r="O686" s="9">
        <f t="shared" si="4"/>
        <v>0.8996627319</v>
      </c>
      <c r="P686" s="9">
        <f>IFERROR(__xludf.DUMMYFUNCTION("GOOGLEFINANCE(A686, ""pe"")"),41.35)</f>
        <v>41.35</v>
      </c>
      <c r="Q686" s="9">
        <f>IFERROR(__xludf.DUMMYFUNCTION("IFERROR(GOOGLEFINANCE(A686, ""volume"") / GOOGLEFINANCE(A686, ""volumeavg""), 0)"),0.0)</f>
        <v>0</v>
      </c>
      <c r="R686" s="9">
        <f>IFERROR(__xludf.DUMMYFUNCTION("AVERAGE(INDEX(GOOGLEFINANCE(A686, ""price"", TODAY()-30, TODAY()), 0, 2))"),5219.021739130435)</f>
        <v>5219.021739</v>
      </c>
      <c r="S686" s="9">
        <f>IFERROR(__xludf.DUMMYFUNCTION("AVERAGE(INDEX(GOOGLEFINANCE(A686, ""price"", TODAY()-75, TODAY()), 0, 2))"),5179.564150943396)</f>
        <v>5179.564151</v>
      </c>
      <c r="T686" s="9">
        <f>IFERROR(__xludf.DUMMYFUNCTION("AVERAGE(INDEX(GOOGLEFINANCE(A686, ""price"", TODAY()-300, TODAY()), 0, 2))"),4608.154950495049)</f>
        <v>4608.15495</v>
      </c>
      <c r="U686" s="9">
        <f t="shared" si="5"/>
        <v>0.1415932521</v>
      </c>
      <c r="V686" s="15">
        <f>IFERROR(__xludf.DUMMYFUNCTION("LET(hist, GOOGLEFINANCE(A686,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rs))))))"),81.09653548604103)</f>
        <v>81.09653549</v>
      </c>
      <c r="W686" s="16" t="str">
        <f>IFERROR(__xludf.DUMMYFUNCTION("IFERROR(GOOGLEFINANCE(A686, ""volume"") / GOOGLEFINANCE(A686, ""volumeavg""), )"),"")</f>
        <v/>
      </c>
      <c r="X686" s="9">
        <f>IFERROR(__xludf.DUMMYFUNCTION("B686 * GOOGLEFINANCE(A686, ""volume"")"),3.17334996E8)</f>
        <v>317334996</v>
      </c>
      <c r="Y686" s="9">
        <f>IFERROR(__xludf.DUMMYFUNCTION("IFERROR(((B686 - GOOGLEFINANCE(A686, ""priceopen"")) / GOOGLEFINANCE(A686, ""priceopen"")) * GOOGLEFINANCE(A686, ""volume""), 0)"),2119.3256544502615)</f>
        <v>2119.325654</v>
      </c>
    </row>
    <row r="687">
      <c r="A687" s="4" t="s">
        <v>2480</v>
      </c>
      <c r="B687" s="7">
        <f>IFERROR(__xludf.DUMMYFUNCTION("GOOGLEFINANCE(A687, ""price"")"),386.25)</f>
        <v>386.25</v>
      </c>
      <c r="C687" s="7">
        <f>IFERROR(__xludf.DUMMYFUNCTION("GOOGLEFINANCE(A687, ""changepct"")"),-1.13)</f>
        <v>-1.13</v>
      </c>
      <c r="D687" s="9">
        <f>IFERROR(__xludf.DUMMYFUNCTION("GOOGLEFINANCE(A687, ""priceopen"")"),391.9)</f>
        <v>391.9</v>
      </c>
      <c r="E687" s="9">
        <f>IFERROR(__xludf.DUMMYFUNCTION("GOOGLEFINANCE(A687, ""high"")"),395.5)</f>
        <v>395.5</v>
      </c>
      <c r="F687" s="9">
        <f>IFERROR(__xludf.DUMMYFUNCTION("GOOGLEFINANCE(A687, ""low"")"),386.1)</f>
        <v>386.1</v>
      </c>
      <c r="G687" s="9">
        <f>IFERROR(__xludf.DUMMYFUNCTION("GOOGLEFINANCE(A687, ""price"")"),386.25)</f>
        <v>386.25</v>
      </c>
      <c r="H687" s="9">
        <f>IFERROR(__xludf.DUMMYFUNCTION("MAX(INDEX(GOOGLEFINANCE(A687, ""high"", TODAY()-30, TODAY()), 0, 2))"),427.0)</f>
        <v>427</v>
      </c>
      <c r="I687" s="9">
        <f>IFERROR(__xludf.DUMMYFUNCTION("MIN(INDEX(GOOGLEFINANCE(A687, ""low"", TODAY()-30, TODAY()), 0, 2))"),362.5)</f>
        <v>362.5</v>
      </c>
      <c r="J687" s="9">
        <f>IFERROR(__xludf.DUMMYFUNCTION("GOOGLEFINANCE(A687, ""high52"")"),444.8)</f>
        <v>444.8</v>
      </c>
      <c r="K687" s="9">
        <f>IFERROR(__xludf.DUMMYFUNCTION("GOOGLEFINANCE(A687, ""low52"")"),304.85)</f>
        <v>304.85</v>
      </c>
      <c r="L687" s="9">
        <f t="shared" si="1"/>
        <v>0.1316321942</v>
      </c>
      <c r="M687" s="9">
        <f t="shared" si="2"/>
        <v>0.2670165655</v>
      </c>
      <c r="N687" s="9">
        <f t="shared" si="3"/>
        <v>0.02434602435</v>
      </c>
      <c r="O687" s="9">
        <f t="shared" si="4"/>
        <v>0.3682170543</v>
      </c>
      <c r="P687" s="9">
        <f>IFERROR(__xludf.DUMMYFUNCTION("GOOGLEFINANCE(A687, ""pe"")"),21.13)</f>
        <v>21.13</v>
      </c>
      <c r="Q687" s="9">
        <f>IFERROR(__xludf.DUMMYFUNCTION("IFERROR(GOOGLEFINANCE(A687, ""volume"") / GOOGLEFINANCE(A687, ""volumeavg""), 0)"),0.0)</f>
        <v>0</v>
      </c>
      <c r="R687" s="9">
        <f>IFERROR(__xludf.DUMMYFUNCTION("AVERAGE(INDEX(GOOGLEFINANCE(A687, ""price"", TODAY()-30, TODAY()), 0, 2))"),384.83478260869566)</f>
        <v>384.8347826</v>
      </c>
      <c r="S687" s="9">
        <f>IFERROR(__xludf.DUMMYFUNCTION("AVERAGE(INDEX(GOOGLEFINANCE(A687, ""price"", TODAY()-75, TODAY()), 0, 2))"),366.8273584905661)</f>
        <v>366.8273585</v>
      </c>
      <c r="T687" s="9">
        <f>IFERROR(__xludf.DUMMYFUNCTION("AVERAGE(INDEX(GOOGLEFINANCE(A687, ""price"", TODAY()-300, TODAY()), 0, 2))"),361.07985074626845)</f>
        <v>361.0798507</v>
      </c>
      <c r="U687" s="9">
        <f t="shared" si="5"/>
        <v>0.003677467462</v>
      </c>
      <c r="V687" s="15">
        <f>IFERROR(__xludf.DUMMYFUNCTION("LET(hist, GOOGLEFINANCE(A687,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rs))))))"),48.637532133676075)</f>
        <v>48.63753213</v>
      </c>
      <c r="W687" s="16" t="str">
        <f>IFERROR(__xludf.DUMMYFUNCTION("IFERROR(GOOGLEFINANCE(A687, ""volume"") / GOOGLEFINANCE(A687, ""volumeavg""), )"),"")</f>
        <v/>
      </c>
      <c r="X687" s="9">
        <f>IFERROR(__xludf.DUMMYFUNCTION("B687 * GOOGLEFINANCE(A687, ""volume"")"),1.4524583625E8)</f>
        <v>145245836.3</v>
      </c>
      <c r="Y687" s="9">
        <f>IFERROR(__xludf.DUMMYFUNCTION("IFERROR(((B687 - GOOGLEFINANCE(A687, ""priceopen"")) / GOOGLEFINANCE(A687, ""priceopen"")) * GOOGLEFINANCE(A687, ""volume""), 0)"),-5421.361699413094)</f>
        <v>-5421.361699</v>
      </c>
    </row>
    <row r="688">
      <c r="A688" s="4" t="s">
        <v>2481</v>
      </c>
      <c r="B688" s="7">
        <f>IFERROR(__xludf.DUMMYFUNCTION("GOOGLEFINANCE(A688, ""price"")"),124.08)</f>
        <v>124.08</v>
      </c>
      <c r="C688" s="7">
        <f>IFERROR(__xludf.DUMMYFUNCTION("GOOGLEFINANCE(A688, ""changepct"")"),-1.17)</f>
        <v>-1.17</v>
      </c>
      <c r="D688" s="9">
        <f>IFERROR(__xludf.DUMMYFUNCTION("GOOGLEFINANCE(A688, ""priceopen"")"),125.55)</f>
        <v>125.55</v>
      </c>
      <c r="E688" s="9">
        <f>IFERROR(__xludf.DUMMYFUNCTION("GOOGLEFINANCE(A688, ""high"")"),126.07)</f>
        <v>126.07</v>
      </c>
      <c r="F688" s="9">
        <f>IFERROR(__xludf.DUMMYFUNCTION("GOOGLEFINANCE(A688, ""low"")"),124.0)</f>
        <v>124</v>
      </c>
      <c r="G688" s="9">
        <f>IFERROR(__xludf.DUMMYFUNCTION("GOOGLEFINANCE(A688, ""price"")"),124.08)</f>
        <v>124.08</v>
      </c>
      <c r="H688" s="9">
        <f>IFERROR(__xludf.DUMMYFUNCTION("MAX(INDEX(GOOGLEFINANCE(A688, ""high"", TODAY()-30, TODAY()), 0, 2))"),131.77)</f>
        <v>131.77</v>
      </c>
      <c r="I688" s="9">
        <f>IFERROR(__xludf.DUMMYFUNCTION("MIN(INDEX(GOOGLEFINANCE(A688, ""low"", TODAY()-30, TODAY()), 0, 2))"),121.62)</f>
        <v>121.62</v>
      </c>
      <c r="J688" s="9">
        <f>IFERROR(__xludf.DUMMYFUNCTION("GOOGLEFINANCE(A688, ""high52"")"),164.49)</f>
        <v>164.49</v>
      </c>
      <c r="K688" s="9">
        <f>IFERROR(__xludf.DUMMYFUNCTION("GOOGLEFINANCE(A688, ""low52"")"),106.0)</f>
        <v>106</v>
      </c>
      <c r="L688" s="9">
        <f t="shared" si="1"/>
        <v>0.2456684297</v>
      </c>
      <c r="M688" s="9">
        <f t="shared" si="2"/>
        <v>0.1705660377</v>
      </c>
      <c r="N688" s="9">
        <f t="shared" si="3"/>
        <v>0.01669354839</v>
      </c>
      <c r="O688" s="9">
        <f t="shared" si="4"/>
        <v>0.242364532</v>
      </c>
      <c r="P688" s="9">
        <f>IFERROR(__xludf.DUMMYFUNCTION("GOOGLEFINANCE(A688, ""pe"")"),16.01)</f>
        <v>16.01</v>
      </c>
      <c r="Q688" s="9">
        <f>IFERROR(__xludf.DUMMYFUNCTION("IFERROR(GOOGLEFINANCE(A688, ""volume"") / GOOGLEFINANCE(A688, ""volumeavg""), 0)"),0.0)</f>
        <v>0</v>
      </c>
      <c r="R688" s="9">
        <f>IFERROR(__xludf.DUMMYFUNCTION("AVERAGE(INDEX(GOOGLEFINANCE(A688, ""price"", TODAY()-30, TODAY()), 0, 2))"),127.09043478260874)</f>
        <v>127.0904348</v>
      </c>
      <c r="S688" s="9">
        <f>IFERROR(__xludf.DUMMYFUNCTION("AVERAGE(INDEX(GOOGLEFINANCE(A688, ""price"", TODAY()-75, TODAY()), 0, 2))"),128.84547169811322)</f>
        <v>128.8454717</v>
      </c>
      <c r="T688" s="9">
        <f>IFERROR(__xludf.DUMMYFUNCTION("AVERAGE(INDEX(GOOGLEFINANCE(A688, ""price"", TODAY()-300, TODAY()), 0, 2))"),132.7384158415841)</f>
        <v>132.7384158</v>
      </c>
      <c r="U688" s="9">
        <f t="shared" si="5"/>
        <v>-0.02368734349</v>
      </c>
      <c r="V688" s="15">
        <f>IFERROR(__xludf.DUMMYFUNCTION("LET(hist, GOOGLEFINANCE(A688,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rs))))))"),49.826026443980524)</f>
        <v>49.82602644</v>
      </c>
      <c r="W688" s="16" t="str">
        <f>IFERROR(__xludf.DUMMYFUNCTION("IFERROR(GOOGLEFINANCE(A688, ""volume"") / GOOGLEFINANCE(A688, ""volumeavg""), )"),"")</f>
        <v/>
      </c>
      <c r="X688" s="9">
        <f>IFERROR(__xludf.DUMMYFUNCTION("B688 * GOOGLEFINANCE(A688, ""volume"")"),6.4942231199999996E7)</f>
        <v>64942231.2</v>
      </c>
      <c r="Y688" s="9">
        <f>IFERROR(__xludf.DUMMYFUNCTION("IFERROR(((B688 - GOOGLEFINANCE(A688, ""priceopen"")) / GOOGLEFINANCE(A688, ""priceopen"")) * GOOGLEFINANCE(A688, ""volume""), 0)"),-6128.102747909195)</f>
        <v>-6128.102748</v>
      </c>
    </row>
    <row r="689">
      <c r="A689" s="4" t="s">
        <v>2482</v>
      </c>
      <c r="B689" s="7">
        <f>IFERROR(__xludf.DUMMYFUNCTION("GOOGLEFINANCE(A689, ""price"")"),6217.5)</f>
        <v>6217.5</v>
      </c>
      <c r="C689" s="7">
        <f>IFERROR(__xludf.DUMMYFUNCTION("GOOGLEFINANCE(A689, ""changepct"")"),0.21)</f>
        <v>0.21</v>
      </c>
      <c r="D689" s="9">
        <f>IFERROR(__xludf.DUMMYFUNCTION("GOOGLEFINANCE(A689, ""priceopen"")"),6186.0)</f>
        <v>6186</v>
      </c>
      <c r="E689" s="9">
        <f>IFERROR(__xludf.DUMMYFUNCTION("GOOGLEFINANCE(A689, ""high"")"),6217.5)</f>
        <v>6217.5</v>
      </c>
      <c r="F689" s="9">
        <f>IFERROR(__xludf.DUMMYFUNCTION("GOOGLEFINANCE(A689, ""low"")"),6155.0)</f>
        <v>6155</v>
      </c>
      <c r="G689" s="9">
        <f>IFERROR(__xludf.DUMMYFUNCTION("GOOGLEFINANCE(A689, ""price"")"),6217.5)</f>
        <v>6217.5</v>
      </c>
      <c r="H689" s="9">
        <f>IFERROR(__xludf.DUMMYFUNCTION("MAX(INDEX(GOOGLEFINANCE(A689, ""high"", TODAY()-30, TODAY()), 0, 2))"),6430.0)</f>
        <v>6430</v>
      </c>
      <c r="I689" s="9">
        <f>IFERROR(__xludf.DUMMYFUNCTION("MIN(INDEX(GOOGLEFINANCE(A689, ""low"", TODAY()-30, TODAY()), 0, 2))"),6138.0)</f>
        <v>6138</v>
      </c>
      <c r="J689" s="9">
        <f>IFERROR(__xludf.DUMMYFUNCTION("GOOGLEFINANCE(A689, ""high52"")"),7268.0)</f>
        <v>7268</v>
      </c>
      <c r="K689" s="9">
        <f>IFERROR(__xludf.DUMMYFUNCTION("GOOGLEFINANCE(A689, ""low52"")"),5845.85)</f>
        <v>5845.85</v>
      </c>
      <c r="L689" s="9">
        <f t="shared" si="1"/>
        <v>0.1445376995</v>
      </c>
      <c r="M689" s="9">
        <f t="shared" si="2"/>
        <v>0.06357501475</v>
      </c>
      <c r="N689" s="9">
        <f t="shared" si="3"/>
        <v>0.01015434606</v>
      </c>
      <c r="O689" s="9">
        <f t="shared" si="4"/>
        <v>0.272260274</v>
      </c>
      <c r="P689" s="9">
        <f>IFERROR(__xludf.DUMMYFUNCTION("GOOGLEFINANCE(A689, ""pe"")"),8.61)</f>
        <v>8.61</v>
      </c>
      <c r="Q689" s="9">
        <f>IFERROR(__xludf.DUMMYFUNCTION("IFERROR(GOOGLEFINANCE(A689, ""volume"") / GOOGLEFINANCE(A689, ""volumeavg""), 0)"),0.0)</f>
        <v>0</v>
      </c>
      <c r="R689" s="9">
        <f>IFERROR(__xludf.DUMMYFUNCTION("AVERAGE(INDEX(GOOGLEFINANCE(A689, ""price"", TODAY()-30, TODAY()), 0, 2))"),6245.739130434783)</f>
        <v>6245.73913</v>
      </c>
      <c r="S689" s="9">
        <f>IFERROR(__xludf.DUMMYFUNCTION("AVERAGE(INDEX(GOOGLEFINANCE(A689, ""price"", TODAY()-75, TODAY()), 0, 2))"),6393.679245283019)</f>
        <v>6393.679245</v>
      </c>
      <c r="T689" s="9">
        <f>IFERROR(__xludf.DUMMYFUNCTION("AVERAGE(INDEX(GOOGLEFINANCE(A689, ""price"", TODAY()-300, TODAY()), 0, 2))"),6387.8881249999995)</f>
        <v>6387.888125</v>
      </c>
      <c r="U689" s="9">
        <f t="shared" si="5"/>
        <v>-0.004521343246</v>
      </c>
      <c r="V689" s="15">
        <f>IFERROR(__xludf.DUMMYFUNCTION("LET(hist, GOOGLEFINANCE(A689,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rs))))))"),49.10858995137764)</f>
        <v>49.10858995</v>
      </c>
      <c r="W689" s="16" t="str">
        <f>IFERROR(__xludf.DUMMYFUNCTION("IFERROR(GOOGLEFINANCE(A689, ""volume"") / GOOGLEFINANCE(A689, ""volumeavg""), )"),"")</f>
        <v/>
      </c>
      <c r="X689" s="9">
        <f>IFERROR(__xludf.DUMMYFUNCTION("B689 * GOOGLEFINANCE(A689, ""volume"")"),2511870.0)</f>
        <v>2511870</v>
      </c>
      <c r="Y689" s="9">
        <f>IFERROR(__xludf.DUMMYFUNCTION("IFERROR(((B689 - GOOGLEFINANCE(A689, ""priceopen"")) / GOOGLEFINANCE(A689, ""priceopen"")) * GOOGLEFINANCE(A689, ""volume""), 0)"),2.057225994180407)</f>
        <v>2.057225994</v>
      </c>
    </row>
    <row r="690">
      <c r="A690" s="4" t="s">
        <v>2483</v>
      </c>
      <c r="B690" s="7">
        <f>IFERROR(__xludf.DUMMYFUNCTION("GOOGLEFINANCE(A690, ""price"")"),10652.0)</f>
        <v>10652</v>
      </c>
      <c r="C690" s="7">
        <f>IFERROR(__xludf.DUMMYFUNCTION("GOOGLEFINANCE(A690, ""changepct"")"),0.49)</f>
        <v>0.49</v>
      </c>
      <c r="D690" s="9">
        <f>IFERROR(__xludf.DUMMYFUNCTION("GOOGLEFINANCE(A690, ""priceopen"")"),10536.0)</f>
        <v>10536</v>
      </c>
      <c r="E690" s="9">
        <f>IFERROR(__xludf.DUMMYFUNCTION("GOOGLEFINANCE(A690, ""high"")"),10828.0)</f>
        <v>10828</v>
      </c>
      <c r="F690" s="9">
        <f>IFERROR(__xludf.DUMMYFUNCTION("GOOGLEFINANCE(A690, ""low"")"),10467.0)</f>
        <v>10467</v>
      </c>
      <c r="G690" s="9">
        <f>IFERROR(__xludf.DUMMYFUNCTION("GOOGLEFINANCE(A690, ""price"")"),10652.0)</f>
        <v>10652</v>
      </c>
      <c r="H690" s="9">
        <f>IFERROR(__xludf.DUMMYFUNCTION("MAX(INDEX(GOOGLEFINANCE(A690, ""high"", TODAY()-30, TODAY()), 0, 2))"),12275.0)</f>
        <v>12275</v>
      </c>
      <c r="I690" s="9">
        <f>IFERROR(__xludf.DUMMYFUNCTION("MIN(INDEX(GOOGLEFINANCE(A690, ""low"", TODAY()-30, TODAY()), 0, 2))"),10057.0)</f>
        <v>10057</v>
      </c>
      <c r="J690" s="9">
        <f>IFERROR(__xludf.DUMMYFUNCTION("GOOGLEFINANCE(A690, ""high52"")"),12875.0)</f>
        <v>12875</v>
      </c>
      <c r="K690" s="9">
        <f>IFERROR(__xludf.DUMMYFUNCTION("GOOGLEFINANCE(A690, ""low52"")"),6320.0)</f>
        <v>6320</v>
      </c>
      <c r="L690" s="9">
        <f t="shared" si="1"/>
        <v>0.1726601942</v>
      </c>
      <c r="M690" s="9">
        <f t="shared" si="2"/>
        <v>0.685443038</v>
      </c>
      <c r="N690" s="9">
        <f t="shared" si="3"/>
        <v>0.03448934747</v>
      </c>
      <c r="O690" s="9">
        <f t="shared" si="4"/>
        <v>0.2682596934</v>
      </c>
      <c r="P690" s="9">
        <f>IFERROR(__xludf.DUMMYFUNCTION("GOOGLEFINANCE(A690, ""pe"")"),170.46)</f>
        <v>170.46</v>
      </c>
      <c r="Q690" s="9">
        <f>IFERROR(__xludf.DUMMYFUNCTION("IFERROR(GOOGLEFINANCE(A690, ""volume"") / GOOGLEFINANCE(A690, ""volumeavg""), 0)"),0.0)</f>
        <v>0</v>
      </c>
      <c r="R690" s="9">
        <f>IFERROR(__xludf.DUMMYFUNCTION("AVERAGE(INDEX(GOOGLEFINANCE(A690, ""price"", TODAY()-30, TODAY()), 0, 2))"),10558.869565217392)</f>
        <v>10558.86957</v>
      </c>
      <c r="S690" s="9">
        <f>IFERROR(__xludf.DUMMYFUNCTION("AVERAGE(INDEX(GOOGLEFINANCE(A690, ""price"", TODAY()-75, TODAY()), 0, 2))"),10520.924528301886)</f>
        <v>10520.92453</v>
      </c>
      <c r="T690" s="9">
        <f>IFERROR(__xludf.DUMMYFUNCTION("AVERAGE(INDEX(GOOGLEFINANCE(A690, ""price"", TODAY()-300, TODAY()), 0, 2))"),9837.39800995025)</f>
        <v>9837.39801</v>
      </c>
      <c r="U690" s="9">
        <f t="shared" si="5"/>
        <v>0.008820114143</v>
      </c>
      <c r="V690" s="15">
        <f>IFERROR(__xludf.DUMMYFUNCTION("LET(hist, GOOGLEFINANCE(A690,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rs))))))"),59.23566878980892)</f>
        <v>59.23566879</v>
      </c>
      <c r="W690" s="16" t="str">
        <f>IFERROR(__xludf.DUMMYFUNCTION("IFERROR(GOOGLEFINANCE(A690, ""volume"") / GOOGLEFINANCE(A690, ""volumeavg""), )"),"")</f>
        <v/>
      </c>
      <c r="X690" s="9">
        <f>IFERROR(__xludf.DUMMYFUNCTION("B690 * GOOGLEFINANCE(A690, ""volume"")"),3.18249804E8)</f>
        <v>318249804</v>
      </c>
      <c r="Y690" s="9">
        <f>IFERROR(__xludf.DUMMYFUNCTION("IFERROR(((B690 - GOOGLEFINANCE(A690, ""priceopen"")) / GOOGLEFINANCE(A690, ""priceopen"")) * GOOGLEFINANCE(A690, ""volume""), 0)"),328.9419134396355)</f>
        <v>328.9419134</v>
      </c>
    </row>
    <row r="691">
      <c r="A691" s="4" t="s">
        <v>2484</v>
      </c>
      <c r="B691" s="7">
        <f>IFERROR(__xludf.DUMMYFUNCTION("GOOGLEFINANCE(A691, ""price"")"),165.99)</f>
        <v>165.99</v>
      </c>
      <c r="C691" s="7">
        <f>IFERROR(__xludf.DUMMYFUNCTION("GOOGLEFINANCE(A691, ""changepct"")"),0.3)</f>
        <v>0.3</v>
      </c>
      <c r="D691" s="9">
        <f>IFERROR(__xludf.DUMMYFUNCTION("GOOGLEFINANCE(A691, ""priceopen"")"),165.96)</f>
        <v>165.96</v>
      </c>
      <c r="E691" s="9">
        <f>IFERROR(__xludf.DUMMYFUNCTION("GOOGLEFINANCE(A691, ""high"")"),170.94)</f>
        <v>170.94</v>
      </c>
      <c r="F691" s="9">
        <f>IFERROR(__xludf.DUMMYFUNCTION("GOOGLEFINANCE(A691, ""low"")"),164.49)</f>
        <v>164.49</v>
      </c>
      <c r="G691" s="9">
        <f>IFERROR(__xludf.DUMMYFUNCTION("GOOGLEFINANCE(A691, ""price"")"),165.99)</f>
        <v>165.99</v>
      </c>
      <c r="H691" s="9">
        <f>IFERROR(__xludf.DUMMYFUNCTION("MAX(INDEX(GOOGLEFINANCE(A691, ""high"", TODAY()-30, TODAY()), 0, 2))"),170.94)</f>
        <v>170.94</v>
      </c>
      <c r="I691" s="9">
        <f>IFERROR(__xludf.DUMMYFUNCTION("MIN(INDEX(GOOGLEFINANCE(A691, ""low"", TODAY()-30, TODAY()), 0, 2))"),121.0)</f>
        <v>121</v>
      </c>
      <c r="J691" s="9">
        <f>IFERROR(__xludf.DUMMYFUNCTION("GOOGLEFINANCE(A691, ""high52"")"),170.94)</f>
        <v>170.94</v>
      </c>
      <c r="K691" s="9">
        <f>IFERROR(__xludf.DUMMYFUNCTION("GOOGLEFINANCE(A691, ""low52"")"),74.63)</f>
        <v>74.63</v>
      </c>
      <c r="L691" s="9">
        <f t="shared" si="1"/>
        <v>0.02895752896</v>
      </c>
      <c r="M691" s="9">
        <f t="shared" si="2"/>
        <v>1.224172585</v>
      </c>
      <c r="N691" s="9">
        <f t="shared" si="3"/>
        <v>0.03921211016</v>
      </c>
      <c r="O691" s="9">
        <f t="shared" si="4"/>
        <v>0.9008810573</v>
      </c>
      <c r="P691" s="9">
        <f>IFERROR(__xludf.DUMMYFUNCTION("GOOGLEFINANCE(A691, ""pe"")"),189.92)</f>
        <v>189.92</v>
      </c>
      <c r="Q691" s="9">
        <f>IFERROR(__xludf.DUMMYFUNCTION("IFERROR(GOOGLEFINANCE(A691, ""volume"") / GOOGLEFINANCE(A691, ""volumeavg""), 0)"),0.0)</f>
        <v>0</v>
      </c>
      <c r="R691" s="9">
        <f>IFERROR(__xludf.DUMMYFUNCTION("AVERAGE(INDEX(GOOGLEFINANCE(A691, ""price"", TODAY()-30, TODAY()), 0, 2))"),151.29217391304348)</f>
        <v>151.2921739</v>
      </c>
      <c r="S691" s="9">
        <f>IFERROR(__xludf.DUMMYFUNCTION("AVERAGE(INDEX(GOOGLEFINANCE(A691, ""price"", TODAY()-75, TODAY()), 0, 2))"),130.20943396226417)</f>
        <v>130.209434</v>
      </c>
      <c r="T691" s="9">
        <f>IFERROR(__xludf.DUMMYFUNCTION("AVERAGE(INDEX(GOOGLEFINANCE(A691, ""price"", TODAY()-300, TODAY()), 0, 2))"),101.23084158415836)</f>
        <v>101.2308416</v>
      </c>
      <c r="U691" s="9">
        <f t="shared" si="5"/>
        <v>0.09714862115</v>
      </c>
      <c r="V691" s="15">
        <f>IFERROR(__xludf.DUMMYFUNCTION("LET(hist, GOOGLEFINANCE(A691,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rs))))))"),70.20686713584988)</f>
        <v>70.20686714</v>
      </c>
      <c r="W691" s="16" t="str">
        <f>IFERROR(__xludf.DUMMYFUNCTION("IFERROR(GOOGLEFINANCE(A691, ""volume"") / GOOGLEFINANCE(A691, ""volumeavg""), )"),"")</f>
        <v/>
      </c>
      <c r="X691" s="9">
        <f>IFERROR(__xludf.DUMMYFUNCTION("B691 * GOOGLEFINANCE(A691, ""volume"")"),9.666460848E7)</f>
        <v>96664608.48</v>
      </c>
      <c r="Y691" s="9">
        <f>IFERROR(__xludf.DUMMYFUNCTION("IFERROR(((B691 - GOOGLEFINANCE(A691, ""priceopen"")) / GOOGLEFINANCE(A691, ""priceopen"")) * GOOGLEFINANCE(A691, ""volume""), 0)"),105.26970354302641)</f>
        <v>105.2697035</v>
      </c>
    </row>
    <row r="692">
      <c r="A692" s="4" t="s">
        <v>2485</v>
      </c>
      <c r="B692" s="7">
        <f>IFERROR(__xludf.DUMMYFUNCTION("GOOGLEFINANCE(A692, ""price"")"),548.0)</f>
        <v>548</v>
      </c>
      <c r="C692" s="7">
        <f>IFERROR(__xludf.DUMMYFUNCTION("GOOGLEFINANCE(A692, ""changepct"")"),-0.23)</f>
        <v>-0.23</v>
      </c>
      <c r="D692" s="9">
        <f>IFERROR(__xludf.DUMMYFUNCTION("GOOGLEFINANCE(A692, ""priceopen"")"),551.0)</f>
        <v>551</v>
      </c>
      <c r="E692" s="9">
        <f>IFERROR(__xludf.DUMMYFUNCTION("GOOGLEFINANCE(A692, ""high"")"),553.2)</f>
        <v>553.2</v>
      </c>
      <c r="F692" s="9">
        <f>IFERROR(__xludf.DUMMYFUNCTION("GOOGLEFINANCE(A692, ""low"")"),547.75)</f>
        <v>547.75</v>
      </c>
      <c r="G692" s="9">
        <f>IFERROR(__xludf.DUMMYFUNCTION("GOOGLEFINANCE(A692, ""price"")"),548.0)</f>
        <v>548</v>
      </c>
      <c r="H692" s="9">
        <f>IFERROR(__xludf.DUMMYFUNCTION("MAX(INDEX(GOOGLEFINANCE(A692, ""high"", TODAY()-30, TODAY()), 0, 2))"),622.0)</f>
        <v>622</v>
      </c>
      <c r="I692" s="9">
        <f>IFERROR(__xludf.DUMMYFUNCTION("MIN(INDEX(GOOGLEFINANCE(A692, ""low"", TODAY()-30, TODAY()), 0, 2))"),546.05)</f>
        <v>546.05</v>
      </c>
      <c r="J692" s="9">
        <f>IFERROR(__xludf.DUMMYFUNCTION("GOOGLEFINANCE(A692, ""high52"")"),989.8)</f>
        <v>989.8</v>
      </c>
      <c r="K692" s="9">
        <f>IFERROR(__xludf.DUMMYFUNCTION("GOOGLEFINANCE(A692, ""low52"")"),546.05)</f>
        <v>546.05</v>
      </c>
      <c r="L692" s="9">
        <f t="shared" si="1"/>
        <v>0.4463527985</v>
      </c>
      <c r="M692" s="9">
        <f t="shared" si="2"/>
        <v>0.003571101547</v>
      </c>
      <c r="N692" s="9">
        <f t="shared" si="3"/>
        <v>0.009949794614</v>
      </c>
      <c r="O692" s="9">
        <f t="shared" si="4"/>
        <v>0.02567478604</v>
      </c>
      <c r="P692" s="9">
        <f>IFERROR(__xludf.DUMMYFUNCTION("GOOGLEFINANCE(A692, ""pe"")"),18.4)</f>
        <v>18.4</v>
      </c>
      <c r="Q692" s="9">
        <f>IFERROR(__xludf.DUMMYFUNCTION("IFERROR(GOOGLEFINANCE(A692, ""volume"") / GOOGLEFINANCE(A692, ""volumeavg""), 0)"),0.0)</f>
        <v>0</v>
      </c>
      <c r="R692" s="9">
        <f>IFERROR(__xludf.DUMMYFUNCTION("AVERAGE(INDEX(GOOGLEFINANCE(A692, ""price"", TODAY()-30, TODAY()), 0, 2))"),568.2608695652173)</f>
        <v>568.2608696</v>
      </c>
      <c r="S692" s="9">
        <f>IFERROR(__xludf.DUMMYFUNCTION("AVERAGE(INDEX(GOOGLEFINANCE(A692, ""price"", TODAY()-75, TODAY()), 0, 2))"),580.9669811320755)</f>
        <v>580.9669811</v>
      </c>
      <c r="T692" s="9">
        <f>IFERROR(__xludf.DUMMYFUNCTION("AVERAGE(INDEX(GOOGLEFINANCE(A692, ""price"", TODAY()-300, TODAY()), 0, 2))"),686.898762376238)</f>
        <v>686.8987624</v>
      </c>
      <c r="U692" s="9">
        <f t="shared" si="5"/>
        <v>-0.03565416985</v>
      </c>
      <c r="V692" s="15">
        <f>IFERROR(__xludf.DUMMYFUNCTION("LET(hist, GOOGLEFINANCE(A692,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rs))))))"),24.44678609062173)</f>
        <v>24.44678609</v>
      </c>
      <c r="W692" s="16" t="str">
        <f>IFERROR(__xludf.DUMMYFUNCTION("IFERROR(GOOGLEFINANCE(A692, ""volume"") / GOOGLEFINANCE(A692, ""volumeavg""), )"),"")</f>
        <v/>
      </c>
      <c r="X692" s="9">
        <f>IFERROR(__xludf.DUMMYFUNCTION("B692 * GOOGLEFINANCE(A692, ""volume"")"),4.143428E7)</f>
        <v>41434280</v>
      </c>
      <c r="Y692" s="9">
        <f>IFERROR(__xludf.DUMMYFUNCTION("IFERROR(((B692 - GOOGLEFINANCE(A692, ""priceopen"")) / GOOGLEFINANCE(A692, ""priceopen"")) * GOOGLEFINANCE(A692, ""volume""), 0)"),-411.66969147005443)</f>
        <v>-411.6696915</v>
      </c>
    </row>
    <row r="693">
      <c r="A693" s="4" t="s">
        <v>2486</v>
      </c>
      <c r="B693" s="7">
        <f>IFERROR(__xludf.DUMMYFUNCTION("GOOGLEFINANCE(A693, ""price"")"),831.0)</f>
        <v>831</v>
      </c>
      <c r="C693" s="7">
        <f>IFERROR(__xludf.DUMMYFUNCTION("GOOGLEFINANCE(A693, ""changepct"")"),-2.35)</f>
        <v>-2.35</v>
      </c>
      <c r="D693" s="9">
        <f>IFERROR(__xludf.DUMMYFUNCTION("GOOGLEFINANCE(A693, ""priceopen"")"),848.3)</f>
        <v>848.3</v>
      </c>
      <c r="E693" s="9">
        <f>IFERROR(__xludf.DUMMYFUNCTION("GOOGLEFINANCE(A693, ""high"")"),852.95)</f>
        <v>852.95</v>
      </c>
      <c r="F693" s="9">
        <f>IFERROR(__xludf.DUMMYFUNCTION("GOOGLEFINANCE(A693, ""low"")"),825.35)</f>
        <v>825.35</v>
      </c>
      <c r="G693" s="9">
        <f>IFERROR(__xludf.DUMMYFUNCTION("GOOGLEFINANCE(A693, ""price"")"),831.0)</f>
        <v>831</v>
      </c>
      <c r="H693" s="9">
        <f>IFERROR(__xludf.DUMMYFUNCTION("MAX(INDEX(GOOGLEFINANCE(A693, ""high"", TODAY()-30, TODAY()), 0, 2))"),951.0)</f>
        <v>951</v>
      </c>
      <c r="I693" s="9">
        <f>IFERROR(__xludf.DUMMYFUNCTION("MIN(INDEX(GOOGLEFINANCE(A693, ""low"", TODAY()-30, TODAY()), 0, 2))"),816.1)</f>
        <v>816.1</v>
      </c>
      <c r="J693" s="9">
        <f>IFERROR(__xludf.DUMMYFUNCTION("GOOGLEFINANCE(A693, ""high52"")"),1085.0)</f>
        <v>1085</v>
      </c>
      <c r="K693" s="9">
        <f>IFERROR(__xludf.DUMMYFUNCTION("GOOGLEFINANCE(A693, ""low52"")"),545.5)</f>
        <v>545.5</v>
      </c>
      <c r="L693" s="9">
        <f t="shared" si="1"/>
        <v>0.2341013825</v>
      </c>
      <c r="M693" s="9">
        <f t="shared" si="2"/>
        <v>0.5233730522</v>
      </c>
      <c r="N693" s="9">
        <f t="shared" si="3"/>
        <v>0.03344035864</v>
      </c>
      <c r="O693" s="9">
        <f t="shared" si="4"/>
        <v>0.1104521868</v>
      </c>
      <c r="P693" s="9">
        <f>IFERROR(__xludf.DUMMYFUNCTION("GOOGLEFINANCE(A693, ""pe"")"),31.99)</f>
        <v>31.99</v>
      </c>
      <c r="Q693" s="9">
        <f>IFERROR(__xludf.DUMMYFUNCTION("IFERROR(GOOGLEFINANCE(A693, ""volume"") / GOOGLEFINANCE(A693, ""volumeavg""), 0)"),0.0)</f>
        <v>0</v>
      </c>
      <c r="R693" s="9">
        <f>IFERROR(__xludf.DUMMYFUNCTION("AVERAGE(INDEX(GOOGLEFINANCE(A693, ""price"", TODAY()-30, TODAY()), 0, 2))"),861.8913043478259)</f>
        <v>861.8913043</v>
      </c>
      <c r="S693" s="9">
        <f>IFERROR(__xludf.DUMMYFUNCTION("AVERAGE(INDEX(GOOGLEFINANCE(A693, ""price"", TODAY()-75, TODAY()), 0, 2))"),906.2773584905661)</f>
        <v>906.2773585</v>
      </c>
      <c r="T693" s="9">
        <f>IFERROR(__xludf.DUMMYFUNCTION("AVERAGE(INDEX(GOOGLEFINANCE(A693, ""price"", TODAY()-300, TODAY()), 0, 2))"),754.0470297029706)</f>
        <v>754.0470297</v>
      </c>
      <c r="U693" s="9">
        <f t="shared" si="5"/>
        <v>-0.03584129947</v>
      </c>
      <c r="V693" s="15">
        <f>IFERROR(__xludf.DUMMYFUNCTION("LET(hist, GOOGLEFINANCE(A693,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rs))))))"),49.641542336756444)</f>
        <v>49.64154234</v>
      </c>
      <c r="W693" s="16" t="str">
        <f>IFERROR(__xludf.DUMMYFUNCTION("IFERROR(GOOGLEFINANCE(A693, ""volume"") / GOOGLEFINANCE(A693, ""volumeavg""), )"),"")</f>
        <v/>
      </c>
      <c r="X693" s="9">
        <f>IFERROR(__xludf.DUMMYFUNCTION("B693 * GOOGLEFINANCE(A693, ""volume"")"),2.28370434E8)</f>
        <v>228370434</v>
      </c>
      <c r="Y693" s="9">
        <f>IFERROR(__xludf.DUMMYFUNCTION("IFERROR(((B693 - GOOGLEFINANCE(A693, ""priceopen"")) / GOOGLEFINANCE(A693, ""priceopen"")) * GOOGLEFINANCE(A693, ""volume""), 0)"),-5604.4821407520785)</f>
        <v>-5604.482141</v>
      </c>
    </row>
    <row r="694">
      <c r="A694" s="4" t="s">
        <v>2487</v>
      </c>
      <c r="B694" s="7">
        <f>IFERROR(__xludf.DUMMYFUNCTION("GOOGLEFINANCE(A694, ""price"")"),414.0)</f>
        <v>414</v>
      </c>
      <c r="C694" s="7">
        <f>IFERROR(__xludf.DUMMYFUNCTION("GOOGLEFINANCE(A694, ""changepct"")"),-1.94)</f>
        <v>-1.94</v>
      </c>
      <c r="D694" s="9">
        <f>IFERROR(__xludf.DUMMYFUNCTION("GOOGLEFINANCE(A694, ""priceopen"")"),422.3)</f>
        <v>422.3</v>
      </c>
      <c r="E694" s="9">
        <f>IFERROR(__xludf.DUMMYFUNCTION("GOOGLEFINANCE(A694, ""high"")"),423.8)</f>
        <v>423.8</v>
      </c>
      <c r="F694" s="9">
        <f>IFERROR(__xludf.DUMMYFUNCTION("GOOGLEFINANCE(A694, ""low"")"),411.6)</f>
        <v>411.6</v>
      </c>
      <c r="G694" s="9">
        <f>IFERROR(__xludf.DUMMYFUNCTION("GOOGLEFINANCE(A694, ""price"")"),414.0)</f>
        <v>414</v>
      </c>
      <c r="H694" s="9">
        <f>IFERROR(__xludf.DUMMYFUNCTION("MAX(INDEX(GOOGLEFINANCE(A694, ""high"", TODAY()-30, TODAY()), 0, 2))"),474.7)</f>
        <v>474.7</v>
      </c>
      <c r="I694" s="9">
        <f>IFERROR(__xludf.DUMMYFUNCTION("MIN(INDEX(GOOGLEFINANCE(A694, ""low"", TODAY()-30, TODAY()), 0, 2))"),381.55)</f>
        <v>381.55</v>
      </c>
      <c r="J694" s="9">
        <f>IFERROR(__xludf.DUMMYFUNCTION("GOOGLEFINANCE(A694, ""high52"")"),585.0)</f>
        <v>585</v>
      </c>
      <c r="K694" s="9">
        <f>IFERROR(__xludf.DUMMYFUNCTION("GOOGLEFINANCE(A694, ""low52"")"),381.55)</f>
        <v>381.55</v>
      </c>
      <c r="L694" s="9">
        <f t="shared" si="1"/>
        <v>0.2923076923</v>
      </c>
      <c r="M694" s="9">
        <f t="shared" si="2"/>
        <v>0.08504783121</v>
      </c>
      <c r="N694" s="9">
        <f t="shared" si="3"/>
        <v>0.0296404276</v>
      </c>
      <c r="O694" s="9">
        <f t="shared" si="4"/>
        <v>0.3483628556</v>
      </c>
      <c r="P694" s="9">
        <f>IFERROR(__xludf.DUMMYFUNCTION("GOOGLEFINANCE(A694, ""pe"")"),4.81)</f>
        <v>4.81</v>
      </c>
      <c r="Q694" s="9">
        <f>IFERROR(__xludf.DUMMYFUNCTION("IFERROR(GOOGLEFINANCE(A694, ""volume"") / GOOGLEFINANCE(A694, ""volumeavg""), 0)"),0.0)</f>
        <v>0</v>
      </c>
      <c r="R694" s="9">
        <f>IFERROR(__xludf.DUMMYFUNCTION("AVERAGE(INDEX(GOOGLEFINANCE(A694, ""price"", TODAY()-30, TODAY()), 0, 2))"),425.9195652173914)</f>
        <v>425.9195652</v>
      </c>
      <c r="S694" s="9">
        <f>IFERROR(__xludf.DUMMYFUNCTION("AVERAGE(INDEX(GOOGLEFINANCE(A694, ""price"", TODAY()-75, TODAY()), 0, 2))"),430.7858490566038)</f>
        <v>430.7858491</v>
      </c>
      <c r="T694" s="9">
        <f>IFERROR(__xludf.DUMMYFUNCTION("AVERAGE(INDEX(GOOGLEFINANCE(A694, ""price"", TODAY()-300, TODAY()), 0, 2))"),447.9289603960396)</f>
        <v>447.9289604</v>
      </c>
      <c r="U694" s="9">
        <f t="shared" si="5"/>
        <v>-0.02798548409</v>
      </c>
      <c r="V694" s="15">
        <f>IFERROR(__xludf.DUMMYFUNCTION("LET(hist, GOOGLEFINANCE(A694,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rs))))))"),57.86532550991897)</f>
        <v>57.86532551</v>
      </c>
      <c r="W694" s="16" t="str">
        <f>IFERROR(__xludf.DUMMYFUNCTION("IFERROR(GOOGLEFINANCE(A694, ""volume"") / GOOGLEFINANCE(A694, ""volumeavg""), )"),"")</f>
        <v/>
      </c>
      <c r="X694" s="9">
        <f>IFERROR(__xludf.DUMMYFUNCTION("B694 * GOOGLEFINANCE(A694, ""volume"")"),1.16177922E8)</f>
        <v>116177922</v>
      </c>
      <c r="Y694" s="9">
        <f>IFERROR(__xludf.DUMMYFUNCTION("IFERROR(((B694 - GOOGLEFINANCE(A694, ""priceopen"")) / GOOGLEFINANCE(A694, ""priceopen"")) * GOOGLEFINANCE(A694, ""volume""), 0)"),-5515.441392375096)</f>
        <v>-5515.441392</v>
      </c>
    </row>
    <row r="695">
      <c r="A695" s="4" t="s">
        <v>2488</v>
      </c>
      <c r="B695" s="7">
        <f>IFERROR(__xludf.DUMMYFUNCTION("GOOGLEFINANCE(A695, ""price"")"),596.0)</f>
        <v>596</v>
      </c>
      <c r="C695" s="7">
        <f>IFERROR(__xludf.DUMMYFUNCTION("GOOGLEFINANCE(A695, ""changepct"")"),3.08)</f>
        <v>3.08</v>
      </c>
      <c r="D695" s="9">
        <f>IFERROR(__xludf.DUMMYFUNCTION("GOOGLEFINANCE(A695, ""priceopen"")"),578.7)</f>
        <v>578.7</v>
      </c>
      <c r="E695" s="9">
        <f>IFERROR(__xludf.DUMMYFUNCTION("GOOGLEFINANCE(A695, ""high"")"),599.0)</f>
        <v>599</v>
      </c>
      <c r="F695" s="9">
        <f>IFERROR(__xludf.DUMMYFUNCTION("GOOGLEFINANCE(A695, ""low"")"),575.7)</f>
        <v>575.7</v>
      </c>
      <c r="G695" s="9">
        <f>IFERROR(__xludf.DUMMYFUNCTION("GOOGLEFINANCE(A695, ""price"")"),596.0)</f>
        <v>596</v>
      </c>
      <c r="H695" s="9">
        <f>IFERROR(__xludf.DUMMYFUNCTION("MAX(INDEX(GOOGLEFINANCE(A695, ""high"", TODAY()-30, TODAY()), 0, 2))"),599.0)</f>
        <v>599</v>
      </c>
      <c r="I695" s="9">
        <f>IFERROR(__xludf.DUMMYFUNCTION("MIN(INDEX(GOOGLEFINANCE(A695, ""low"", TODAY()-30, TODAY()), 0, 2))"),548.85)</f>
        <v>548.85</v>
      </c>
      <c r="J695" s="9">
        <f>IFERROR(__xludf.DUMMYFUNCTION("GOOGLEFINANCE(A695, ""high52"")"),599.0)</f>
        <v>599</v>
      </c>
      <c r="K695" s="9">
        <f>IFERROR(__xludf.DUMMYFUNCTION("GOOGLEFINANCE(A695, ""low52"")"),442.0)</f>
        <v>442</v>
      </c>
      <c r="L695" s="9">
        <f t="shared" si="1"/>
        <v>0.005008347245</v>
      </c>
      <c r="M695" s="9">
        <f t="shared" si="2"/>
        <v>0.3484162896</v>
      </c>
      <c r="N695" s="9">
        <f t="shared" si="3"/>
        <v>0.0404724683</v>
      </c>
      <c r="O695" s="9">
        <f t="shared" si="4"/>
        <v>0.9401794616</v>
      </c>
      <c r="P695" s="9">
        <f>IFERROR(__xludf.DUMMYFUNCTION("GOOGLEFINANCE(A695, ""pe"")"),46.09)</f>
        <v>46.09</v>
      </c>
      <c r="Q695" s="9">
        <f>IFERROR(__xludf.DUMMYFUNCTION("IFERROR(GOOGLEFINANCE(A695, ""volume"") / GOOGLEFINANCE(A695, ""volumeavg""), 0)"),0.0)</f>
        <v>0</v>
      </c>
      <c r="R695" s="9">
        <f>IFERROR(__xludf.DUMMYFUNCTION("AVERAGE(INDEX(GOOGLEFINANCE(A695, ""price"", TODAY()-30, TODAY()), 0, 2))"),573.763043478261)</f>
        <v>573.7630435</v>
      </c>
      <c r="S695" s="9">
        <f>IFERROR(__xludf.DUMMYFUNCTION("AVERAGE(INDEX(GOOGLEFINANCE(A695, ""price"", TODAY()-75, TODAY()), 0, 2))"),556.8528301886794)</f>
        <v>556.8528302</v>
      </c>
      <c r="T695" s="9">
        <f>IFERROR(__xludf.DUMMYFUNCTION("AVERAGE(INDEX(GOOGLEFINANCE(A695, ""price"", TODAY()-300, TODAY()), 0, 2))"),521.3306930693069)</f>
        <v>521.3306931</v>
      </c>
      <c r="U695" s="9">
        <f t="shared" si="5"/>
        <v>0.03875634162</v>
      </c>
      <c r="V695" s="15">
        <f>IFERROR(__xludf.DUMMYFUNCTION("LET(hist, GOOGLEFINANCE(A695,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rs))))))"),64.8888888888889)</f>
        <v>64.88888889</v>
      </c>
      <c r="W695" s="16" t="str">
        <f>IFERROR(__xludf.DUMMYFUNCTION("IFERROR(GOOGLEFINANCE(A695, ""volume"") / GOOGLEFINANCE(A695, ""volumeavg""), )"),"")</f>
        <v/>
      </c>
      <c r="X695" s="9">
        <f>IFERROR(__xludf.DUMMYFUNCTION("B695 * GOOGLEFINANCE(A695, ""volume"")"),7.3893868E7)</f>
        <v>73893868</v>
      </c>
      <c r="Y695" s="9">
        <f>IFERROR(__xludf.DUMMYFUNCTION("IFERROR(((B695 - GOOGLEFINANCE(A695, ""priceopen"")) / GOOGLEFINANCE(A695, ""priceopen"")) * GOOGLEFINANCE(A695, ""volume""), 0)"),3706.421116295134)</f>
        <v>3706.421116</v>
      </c>
    </row>
    <row r="696">
      <c r="A696" s="4" t="s">
        <v>2489</v>
      </c>
      <c r="B696" s="7">
        <f>IFERROR(__xludf.DUMMYFUNCTION("GOOGLEFINANCE(A696, ""price"")"),525.15)</f>
        <v>525.15</v>
      </c>
      <c r="C696" s="7">
        <f>IFERROR(__xludf.DUMMYFUNCTION("GOOGLEFINANCE(A696, ""changepct"")"),-1.15)</f>
        <v>-1.15</v>
      </c>
      <c r="D696" s="9">
        <f>IFERROR(__xludf.DUMMYFUNCTION("GOOGLEFINANCE(A696, ""priceopen"")"),536.05)</f>
        <v>536.05</v>
      </c>
      <c r="E696" s="9">
        <f>IFERROR(__xludf.DUMMYFUNCTION("GOOGLEFINANCE(A696, ""high"")"),538.75)</f>
        <v>538.75</v>
      </c>
      <c r="F696" s="9">
        <f>IFERROR(__xludf.DUMMYFUNCTION("GOOGLEFINANCE(A696, ""low"")"),522.5)</f>
        <v>522.5</v>
      </c>
      <c r="G696" s="9">
        <f>IFERROR(__xludf.DUMMYFUNCTION("GOOGLEFINANCE(A696, ""price"")"),525.15)</f>
        <v>525.15</v>
      </c>
      <c r="H696" s="9">
        <f>IFERROR(__xludf.DUMMYFUNCTION("MAX(INDEX(GOOGLEFINANCE(A696, ""high"", TODAY()-30, TODAY()), 0, 2))"),559.25)</f>
        <v>559.25</v>
      </c>
      <c r="I696" s="9">
        <f>IFERROR(__xludf.DUMMYFUNCTION("MIN(INDEX(GOOGLEFINANCE(A696, ""low"", TODAY()-30, TODAY()), 0, 2))"),467.0)</f>
        <v>467</v>
      </c>
      <c r="J696" s="9">
        <f>IFERROR(__xludf.DUMMYFUNCTION("GOOGLEFINANCE(A696, ""high52"")"),559.25)</f>
        <v>559.25</v>
      </c>
      <c r="K696" s="9">
        <f>IFERROR(__xludf.DUMMYFUNCTION("GOOGLEFINANCE(A696, ""low52"")"),389.95)</f>
        <v>389.95</v>
      </c>
      <c r="L696" s="9">
        <f t="shared" si="1"/>
        <v>0.06097451945</v>
      </c>
      <c r="M696" s="9">
        <f t="shared" si="2"/>
        <v>0.3467111168</v>
      </c>
      <c r="N696" s="9">
        <f t="shared" si="3"/>
        <v>0.03110047847</v>
      </c>
      <c r="O696" s="9">
        <f t="shared" si="4"/>
        <v>0.6303523035</v>
      </c>
      <c r="P696" s="9">
        <f>IFERROR(__xludf.DUMMYFUNCTION("GOOGLEFINANCE(A696, ""pe"")"),38.61)</f>
        <v>38.61</v>
      </c>
      <c r="Q696" s="9">
        <f>IFERROR(__xludf.DUMMYFUNCTION("IFERROR(GOOGLEFINANCE(A696, ""volume"") / GOOGLEFINANCE(A696, ""volumeavg""), 0)"),0.0)</f>
        <v>0</v>
      </c>
      <c r="R696" s="9">
        <f>IFERROR(__xludf.DUMMYFUNCTION("AVERAGE(INDEX(GOOGLEFINANCE(A696, ""price"", TODAY()-30, TODAY()), 0, 2))"),502.1869565217391)</f>
        <v>502.1869565</v>
      </c>
      <c r="S696" s="9">
        <f>IFERROR(__xludf.DUMMYFUNCTION("AVERAGE(INDEX(GOOGLEFINANCE(A696, ""price"", TODAY()-75, TODAY()), 0, 2))"),484.1056603773586)</f>
        <v>484.1056604</v>
      </c>
      <c r="T696" s="9">
        <f>IFERROR(__xludf.DUMMYFUNCTION("AVERAGE(INDEX(GOOGLEFINANCE(A696, ""price"", TODAY()-300, TODAY()), 0, 2))"),450.76757425742545)</f>
        <v>450.7675743</v>
      </c>
      <c r="U696" s="9">
        <f t="shared" si="5"/>
        <v>0.04572608504</v>
      </c>
      <c r="V696" s="15">
        <f>IFERROR(__xludf.DUMMYFUNCTION("LET(hist, GOOGLEFINANCE(A696,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rs))))))"),70.14005602240897)</f>
        <v>70.14005602</v>
      </c>
      <c r="W696" s="16" t="str">
        <f>IFERROR(__xludf.DUMMYFUNCTION("IFERROR(GOOGLEFINANCE(A696, ""volume"") / GOOGLEFINANCE(A696, ""volumeavg""), )"),"")</f>
        <v/>
      </c>
      <c r="X696" s="9">
        <f>IFERROR(__xludf.DUMMYFUNCTION("B696 * GOOGLEFINANCE(A696, ""volume"")"),3.922397865E7)</f>
        <v>39223978.65</v>
      </c>
      <c r="Y696" s="9">
        <f>IFERROR(__xludf.DUMMYFUNCTION("IFERROR(((B696 - GOOGLEFINANCE(A696, ""priceopen"")) / GOOGLEFINANCE(A696, ""priceopen"")) * GOOGLEFINANCE(A696, ""volume""), 0)"),-1518.7611230295652)</f>
        <v>-1518.761123</v>
      </c>
    </row>
    <row r="697">
      <c r="A697" s="4" t="s">
        <v>2490</v>
      </c>
      <c r="B697" s="7">
        <f>IFERROR(__xludf.DUMMYFUNCTION("GOOGLEFINANCE(A697, ""price"")"),2087.0)</f>
        <v>2087</v>
      </c>
      <c r="C697" s="7">
        <f>IFERROR(__xludf.DUMMYFUNCTION("GOOGLEFINANCE(A697, ""changepct"")"),-1.73)</f>
        <v>-1.73</v>
      </c>
      <c r="D697" s="9">
        <f>IFERROR(__xludf.DUMMYFUNCTION("GOOGLEFINANCE(A697, ""priceopen"")"),2129.0)</f>
        <v>2129</v>
      </c>
      <c r="E697" s="9">
        <f>IFERROR(__xludf.DUMMYFUNCTION("GOOGLEFINANCE(A697, ""high"")"),2148.9)</f>
        <v>2148.9</v>
      </c>
      <c r="F697" s="9">
        <f>IFERROR(__xludf.DUMMYFUNCTION("GOOGLEFINANCE(A697, ""low"")"),2062.1)</f>
        <v>2062.1</v>
      </c>
      <c r="G697" s="9">
        <f>IFERROR(__xludf.DUMMYFUNCTION("GOOGLEFINANCE(A697, ""price"")"),2087.0)</f>
        <v>2087</v>
      </c>
      <c r="H697" s="9">
        <f>IFERROR(__xludf.DUMMYFUNCTION("MAX(INDEX(GOOGLEFINANCE(A697, ""high"", TODAY()-30, TODAY()), 0, 2))"),2443.6)</f>
        <v>2443.6</v>
      </c>
      <c r="I697" s="9">
        <f>IFERROR(__xludf.DUMMYFUNCTION("MIN(INDEX(GOOGLEFINANCE(A697, ""low"", TODAY()-30, TODAY()), 0, 2))"),1977.3)</f>
        <v>1977.3</v>
      </c>
      <c r="J697" s="9">
        <f>IFERROR(__xludf.DUMMYFUNCTION("GOOGLEFINANCE(A697, ""high52"")"),2443.6)</f>
        <v>2443.6</v>
      </c>
      <c r="K697" s="9">
        <f>IFERROR(__xludf.DUMMYFUNCTION("GOOGLEFINANCE(A697, ""low52"")"),968.1)</f>
        <v>968.1</v>
      </c>
      <c r="L697" s="9">
        <f t="shared" si="1"/>
        <v>0.1459322311</v>
      </c>
      <c r="M697" s="9">
        <f t="shared" si="2"/>
        <v>1.155769032</v>
      </c>
      <c r="N697" s="9">
        <f t="shared" si="3"/>
        <v>0.04209301198</v>
      </c>
      <c r="O697" s="9">
        <f t="shared" si="4"/>
        <v>0.2352562728</v>
      </c>
      <c r="P697" s="9">
        <f>IFERROR(__xludf.DUMMYFUNCTION("GOOGLEFINANCE(A697, ""pe"")"),33.24)</f>
        <v>33.24</v>
      </c>
      <c r="Q697" s="9">
        <f>IFERROR(__xludf.DUMMYFUNCTION("IFERROR(GOOGLEFINANCE(A697, ""volume"") / GOOGLEFINANCE(A697, ""volumeavg""), 0)"),0.0)</f>
        <v>0</v>
      </c>
      <c r="R697" s="9">
        <f>IFERROR(__xludf.DUMMYFUNCTION("AVERAGE(INDEX(GOOGLEFINANCE(A697, ""price"", TODAY()-30, TODAY()), 0, 2))"),2206.4304347826087)</f>
        <v>2206.430435</v>
      </c>
      <c r="S697" s="9">
        <f>IFERROR(__xludf.DUMMYFUNCTION("AVERAGE(INDEX(GOOGLEFINANCE(A697, ""price"", TODAY()-75, TODAY()), 0, 2))"),2146.815094339622)</f>
        <v>2146.815094</v>
      </c>
      <c r="T697" s="9">
        <f>IFERROR(__xludf.DUMMYFUNCTION("AVERAGE(INDEX(GOOGLEFINANCE(A697, ""price"", TODAY()-300, TODAY()), 0, 2))"),1462.3685643564354)</f>
        <v>1462.368564</v>
      </c>
      <c r="U697" s="9">
        <f t="shared" si="5"/>
        <v>-0.05412834817</v>
      </c>
      <c r="V697" s="15">
        <f>IFERROR(__xludf.DUMMYFUNCTION("LET(hist, GOOGLEFINANCE(A697,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rs))))))"),35.85959734373354)</f>
        <v>35.85959734</v>
      </c>
      <c r="W697" s="16" t="str">
        <f>IFERROR(__xludf.DUMMYFUNCTION("IFERROR(GOOGLEFINANCE(A697, ""volume"") / GOOGLEFINANCE(A697, ""volumeavg""), )"),"")</f>
        <v/>
      </c>
      <c r="X697" s="9">
        <f>IFERROR(__xludf.DUMMYFUNCTION("B697 * GOOGLEFINANCE(A697, ""volume"")"),2.11406839E8)</f>
        <v>211406839</v>
      </c>
      <c r="Y697" s="9">
        <f>IFERROR(__xludf.DUMMYFUNCTION("IFERROR(((B697 - GOOGLEFINANCE(A697, ""priceopen"")) / GOOGLEFINANCE(A697, ""priceopen"")) * GOOGLEFINANCE(A697, ""volume""), 0)"),-1998.3438233912636)</f>
        <v>-1998.343823</v>
      </c>
    </row>
    <row r="698">
      <c r="A698" s="4" t="s">
        <v>2491</v>
      </c>
      <c r="B698" s="7">
        <f>IFERROR(__xludf.DUMMYFUNCTION("GOOGLEFINANCE(A698, ""price"")"),2038.0)</f>
        <v>2038</v>
      </c>
      <c r="C698" s="7">
        <f>IFERROR(__xludf.DUMMYFUNCTION("GOOGLEFINANCE(A698, ""changepct"")"),-0.25)</f>
        <v>-0.25</v>
      </c>
      <c r="D698" s="9">
        <f>IFERROR(__xludf.DUMMYFUNCTION("GOOGLEFINANCE(A698, ""priceopen"")"),2092.0)</f>
        <v>2092</v>
      </c>
      <c r="E698" s="9">
        <f>IFERROR(__xludf.DUMMYFUNCTION("GOOGLEFINANCE(A698, ""high"")"),2092.0)</f>
        <v>2092</v>
      </c>
      <c r="F698" s="9">
        <f>IFERROR(__xludf.DUMMYFUNCTION("GOOGLEFINANCE(A698, ""low"")"),2000.0)</f>
        <v>2000</v>
      </c>
      <c r="G698" s="9">
        <f>IFERROR(__xludf.DUMMYFUNCTION("GOOGLEFINANCE(A698, ""price"")"),2038.0)</f>
        <v>2038</v>
      </c>
      <c r="H698" s="9">
        <f>IFERROR(__xludf.DUMMYFUNCTION("MAX(INDEX(GOOGLEFINANCE(A698, ""high"", TODAY()-30, TODAY()), 0, 2))"),2117.9)</f>
        <v>2117.9</v>
      </c>
      <c r="I698" s="9">
        <f>IFERROR(__xludf.DUMMYFUNCTION("MIN(INDEX(GOOGLEFINANCE(A698, ""low"", TODAY()-30, TODAY()), 0, 2))"),1900.0)</f>
        <v>1900</v>
      </c>
      <c r="J698" s="9">
        <f>IFERROR(__xludf.DUMMYFUNCTION("GOOGLEFINANCE(A698, ""high52"")"),2456.9)</f>
        <v>2456.9</v>
      </c>
      <c r="K698" s="9">
        <f>IFERROR(__xludf.DUMMYFUNCTION("GOOGLEFINANCE(A698, ""low52"")"),1510.0)</f>
        <v>1510</v>
      </c>
      <c r="L698" s="9">
        <f t="shared" si="1"/>
        <v>0.1704994098</v>
      </c>
      <c r="M698" s="9">
        <f t="shared" si="2"/>
        <v>0.3496688742</v>
      </c>
      <c r="N698" s="9">
        <f t="shared" si="3"/>
        <v>0.046</v>
      </c>
      <c r="O698" s="9">
        <f t="shared" si="4"/>
        <v>0.6333180358</v>
      </c>
      <c r="P698" s="9">
        <f>IFERROR(__xludf.DUMMYFUNCTION("GOOGLEFINANCE(A698, ""pe"")"),27.05)</f>
        <v>27.05</v>
      </c>
      <c r="Q698" s="9">
        <f>IFERROR(__xludf.DUMMYFUNCTION("IFERROR(GOOGLEFINANCE(A698, ""volume"") / GOOGLEFINANCE(A698, ""volumeavg""), 0)"),0.0)</f>
        <v>0</v>
      </c>
      <c r="R698" s="9">
        <f>IFERROR(__xludf.DUMMYFUNCTION("AVERAGE(INDEX(GOOGLEFINANCE(A698, ""price"", TODAY()-30, TODAY()), 0, 2))"),1975.0826086956527)</f>
        <v>1975.082609</v>
      </c>
      <c r="S698" s="9">
        <f>IFERROR(__xludf.DUMMYFUNCTION("AVERAGE(INDEX(GOOGLEFINANCE(A698, ""price"", TODAY()-75, TODAY()), 0, 2))"),1918.0320754716986)</f>
        <v>1918.032075</v>
      </c>
      <c r="T698" s="9">
        <f>IFERROR(__xludf.DUMMYFUNCTION("AVERAGE(INDEX(GOOGLEFINANCE(A698, ""price"", TODAY()-300, TODAY()), 0, 2))"),1931.361691542287)</f>
        <v>1931.361692</v>
      </c>
      <c r="U698" s="9">
        <f t="shared" si="5"/>
        <v>0.03185557456</v>
      </c>
      <c r="V698" s="15">
        <f>IFERROR(__xludf.DUMMYFUNCTION("LET(hist, GOOGLEFINANCE(A698,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rs))))))"),64.4192460925529)</f>
        <v>64.41924609</v>
      </c>
      <c r="W698" s="16" t="str">
        <f>IFERROR(__xludf.DUMMYFUNCTION("IFERROR(GOOGLEFINANCE(A698, ""volume"") / GOOGLEFINANCE(A698, ""volumeavg""), )"),"")</f>
        <v/>
      </c>
      <c r="X698" s="9">
        <f>IFERROR(__xludf.DUMMYFUNCTION("B698 * GOOGLEFINANCE(A698, ""volume"")"),1.9153124E7)</f>
        <v>19153124</v>
      </c>
      <c r="Y698" s="9">
        <f>IFERROR(__xludf.DUMMYFUNCTION("IFERROR(((B698 - GOOGLEFINANCE(A698, ""priceopen"")) / GOOGLEFINANCE(A698, ""priceopen"")) * GOOGLEFINANCE(A698, ""volume""), 0)"),-242.5869980879541)</f>
        <v>-242.5869981</v>
      </c>
    </row>
    <row r="699">
      <c r="A699" s="4" t="s">
        <v>2492</v>
      </c>
      <c r="B699" s="7">
        <f>IFERROR(__xludf.DUMMYFUNCTION("GOOGLEFINANCE(A699, ""price"")"),2801.5)</f>
        <v>2801.5</v>
      </c>
      <c r="C699" s="7">
        <f>IFERROR(__xludf.DUMMYFUNCTION("GOOGLEFINANCE(A699, ""changepct"")"),-0.98)</f>
        <v>-0.98</v>
      </c>
      <c r="D699" s="9">
        <f>IFERROR(__xludf.DUMMYFUNCTION("GOOGLEFINANCE(A699, ""priceopen"")"),2829.9)</f>
        <v>2829.9</v>
      </c>
      <c r="E699" s="9">
        <f>IFERROR(__xludf.DUMMYFUNCTION("GOOGLEFINANCE(A699, ""high"")"),2853.9)</f>
        <v>2853.9</v>
      </c>
      <c r="F699" s="9">
        <f>IFERROR(__xludf.DUMMYFUNCTION("GOOGLEFINANCE(A699, ""low"")"),2768.1)</f>
        <v>2768.1</v>
      </c>
      <c r="G699" s="9">
        <f>IFERROR(__xludf.DUMMYFUNCTION("GOOGLEFINANCE(A699, ""price"")"),2801.5)</f>
        <v>2801.5</v>
      </c>
      <c r="H699" s="9">
        <f>IFERROR(__xludf.DUMMYFUNCTION("MAX(INDEX(GOOGLEFINANCE(A699, ""high"", TODAY()-30, TODAY()), 0, 2))"),3090.4)</f>
        <v>3090.4</v>
      </c>
      <c r="I699" s="9">
        <f>IFERROR(__xludf.DUMMYFUNCTION("MIN(INDEX(GOOGLEFINANCE(A699, ""low"", TODAY()-30, TODAY()), 0, 2))"),2450.5)</f>
        <v>2450.5</v>
      </c>
      <c r="J699" s="9">
        <f>IFERROR(__xludf.DUMMYFUNCTION("GOOGLEFINANCE(A699, ""high52"")"),3245.9)</f>
        <v>3245.9</v>
      </c>
      <c r="K699" s="9">
        <f>IFERROR(__xludf.DUMMYFUNCTION("GOOGLEFINANCE(A699, ""low52"")"),1919.4)</f>
        <v>1919.4</v>
      </c>
      <c r="L699" s="9">
        <f t="shared" si="1"/>
        <v>0.1369111803</v>
      </c>
      <c r="M699" s="9">
        <f t="shared" si="2"/>
        <v>0.4595706992</v>
      </c>
      <c r="N699" s="9">
        <f t="shared" si="3"/>
        <v>0.03099599003</v>
      </c>
      <c r="O699" s="9">
        <f t="shared" si="4"/>
        <v>0.5485232068</v>
      </c>
      <c r="P699" s="9">
        <f>IFERROR(__xludf.DUMMYFUNCTION("GOOGLEFINANCE(A699, ""pe"")"),71.93)</f>
        <v>71.93</v>
      </c>
      <c r="Q699" s="9">
        <f>IFERROR(__xludf.DUMMYFUNCTION("IFERROR(GOOGLEFINANCE(A699, ""volume"") / GOOGLEFINANCE(A699, ""volumeavg""), 0)"),0.0)</f>
        <v>0</v>
      </c>
      <c r="R699" s="9">
        <f>IFERROR(__xludf.DUMMYFUNCTION("AVERAGE(INDEX(GOOGLEFINANCE(A699, ""price"", TODAY()-30, TODAY()), 0, 2))"),2686.604347826087)</f>
        <v>2686.604348</v>
      </c>
      <c r="S699" s="9">
        <f>IFERROR(__xludf.DUMMYFUNCTION("AVERAGE(INDEX(GOOGLEFINANCE(A699, ""price"", TODAY()-75, TODAY()), 0, 2))"),2537.0679245283013)</f>
        <v>2537.067925</v>
      </c>
      <c r="T699" s="9">
        <f>IFERROR(__xludf.DUMMYFUNCTION("AVERAGE(INDEX(GOOGLEFINANCE(A699, ""price"", TODAY()-300, TODAY()), 0, 2))"),2600.2589108910893)</f>
        <v>2600.258911</v>
      </c>
      <c r="U699" s="9">
        <f t="shared" si="5"/>
        <v>0.04276612307</v>
      </c>
      <c r="V699" s="15">
        <f>IFERROR(__xludf.DUMMYFUNCTION("LET(hist, GOOGLEFINANCE(A699,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rs))))))"),63.64555681961826)</f>
        <v>63.64555682</v>
      </c>
      <c r="W699" s="16" t="str">
        <f>IFERROR(__xludf.DUMMYFUNCTION("IFERROR(GOOGLEFINANCE(A699, ""volume"") / GOOGLEFINANCE(A699, ""volumeavg""), )"),"")</f>
        <v/>
      </c>
      <c r="X699" s="9">
        <f>IFERROR(__xludf.DUMMYFUNCTION("B699 * GOOGLEFINANCE(A699, ""volume"")"),5.524558E7)</f>
        <v>55245580</v>
      </c>
      <c r="Y699" s="9">
        <f>IFERROR(__xludf.DUMMYFUNCTION("IFERROR(((B699 - GOOGLEFINANCE(A699, ""priceopen"")) / GOOGLEFINANCE(A699, ""priceopen"")) * GOOGLEFINANCE(A699, ""volume""), 0)"),-197.90381285557856)</f>
        <v>-197.9038129</v>
      </c>
    </row>
    <row r="700">
      <c r="A700" s="4" t="s">
        <v>2493</v>
      </c>
      <c r="B700" s="7">
        <f>IFERROR(__xludf.DUMMYFUNCTION("GOOGLEFINANCE(A700, ""price"")"),904.0)</f>
        <v>904</v>
      </c>
      <c r="C700" s="7">
        <f>IFERROR(__xludf.DUMMYFUNCTION("GOOGLEFINANCE(A700, ""changepct"")"),0.65)</f>
        <v>0.65</v>
      </c>
      <c r="D700" s="9">
        <f>IFERROR(__xludf.DUMMYFUNCTION("GOOGLEFINANCE(A700, ""priceopen"")"),901.0)</f>
        <v>901</v>
      </c>
      <c r="E700" s="9">
        <f>IFERROR(__xludf.DUMMYFUNCTION("GOOGLEFINANCE(A700, ""high"")"),906.95)</f>
        <v>906.95</v>
      </c>
      <c r="F700" s="9">
        <f>IFERROR(__xludf.DUMMYFUNCTION("GOOGLEFINANCE(A700, ""low"")"),890.0)</f>
        <v>890</v>
      </c>
      <c r="G700" s="9">
        <f>IFERROR(__xludf.DUMMYFUNCTION("GOOGLEFINANCE(A700, ""price"")"),904.0)</f>
        <v>904</v>
      </c>
      <c r="H700" s="9">
        <f>IFERROR(__xludf.DUMMYFUNCTION("MAX(INDEX(GOOGLEFINANCE(A700, ""high"", TODAY()-30, TODAY()), 0, 2))"),1051.95)</f>
        <v>1051.95</v>
      </c>
      <c r="I700" s="9">
        <f>IFERROR(__xludf.DUMMYFUNCTION("MIN(INDEX(GOOGLEFINANCE(A700, ""low"", TODAY()-30, TODAY()), 0, 2))"),868.2)</f>
        <v>868.2</v>
      </c>
      <c r="J700" s="9">
        <f>IFERROR(__xludf.DUMMYFUNCTION("GOOGLEFINANCE(A700, ""high52"")"),1346.1)</f>
        <v>1346.1</v>
      </c>
      <c r="K700" s="9">
        <f>IFERROR(__xludf.DUMMYFUNCTION("GOOGLEFINANCE(A700, ""low52"")"),769.6)</f>
        <v>769.6</v>
      </c>
      <c r="L700" s="9">
        <f t="shared" si="1"/>
        <v>0.3284302801</v>
      </c>
      <c r="M700" s="9">
        <f t="shared" si="2"/>
        <v>0.1746361746</v>
      </c>
      <c r="N700" s="9">
        <f t="shared" si="3"/>
        <v>0.01904494382</v>
      </c>
      <c r="O700" s="9">
        <f t="shared" si="4"/>
        <v>0.194829932</v>
      </c>
      <c r="P700" s="9">
        <f>IFERROR(__xludf.DUMMYFUNCTION("GOOGLEFINANCE(A700, ""pe"")"),12.57)</f>
        <v>12.57</v>
      </c>
      <c r="Q700" s="9">
        <f>IFERROR(__xludf.DUMMYFUNCTION("IFERROR(GOOGLEFINANCE(A700, ""volume"") / GOOGLEFINANCE(A700, ""volumeavg""), 0)"),0.0)</f>
        <v>0</v>
      </c>
      <c r="R700" s="9">
        <f>IFERROR(__xludf.DUMMYFUNCTION("AVERAGE(INDEX(GOOGLEFINANCE(A700, ""price"", TODAY()-30, TODAY()), 0, 2))"),941.1652173913043)</f>
        <v>941.1652174</v>
      </c>
      <c r="S700" s="9">
        <f>IFERROR(__xludf.DUMMYFUNCTION("AVERAGE(INDEX(GOOGLEFINANCE(A700, ""price"", TODAY()-75, TODAY()), 0, 2))"),961.9518867924529)</f>
        <v>961.9518868</v>
      </c>
      <c r="T700" s="9">
        <f>IFERROR(__xludf.DUMMYFUNCTION("AVERAGE(INDEX(GOOGLEFINANCE(A700, ""price"", TODAY()-300, TODAY()), 0, 2))"),1013.2188118811878)</f>
        <v>1013.218812</v>
      </c>
      <c r="U700" s="9">
        <f t="shared" si="5"/>
        <v>-0.03948851562</v>
      </c>
      <c r="V700" s="15">
        <f>IFERROR(__xludf.DUMMYFUNCTION("LET(hist, GOOGLEFINANCE(A700,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rs))))))"),30.274709713962054)</f>
        <v>30.27470971</v>
      </c>
      <c r="W700" s="16" t="str">
        <f>IFERROR(__xludf.DUMMYFUNCTION("IFERROR(GOOGLEFINANCE(A700, ""volume"") / GOOGLEFINANCE(A700, ""volumeavg""), )"),"")</f>
        <v/>
      </c>
      <c r="X700" s="9">
        <f>IFERROR(__xludf.DUMMYFUNCTION("B700 * GOOGLEFINANCE(A700, ""volume"")"),3.3839432E7)</f>
        <v>33839432</v>
      </c>
      <c r="Y700" s="9">
        <f>IFERROR(__xludf.DUMMYFUNCTION("IFERROR(((B700 - GOOGLEFINANCE(A700, ""priceopen"")) / GOOGLEFINANCE(A700, ""priceopen"")) * GOOGLEFINANCE(A700, ""volume""), 0)"),124.63817980022198)</f>
        <v>124.6381798</v>
      </c>
    </row>
    <row r="701">
      <c r="A701" s="4" t="s">
        <v>2494</v>
      </c>
      <c r="B701" s="7">
        <f>IFERROR(__xludf.DUMMYFUNCTION("GOOGLEFINANCE(A701, ""price"")"),534.0)</f>
        <v>534</v>
      </c>
      <c r="C701" s="7">
        <f>IFERROR(__xludf.DUMMYFUNCTION("GOOGLEFINANCE(A701, ""changepct"")"),-1.28)</f>
        <v>-1.28</v>
      </c>
      <c r="D701" s="9">
        <f>IFERROR(__xludf.DUMMYFUNCTION("GOOGLEFINANCE(A701, ""priceopen"")"),539.95)</f>
        <v>539.95</v>
      </c>
      <c r="E701" s="9">
        <f>IFERROR(__xludf.DUMMYFUNCTION("GOOGLEFINANCE(A701, ""high"")"),542.4)</f>
        <v>542.4</v>
      </c>
      <c r="F701" s="9">
        <f>IFERROR(__xludf.DUMMYFUNCTION("GOOGLEFINANCE(A701, ""low"")"),530.35)</f>
        <v>530.35</v>
      </c>
      <c r="G701" s="9">
        <f>IFERROR(__xludf.DUMMYFUNCTION("GOOGLEFINANCE(A701, ""price"")"),534.0)</f>
        <v>534</v>
      </c>
      <c r="H701" s="9">
        <f>IFERROR(__xludf.DUMMYFUNCTION("MAX(INDEX(GOOGLEFINANCE(A701, ""high"", TODAY()-30, TODAY()), 0, 2))"),692.0)</f>
        <v>692</v>
      </c>
      <c r="I701" s="9">
        <f>IFERROR(__xludf.DUMMYFUNCTION("MIN(INDEX(GOOGLEFINANCE(A701, ""low"", TODAY()-30, TODAY()), 0, 2))"),517.2)</f>
        <v>517.2</v>
      </c>
      <c r="J701" s="9">
        <f>IFERROR(__xludf.DUMMYFUNCTION("GOOGLEFINANCE(A701, ""high52"")"),692.0)</f>
        <v>692</v>
      </c>
      <c r="K701" s="9">
        <f>IFERROR(__xludf.DUMMYFUNCTION("GOOGLEFINANCE(A701, ""low52"")"),220.1)</f>
        <v>220.1</v>
      </c>
      <c r="L701" s="9">
        <f t="shared" si="1"/>
        <v>0.2283236994</v>
      </c>
      <c r="M701" s="9">
        <f t="shared" si="2"/>
        <v>1.426169923</v>
      </c>
      <c r="N701" s="9">
        <f t="shared" si="3"/>
        <v>0.02272084473</v>
      </c>
      <c r="O701" s="9">
        <f t="shared" si="4"/>
        <v>0.09610983982</v>
      </c>
      <c r="P701" s="9">
        <f>IFERROR(__xludf.DUMMYFUNCTION("GOOGLEFINANCE(A701, ""pe"")"),46.89)</f>
        <v>46.89</v>
      </c>
      <c r="Q701" s="9">
        <f>IFERROR(__xludf.DUMMYFUNCTION("IFERROR(GOOGLEFINANCE(A701, ""volume"") / GOOGLEFINANCE(A701, ""volumeavg""), 0)"),0.0)</f>
        <v>0</v>
      </c>
      <c r="R701" s="9">
        <f>IFERROR(__xludf.DUMMYFUNCTION("AVERAGE(INDEX(GOOGLEFINANCE(A701, ""price"", TODAY()-30, TODAY()), 0, 2))"),546.2369565217392)</f>
        <v>546.2369565</v>
      </c>
      <c r="S701" s="9">
        <f>IFERROR(__xludf.DUMMYFUNCTION("AVERAGE(INDEX(GOOGLEFINANCE(A701, ""price"", TODAY()-75, TODAY()), 0, 2))"),573.7575471698113)</f>
        <v>573.7575472</v>
      </c>
      <c r="T701" s="9">
        <f>IFERROR(__xludf.DUMMYFUNCTION("AVERAGE(INDEX(GOOGLEFINANCE(A701, ""price"", TODAY()-300, TODAY()), 0, 2))"),409.1942574257425)</f>
        <v>409.1942574</v>
      </c>
      <c r="U701" s="9">
        <f t="shared" si="5"/>
        <v>-0.022402286</v>
      </c>
      <c r="V701" s="15">
        <f>IFERROR(__xludf.DUMMYFUNCTION("LET(hist, GOOGLEFINANCE(A701,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rs))))))"),41.678453559641696)</f>
        <v>41.67845356</v>
      </c>
      <c r="W701" s="16" t="str">
        <f>IFERROR(__xludf.DUMMYFUNCTION("IFERROR(GOOGLEFINANCE(A701, ""volume"") / GOOGLEFINANCE(A701, ""volumeavg""), )"),"")</f>
        <v/>
      </c>
      <c r="X701" s="9">
        <f>IFERROR(__xludf.DUMMYFUNCTION("B701 * GOOGLEFINANCE(A701, ""volume"")"),1.38990588E8)</f>
        <v>138990588</v>
      </c>
      <c r="Y701" s="9">
        <f>IFERROR(__xludf.DUMMYFUNCTION("IFERROR(((B701 - GOOGLEFINANCE(A701, ""priceopen"")) / GOOGLEFINANCE(A701, ""priceopen"")) * GOOGLEFINANCE(A701, ""volume""), 0)"),-2868.1876099639076)</f>
        <v>-2868.18761</v>
      </c>
    </row>
    <row r="702">
      <c r="A702" s="4" t="s">
        <v>2495</v>
      </c>
      <c r="B702" s="7">
        <f>IFERROR(__xludf.DUMMYFUNCTION("GOOGLEFINANCE(A702, ""price"")"),680.5)</f>
        <v>680.5</v>
      </c>
      <c r="C702" s="7">
        <f>IFERROR(__xludf.DUMMYFUNCTION("GOOGLEFINANCE(A702, ""changepct"")"),-4.46)</f>
        <v>-4.46</v>
      </c>
      <c r="D702" s="9">
        <f>IFERROR(__xludf.DUMMYFUNCTION("GOOGLEFINANCE(A702, ""priceopen"")"),725.0)</f>
        <v>725</v>
      </c>
      <c r="E702" s="9">
        <f>IFERROR(__xludf.DUMMYFUNCTION("GOOGLEFINANCE(A702, ""high"")"),725.0)</f>
        <v>725</v>
      </c>
      <c r="F702" s="9">
        <f>IFERROR(__xludf.DUMMYFUNCTION("GOOGLEFINANCE(A702, ""low"")"),677.0)</f>
        <v>677</v>
      </c>
      <c r="G702" s="9">
        <f>IFERROR(__xludf.DUMMYFUNCTION("GOOGLEFINANCE(A702, ""price"")"),680.5)</f>
        <v>680.5</v>
      </c>
      <c r="H702" s="9">
        <f>IFERROR(__xludf.DUMMYFUNCTION("MAX(INDEX(GOOGLEFINANCE(A702, ""high"", TODAY()-30, TODAY()), 0, 2))"),725.0)</f>
        <v>725</v>
      </c>
      <c r="I702" s="9">
        <f>IFERROR(__xludf.DUMMYFUNCTION("MIN(INDEX(GOOGLEFINANCE(A702, ""low"", TODAY()-30, TODAY()), 0, 2))"),618.0)</f>
        <v>618</v>
      </c>
      <c r="J702" s="9">
        <f>IFERROR(__xludf.DUMMYFUNCTION("GOOGLEFINANCE(A702, ""high52"")"),769.75)</f>
        <v>769.75</v>
      </c>
      <c r="K702" s="9">
        <f>IFERROR(__xludf.DUMMYFUNCTION("GOOGLEFINANCE(A702, ""low52"")"),446.0)</f>
        <v>446</v>
      </c>
      <c r="L702" s="9">
        <f t="shared" si="1"/>
        <v>0.115946736</v>
      </c>
      <c r="M702" s="9">
        <f t="shared" si="2"/>
        <v>0.5257847534</v>
      </c>
      <c r="N702" s="9">
        <f t="shared" si="3"/>
        <v>0.07090103397</v>
      </c>
      <c r="O702" s="9">
        <f t="shared" si="4"/>
        <v>0.5841121495</v>
      </c>
      <c r="P702" s="9">
        <f>IFERROR(__xludf.DUMMYFUNCTION("GOOGLEFINANCE(A702, ""pe"")"),83.98)</f>
        <v>83.98</v>
      </c>
      <c r="Q702" s="9">
        <f>IFERROR(__xludf.DUMMYFUNCTION("IFERROR(GOOGLEFINANCE(A702, ""volume"") / GOOGLEFINANCE(A702, ""volumeavg""), 0)"),0.0)</f>
        <v>0</v>
      </c>
      <c r="R702" s="9">
        <f>IFERROR(__xludf.DUMMYFUNCTION("AVERAGE(INDEX(GOOGLEFINANCE(A702, ""price"", TODAY()-30, TODAY()), 0, 2))"),674.0543478260869)</f>
        <v>674.0543478</v>
      </c>
      <c r="S702" s="9">
        <f>IFERROR(__xludf.DUMMYFUNCTION("AVERAGE(INDEX(GOOGLEFINANCE(A702, ""price"", TODAY()-75, TODAY()), 0, 2))"),679.5150943396228)</f>
        <v>679.5150943</v>
      </c>
      <c r="T702" s="9">
        <f>IFERROR(__xludf.DUMMYFUNCTION("AVERAGE(INDEX(GOOGLEFINANCE(A702, ""price"", TODAY()-300, TODAY()), 0, 2))"),585.3903124999996)</f>
        <v>585.3903125</v>
      </c>
      <c r="U702" s="9">
        <f t="shared" si="5"/>
        <v>0.009562511086</v>
      </c>
      <c r="V702" s="15">
        <f>IFERROR(__xludf.DUMMYFUNCTION("LET(hist, GOOGLEFINANCE(A702,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rs))))))"),50.369931932524416)</f>
        <v>50.36993193</v>
      </c>
      <c r="W702" s="16" t="str">
        <f>IFERROR(__xludf.DUMMYFUNCTION("IFERROR(GOOGLEFINANCE(A702, ""volume"") / GOOGLEFINANCE(A702, ""volumeavg""), )"),"")</f>
        <v/>
      </c>
      <c r="X702" s="9">
        <f>IFERROR(__xludf.DUMMYFUNCTION("B702 * GOOGLEFINANCE(A702, ""volume"")"),2.589826485E8)</f>
        <v>258982648.5</v>
      </c>
      <c r="Y702" s="9">
        <f>IFERROR(__xludf.DUMMYFUNCTION("IFERROR(((B702 - GOOGLEFINANCE(A702, ""priceopen"")) / GOOGLEFINANCE(A702, ""priceopen"")) * GOOGLEFINANCE(A702, ""volume""), 0)"),-23359.55379310345)</f>
        <v>-23359.55379</v>
      </c>
    </row>
    <row r="703">
      <c r="A703" s="4" t="s">
        <v>2496</v>
      </c>
      <c r="B703" s="7">
        <f>IFERROR(__xludf.DUMMYFUNCTION("GOOGLEFINANCE(A703, ""price"")"),187.7)</f>
        <v>187.7</v>
      </c>
      <c r="C703" s="7">
        <f>IFERROR(__xludf.DUMMYFUNCTION("GOOGLEFINANCE(A703, ""changepct"")"),1.78)</f>
        <v>1.78</v>
      </c>
      <c r="D703" s="9">
        <f>IFERROR(__xludf.DUMMYFUNCTION("GOOGLEFINANCE(A703, ""priceopen"")"),182.31)</f>
        <v>182.31</v>
      </c>
      <c r="E703" s="9">
        <f>IFERROR(__xludf.DUMMYFUNCTION("GOOGLEFINANCE(A703, ""high"")"),187.75)</f>
        <v>187.75</v>
      </c>
      <c r="F703" s="9">
        <f>IFERROR(__xludf.DUMMYFUNCTION("GOOGLEFINANCE(A703, ""low"")"),175.19)</f>
        <v>175.19</v>
      </c>
      <c r="G703" s="9">
        <f>IFERROR(__xludf.DUMMYFUNCTION("GOOGLEFINANCE(A703, ""price"")"),187.7)</f>
        <v>187.7</v>
      </c>
      <c r="H703" s="9">
        <f>IFERROR(__xludf.DUMMYFUNCTION("MAX(INDEX(GOOGLEFINANCE(A703, ""high"", TODAY()-30, TODAY()), 0, 2))"),202.58)</f>
        <v>202.58</v>
      </c>
      <c r="I703" s="9">
        <f>IFERROR(__xludf.DUMMYFUNCTION("MIN(INDEX(GOOGLEFINANCE(A703, ""low"", TODAY()-30, TODAY()), 0, 2))"),165.0)</f>
        <v>165</v>
      </c>
      <c r="J703" s="9">
        <f>IFERROR(__xludf.DUMMYFUNCTION("GOOGLEFINANCE(A703, ""high52"")"),279.0)</f>
        <v>279</v>
      </c>
      <c r="K703" s="9">
        <f>IFERROR(__xludf.DUMMYFUNCTION("GOOGLEFINANCE(A703, ""low52"")"),132.58)</f>
        <v>132.58</v>
      </c>
      <c r="L703" s="9">
        <f t="shared" si="1"/>
        <v>0.3272401434</v>
      </c>
      <c r="M703" s="9">
        <f t="shared" si="2"/>
        <v>0.4157489817</v>
      </c>
      <c r="N703" s="9">
        <f t="shared" si="3"/>
        <v>0.07169358982</v>
      </c>
      <c r="O703" s="9">
        <f t="shared" si="4"/>
        <v>0.6040447046</v>
      </c>
      <c r="P703" s="9">
        <f>IFERROR(__xludf.DUMMYFUNCTION("GOOGLEFINANCE(A703, ""pe"")"),68.15)</f>
        <v>68.15</v>
      </c>
      <c r="Q703" s="9">
        <f>IFERROR(__xludf.DUMMYFUNCTION("IFERROR(GOOGLEFINANCE(A703, ""volume"") / GOOGLEFINANCE(A703, ""volumeavg""), 0)"),0.0)</f>
        <v>0</v>
      </c>
      <c r="R703" s="9">
        <f>IFERROR(__xludf.DUMMYFUNCTION("AVERAGE(INDEX(GOOGLEFINANCE(A703, ""price"", TODAY()-30, TODAY()), 0, 2))"),185.5113043478261)</f>
        <v>185.5113043</v>
      </c>
      <c r="S703" s="9">
        <f>IFERROR(__xludf.DUMMYFUNCTION("AVERAGE(INDEX(GOOGLEFINANCE(A703, ""price"", TODAY()-75, TODAY()), 0, 2))"),188.12490566037738)</f>
        <v>188.1249057</v>
      </c>
      <c r="T703" s="9">
        <f>IFERROR(__xludf.DUMMYFUNCTION("AVERAGE(INDEX(GOOGLEFINANCE(A703, ""price"", TODAY()-300, TODAY()), 0, 2))"),190.59811881188105)</f>
        <v>190.5981188</v>
      </c>
      <c r="U703" s="9">
        <f t="shared" si="5"/>
        <v>0.01179817941</v>
      </c>
      <c r="V703" s="15">
        <f>IFERROR(__xludf.DUMMYFUNCTION("LET(hist, GOOGLEFINANCE(A703,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rs))))))"),50.063431652394556)</f>
        <v>50.06343165</v>
      </c>
      <c r="W703" s="16" t="str">
        <f>IFERROR(__xludf.DUMMYFUNCTION("IFERROR(GOOGLEFINANCE(A703, ""volume"") / GOOGLEFINANCE(A703, ""volumeavg""), )"),"")</f>
        <v/>
      </c>
      <c r="X703" s="9">
        <f>IFERROR(__xludf.DUMMYFUNCTION("B703 * GOOGLEFINANCE(A703, ""volume"")"),2.007119271E8)</f>
        <v>200711927.1</v>
      </c>
      <c r="Y703" s="9">
        <f>IFERROR(__xludf.DUMMYFUNCTION("IFERROR(((B703 - GOOGLEFINANCE(A703, ""priceopen"")) / GOOGLEFINANCE(A703, ""priceopen"")) * GOOGLEFINANCE(A703, ""volume""), 0)"),31614.562942241155)</f>
        <v>31614.56294</v>
      </c>
    </row>
    <row r="704">
      <c r="A704" s="4" t="s">
        <v>2497</v>
      </c>
      <c r="B704" s="7">
        <f>IFERROR(__xludf.DUMMYFUNCTION("GOOGLEFINANCE(A704, ""price"")"),421.85)</f>
        <v>421.85</v>
      </c>
      <c r="C704" s="7">
        <f>IFERROR(__xludf.DUMMYFUNCTION("GOOGLEFINANCE(A704, ""changepct"")"),1.85)</f>
        <v>1.85</v>
      </c>
      <c r="D704" s="9">
        <f>IFERROR(__xludf.DUMMYFUNCTION("GOOGLEFINANCE(A704, ""priceopen"")"),412.5)</f>
        <v>412.5</v>
      </c>
      <c r="E704" s="9">
        <f>IFERROR(__xludf.DUMMYFUNCTION("GOOGLEFINANCE(A704, ""high"")"),430.5)</f>
        <v>430.5</v>
      </c>
      <c r="F704" s="9">
        <f>IFERROR(__xludf.DUMMYFUNCTION("GOOGLEFINANCE(A704, ""low"")"),406.4)</f>
        <v>406.4</v>
      </c>
      <c r="G704" s="9">
        <f>IFERROR(__xludf.DUMMYFUNCTION("GOOGLEFINANCE(A704, ""price"")"),421.85)</f>
        <v>421.85</v>
      </c>
      <c r="H704" s="9">
        <f>IFERROR(__xludf.DUMMYFUNCTION("MAX(INDEX(GOOGLEFINANCE(A704, ""high"", TODAY()-30, TODAY()), 0, 2))"),447.0)</f>
        <v>447</v>
      </c>
      <c r="I704" s="9">
        <f>IFERROR(__xludf.DUMMYFUNCTION("MIN(INDEX(GOOGLEFINANCE(A704, ""low"", TODAY()-30, TODAY()), 0, 2))"),352.3)</f>
        <v>352.3</v>
      </c>
      <c r="J704" s="9">
        <f>IFERROR(__xludf.DUMMYFUNCTION("GOOGLEFINANCE(A704, ""high52"")"),467.5)</f>
        <v>467.5</v>
      </c>
      <c r="K704" s="9">
        <f>IFERROR(__xludf.DUMMYFUNCTION("GOOGLEFINANCE(A704, ""low52"")"),168.79)</f>
        <v>168.79</v>
      </c>
      <c r="L704" s="9">
        <f t="shared" si="1"/>
        <v>0.09764705882</v>
      </c>
      <c r="M704" s="9">
        <f t="shared" si="2"/>
        <v>1.499259435</v>
      </c>
      <c r="N704" s="9">
        <f t="shared" si="3"/>
        <v>0.0593011811</v>
      </c>
      <c r="O704" s="9">
        <f t="shared" si="4"/>
        <v>0.7344244984</v>
      </c>
      <c r="P704" s="9">
        <f>IFERROR(__xludf.DUMMYFUNCTION("GOOGLEFINANCE(A704, ""pe"")"),49.2)</f>
        <v>49.2</v>
      </c>
      <c r="Q704" s="9">
        <f>IFERROR(__xludf.DUMMYFUNCTION("IFERROR(GOOGLEFINANCE(A704, ""volume"") / GOOGLEFINANCE(A704, ""volumeavg""), 0)"),0.0)</f>
        <v>0</v>
      </c>
      <c r="R704" s="9">
        <f>IFERROR(__xludf.DUMMYFUNCTION("AVERAGE(INDEX(GOOGLEFINANCE(A704, ""price"", TODAY()-30, TODAY()), 0, 2))"),383.83913043478265)</f>
        <v>383.8391304</v>
      </c>
      <c r="S704" s="9">
        <f>IFERROR(__xludf.DUMMYFUNCTION("AVERAGE(INDEX(GOOGLEFINANCE(A704, ""price"", TODAY()-75, TODAY()), 0, 2))"),397.9462264150943)</f>
        <v>397.9462264</v>
      </c>
      <c r="T704" s="9">
        <f>IFERROR(__xludf.DUMMYFUNCTION("AVERAGE(INDEX(GOOGLEFINANCE(A704, ""price"", TODAY()-300, TODAY()), 0, 2))"),317.15049504950497)</f>
        <v>317.150495</v>
      </c>
      <c r="U704" s="9">
        <f t="shared" si="5"/>
        <v>0.09902812546</v>
      </c>
      <c r="V704" s="15">
        <f>IFERROR(__xludf.DUMMYFUNCTION("LET(hist, GOOGLEFINANCE(A704,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rs))))))"),69.1496837666901)</f>
        <v>69.14968377</v>
      </c>
      <c r="W704" s="16" t="str">
        <f>IFERROR(__xludf.DUMMYFUNCTION("IFERROR(GOOGLEFINANCE(A704, ""volume"") / GOOGLEFINANCE(A704, ""volumeavg""), )"),"")</f>
        <v/>
      </c>
      <c r="X704" s="9">
        <f>IFERROR(__xludf.DUMMYFUNCTION("B704 * GOOGLEFINANCE(A704, ""volume"")"),2.7506054290000004E8)</f>
        <v>275060542.9</v>
      </c>
      <c r="Y704" s="9">
        <f>IFERROR(__xludf.DUMMYFUNCTION("IFERROR(((B704 - GOOGLEFINANCE(A704, ""priceopen"")) / GOOGLEFINANCE(A704, ""priceopen"")) * GOOGLEFINANCE(A704, ""volume""), 0)"),14779.437333333368)</f>
        <v>14779.43733</v>
      </c>
    </row>
    <row r="705">
      <c r="A705" s="4" t="s">
        <v>2498</v>
      </c>
      <c r="B705" s="7">
        <f>IFERROR(__xludf.DUMMYFUNCTION("GOOGLEFINANCE(A705, ""price"")"),218.99)</f>
        <v>218.99</v>
      </c>
      <c r="C705" s="7">
        <f>IFERROR(__xludf.DUMMYFUNCTION("GOOGLEFINANCE(A705, ""changepct"")"),0.08)</f>
        <v>0.08</v>
      </c>
      <c r="D705" s="9">
        <f>IFERROR(__xludf.DUMMYFUNCTION("GOOGLEFINANCE(A705, ""priceopen"")"),218.99)</f>
        <v>218.99</v>
      </c>
      <c r="E705" s="9">
        <f>IFERROR(__xludf.DUMMYFUNCTION("GOOGLEFINANCE(A705, ""high"")"),220.1)</f>
        <v>220.1</v>
      </c>
      <c r="F705" s="9">
        <f>IFERROR(__xludf.DUMMYFUNCTION("GOOGLEFINANCE(A705, ""low"")"),217.1)</f>
        <v>217.1</v>
      </c>
      <c r="G705" s="9">
        <f>IFERROR(__xludf.DUMMYFUNCTION("GOOGLEFINANCE(A705, ""price"")"),218.99)</f>
        <v>218.99</v>
      </c>
      <c r="H705" s="9">
        <f>IFERROR(__xludf.DUMMYFUNCTION("MAX(INDEX(GOOGLEFINANCE(A705, ""high"", TODAY()-30, TODAY()), 0, 2))"),259.7)</f>
        <v>259.7</v>
      </c>
      <c r="I705" s="9">
        <f>IFERROR(__xludf.DUMMYFUNCTION("MIN(INDEX(GOOGLEFINANCE(A705, ""low"", TODAY()-30, TODAY()), 0, 2))"),215.55)</f>
        <v>215.55</v>
      </c>
      <c r="J705" s="9">
        <f>IFERROR(__xludf.DUMMYFUNCTION("GOOGLEFINANCE(A705, ""high52"")"),297.0)</f>
        <v>297</v>
      </c>
      <c r="K705" s="9">
        <f>IFERROR(__xludf.DUMMYFUNCTION("GOOGLEFINANCE(A705, ""low52"")"),215.2)</f>
        <v>215.2</v>
      </c>
      <c r="L705" s="9">
        <f t="shared" si="1"/>
        <v>0.2626599327</v>
      </c>
      <c r="M705" s="9">
        <f t="shared" si="2"/>
        <v>0.01761152416</v>
      </c>
      <c r="N705" s="9">
        <f t="shared" si="3"/>
        <v>0.01381851681</v>
      </c>
      <c r="O705" s="9">
        <f t="shared" si="4"/>
        <v>0.07791619479</v>
      </c>
      <c r="P705" s="9">
        <f>IFERROR(__xludf.DUMMYFUNCTION("GOOGLEFINANCE(A705, ""pe"")"),43.49)</f>
        <v>43.49</v>
      </c>
      <c r="Q705" s="9">
        <f>IFERROR(__xludf.DUMMYFUNCTION("IFERROR(GOOGLEFINANCE(A705, ""volume"") / GOOGLEFINANCE(A705, ""volumeavg""), 0)"),0.0)</f>
        <v>0</v>
      </c>
      <c r="R705" s="9">
        <f>IFERROR(__xludf.DUMMYFUNCTION("AVERAGE(INDEX(GOOGLEFINANCE(A705, ""price"", TODAY()-30, TODAY()), 0, 2))"),223.00173913043474)</f>
        <v>223.0017391</v>
      </c>
      <c r="S705" s="9">
        <f>IFERROR(__xludf.DUMMYFUNCTION("AVERAGE(INDEX(GOOGLEFINANCE(A705, ""price"", TODAY()-75, TODAY()), 0, 2))"),231.31716981132084)</f>
        <v>231.3171698</v>
      </c>
      <c r="T705" s="9">
        <f>IFERROR(__xludf.DUMMYFUNCTION("AVERAGE(INDEX(GOOGLEFINANCE(A705, ""price"", TODAY()-300, TODAY()), 0, 2))"),250.08019801980208)</f>
        <v>250.080198</v>
      </c>
      <c r="U705" s="9">
        <f t="shared" si="5"/>
        <v>-0.01798972127</v>
      </c>
      <c r="V705" s="15">
        <f>IFERROR(__xludf.DUMMYFUNCTION("LET(hist, GOOGLEFINANCE(A705,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rs))))))"),49.85047158960203)</f>
        <v>49.85047159</v>
      </c>
      <c r="W705" s="16" t="str">
        <f>IFERROR(__xludf.DUMMYFUNCTION("IFERROR(GOOGLEFINANCE(A705, ""volume"") / GOOGLEFINANCE(A705, ""volumeavg""), )"),"")</f>
        <v/>
      </c>
      <c r="X705" s="9">
        <f>IFERROR(__xludf.DUMMYFUNCTION("B705 * GOOGLEFINANCE(A705, ""volume"")"),1.1621186128E8)</f>
        <v>116211861.3</v>
      </c>
      <c r="Y705" s="9">
        <f>IFERROR(__xludf.DUMMYFUNCTION("IFERROR(((B705 - GOOGLEFINANCE(A705, ""priceopen"")) / GOOGLEFINANCE(A705, ""priceopen"")) * GOOGLEFINANCE(A705, ""volume""), 0)"),0.0)</f>
        <v>0</v>
      </c>
    </row>
    <row r="706">
      <c r="A706" s="4" t="s">
        <v>2499</v>
      </c>
      <c r="B706" s="7">
        <f>IFERROR(__xludf.DUMMYFUNCTION("GOOGLEFINANCE(A706, ""price"")"),467.7)</f>
        <v>467.7</v>
      </c>
      <c r="C706" s="7">
        <f>IFERROR(__xludf.DUMMYFUNCTION("GOOGLEFINANCE(A706, ""changepct"")"),-1.2)</f>
        <v>-1.2</v>
      </c>
      <c r="D706" s="9">
        <f>IFERROR(__xludf.DUMMYFUNCTION("GOOGLEFINANCE(A706, ""priceopen"")"),473.9)</f>
        <v>473.9</v>
      </c>
      <c r="E706" s="9">
        <f>IFERROR(__xludf.DUMMYFUNCTION("GOOGLEFINANCE(A706, ""high"")"),476.0)</f>
        <v>476</v>
      </c>
      <c r="F706" s="9">
        <f>IFERROR(__xludf.DUMMYFUNCTION("GOOGLEFINANCE(A706, ""low"")"),463.9)</f>
        <v>463.9</v>
      </c>
      <c r="G706" s="9">
        <f>IFERROR(__xludf.DUMMYFUNCTION("GOOGLEFINANCE(A706, ""price"")"),467.7)</f>
        <v>467.7</v>
      </c>
      <c r="H706" s="9">
        <f>IFERROR(__xludf.DUMMYFUNCTION("MAX(INDEX(GOOGLEFINANCE(A706, ""high"", TODAY()-30, TODAY()), 0, 2))"),509.7)</f>
        <v>509.7</v>
      </c>
      <c r="I706" s="9">
        <f>IFERROR(__xludf.DUMMYFUNCTION("MIN(INDEX(GOOGLEFINANCE(A706, ""low"", TODAY()-30, TODAY()), 0, 2))"),463.9)</f>
        <v>463.9</v>
      </c>
      <c r="J706" s="9">
        <f>IFERROR(__xludf.DUMMYFUNCTION("GOOGLEFINANCE(A706, ""high52"")"),855.8)</f>
        <v>855.8</v>
      </c>
      <c r="K706" s="9">
        <f>IFERROR(__xludf.DUMMYFUNCTION("GOOGLEFINANCE(A706, ""low52"")"),450.05)</f>
        <v>450.05</v>
      </c>
      <c r="L706" s="9">
        <f t="shared" si="1"/>
        <v>0.453493807</v>
      </c>
      <c r="M706" s="9">
        <f t="shared" si="2"/>
        <v>0.03921786468</v>
      </c>
      <c r="N706" s="9">
        <f t="shared" si="3"/>
        <v>0.02608320759</v>
      </c>
      <c r="O706" s="9">
        <f t="shared" si="4"/>
        <v>0.08296943231</v>
      </c>
      <c r="P706" s="9">
        <f>IFERROR(__xludf.DUMMYFUNCTION("GOOGLEFINANCE(A706, ""pe"")"),15.59)</f>
        <v>15.59</v>
      </c>
      <c r="Q706" s="9">
        <f>IFERROR(__xludf.DUMMYFUNCTION("IFERROR(GOOGLEFINANCE(A706, ""volume"") / GOOGLEFINANCE(A706, ""volumeavg""), 0)"),0.0)</f>
        <v>0</v>
      </c>
      <c r="R706" s="9">
        <f>IFERROR(__xludf.DUMMYFUNCTION("AVERAGE(INDEX(GOOGLEFINANCE(A706, ""price"", TODAY()-30, TODAY()), 0, 2))"),490.41086956521735)</f>
        <v>490.4108696</v>
      </c>
      <c r="S706" s="9">
        <f>IFERROR(__xludf.DUMMYFUNCTION("AVERAGE(INDEX(GOOGLEFINANCE(A706, ""price"", TODAY()-75, TODAY()), 0, 2))"),495.81320754717)</f>
        <v>495.8132075</v>
      </c>
      <c r="T706" s="9">
        <f>IFERROR(__xludf.DUMMYFUNCTION("AVERAGE(INDEX(GOOGLEFINANCE(A706, ""price"", TODAY()-300, TODAY()), 0, 2))"),550.3349009900991)</f>
        <v>550.334901</v>
      </c>
      <c r="U706" s="9">
        <f t="shared" si="5"/>
        <v>-0.04630988213</v>
      </c>
      <c r="V706" s="15">
        <f>IFERROR(__xludf.DUMMYFUNCTION("LET(hist, GOOGLEFINANCE(A706,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rs))))))"),43.14595660749508)</f>
        <v>43.14595661</v>
      </c>
      <c r="W706" s="16" t="str">
        <f>IFERROR(__xludf.DUMMYFUNCTION("IFERROR(GOOGLEFINANCE(A706, ""volume"") / GOOGLEFINANCE(A706, ""volumeavg""), )"),"")</f>
        <v/>
      </c>
      <c r="X706" s="9">
        <f>IFERROR(__xludf.DUMMYFUNCTION("B706 * GOOGLEFINANCE(A706, ""volume"")"),1.490106231E8)</f>
        <v>149010623.1</v>
      </c>
      <c r="Y706" s="9">
        <f>IFERROR(__xludf.DUMMYFUNCTION("IFERROR(((B706 - GOOGLEFINANCE(A706, ""priceopen"")) / GOOGLEFINANCE(A706, ""priceopen"")) * GOOGLEFINANCE(A706, ""volume""), 0)"),-4168.2603924878595)</f>
        <v>-4168.260392</v>
      </c>
    </row>
    <row r="707">
      <c r="A707" s="4" t="s">
        <v>2500</v>
      </c>
      <c r="B707" s="7">
        <f>IFERROR(__xludf.DUMMYFUNCTION("GOOGLEFINANCE(A707, ""price"")"),635.05)</f>
        <v>635.05</v>
      </c>
      <c r="C707" s="7">
        <f>IFERROR(__xludf.DUMMYFUNCTION("GOOGLEFINANCE(A707, ""changepct"")"),-2.59)</f>
        <v>-2.59</v>
      </c>
      <c r="D707" s="9">
        <f>IFERROR(__xludf.DUMMYFUNCTION("GOOGLEFINANCE(A707, ""priceopen"")"),646.5)</f>
        <v>646.5</v>
      </c>
      <c r="E707" s="9">
        <f>IFERROR(__xludf.DUMMYFUNCTION("GOOGLEFINANCE(A707, ""high"")"),660.0)</f>
        <v>660</v>
      </c>
      <c r="F707" s="9">
        <f>IFERROR(__xludf.DUMMYFUNCTION("GOOGLEFINANCE(A707, ""low"")"),634.55)</f>
        <v>634.55</v>
      </c>
      <c r="G707" s="9">
        <f>IFERROR(__xludf.DUMMYFUNCTION("GOOGLEFINANCE(A707, ""price"")"),635.05)</f>
        <v>635.05</v>
      </c>
      <c r="H707" s="9">
        <f>IFERROR(__xludf.DUMMYFUNCTION("MAX(INDEX(GOOGLEFINANCE(A707, ""high"", TODAY()-30, TODAY()), 0, 2))"),751.95)</f>
        <v>751.95</v>
      </c>
      <c r="I707" s="9">
        <f>IFERROR(__xludf.DUMMYFUNCTION("MIN(INDEX(GOOGLEFINANCE(A707, ""low"", TODAY()-30, TODAY()), 0, 2))"),634.55)</f>
        <v>634.55</v>
      </c>
      <c r="J707" s="9">
        <f>IFERROR(__xludf.DUMMYFUNCTION("GOOGLEFINANCE(A707, ""high52"")"),924.9)</f>
        <v>924.9</v>
      </c>
      <c r="K707" s="9">
        <f>IFERROR(__xludf.DUMMYFUNCTION("GOOGLEFINANCE(A707, ""low52"")"),455.1)</f>
        <v>455.1</v>
      </c>
      <c r="L707" s="9">
        <f t="shared" si="1"/>
        <v>0.3133852308</v>
      </c>
      <c r="M707" s="9">
        <f t="shared" si="2"/>
        <v>0.3954076027</v>
      </c>
      <c r="N707" s="9">
        <f t="shared" si="3"/>
        <v>0.04010716256</v>
      </c>
      <c r="O707" s="9">
        <f t="shared" si="4"/>
        <v>0.004258943782</v>
      </c>
      <c r="P707" s="9">
        <f>IFERROR(__xludf.DUMMYFUNCTION("GOOGLEFINANCE(A707, ""pe"")"),15.11)</f>
        <v>15.11</v>
      </c>
      <c r="Q707" s="9">
        <f>IFERROR(__xludf.DUMMYFUNCTION("IFERROR(GOOGLEFINANCE(A707, ""volume"") / GOOGLEFINANCE(A707, ""volumeavg""), 0)"),0.0)</f>
        <v>0</v>
      </c>
      <c r="R707" s="9">
        <f>IFERROR(__xludf.DUMMYFUNCTION("AVERAGE(INDEX(GOOGLEFINANCE(A707, ""price"", TODAY()-30, TODAY()), 0, 2))"),695.7826086956524)</f>
        <v>695.7826087</v>
      </c>
      <c r="S707" s="9">
        <f>IFERROR(__xludf.DUMMYFUNCTION("AVERAGE(INDEX(GOOGLEFINANCE(A707, ""price"", TODAY()-75, TODAY()), 0, 2))"),689.1650943396223)</f>
        <v>689.1650943</v>
      </c>
      <c r="T707" s="9">
        <f>IFERROR(__xludf.DUMMYFUNCTION("AVERAGE(INDEX(GOOGLEFINANCE(A707, ""price"", TODAY()-300, TODAY()), 0, 2))"),664.3237623762377)</f>
        <v>664.3237624</v>
      </c>
      <c r="U707" s="9">
        <f t="shared" si="5"/>
        <v>-0.08728675873</v>
      </c>
      <c r="V707" s="15">
        <f>IFERROR(__xludf.DUMMYFUNCTION("LET(hist, GOOGLEFINANCE(A707,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rs))))))"),39.64978111319574)</f>
        <v>39.64978111</v>
      </c>
      <c r="W707" s="16" t="str">
        <f>IFERROR(__xludf.DUMMYFUNCTION("IFERROR(GOOGLEFINANCE(A707, ""volume"") / GOOGLEFINANCE(A707, ""volumeavg""), )"),"")</f>
        <v/>
      </c>
      <c r="X707" s="9">
        <f>IFERROR(__xludf.DUMMYFUNCTION("B707 * GOOGLEFINANCE(A707, ""volume"")"),3.0623571615E8)</f>
        <v>306235716.2</v>
      </c>
      <c r="Y707" s="9">
        <f>IFERROR(__xludf.DUMMYFUNCTION("IFERROR(((B707 - GOOGLEFINANCE(A707, ""priceopen"")) / GOOGLEFINANCE(A707, ""priceopen"")) * GOOGLEFINANCE(A707, ""volume""), 0)"),-8540.531090487273)</f>
        <v>-8540.53109</v>
      </c>
    </row>
    <row r="708">
      <c r="A708" s="4" t="s">
        <v>2501</v>
      </c>
      <c r="B708" s="7">
        <f>IFERROR(__xludf.DUMMYFUNCTION("GOOGLEFINANCE(A708, ""price"")"),561.5)</f>
        <v>561.5</v>
      </c>
      <c r="C708" s="7">
        <f>IFERROR(__xludf.DUMMYFUNCTION("GOOGLEFINANCE(A708, ""changepct"")"),6.27)</f>
        <v>6.27</v>
      </c>
      <c r="D708" s="9">
        <f>IFERROR(__xludf.DUMMYFUNCTION("GOOGLEFINANCE(A708, ""priceopen"")"),529.85)</f>
        <v>529.85</v>
      </c>
      <c r="E708" s="9">
        <f>IFERROR(__xludf.DUMMYFUNCTION("GOOGLEFINANCE(A708, ""high"")"),564.2)</f>
        <v>564.2</v>
      </c>
      <c r="F708" s="9">
        <f>IFERROR(__xludf.DUMMYFUNCTION("GOOGLEFINANCE(A708, ""low"")"),529.0)</f>
        <v>529</v>
      </c>
      <c r="G708" s="9">
        <f>IFERROR(__xludf.DUMMYFUNCTION("GOOGLEFINANCE(A708, ""price"")"),561.5)</f>
        <v>561.5</v>
      </c>
      <c r="H708" s="9">
        <f>IFERROR(__xludf.DUMMYFUNCTION("MAX(INDEX(GOOGLEFINANCE(A708, ""high"", TODAY()-30, TODAY()), 0, 2))"),598.7)</f>
        <v>598.7</v>
      </c>
      <c r="I708" s="9">
        <f>IFERROR(__xludf.DUMMYFUNCTION("MIN(INDEX(GOOGLEFINANCE(A708, ""low"", TODAY()-30, TODAY()), 0, 2))"),510.0)</f>
        <v>510</v>
      </c>
      <c r="J708" s="9">
        <f>IFERROR(__xludf.DUMMYFUNCTION("GOOGLEFINANCE(A708, ""high52"")"),676.95)</f>
        <v>676.95</v>
      </c>
      <c r="K708" s="9">
        <f>IFERROR(__xludf.DUMMYFUNCTION("GOOGLEFINANCE(A708, ""low52"")"),365.1)</f>
        <v>365.1</v>
      </c>
      <c r="L708" s="9">
        <f t="shared" si="1"/>
        <v>0.1705443533</v>
      </c>
      <c r="M708" s="9">
        <f t="shared" si="2"/>
        <v>0.5379348124</v>
      </c>
      <c r="N708" s="9">
        <f t="shared" si="3"/>
        <v>0.06654064272</v>
      </c>
      <c r="O708" s="9">
        <f t="shared" si="4"/>
        <v>0.5806087937</v>
      </c>
      <c r="P708" s="9">
        <f>IFERROR(__xludf.DUMMYFUNCTION("GOOGLEFINANCE(A708, ""pe"")"),19.61)</f>
        <v>19.61</v>
      </c>
      <c r="Q708" s="9">
        <f>IFERROR(__xludf.DUMMYFUNCTION("IFERROR(GOOGLEFINANCE(A708, ""volume"") / GOOGLEFINANCE(A708, ""volumeavg""), 0)"),0.0)</f>
        <v>0</v>
      </c>
      <c r="R708" s="9">
        <f>IFERROR(__xludf.DUMMYFUNCTION("AVERAGE(INDEX(GOOGLEFINANCE(A708, ""price"", TODAY()-30, TODAY()), 0, 2))"),550.2413043478261)</f>
        <v>550.2413043</v>
      </c>
      <c r="S708" s="9">
        <f>IFERROR(__xludf.DUMMYFUNCTION("AVERAGE(INDEX(GOOGLEFINANCE(A708, ""price"", TODAY()-75, TODAY()), 0, 2))"),551.5235849056602)</f>
        <v>551.5235849</v>
      </c>
      <c r="T708" s="9">
        <f>IFERROR(__xludf.DUMMYFUNCTION("AVERAGE(INDEX(GOOGLEFINANCE(A708, ""price"", TODAY()-300, TODAY()), 0, 2))"),522.5977777777775)</f>
        <v>522.5977778</v>
      </c>
      <c r="U708" s="9">
        <f t="shared" si="5"/>
        <v>0.0204613786</v>
      </c>
      <c r="V708" s="15">
        <f>IFERROR(__xludf.DUMMYFUNCTION("LET(hist, GOOGLEFINANCE(A708,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rs))))))"),51.80355160932297)</f>
        <v>51.80355161</v>
      </c>
      <c r="W708" s="16" t="str">
        <f>IFERROR(__xludf.DUMMYFUNCTION("IFERROR(GOOGLEFINANCE(A708, ""volume"") / GOOGLEFINANCE(A708, ""volumeavg""), )"),"")</f>
        <v/>
      </c>
      <c r="X708" s="9">
        <f>IFERROR(__xludf.DUMMYFUNCTION("B708 * GOOGLEFINANCE(A708, ""volume"")"),1.954283905E8)</f>
        <v>195428390.5</v>
      </c>
      <c r="Y708" s="9">
        <f>IFERROR(__xludf.DUMMYFUNCTION("IFERROR(((B708 - GOOGLEFINANCE(A708, ""priceopen"")) / GOOGLEFINANCE(A708, ""priceopen"")) * GOOGLEFINANCE(A708, ""volume""), 0)"),20790.200150986115)</f>
        <v>20790.20015</v>
      </c>
    </row>
    <row r="709">
      <c r="A709" s="4" t="s">
        <v>2502</v>
      </c>
      <c r="B709" s="7">
        <f>IFERROR(__xludf.DUMMYFUNCTION("GOOGLEFINANCE(A709, ""price"")"),202.1)</f>
        <v>202.1</v>
      </c>
      <c r="C709" s="7">
        <f>IFERROR(__xludf.DUMMYFUNCTION("GOOGLEFINANCE(A709, ""changepct"")"),-1.54)</f>
        <v>-1.54</v>
      </c>
      <c r="D709" s="9">
        <f>IFERROR(__xludf.DUMMYFUNCTION("GOOGLEFINANCE(A709, ""priceopen"")"),206.0)</f>
        <v>206</v>
      </c>
      <c r="E709" s="9">
        <f>IFERROR(__xludf.DUMMYFUNCTION("GOOGLEFINANCE(A709, ""high"")"),206.64)</f>
        <v>206.64</v>
      </c>
      <c r="F709" s="9">
        <f>IFERROR(__xludf.DUMMYFUNCTION("GOOGLEFINANCE(A709, ""low"")"),201.0)</f>
        <v>201</v>
      </c>
      <c r="G709" s="9">
        <f>IFERROR(__xludf.DUMMYFUNCTION("GOOGLEFINANCE(A709, ""price"")"),202.1)</f>
        <v>202.1</v>
      </c>
      <c r="H709" s="9">
        <f>IFERROR(__xludf.DUMMYFUNCTION("MAX(INDEX(GOOGLEFINANCE(A709, ""high"", TODAY()-30, TODAY()), 0, 2))"),269.39)</f>
        <v>269.39</v>
      </c>
      <c r="I709" s="9">
        <f>IFERROR(__xludf.DUMMYFUNCTION("MIN(INDEX(GOOGLEFINANCE(A709, ""low"", TODAY()-30, TODAY()), 0, 2))"),201.0)</f>
        <v>201</v>
      </c>
      <c r="J709" s="9">
        <f>IFERROR(__xludf.DUMMYFUNCTION("GOOGLEFINANCE(A709, ""high52"")"),289.0)</f>
        <v>289</v>
      </c>
      <c r="K709" s="9">
        <f>IFERROR(__xludf.DUMMYFUNCTION("GOOGLEFINANCE(A709, ""low52"")"),108.0)</f>
        <v>108</v>
      </c>
      <c r="L709" s="9">
        <f t="shared" si="1"/>
        <v>0.3006920415</v>
      </c>
      <c r="M709" s="9">
        <f t="shared" si="2"/>
        <v>0.8712962963</v>
      </c>
      <c r="N709" s="9">
        <f t="shared" si="3"/>
        <v>0.02805970149</v>
      </c>
      <c r="O709" s="9">
        <f t="shared" si="4"/>
        <v>0.01608422284</v>
      </c>
      <c r="P709" s="9">
        <f>IFERROR(__xludf.DUMMYFUNCTION("GOOGLEFINANCE(A709, ""pe"")"),4.22)</f>
        <v>4.22</v>
      </c>
      <c r="Q709" s="9">
        <f>IFERROR(__xludf.DUMMYFUNCTION("IFERROR(GOOGLEFINANCE(A709, ""volume"") / GOOGLEFINANCE(A709, ""volumeavg""), 0)"),0.0)</f>
        <v>0</v>
      </c>
      <c r="R709" s="9">
        <f>IFERROR(__xludf.DUMMYFUNCTION("AVERAGE(INDEX(GOOGLEFINANCE(A709, ""price"", TODAY()-30, TODAY()), 0, 2))"),220.47434782608696)</f>
        <v>220.4743478</v>
      </c>
      <c r="S709" s="9">
        <f>IFERROR(__xludf.DUMMYFUNCTION("AVERAGE(INDEX(GOOGLEFINANCE(A709, ""price"", TODAY()-75, TODAY()), 0, 2))"),226.39943396226406)</f>
        <v>226.399434</v>
      </c>
      <c r="T709" s="9">
        <f>IFERROR(__xludf.DUMMYFUNCTION("AVERAGE(INDEX(GOOGLEFINANCE(A709, ""price"", TODAY()-300, TODAY()), 0, 2))"),161.869207920792)</f>
        <v>161.8692079</v>
      </c>
      <c r="U709" s="9">
        <f t="shared" si="5"/>
        <v>-0.08334007111</v>
      </c>
      <c r="V709" s="15">
        <f>IFERROR(__xludf.DUMMYFUNCTION("LET(hist, GOOGLEFINANCE(A709,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rs))))))"),37.67824864430609)</f>
        <v>37.67824864</v>
      </c>
      <c r="W709" s="16" t="str">
        <f>IFERROR(__xludf.DUMMYFUNCTION("IFERROR(GOOGLEFINANCE(A709, ""volume"") / GOOGLEFINANCE(A709, ""volumeavg""), )"),"")</f>
        <v/>
      </c>
      <c r="X709" s="9">
        <f>IFERROR(__xludf.DUMMYFUNCTION("B709 * GOOGLEFINANCE(A709, ""volume"")"),1.481647646E8)</f>
        <v>148164764.6</v>
      </c>
      <c r="Y709" s="9">
        <f>IFERROR(__xludf.DUMMYFUNCTION("IFERROR(((B709 - GOOGLEFINANCE(A709, ""priceopen"")) / GOOGLEFINANCE(A709, ""priceopen"")) * GOOGLEFINANCE(A709, ""volume""), 0)"),-13879.569902912643)</f>
        <v>-13879.5699</v>
      </c>
    </row>
    <row r="710">
      <c r="A710" s="4" t="s">
        <v>2503</v>
      </c>
      <c r="B710" s="7">
        <f>IFERROR(__xludf.DUMMYFUNCTION("GOOGLEFINANCE(A710, ""price"")"),354.75)</f>
        <v>354.75</v>
      </c>
      <c r="C710" s="7">
        <f>IFERROR(__xludf.DUMMYFUNCTION("GOOGLEFINANCE(A710, ""changepct"")"),-1.7)</f>
        <v>-1.7</v>
      </c>
      <c r="D710" s="9">
        <f>IFERROR(__xludf.DUMMYFUNCTION("GOOGLEFINANCE(A710, ""priceopen"")"),363.0)</f>
        <v>363</v>
      </c>
      <c r="E710" s="9">
        <f>IFERROR(__xludf.DUMMYFUNCTION("GOOGLEFINANCE(A710, ""high"")"),363.2)</f>
        <v>363.2</v>
      </c>
      <c r="F710" s="9">
        <f>IFERROR(__xludf.DUMMYFUNCTION("GOOGLEFINANCE(A710, ""low"")"),351.0)</f>
        <v>351</v>
      </c>
      <c r="G710" s="9">
        <f>IFERROR(__xludf.DUMMYFUNCTION("GOOGLEFINANCE(A710, ""price"")"),354.75)</f>
        <v>354.75</v>
      </c>
      <c r="H710" s="9">
        <f>IFERROR(__xludf.DUMMYFUNCTION("MAX(INDEX(GOOGLEFINANCE(A710, ""high"", TODAY()-30, TODAY()), 0, 2))"),435.0)</f>
        <v>435</v>
      </c>
      <c r="I710" s="9">
        <f>IFERROR(__xludf.DUMMYFUNCTION("MIN(INDEX(GOOGLEFINANCE(A710, ""low"", TODAY()-30, TODAY()), 0, 2))"),351.0)</f>
        <v>351</v>
      </c>
      <c r="J710" s="9">
        <f>IFERROR(__xludf.DUMMYFUNCTION("GOOGLEFINANCE(A710, ""high52"")"),527.8)</f>
        <v>527.8</v>
      </c>
      <c r="K710" s="9">
        <f>IFERROR(__xludf.DUMMYFUNCTION("GOOGLEFINANCE(A710, ""low52"")"),312.95)</f>
        <v>312.95</v>
      </c>
      <c r="L710" s="9">
        <f t="shared" si="1"/>
        <v>0.3278704055</v>
      </c>
      <c r="M710" s="9">
        <f t="shared" si="2"/>
        <v>0.1335676626</v>
      </c>
      <c r="N710" s="9">
        <f t="shared" si="3"/>
        <v>0.03475783476</v>
      </c>
      <c r="O710" s="9">
        <f t="shared" si="4"/>
        <v>0.04464285714</v>
      </c>
      <c r="P710" s="9">
        <f>IFERROR(__xludf.DUMMYFUNCTION("GOOGLEFINANCE(A710, ""pe"")"),19.73)</f>
        <v>19.73</v>
      </c>
      <c r="Q710" s="9">
        <f>IFERROR(__xludf.DUMMYFUNCTION("IFERROR(GOOGLEFINANCE(A710, ""volume"") / GOOGLEFINANCE(A710, ""volumeavg""), 0)"),0.0)</f>
        <v>0</v>
      </c>
      <c r="R710" s="9">
        <f>IFERROR(__xludf.DUMMYFUNCTION("AVERAGE(INDEX(GOOGLEFINANCE(A710, ""price"", TODAY()-30, TODAY()), 0, 2))"),401.60652173913047)</f>
        <v>401.6065217</v>
      </c>
      <c r="S710" s="9">
        <f>IFERROR(__xludf.DUMMYFUNCTION("AVERAGE(INDEX(GOOGLEFINANCE(A710, ""price"", TODAY()-75, TODAY()), 0, 2))"),403.3575471698113)</f>
        <v>403.3575472</v>
      </c>
      <c r="T710" s="9">
        <f>IFERROR(__xludf.DUMMYFUNCTION("AVERAGE(INDEX(GOOGLEFINANCE(A710, ""price"", TODAY()-300, TODAY()), 0, 2))"),391.7947761194032)</f>
        <v>391.7947761</v>
      </c>
      <c r="U710" s="9">
        <f t="shared" si="5"/>
        <v>-0.1166727112</v>
      </c>
      <c r="V710" s="15">
        <f>IFERROR(__xludf.DUMMYFUNCTION("LET(hist, GOOGLEFINANCE(A710,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rs))))))"),25.937183383991908)</f>
        <v>25.93718338</v>
      </c>
      <c r="W710" s="16" t="str">
        <f>IFERROR(__xludf.DUMMYFUNCTION("IFERROR(GOOGLEFINANCE(A710, ""volume"") / GOOGLEFINANCE(A710, ""volumeavg""), )"),"")</f>
        <v/>
      </c>
      <c r="X710" s="9">
        <f>IFERROR(__xludf.DUMMYFUNCTION("B710 * GOOGLEFINANCE(A710, ""volume"")"),5.330650875E7)</f>
        <v>53306508.75</v>
      </c>
      <c r="Y710" s="9">
        <f>IFERROR(__xludf.DUMMYFUNCTION("IFERROR(((B710 - GOOGLEFINANCE(A710, ""priceopen"")) / GOOGLEFINANCE(A710, ""priceopen"")) * GOOGLEFINANCE(A710, ""volume""), 0)"),-3415.1136363636365)</f>
        <v>-3415.113636</v>
      </c>
    </row>
    <row r="711">
      <c r="A711" s="4" t="s">
        <v>2504</v>
      </c>
      <c r="B711" s="7">
        <f>IFERROR(__xludf.DUMMYFUNCTION("GOOGLEFINANCE(A711, ""price"")"),236.2)</f>
        <v>236.2</v>
      </c>
      <c r="C711" s="7">
        <f>IFERROR(__xludf.DUMMYFUNCTION("GOOGLEFINANCE(A711, ""changepct"")"),4.5)</f>
        <v>4.5</v>
      </c>
      <c r="D711" s="9">
        <f>IFERROR(__xludf.DUMMYFUNCTION("GOOGLEFINANCE(A711, ""priceopen"")"),227.83)</f>
        <v>227.83</v>
      </c>
      <c r="E711" s="9">
        <f>IFERROR(__xludf.DUMMYFUNCTION("GOOGLEFINANCE(A711, ""high"")"),239.49)</f>
        <v>239.49</v>
      </c>
      <c r="F711" s="9">
        <f>IFERROR(__xludf.DUMMYFUNCTION("GOOGLEFINANCE(A711, ""low"")"),225.45)</f>
        <v>225.45</v>
      </c>
      <c r="G711" s="9">
        <f>IFERROR(__xludf.DUMMYFUNCTION("GOOGLEFINANCE(A711, ""price"")"),236.2)</f>
        <v>236.2</v>
      </c>
      <c r="H711" s="9">
        <f>IFERROR(__xludf.DUMMYFUNCTION("MAX(INDEX(GOOGLEFINANCE(A711, ""high"", TODAY()-30, TODAY()), 0, 2))"),242.16)</f>
        <v>242.16</v>
      </c>
      <c r="I711" s="9">
        <f>IFERROR(__xludf.DUMMYFUNCTION("MIN(INDEX(GOOGLEFINANCE(A711, ""low"", TODAY()-30, TODAY()), 0, 2))"),206.4)</f>
        <v>206.4</v>
      </c>
      <c r="J711" s="9">
        <f>IFERROR(__xludf.DUMMYFUNCTION("GOOGLEFINANCE(A711, ""high52"")"),249.92)</f>
        <v>249.92</v>
      </c>
      <c r="K711" s="9">
        <f>IFERROR(__xludf.DUMMYFUNCTION("GOOGLEFINANCE(A711, ""low52"")"),149.03)</f>
        <v>149.03</v>
      </c>
      <c r="L711" s="9">
        <f t="shared" si="1"/>
        <v>0.05489756722</v>
      </c>
      <c r="M711" s="9">
        <f t="shared" si="2"/>
        <v>0.5849157888</v>
      </c>
      <c r="N711" s="9">
        <f t="shared" si="3"/>
        <v>0.0622754491</v>
      </c>
      <c r="O711" s="9">
        <f t="shared" si="4"/>
        <v>0.8333333333</v>
      </c>
      <c r="P711" s="9">
        <f>IFERROR(__xludf.DUMMYFUNCTION("GOOGLEFINANCE(A711, ""pe"")"),16.58)</f>
        <v>16.58</v>
      </c>
      <c r="Q711" s="9">
        <f>IFERROR(__xludf.DUMMYFUNCTION("IFERROR(GOOGLEFINANCE(A711, ""volume"") / GOOGLEFINANCE(A711, ""volumeavg""), 0)"),0.0)</f>
        <v>0</v>
      </c>
      <c r="R711" s="9">
        <f>IFERROR(__xludf.DUMMYFUNCTION("AVERAGE(INDEX(GOOGLEFINANCE(A711, ""price"", TODAY()-30, TODAY()), 0, 2))"),219.77217391304347)</f>
        <v>219.7721739</v>
      </c>
      <c r="S711" s="9">
        <f>IFERROR(__xludf.DUMMYFUNCTION("AVERAGE(INDEX(GOOGLEFINANCE(A711, ""price"", TODAY()-75, TODAY()), 0, 2))"),220.7694339622642)</f>
        <v>220.769434</v>
      </c>
      <c r="T711" s="9">
        <f>IFERROR(__xludf.DUMMYFUNCTION("AVERAGE(INDEX(GOOGLEFINANCE(A711, ""price"", TODAY()-300, TODAY()), 0, 2))"),197.016089108911)</f>
        <v>197.0160891</v>
      </c>
      <c r="U711" s="9">
        <f t="shared" si="5"/>
        <v>0.07474934517</v>
      </c>
      <c r="V711" s="15">
        <f>IFERROR(__xludf.DUMMYFUNCTION("LET(hist, GOOGLEFINANCE(A711,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rs))))))"),78.20644366919757)</f>
        <v>78.20644367</v>
      </c>
      <c r="W711" s="16" t="str">
        <f>IFERROR(__xludf.DUMMYFUNCTION("IFERROR(GOOGLEFINANCE(A711, ""volume"") / GOOGLEFINANCE(A711, ""volumeavg""), )"),"")</f>
        <v/>
      </c>
      <c r="X711" s="9">
        <f>IFERROR(__xludf.DUMMYFUNCTION("B711 * GOOGLEFINANCE(A711, ""volume"")"),1.997160756E8)</f>
        <v>199716075.6</v>
      </c>
      <c r="Y711" s="9">
        <f>IFERROR(__xludf.DUMMYFUNCTION("IFERROR(((B711 - GOOGLEFINANCE(A711, ""priceopen"")) / GOOGLEFINANCE(A711, ""priceopen"")) * GOOGLEFINANCE(A711, ""volume""), 0)"),31063.30623710652)</f>
        <v>31063.30624</v>
      </c>
    </row>
    <row r="712">
      <c r="A712" s="4" t="s">
        <v>2505</v>
      </c>
      <c r="B712" s="7">
        <f>IFERROR(__xludf.DUMMYFUNCTION("GOOGLEFINANCE(A712, ""price"")"),565.05)</f>
        <v>565.05</v>
      </c>
      <c r="C712" s="7">
        <f>IFERROR(__xludf.DUMMYFUNCTION("GOOGLEFINANCE(A712, ""changepct"")"),-0.41)</f>
        <v>-0.41</v>
      </c>
      <c r="D712" s="9">
        <f>IFERROR(__xludf.DUMMYFUNCTION("GOOGLEFINANCE(A712, ""priceopen"")"),566.25)</f>
        <v>566.25</v>
      </c>
      <c r="E712" s="9">
        <f>IFERROR(__xludf.DUMMYFUNCTION("GOOGLEFINANCE(A712, ""high"")"),570.95)</f>
        <v>570.95</v>
      </c>
      <c r="F712" s="9">
        <f>IFERROR(__xludf.DUMMYFUNCTION("GOOGLEFINANCE(A712, ""low"")"),561.7)</f>
        <v>561.7</v>
      </c>
      <c r="G712" s="9">
        <f>IFERROR(__xludf.DUMMYFUNCTION("GOOGLEFINANCE(A712, ""price"")"),565.05)</f>
        <v>565.05</v>
      </c>
      <c r="H712" s="9">
        <f>IFERROR(__xludf.DUMMYFUNCTION("MAX(INDEX(GOOGLEFINANCE(A712, ""high"", TODAY()-30, TODAY()), 0, 2))"),625.05)</f>
        <v>625.05</v>
      </c>
      <c r="I712" s="9">
        <f>IFERROR(__xludf.DUMMYFUNCTION("MIN(INDEX(GOOGLEFINANCE(A712, ""low"", TODAY()-30, TODAY()), 0, 2))"),535.0)</f>
        <v>535</v>
      </c>
      <c r="J712" s="9">
        <f>IFERROR(__xludf.DUMMYFUNCTION("GOOGLEFINANCE(A712, ""high52"")"),730.1)</f>
        <v>730.1</v>
      </c>
      <c r="K712" s="9">
        <f>IFERROR(__xludf.DUMMYFUNCTION("GOOGLEFINANCE(A712, ""low52"")"),394.8)</f>
        <v>394.8</v>
      </c>
      <c r="L712" s="9">
        <f t="shared" si="1"/>
        <v>0.2260649226</v>
      </c>
      <c r="M712" s="9">
        <f t="shared" si="2"/>
        <v>0.431231003</v>
      </c>
      <c r="N712" s="9">
        <f t="shared" si="3"/>
        <v>0.01646786541</v>
      </c>
      <c r="O712" s="9">
        <f t="shared" si="4"/>
        <v>0.3337034981</v>
      </c>
      <c r="P712" s="9">
        <f>IFERROR(__xludf.DUMMYFUNCTION("GOOGLEFINANCE(A712, ""pe"")"),28.51)</f>
        <v>28.51</v>
      </c>
      <c r="Q712" s="9">
        <f>IFERROR(__xludf.DUMMYFUNCTION("IFERROR(GOOGLEFINANCE(A712, ""volume"") / GOOGLEFINANCE(A712, ""volumeavg""), 0)"),0.0)</f>
        <v>0</v>
      </c>
      <c r="R712" s="9">
        <f>IFERROR(__xludf.DUMMYFUNCTION("AVERAGE(INDEX(GOOGLEFINANCE(A712, ""price"", TODAY()-30, TODAY()), 0, 2))"),583.9521739130435)</f>
        <v>583.9521739</v>
      </c>
      <c r="S712" s="9">
        <f>IFERROR(__xludf.DUMMYFUNCTION("AVERAGE(INDEX(GOOGLEFINANCE(A712, ""price"", TODAY()-75, TODAY()), 0, 2))"),568.8971698113206)</f>
        <v>568.8971698</v>
      </c>
      <c r="T712" s="9">
        <f>IFERROR(__xludf.DUMMYFUNCTION("AVERAGE(INDEX(GOOGLEFINANCE(A712, ""price"", TODAY()-300, TODAY()), 0, 2))"),552.5022277227724)</f>
        <v>552.5022277</v>
      </c>
      <c r="U712" s="9">
        <f t="shared" si="5"/>
        <v>-0.03236938701</v>
      </c>
      <c r="V712" s="15">
        <f>IFERROR(__xludf.DUMMYFUNCTION("LET(hist, GOOGLEFINANCE(A712,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rs))))))"),46.51531151003167)</f>
        <v>46.51531151</v>
      </c>
      <c r="W712" s="16" t="str">
        <f>IFERROR(__xludf.DUMMYFUNCTION("IFERROR(GOOGLEFINANCE(A712, ""volume"") / GOOGLEFINANCE(A712, ""volumeavg""), )"),"")</f>
        <v/>
      </c>
      <c r="X712" s="9">
        <f>IFERROR(__xludf.DUMMYFUNCTION("B712 * GOOGLEFINANCE(A712, ""volume"")"),1.6029338399999999E7)</f>
        <v>16029338.4</v>
      </c>
      <c r="Y712" s="9">
        <f>IFERROR(__xludf.DUMMYFUNCTION("IFERROR(((B712 - GOOGLEFINANCE(A712, ""priceopen"")) / GOOGLEFINANCE(A712, ""priceopen"")) * GOOGLEFINANCE(A712, ""volume""), 0)"),-60.11761589404201)</f>
        <v>-60.11761589</v>
      </c>
    </row>
    <row r="713">
      <c r="A713" s="4" t="s">
        <v>2506</v>
      </c>
      <c r="B713" s="7">
        <f>IFERROR(__xludf.DUMMYFUNCTION("GOOGLEFINANCE(A713, ""price"")"),346.5)</f>
        <v>346.5</v>
      </c>
      <c r="C713" s="7">
        <f>IFERROR(__xludf.DUMMYFUNCTION("GOOGLEFINANCE(A713, ""changepct"")"),-13.64)</f>
        <v>-13.64</v>
      </c>
      <c r="D713" s="9">
        <f>IFERROR(__xludf.DUMMYFUNCTION("GOOGLEFINANCE(A713, ""priceopen"")"),376.0)</f>
        <v>376</v>
      </c>
      <c r="E713" s="9">
        <f>IFERROR(__xludf.DUMMYFUNCTION("GOOGLEFINANCE(A713, ""high"")"),379.45)</f>
        <v>379.45</v>
      </c>
      <c r="F713" s="9">
        <f>IFERROR(__xludf.DUMMYFUNCTION("GOOGLEFINANCE(A713, ""low"")"),343.0)</f>
        <v>343</v>
      </c>
      <c r="G713" s="9">
        <f>IFERROR(__xludf.DUMMYFUNCTION("GOOGLEFINANCE(A713, ""price"")"),346.5)</f>
        <v>346.5</v>
      </c>
      <c r="H713" s="9">
        <f>IFERROR(__xludf.DUMMYFUNCTION("MAX(INDEX(GOOGLEFINANCE(A713, ""high"", TODAY()-30, TODAY()), 0, 2))"),430.0)</f>
        <v>430</v>
      </c>
      <c r="I713" s="9">
        <f>IFERROR(__xludf.DUMMYFUNCTION("MIN(INDEX(GOOGLEFINANCE(A713, ""low"", TODAY()-30, TODAY()), 0, 2))"),343.0)</f>
        <v>343</v>
      </c>
      <c r="J713" s="9">
        <f>IFERROR(__xludf.DUMMYFUNCTION("GOOGLEFINANCE(A713, ""high52"")"),430.0)</f>
        <v>430</v>
      </c>
      <c r="K713" s="9">
        <f>IFERROR(__xludf.DUMMYFUNCTION("GOOGLEFINANCE(A713, ""low52"")"),276.0)</f>
        <v>276</v>
      </c>
      <c r="L713" s="9">
        <f t="shared" si="1"/>
        <v>0.1941860465</v>
      </c>
      <c r="M713" s="9">
        <f t="shared" si="2"/>
        <v>0.2554347826</v>
      </c>
      <c r="N713" s="9">
        <f t="shared" si="3"/>
        <v>0.1062682216</v>
      </c>
      <c r="O713" s="9">
        <f t="shared" si="4"/>
        <v>0.04022988506</v>
      </c>
      <c r="P713" s="9">
        <f>IFERROR(__xludf.DUMMYFUNCTION("GOOGLEFINANCE(A713, ""pe"")"),9.88)</f>
        <v>9.88</v>
      </c>
      <c r="Q713" s="9">
        <f>IFERROR(__xludf.DUMMYFUNCTION("IFERROR(GOOGLEFINANCE(A713, ""volume"") / GOOGLEFINANCE(A713, ""volumeavg""), 0)"),0.0)</f>
        <v>0</v>
      </c>
      <c r="R713" s="9">
        <f>IFERROR(__xludf.DUMMYFUNCTION("AVERAGE(INDEX(GOOGLEFINANCE(A713, ""price"", TODAY()-30, TODAY()), 0, 2))"),388.08260869565214)</f>
        <v>388.0826087</v>
      </c>
      <c r="S713" s="9">
        <f>IFERROR(__xludf.DUMMYFUNCTION("AVERAGE(INDEX(GOOGLEFINANCE(A713, ""price"", TODAY()-75, TODAY()), 0, 2))"),359.8877358490565)</f>
        <v>359.8877358</v>
      </c>
      <c r="T713" s="9">
        <f>IFERROR(__xludf.DUMMYFUNCTION("AVERAGE(INDEX(GOOGLEFINANCE(A713, ""price"", TODAY()-300, TODAY()), 0, 2))"),331.51014851485144)</f>
        <v>331.5101485</v>
      </c>
      <c r="U713" s="9">
        <f t="shared" si="5"/>
        <v>-0.1071488589</v>
      </c>
      <c r="V713" s="15">
        <f>IFERROR(__xludf.DUMMYFUNCTION("LET(hist, GOOGLEFINANCE(A713,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rs))))))"),37.264742785445414)</f>
        <v>37.26474279</v>
      </c>
      <c r="W713" s="16" t="str">
        <f>IFERROR(__xludf.DUMMYFUNCTION("IFERROR(GOOGLEFINANCE(A713, ""volume"") / GOOGLEFINANCE(A713, ""volumeavg""), )"),"")</f>
        <v/>
      </c>
      <c r="X713" s="9">
        <f>IFERROR(__xludf.DUMMYFUNCTION("B713 * GOOGLEFINANCE(A713, ""volume"")"),2.550158919E9)</f>
        <v>2550158919</v>
      </c>
      <c r="Y713" s="9">
        <f>IFERROR(__xludf.DUMMYFUNCTION("IFERROR(((B713 - GOOGLEFINANCE(A713, ""priceopen"")) / GOOGLEFINANCE(A713, ""priceopen"")) * GOOGLEFINANCE(A713, ""volume""), 0)"),-577428.4494680851)</f>
        <v>-577428.4495</v>
      </c>
    </row>
    <row r="714">
      <c r="A714" s="4" t="s">
        <v>2507</v>
      </c>
      <c r="B714" s="7">
        <f>IFERROR(__xludf.DUMMYFUNCTION("GOOGLEFINANCE(A714, ""price"")"),1553.8)</f>
        <v>1553.8</v>
      </c>
      <c r="C714" s="7">
        <f>IFERROR(__xludf.DUMMYFUNCTION("GOOGLEFINANCE(A714, ""changepct"")"),0.54)</f>
        <v>0.54</v>
      </c>
      <c r="D714" s="9">
        <f>IFERROR(__xludf.DUMMYFUNCTION("GOOGLEFINANCE(A714, ""priceopen"")"),1531.0)</f>
        <v>1531</v>
      </c>
      <c r="E714" s="9">
        <f>IFERROR(__xludf.DUMMYFUNCTION("GOOGLEFINANCE(A714, ""high"")"),1575.0)</f>
        <v>1575</v>
      </c>
      <c r="F714" s="9">
        <f>IFERROR(__xludf.DUMMYFUNCTION("GOOGLEFINANCE(A714, ""low"")"),1531.0)</f>
        <v>1531</v>
      </c>
      <c r="G714" s="9">
        <f>IFERROR(__xludf.DUMMYFUNCTION("GOOGLEFINANCE(A714, ""price"")"),1553.8)</f>
        <v>1553.8</v>
      </c>
      <c r="H714" s="9">
        <f>IFERROR(__xludf.DUMMYFUNCTION("MAX(INDEX(GOOGLEFINANCE(A714, ""high"", TODAY()-30, TODAY()), 0, 2))"),1660.0)</f>
        <v>1660</v>
      </c>
      <c r="I714" s="9">
        <f>IFERROR(__xludf.DUMMYFUNCTION("MIN(INDEX(GOOGLEFINANCE(A714, ""low"", TODAY()-30, TODAY()), 0, 2))"),1470.3)</f>
        <v>1470.3</v>
      </c>
      <c r="J714" s="9">
        <f>IFERROR(__xludf.DUMMYFUNCTION("GOOGLEFINANCE(A714, ""high52"")"),2211.0)</f>
        <v>2211</v>
      </c>
      <c r="K714" s="9">
        <f>IFERROR(__xludf.DUMMYFUNCTION("GOOGLEFINANCE(A714, ""low52"")"),1063.3)</f>
        <v>1063.3</v>
      </c>
      <c r="L714" s="9">
        <f t="shared" si="1"/>
        <v>0.2972410674</v>
      </c>
      <c r="M714" s="9">
        <f t="shared" si="2"/>
        <v>0.4612997273</v>
      </c>
      <c r="N714" s="9">
        <f t="shared" si="3"/>
        <v>0.02873938602</v>
      </c>
      <c r="O714" s="9">
        <f t="shared" si="4"/>
        <v>0.4401686874</v>
      </c>
      <c r="P714" s="9">
        <f>IFERROR(__xludf.DUMMYFUNCTION("GOOGLEFINANCE(A714, ""pe"")"),91.83)</f>
        <v>91.83</v>
      </c>
      <c r="Q714" s="9">
        <f>IFERROR(__xludf.DUMMYFUNCTION("IFERROR(GOOGLEFINANCE(A714, ""volume"") / GOOGLEFINANCE(A714, ""volumeavg""), 0)"),0.0)</f>
        <v>0</v>
      </c>
      <c r="R714" s="9">
        <f>IFERROR(__xludf.DUMMYFUNCTION("AVERAGE(INDEX(GOOGLEFINANCE(A714, ""price"", TODAY()-30, TODAY()), 0, 2))"),1570.5565217391306)</f>
        <v>1570.556522</v>
      </c>
      <c r="S714" s="9">
        <f>IFERROR(__xludf.DUMMYFUNCTION("AVERAGE(INDEX(GOOGLEFINANCE(A714, ""price"", TODAY()-75, TODAY()), 0, 2))"),1683.6584905660372)</f>
        <v>1683.658491</v>
      </c>
      <c r="T714" s="9">
        <f>IFERROR(__xludf.DUMMYFUNCTION("AVERAGE(INDEX(GOOGLEFINANCE(A714, ""price"", TODAY()-300, TODAY()), 0, 2))"),1562.3509900990098)</f>
        <v>1562.35099</v>
      </c>
      <c r="U714" s="9">
        <f t="shared" si="5"/>
        <v>-0.01066916186</v>
      </c>
      <c r="V714" s="15">
        <f>IFERROR(__xludf.DUMMYFUNCTION("LET(hist, GOOGLEFINANCE(A714,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rs))))))"),47.99999999999999)</f>
        <v>48</v>
      </c>
      <c r="W714" s="16" t="str">
        <f>IFERROR(__xludf.DUMMYFUNCTION("IFERROR(GOOGLEFINANCE(A714, ""volume"") / GOOGLEFINANCE(A714, ""volumeavg""), )"),"")</f>
        <v/>
      </c>
      <c r="X714" s="9">
        <f>IFERROR(__xludf.DUMMYFUNCTION("B714 * GOOGLEFINANCE(A714, ""volume"")"),1.17094368E8)</f>
        <v>117094368</v>
      </c>
      <c r="Y714" s="9">
        <f>IFERROR(__xludf.DUMMYFUNCTION("IFERROR(((B714 - GOOGLEFINANCE(A714, ""priceopen"")) / GOOGLEFINANCE(A714, ""priceopen"")) * GOOGLEFINANCE(A714, ""volume""), 0)"),1122.278249510122)</f>
        <v>1122.27825</v>
      </c>
    </row>
    <row r="715">
      <c r="A715" s="4" t="s">
        <v>2508</v>
      </c>
      <c r="B715" s="7">
        <f>IFERROR(__xludf.DUMMYFUNCTION("GOOGLEFINANCE(A715, ""price"")"),362.45)</f>
        <v>362.45</v>
      </c>
      <c r="C715" s="7">
        <f>IFERROR(__xludf.DUMMYFUNCTION("GOOGLEFINANCE(A715, ""changepct"")"),-1.78)</f>
        <v>-1.78</v>
      </c>
      <c r="D715" s="9">
        <f>IFERROR(__xludf.DUMMYFUNCTION("GOOGLEFINANCE(A715, ""priceopen"")"),372.0)</f>
        <v>372</v>
      </c>
      <c r="E715" s="9">
        <f>IFERROR(__xludf.DUMMYFUNCTION("GOOGLEFINANCE(A715, ""high"")"),374.6)</f>
        <v>374.6</v>
      </c>
      <c r="F715" s="9">
        <f>IFERROR(__xludf.DUMMYFUNCTION("GOOGLEFINANCE(A715, ""low"")"),355.0)</f>
        <v>355</v>
      </c>
      <c r="G715" s="9">
        <f>IFERROR(__xludf.DUMMYFUNCTION("GOOGLEFINANCE(A715, ""price"")"),362.45)</f>
        <v>362.45</v>
      </c>
      <c r="H715" s="9">
        <f>IFERROR(__xludf.DUMMYFUNCTION("MAX(INDEX(GOOGLEFINANCE(A715, ""high"", TODAY()-30, TODAY()), 0, 2))"),394.4)</f>
        <v>394.4</v>
      </c>
      <c r="I715" s="9">
        <f>IFERROR(__xludf.DUMMYFUNCTION("MIN(INDEX(GOOGLEFINANCE(A715, ""low"", TODAY()-30, TODAY()), 0, 2))"),336.8)</f>
        <v>336.8</v>
      </c>
      <c r="J715" s="9">
        <f>IFERROR(__xludf.DUMMYFUNCTION("GOOGLEFINANCE(A715, ""high52"")"),428.0)</f>
        <v>428</v>
      </c>
      <c r="K715" s="9">
        <f>IFERROR(__xludf.DUMMYFUNCTION("GOOGLEFINANCE(A715, ""low52"")"),192.15)</f>
        <v>192.15</v>
      </c>
      <c r="L715" s="9">
        <f t="shared" si="1"/>
        <v>0.1531542056</v>
      </c>
      <c r="M715" s="9">
        <f t="shared" si="2"/>
        <v>0.8862867551</v>
      </c>
      <c r="N715" s="9">
        <f t="shared" si="3"/>
        <v>0.05521126761</v>
      </c>
      <c r="O715" s="9">
        <f t="shared" si="4"/>
        <v>0.4453125</v>
      </c>
      <c r="P715" s="9">
        <f>IFERROR(__xludf.DUMMYFUNCTION("GOOGLEFINANCE(A715, ""pe"")"),32.28)</f>
        <v>32.28</v>
      </c>
      <c r="Q715" s="9">
        <f>IFERROR(__xludf.DUMMYFUNCTION("IFERROR(GOOGLEFINANCE(A715, ""volume"") / GOOGLEFINANCE(A715, ""volumeavg""), 0)"),0.0)</f>
        <v>0</v>
      </c>
      <c r="R715" s="9">
        <f>IFERROR(__xludf.DUMMYFUNCTION("AVERAGE(INDEX(GOOGLEFINANCE(A715, ""price"", TODAY()-30, TODAY()), 0, 2))"),360.2630434782609)</f>
        <v>360.2630435</v>
      </c>
      <c r="S715" s="9">
        <f>IFERROR(__xludf.DUMMYFUNCTION("AVERAGE(INDEX(GOOGLEFINANCE(A715, ""price"", TODAY()-75, TODAY()), 0, 2))"),357.0481132075471)</f>
        <v>357.0481132</v>
      </c>
      <c r="T715" s="9">
        <f>IFERROR(__xludf.DUMMYFUNCTION("AVERAGE(INDEX(GOOGLEFINANCE(A715, ""price"", TODAY()-300, TODAY()), 0, 2))"),290.3659900990098)</f>
        <v>290.3659901</v>
      </c>
      <c r="U715" s="9">
        <f t="shared" si="5"/>
        <v>0.006070443698</v>
      </c>
      <c r="V715" s="15">
        <f>IFERROR(__xludf.DUMMYFUNCTION("LET(hist, GOOGLEFINANCE(A715,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rs))))))"),55.63697857948141)</f>
        <v>55.63697858</v>
      </c>
      <c r="W715" s="16" t="str">
        <f>IFERROR(__xludf.DUMMYFUNCTION("IFERROR(GOOGLEFINANCE(A715, ""volume"") / GOOGLEFINANCE(A715, ""volumeavg""), )"),"")</f>
        <v/>
      </c>
      <c r="X715" s="9">
        <f>IFERROR(__xludf.DUMMYFUNCTION("B715 * GOOGLEFINANCE(A715, ""volume"")"),1.0020691395E8)</f>
        <v>100206914</v>
      </c>
      <c r="Y715" s="9">
        <f>IFERROR(__xludf.DUMMYFUNCTION("IFERROR(((B715 - GOOGLEFINANCE(A715, ""priceopen"")) / GOOGLEFINANCE(A715, ""priceopen"")) * GOOGLEFINANCE(A715, ""volume""), 0)"),-7097.5754032258155)</f>
        <v>-7097.575403</v>
      </c>
    </row>
    <row r="716">
      <c r="A716" s="4" t="s">
        <v>2509</v>
      </c>
      <c r="B716" s="7">
        <f>IFERROR(__xludf.DUMMYFUNCTION("GOOGLEFINANCE(A716, ""price"")"),290.0)</f>
        <v>290</v>
      </c>
      <c r="C716" s="7">
        <f>IFERROR(__xludf.DUMMYFUNCTION("GOOGLEFINANCE(A716, ""changepct"")"),-1.61)</f>
        <v>-1.61</v>
      </c>
      <c r="D716" s="9">
        <f>IFERROR(__xludf.DUMMYFUNCTION("GOOGLEFINANCE(A716, ""priceopen"")"),295.95)</f>
        <v>295.95</v>
      </c>
      <c r="E716" s="9">
        <f>IFERROR(__xludf.DUMMYFUNCTION("GOOGLEFINANCE(A716, ""high"")"),296.8)</f>
        <v>296.8</v>
      </c>
      <c r="F716" s="9">
        <f>IFERROR(__xludf.DUMMYFUNCTION("GOOGLEFINANCE(A716, ""low"")"),287.5)</f>
        <v>287.5</v>
      </c>
      <c r="G716" s="9">
        <f>IFERROR(__xludf.DUMMYFUNCTION("GOOGLEFINANCE(A716, ""price"")"),290.0)</f>
        <v>290</v>
      </c>
      <c r="H716" s="9">
        <f>IFERROR(__xludf.DUMMYFUNCTION("MAX(INDEX(GOOGLEFINANCE(A716, ""high"", TODAY()-30, TODAY()), 0, 2))"),324.8)</f>
        <v>324.8</v>
      </c>
      <c r="I716" s="9">
        <f>IFERROR(__xludf.DUMMYFUNCTION("MIN(INDEX(GOOGLEFINANCE(A716, ""low"", TODAY()-30, TODAY()), 0, 2))"),287.5)</f>
        <v>287.5</v>
      </c>
      <c r="J716" s="9">
        <f>IFERROR(__xludf.DUMMYFUNCTION("GOOGLEFINANCE(A716, ""high52"")"),517.5)</f>
        <v>517.5</v>
      </c>
      <c r="K716" s="9">
        <f>IFERROR(__xludf.DUMMYFUNCTION("GOOGLEFINANCE(A716, ""low52"")"),248.0)</f>
        <v>248</v>
      </c>
      <c r="L716" s="9">
        <f t="shared" si="1"/>
        <v>0.4396135266</v>
      </c>
      <c r="M716" s="9">
        <f t="shared" si="2"/>
        <v>0.1693548387</v>
      </c>
      <c r="N716" s="9">
        <f t="shared" si="3"/>
        <v>0.03234782609</v>
      </c>
      <c r="O716" s="9">
        <f t="shared" si="4"/>
        <v>0.06702412869</v>
      </c>
      <c r="P716" s="9">
        <f>IFERROR(__xludf.DUMMYFUNCTION("GOOGLEFINANCE(A716, ""pe"")"),30.77)</f>
        <v>30.77</v>
      </c>
      <c r="Q716" s="9">
        <f>IFERROR(__xludf.DUMMYFUNCTION("IFERROR(GOOGLEFINANCE(A716, ""volume"") / GOOGLEFINANCE(A716, ""volumeavg""), 0)"),0.0)</f>
        <v>0</v>
      </c>
      <c r="R716" s="9">
        <f>IFERROR(__xludf.DUMMYFUNCTION("AVERAGE(INDEX(GOOGLEFINANCE(A716, ""price"", TODAY()-30, TODAY()), 0, 2))"),302.704347826087)</f>
        <v>302.7043478</v>
      </c>
      <c r="S716" s="9">
        <f>IFERROR(__xludf.DUMMYFUNCTION("AVERAGE(INDEX(GOOGLEFINANCE(A716, ""price"", TODAY()-75, TODAY()), 0, 2))"),300.1301886792452)</f>
        <v>300.1301887</v>
      </c>
      <c r="T716" s="9">
        <f>IFERROR(__xludf.DUMMYFUNCTION("AVERAGE(INDEX(GOOGLEFINANCE(A716, ""price"", TODAY()-300, TODAY()), 0, 2))"),364.12475247524765)</f>
        <v>364.1247525</v>
      </c>
      <c r="U716" s="9">
        <f t="shared" si="5"/>
        <v>-0.0419694924</v>
      </c>
      <c r="V716" s="15">
        <f>IFERROR(__xludf.DUMMYFUNCTION("LET(hist, GOOGLEFINANCE(A716,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rs))))))"),47.38273283480628)</f>
        <v>47.38273283</v>
      </c>
      <c r="W716" s="16" t="str">
        <f>IFERROR(__xludf.DUMMYFUNCTION("IFERROR(GOOGLEFINANCE(A716, ""volume"") / GOOGLEFINANCE(A716, ""volumeavg""), )"),"")</f>
        <v/>
      </c>
      <c r="X716" s="9">
        <f>IFERROR(__xludf.DUMMYFUNCTION("B716 * GOOGLEFINANCE(A716, ""volume"")"),1.228498E8)</f>
        <v>122849800</v>
      </c>
      <c r="Y716" s="9">
        <f>IFERROR(__xludf.DUMMYFUNCTION("IFERROR(((B716 - GOOGLEFINANCE(A716, ""priceopen"")) / GOOGLEFINANCE(A716, ""priceopen"")) * GOOGLEFINANCE(A716, ""volume""), 0)"),-8516.773103564776)</f>
        <v>-8516.773104</v>
      </c>
    </row>
    <row r="717">
      <c r="A717" s="4" t="s">
        <v>2510</v>
      </c>
      <c r="B717" s="7">
        <f>IFERROR(__xludf.DUMMYFUNCTION("GOOGLEFINANCE(A717, ""price"")"),507.8)</f>
        <v>507.8</v>
      </c>
      <c r="C717" s="7">
        <f>IFERROR(__xludf.DUMMYFUNCTION("GOOGLEFINANCE(A717, ""changepct"")"),-1.12)</f>
        <v>-1.12</v>
      </c>
      <c r="D717" s="9">
        <f>IFERROR(__xludf.DUMMYFUNCTION("GOOGLEFINANCE(A717, ""priceopen"")"),513.65)</f>
        <v>513.65</v>
      </c>
      <c r="E717" s="9">
        <f>IFERROR(__xludf.DUMMYFUNCTION("GOOGLEFINANCE(A717, ""high"")"),514.4)</f>
        <v>514.4</v>
      </c>
      <c r="F717" s="9">
        <f>IFERROR(__xludf.DUMMYFUNCTION("GOOGLEFINANCE(A717, ""low"")"),504.3)</f>
        <v>504.3</v>
      </c>
      <c r="G717" s="9">
        <f>IFERROR(__xludf.DUMMYFUNCTION("GOOGLEFINANCE(A717, ""price"")"),507.8)</f>
        <v>507.8</v>
      </c>
      <c r="H717" s="9">
        <f>IFERROR(__xludf.DUMMYFUNCTION("MAX(INDEX(GOOGLEFINANCE(A717, ""high"", TODAY()-30, TODAY()), 0, 2))"),604.25)</f>
        <v>604.25</v>
      </c>
      <c r="I717" s="9">
        <f>IFERROR(__xludf.DUMMYFUNCTION("MIN(INDEX(GOOGLEFINANCE(A717, ""low"", TODAY()-30, TODAY()), 0, 2))"),504.3)</f>
        <v>504.3</v>
      </c>
      <c r="J717" s="9">
        <f>IFERROR(__xludf.DUMMYFUNCTION("GOOGLEFINANCE(A717, ""high52"")"),727.6)</f>
        <v>727.6</v>
      </c>
      <c r="K717" s="9">
        <f>IFERROR(__xludf.DUMMYFUNCTION("GOOGLEFINANCE(A717, ""low52"")"),483.0)</f>
        <v>483</v>
      </c>
      <c r="L717" s="9">
        <f t="shared" si="1"/>
        <v>0.3020890599</v>
      </c>
      <c r="M717" s="9">
        <f t="shared" si="2"/>
        <v>0.05134575569</v>
      </c>
      <c r="N717" s="9">
        <f t="shared" si="3"/>
        <v>0.02002776125</v>
      </c>
      <c r="O717" s="9">
        <f t="shared" si="4"/>
        <v>0.03501750875</v>
      </c>
      <c r="P717" s="9">
        <f>IFERROR(__xludf.DUMMYFUNCTION("GOOGLEFINANCE(A717, ""pe"")"),64.39)</f>
        <v>64.39</v>
      </c>
      <c r="Q717" s="9">
        <f>IFERROR(__xludf.DUMMYFUNCTION("IFERROR(GOOGLEFINANCE(A717, ""volume"") / GOOGLEFINANCE(A717, ""volumeavg""), 0)"),0.0)</f>
        <v>0</v>
      </c>
      <c r="R717" s="9">
        <f>IFERROR(__xludf.DUMMYFUNCTION("AVERAGE(INDEX(GOOGLEFINANCE(A717, ""price"", TODAY()-30, TODAY()), 0, 2))"),542.3434782608696)</f>
        <v>542.3434783</v>
      </c>
      <c r="S717" s="9">
        <f>IFERROR(__xludf.DUMMYFUNCTION("AVERAGE(INDEX(GOOGLEFINANCE(A717, ""price"", TODAY()-75, TODAY()), 0, 2))"),534.9981132075472)</f>
        <v>534.9981132</v>
      </c>
      <c r="T717" s="9">
        <f>IFERROR(__xludf.DUMMYFUNCTION("AVERAGE(INDEX(GOOGLEFINANCE(A717, ""price"", TODAY()-300, TODAY()), 0, 2))"),561.7992574257423)</f>
        <v>561.7992574</v>
      </c>
      <c r="U717" s="9">
        <f t="shared" si="5"/>
        <v>-0.06369299097</v>
      </c>
      <c r="V717" s="15">
        <f>IFERROR(__xludf.DUMMYFUNCTION("LET(hist, GOOGLEFINANCE(A717,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rs))))))"),34.9170918367347)</f>
        <v>34.91709184</v>
      </c>
      <c r="W717" s="16" t="str">
        <f>IFERROR(__xludf.DUMMYFUNCTION("IFERROR(GOOGLEFINANCE(A717, ""volume"") / GOOGLEFINANCE(A717, ""volumeavg""), )"),"")</f>
        <v/>
      </c>
      <c r="X717" s="9">
        <f>IFERROR(__xludf.DUMMYFUNCTION("B717 * GOOGLEFINANCE(A717, ""volume"")"),5.9910244E7)</f>
        <v>59910244</v>
      </c>
      <c r="Y717" s="9">
        <f>IFERROR(__xludf.DUMMYFUNCTION("IFERROR(((B717 - GOOGLEFINANCE(A717, ""priceopen"")) / GOOGLEFINANCE(A717, ""priceopen"")) * GOOGLEFINANCE(A717, ""volume""), 0)"),-1343.6834420325047)</f>
        <v>-1343.683442</v>
      </c>
    </row>
    <row r="718">
      <c r="A718" s="4" t="s">
        <v>2511</v>
      </c>
      <c r="B718" s="7">
        <f>IFERROR(__xludf.DUMMYFUNCTION("GOOGLEFINANCE(A718, ""price"")"),68.68)</f>
        <v>68.68</v>
      </c>
      <c r="C718" s="7">
        <f>IFERROR(__xludf.DUMMYFUNCTION("GOOGLEFINANCE(A718, ""changepct"")"),-0.91)</f>
        <v>-0.91</v>
      </c>
      <c r="D718" s="9">
        <f>IFERROR(__xludf.DUMMYFUNCTION("GOOGLEFINANCE(A718, ""priceopen"")"),68.9)</f>
        <v>68.9</v>
      </c>
      <c r="E718" s="9">
        <f>IFERROR(__xludf.DUMMYFUNCTION("GOOGLEFINANCE(A718, ""high"")"),69.7)</f>
        <v>69.7</v>
      </c>
      <c r="F718" s="9">
        <f>IFERROR(__xludf.DUMMYFUNCTION("GOOGLEFINANCE(A718, ""low"")"),68.5)</f>
        <v>68.5</v>
      </c>
      <c r="G718" s="9">
        <f>IFERROR(__xludf.DUMMYFUNCTION("GOOGLEFINANCE(A718, ""price"")"),68.68)</f>
        <v>68.68</v>
      </c>
      <c r="H718" s="9">
        <f>IFERROR(__xludf.DUMMYFUNCTION("MAX(INDEX(GOOGLEFINANCE(A718, ""high"", TODAY()-30, TODAY()), 0, 2))"),77.39)</f>
        <v>77.39</v>
      </c>
      <c r="I718" s="9">
        <f>IFERROR(__xludf.DUMMYFUNCTION("MIN(INDEX(GOOGLEFINANCE(A718, ""low"", TODAY()-30, TODAY()), 0, 2))"),67.15)</f>
        <v>67.15</v>
      </c>
      <c r="J718" s="9">
        <f>IFERROR(__xludf.DUMMYFUNCTION("GOOGLEFINANCE(A718, ""high52"")"),77.39)</f>
        <v>77.39</v>
      </c>
      <c r="K718" s="9">
        <f>IFERROR(__xludf.DUMMYFUNCTION("GOOGLEFINANCE(A718, ""low52"")"),29.86)</f>
        <v>29.86</v>
      </c>
      <c r="L718" s="9">
        <f t="shared" si="1"/>
        <v>0.1125468407</v>
      </c>
      <c r="M718" s="9">
        <f t="shared" si="2"/>
        <v>1.300066979</v>
      </c>
      <c r="N718" s="9">
        <f t="shared" si="3"/>
        <v>0.01751824818</v>
      </c>
      <c r="O718" s="9">
        <f t="shared" si="4"/>
        <v>0.1494140625</v>
      </c>
      <c r="P718" s="9">
        <f>IFERROR(__xludf.DUMMYFUNCTION("GOOGLEFINANCE(A718, ""pe"")"),24.79)</f>
        <v>24.79</v>
      </c>
      <c r="Q718" s="9">
        <f>IFERROR(__xludf.DUMMYFUNCTION("IFERROR(GOOGLEFINANCE(A718, ""volume"") / GOOGLEFINANCE(A718, ""volumeavg""), 0)"),0.0)</f>
        <v>0</v>
      </c>
      <c r="R718" s="9">
        <f>IFERROR(__xludf.DUMMYFUNCTION("AVERAGE(INDEX(GOOGLEFINANCE(A718, ""price"", TODAY()-30, TODAY()), 0, 2))"),71.09652173913044)</f>
        <v>71.09652174</v>
      </c>
      <c r="S718" s="9">
        <f>IFERROR(__xludf.DUMMYFUNCTION("AVERAGE(INDEX(GOOGLEFINANCE(A718, ""price"", TODAY()-75, TODAY()), 0, 2))"),65.62698113207546)</f>
        <v>65.62698113</v>
      </c>
      <c r="T718" s="9">
        <f>IFERROR(__xludf.DUMMYFUNCTION("AVERAGE(INDEX(GOOGLEFINANCE(A718, ""price"", TODAY()-300, TODAY()), 0, 2))"),45.172722772277226)</f>
        <v>45.17272277</v>
      </c>
      <c r="U718" s="9">
        <f t="shared" si="5"/>
        <v>-0.03398931031</v>
      </c>
      <c r="V718" s="15">
        <f>IFERROR(__xludf.DUMMYFUNCTION("LET(hist, GOOGLEFINANCE(A718,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rs))))))"),33.24372759856631)</f>
        <v>33.2437276</v>
      </c>
      <c r="W718" s="16" t="str">
        <f>IFERROR(__xludf.DUMMYFUNCTION("IFERROR(GOOGLEFINANCE(A718, ""volume"") / GOOGLEFINANCE(A718, ""volumeavg""), )"),"")</f>
        <v/>
      </c>
      <c r="X718" s="9">
        <f>IFERROR(__xludf.DUMMYFUNCTION("B718 * GOOGLEFINANCE(A718, ""volume"")"),3.9647404964000005E8)</f>
        <v>396474049.6</v>
      </c>
      <c r="Y718" s="9">
        <f>IFERROR(__xludf.DUMMYFUNCTION("IFERROR(((B718 - GOOGLEFINANCE(A718, ""priceopen"")) / GOOGLEFINANCE(A718, ""priceopen"")) * GOOGLEFINANCE(A718, ""volume""), 0)"),-18432.65689404925)</f>
        <v>-18432.65689</v>
      </c>
    </row>
    <row r="719">
      <c r="A719" s="4" t="s">
        <v>2512</v>
      </c>
      <c r="B719" s="7">
        <f>IFERROR(__xludf.DUMMYFUNCTION("GOOGLEFINANCE(A719, ""price"")"),5830.0)</f>
        <v>5830</v>
      </c>
      <c r="C719" s="7">
        <f>IFERROR(__xludf.DUMMYFUNCTION("GOOGLEFINANCE(A719, ""changepct"")"),-0.61)</f>
        <v>-0.61</v>
      </c>
      <c r="D719" s="9">
        <f>IFERROR(__xludf.DUMMYFUNCTION("GOOGLEFINANCE(A719, ""priceopen"")"),5870.0)</f>
        <v>5870</v>
      </c>
      <c r="E719" s="9">
        <f>IFERROR(__xludf.DUMMYFUNCTION("GOOGLEFINANCE(A719, ""high"")"),5950.0)</f>
        <v>5950</v>
      </c>
      <c r="F719" s="9">
        <f>IFERROR(__xludf.DUMMYFUNCTION("GOOGLEFINANCE(A719, ""low"")"),5820.5)</f>
        <v>5820.5</v>
      </c>
      <c r="G719" s="9">
        <f>IFERROR(__xludf.DUMMYFUNCTION("GOOGLEFINANCE(A719, ""price"")"),5830.0)</f>
        <v>5830</v>
      </c>
      <c r="H719" s="9">
        <f>IFERROR(__xludf.DUMMYFUNCTION("MAX(INDEX(GOOGLEFINANCE(A719, ""high"", TODAY()-30, TODAY()), 0, 2))"),6279.0)</f>
        <v>6279</v>
      </c>
      <c r="I719" s="9">
        <f>IFERROR(__xludf.DUMMYFUNCTION("MIN(INDEX(GOOGLEFINANCE(A719, ""low"", TODAY()-30, TODAY()), 0, 2))"),5670.5)</f>
        <v>5670.5</v>
      </c>
      <c r="J719" s="9">
        <f>IFERROR(__xludf.DUMMYFUNCTION("GOOGLEFINANCE(A719, ""high52"")"),6340.0)</f>
        <v>6340</v>
      </c>
      <c r="K719" s="9">
        <f>IFERROR(__xludf.DUMMYFUNCTION("GOOGLEFINANCE(A719, ""low52"")"),5275.5)</f>
        <v>5275.5</v>
      </c>
      <c r="L719" s="9">
        <f t="shared" si="1"/>
        <v>0.08044164038</v>
      </c>
      <c r="M719" s="9">
        <f t="shared" si="2"/>
        <v>0.1051085205</v>
      </c>
      <c r="N719" s="9">
        <f t="shared" si="3"/>
        <v>0.02224894768</v>
      </c>
      <c r="O719" s="9">
        <f t="shared" si="4"/>
        <v>0.2621199671</v>
      </c>
      <c r="P719" s="9">
        <f>IFERROR(__xludf.DUMMYFUNCTION("GOOGLEFINANCE(A719, ""pe"")"),24.89)</f>
        <v>24.89</v>
      </c>
      <c r="Q719" s="9">
        <f>IFERROR(__xludf.DUMMYFUNCTION("IFERROR(GOOGLEFINANCE(A719, ""volume"") / GOOGLEFINANCE(A719, ""volumeavg""), 0)"),0.0)</f>
        <v>0</v>
      </c>
      <c r="R719" s="9">
        <f>IFERROR(__xludf.DUMMYFUNCTION("AVERAGE(INDEX(GOOGLEFINANCE(A719, ""price"", TODAY()-30, TODAY()), 0, 2))"),5900.239130434783)</f>
        <v>5900.23913</v>
      </c>
      <c r="S719" s="9">
        <f>IFERROR(__xludf.DUMMYFUNCTION("AVERAGE(INDEX(GOOGLEFINANCE(A719, ""price"", TODAY()-75, TODAY()), 0, 2))"),5849.028301886792)</f>
        <v>5849.028302</v>
      </c>
      <c r="T719" s="9">
        <f>IFERROR(__xludf.DUMMYFUNCTION("AVERAGE(INDEX(GOOGLEFINANCE(A719, ""price"", TODAY()-300, TODAY()), 0, 2))"),5742.85875)</f>
        <v>5742.85875</v>
      </c>
      <c r="U719" s="9">
        <f t="shared" si="5"/>
        <v>-0.01190445487</v>
      </c>
      <c r="V719" s="15">
        <f>IFERROR(__xludf.DUMMYFUNCTION("LET(hist, GOOGLEFINANCE(A719,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rs))))))"),53.263707571801575)</f>
        <v>53.26370757</v>
      </c>
      <c r="W719" s="16" t="str">
        <f>IFERROR(__xludf.DUMMYFUNCTION("IFERROR(GOOGLEFINANCE(A719, ""volume"") / GOOGLEFINANCE(A719, ""volumeavg""), )"),"")</f>
        <v/>
      </c>
      <c r="X719" s="9">
        <f>IFERROR(__xludf.DUMMYFUNCTION("B719 * GOOGLEFINANCE(A719, ""volume"")"),5.716898E7)</f>
        <v>57168980</v>
      </c>
      <c r="Y719" s="9">
        <f>IFERROR(__xludf.DUMMYFUNCTION("IFERROR(((B719 - GOOGLEFINANCE(A719, ""priceopen"")) / GOOGLEFINANCE(A719, ""priceopen"")) * GOOGLEFINANCE(A719, ""volume""), 0)"),-66.82112436115844)</f>
        <v>-66.82112436</v>
      </c>
    </row>
    <row r="720">
      <c r="A720" s="4" t="s">
        <v>2513</v>
      </c>
      <c r="B720" s="7">
        <f>IFERROR(__xludf.DUMMYFUNCTION("GOOGLEFINANCE(A720, ""price"")"),995.0)</f>
        <v>995</v>
      </c>
      <c r="C720" s="7">
        <f>IFERROR(__xludf.DUMMYFUNCTION("GOOGLEFINANCE(A720, ""changepct"")"),-1.81)</f>
        <v>-1.81</v>
      </c>
      <c r="D720" s="9">
        <f>IFERROR(__xludf.DUMMYFUNCTION("GOOGLEFINANCE(A720, ""priceopen"")"),1018.3)</f>
        <v>1018.3</v>
      </c>
      <c r="E720" s="9">
        <f>IFERROR(__xludf.DUMMYFUNCTION("GOOGLEFINANCE(A720, ""high"")"),1020.1)</f>
        <v>1020.1</v>
      </c>
      <c r="F720" s="9">
        <f>IFERROR(__xludf.DUMMYFUNCTION("GOOGLEFINANCE(A720, ""low"")"),986.6)</f>
        <v>986.6</v>
      </c>
      <c r="G720" s="9">
        <f>IFERROR(__xludf.DUMMYFUNCTION("GOOGLEFINANCE(A720, ""price"")"),995.0)</f>
        <v>995</v>
      </c>
      <c r="H720" s="9">
        <f>IFERROR(__xludf.DUMMYFUNCTION("MAX(INDEX(GOOGLEFINANCE(A720, ""high"", TODAY()-30, TODAY()), 0, 2))"),1231.95)</f>
        <v>1231.95</v>
      </c>
      <c r="I720" s="9">
        <f>IFERROR(__xludf.DUMMYFUNCTION("MIN(INDEX(GOOGLEFINANCE(A720, ""low"", TODAY()-30, TODAY()), 0, 2))"),979.3)</f>
        <v>979.3</v>
      </c>
      <c r="J720" s="9">
        <f>IFERROR(__xludf.DUMMYFUNCTION("GOOGLEFINANCE(A720, ""high52"")"),1998.0)</f>
        <v>1998</v>
      </c>
      <c r="K720" s="9">
        <f>IFERROR(__xludf.DUMMYFUNCTION("GOOGLEFINANCE(A720, ""low52"")"),795.0)</f>
        <v>795</v>
      </c>
      <c r="L720" s="9">
        <f t="shared" si="1"/>
        <v>0.502002002</v>
      </c>
      <c r="M720" s="9">
        <f t="shared" si="2"/>
        <v>0.251572327</v>
      </c>
      <c r="N720" s="9">
        <f t="shared" si="3"/>
        <v>0.03395499696</v>
      </c>
      <c r="O720" s="9">
        <f t="shared" si="4"/>
        <v>0.0621413022</v>
      </c>
      <c r="P720" s="9">
        <f>IFERROR(__xludf.DUMMYFUNCTION("GOOGLEFINANCE(A720, ""pe"")"),39.75)</f>
        <v>39.75</v>
      </c>
      <c r="Q720" s="9">
        <f>IFERROR(__xludf.DUMMYFUNCTION("IFERROR(GOOGLEFINANCE(A720, ""volume"") / GOOGLEFINANCE(A720, ""volumeavg""), 0)"),0.0)</f>
        <v>0</v>
      </c>
      <c r="R720" s="9">
        <f>IFERROR(__xludf.DUMMYFUNCTION("AVERAGE(INDEX(GOOGLEFINANCE(A720, ""price"", TODAY()-30, TODAY()), 0, 2))"),1111.3608695652176)</f>
        <v>1111.36087</v>
      </c>
      <c r="S720" s="9">
        <f>IFERROR(__xludf.DUMMYFUNCTION("AVERAGE(INDEX(GOOGLEFINANCE(A720, ""price"", TODAY()-75, TODAY()), 0, 2))"),981.2066037735849)</f>
        <v>981.2066038</v>
      </c>
      <c r="T720" s="9">
        <f>IFERROR(__xludf.DUMMYFUNCTION("AVERAGE(INDEX(GOOGLEFINANCE(A720, ""price"", TODAY()-300, TODAY()), 0, 2))"),1229.3777227722778)</f>
        <v>1229.377723</v>
      </c>
      <c r="U720" s="9">
        <f t="shared" si="5"/>
        <v>-0.1047012476</v>
      </c>
      <c r="V720" s="15">
        <f>IFERROR(__xludf.DUMMYFUNCTION("LET(hist, GOOGLEFINANCE(A720,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rs))))))"),39.93182085341485)</f>
        <v>39.93182085</v>
      </c>
      <c r="W720" s="16" t="str">
        <f>IFERROR(__xludf.DUMMYFUNCTION("IFERROR(GOOGLEFINANCE(A720, ""volume"") / GOOGLEFINANCE(A720, ""volumeavg""), )"),"")</f>
        <v/>
      </c>
      <c r="X720" s="9">
        <f>IFERROR(__xludf.DUMMYFUNCTION("B720 * GOOGLEFINANCE(A720, ""volume"")"),1.64191915E8)</f>
        <v>164191915</v>
      </c>
      <c r="Y720" s="9">
        <f>IFERROR(__xludf.DUMMYFUNCTION("IFERROR(((B720 - GOOGLEFINANCE(A720, ""priceopen"")) / GOOGLEFINANCE(A720, ""priceopen"")) * GOOGLEFINANCE(A720, ""volume""), 0)"),-3775.798978689966)</f>
        <v>-3775.798979</v>
      </c>
    </row>
    <row r="721">
      <c r="A721" s="4" t="s">
        <v>2514</v>
      </c>
      <c r="B721" s="7">
        <f>IFERROR(__xludf.DUMMYFUNCTION("GOOGLEFINANCE(A721, ""price"")"),159.35)</f>
        <v>159.35</v>
      </c>
      <c r="C721" s="7">
        <f>IFERROR(__xludf.DUMMYFUNCTION("GOOGLEFINANCE(A721, ""changepct"")"),-0.78)</f>
        <v>-0.78</v>
      </c>
      <c r="D721" s="9">
        <f>IFERROR(__xludf.DUMMYFUNCTION("GOOGLEFINANCE(A721, ""priceopen"")"),161.86)</f>
        <v>161.86</v>
      </c>
      <c r="E721" s="9">
        <f>IFERROR(__xludf.DUMMYFUNCTION("GOOGLEFINANCE(A721, ""high"")"),161.86)</f>
        <v>161.86</v>
      </c>
      <c r="F721" s="9">
        <f>IFERROR(__xludf.DUMMYFUNCTION("GOOGLEFINANCE(A721, ""low"")"),158.44)</f>
        <v>158.44</v>
      </c>
      <c r="G721" s="9">
        <f>IFERROR(__xludf.DUMMYFUNCTION("GOOGLEFINANCE(A721, ""price"")"),159.35)</f>
        <v>159.35</v>
      </c>
      <c r="H721" s="9">
        <f>IFERROR(__xludf.DUMMYFUNCTION("MAX(INDEX(GOOGLEFINANCE(A721, ""high"", TODAY()-30, TODAY()), 0, 2))"),205.99)</f>
        <v>205.99</v>
      </c>
      <c r="I721" s="9">
        <f>IFERROR(__xludf.DUMMYFUNCTION("MIN(INDEX(GOOGLEFINANCE(A721, ""low"", TODAY()-30, TODAY()), 0, 2))"),155.38)</f>
        <v>155.38</v>
      </c>
      <c r="J721" s="9">
        <f>IFERROR(__xludf.DUMMYFUNCTION("GOOGLEFINANCE(A721, ""high52"")"),407.95)</f>
        <v>407.95</v>
      </c>
      <c r="K721" s="9">
        <f>IFERROR(__xludf.DUMMYFUNCTION("GOOGLEFINANCE(A721, ""low52"")"),155.38)</f>
        <v>155.38</v>
      </c>
      <c r="L721" s="9">
        <f t="shared" si="1"/>
        <v>0.6093884054</v>
      </c>
      <c r="M721" s="9">
        <f t="shared" si="2"/>
        <v>0.02555026387</v>
      </c>
      <c r="N721" s="9">
        <f t="shared" si="3"/>
        <v>0.02158545822</v>
      </c>
      <c r="O721" s="9">
        <f t="shared" si="4"/>
        <v>0.07844299546</v>
      </c>
      <c r="P721" s="9">
        <f>IFERROR(__xludf.DUMMYFUNCTION("GOOGLEFINANCE(A721, ""pe"")"),15.81)</f>
        <v>15.81</v>
      </c>
      <c r="Q721" s="9">
        <f>IFERROR(__xludf.DUMMYFUNCTION("IFERROR(GOOGLEFINANCE(A721, ""volume"") / GOOGLEFINANCE(A721, ""volumeavg""), 0)"),0.0)</f>
        <v>0</v>
      </c>
      <c r="R721" s="9">
        <f>IFERROR(__xludf.DUMMYFUNCTION("AVERAGE(INDEX(GOOGLEFINANCE(A721, ""price"", TODAY()-30, TODAY()), 0, 2))"),180.21782608695653)</f>
        <v>180.2178261</v>
      </c>
      <c r="S721" s="9">
        <f>IFERROR(__xludf.DUMMYFUNCTION("AVERAGE(INDEX(GOOGLEFINANCE(A721, ""price"", TODAY()-75, TODAY()), 0, 2))"),190.63207547169816)</f>
        <v>190.6320755</v>
      </c>
      <c r="T721" s="9">
        <f>IFERROR(__xludf.DUMMYFUNCTION("AVERAGE(INDEX(GOOGLEFINANCE(A721, ""price"", TODAY()-300, TODAY()), 0, 2))"),222.21608910891086)</f>
        <v>222.2160891</v>
      </c>
      <c r="U721" s="9">
        <f t="shared" si="5"/>
        <v>-0.1157922418</v>
      </c>
      <c r="V721" s="15">
        <f>IFERROR(__xludf.DUMMYFUNCTION("LET(hist, GOOGLEFINANCE(A721,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rs))))))"),26.036089629189007)</f>
        <v>26.03608963</v>
      </c>
      <c r="W721" s="16" t="str">
        <f>IFERROR(__xludf.DUMMYFUNCTION("IFERROR(GOOGLEFINANCE(A721, ""volume"") / GOOGLEFINANCE(A721, ""volumeavg""), )"),"")</f>
        <v/>
      </c>
      <c r="X721" s="9">
        <f>IFERROR(__xludf.DUMMYFUNCTION("B721 * GOOGLEFINANCE(A721, ""volume"")"),2.0894736879999998E8)</f>
        <v>208947368.8</v>
      </c>
      <c r="Y721" s="9">
        <f>IFERROR(__xludf.DUMMYFUNCTION("IFERROR(((B721 - GOOGLEFINANCE(A721, ""priceopen"")) / GOOGLEFINANCE(A721, ""priceopen"")) * GOOGLEFINANCE(A721, ""volume""), 0)"),-20333.82231558152)</f>
        <v>-20333.82232</v>
      </c>
    </row>
    <row r="722">
      <c r="A722" s="4" t="s">
        <v>2515</v>
      </c>
      <c r="B722" s="7">
        <f>IFERROR(__xludf.DUMMYFUNCTION("GOOGLEFINANCE(A722, ""price"")"),422.0)</f>
        <v>422</v>
      </c>
      <c r="C722" s="7">
        <f>IFERROR(__xludf.DUMMYFUNCTION("GOOGLEFINANCE(A722, ""changepct"")"),-1.09)</f>
        <v>-1.09</v>
      </c>
      <c r="D722" s="9">
        <f>IFERROR(__xludf.DUMMYFUNCTION("GOOGLEFINANCE(A722, ""priceopen"")"),421.45)</f>
        <v>421.45</v>
      </c>
      <c r="E722" s="9">
        <f>IFERROR(__xludf.DUMMYFUNCTION("GOOGLEFINANCE(A722, ""high"")"),426.7)</f>
        <v>426.7</v>
      </c>
      <c r="F722" s="9">
        <f>IFERROR(__xludf.DUMMYFUNCTION("GOOGLEFINANCE(A722, ""low"")"),412.5)</f>
        <v>412.5</v>
      </c>
      <c r="G722" s="9">
        <f>IFERROR(__xludf.DUMMYFUNCTION("GOOGLEFINANCE(A722, ""price"")"),422.0)</f>
        <v>422</v>
      </c>
      <c r="H722" s="9">
        <f>IFERROR(__xludf.DUMMYFUNCTION("MAX(INDEX(GOOGLEFINANCE(A722, ""high"", TODAY()-30, TODAY()), 0, 2))"),450.2)</f>
        <v>450.2</v>
      </c>
      <c r="I722" s="9">
        <f>IFERROR(__xludf.DUMMYFUNCTION("MIN(INDEX(GOOGLEFINANCE(A722, ""low"", TODAY()-30, TODAY()), 0, 2))"),378.0)</f>
        <v>378</v>
      </c>
      <c r="J722" s="9">
        <f>IFERROR(__xludf.DUMMYFUNCTION("GOOGLEFINANCE(A722, ""high52"")"),502.15)</f>
        <v>502.15</v>
      </c>
      <c r="K722" s="9">
        <f>IFERROR(__xludf.DUMMYFUNCTION("GOOGLEFINANCE(A722, ""low52"")"),305.45)</f>
        <v>305.45</v>
      </c>
      <c r="L722" s="9">
        <f t="shared" si="1"/>
        <v>0.1596136613</v>
      </c>
      <c r="M722" s="9">
        <f t="shared" si="2"/>
        <v>0.3815681781</v>
      </c>
      <c r="N722" s="9">
        <f t="shared" si="3"/>
        <v>0.03442424242</v>
      </c>
      <c r="O722" s="9">
        <f t="shared" si="4"/>
        <v>0.6094182825</v>
      </c>
      <c r="P722" s="9">
        <f>IFERROR(__xludf.DUMMYFUNCTION("GOOGLEFINANCE(A722, ""pe"")"),546.72)</f>
        <v>546.72</v>
      </c>
      <c r="Q722" s="9">
        <f>IFERROR(__xludf.DUMMYFUNCTION("IFERROR(GOOGLEFINANCE(A722, ""volume"") / GOOGLEFINANCE(A722, ""volumeavg""), 0)"),0.0)</f>
        <v>0</v>
      </c>
      <c r="R722" s="9">
        <f>IFERROR(__xludf.DUMMYFUNCTION("AVERAGE(INDEX(GOOGLEFINANCE(A722, ""price"", TODAY()-30, TODAY()), 0, 2))"),405.36086956521734)</f>
        <v>405.3608696</v>
      </c>
      <c r="S722" s="9">
        <f>IFERROR(__xludf.DUMMYFUNCTION("AVERAGE(INDEX(GOOGLEFINANCE(A722, ""price"", TODAY()-75, TODAY()), 0, 2))"),426.3509433962265)</f>
        <v>426.3509434</v>
      </c>
      <c r="T722" s="9">
        <f>IFERROR(__xludf.DUMMYFUNCTION("AVERAGE(INDEX(GOOGLEFINANCE(A722, ""price"", TODAY()-300, TODAY()), 0, 2))"),421.25915841584157)</f>
        <v>421.2591584</v>
      </c>
      <c r="U722" s="9">
        <f t="shared" si="5"/>
        <v>0.0410476977</v>
      </c>
      <c r="V722" s="15">
        <f>IFERROR(__xludf.DUMMYFUNCTION("LET(hist, GOOGLEFINANCE(A722,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rs))))))"),67.38299904489017)</f>
        <v>67.38299904</v>
      </c>
      <c r="W722" s="16" t="str">
        <f>IFERROR(__xludf.DUMMYFUNCTION("IFERROR(GOOGLEFINANCE(A722, ""volume"") / GOOGLEFINANCE(A722, ""volumeavg""), )"),"")</f>
        <v/>
      </c>
      <c r="X722" s="9">
        <f>IFERROR(__xludf.DUMMYFUNCTION("B722 * GOOGLEFINANCE(A722, ""volume"")"),2.5004766E7)</f>
        <v>25004766</v>
      </c>
      <c r="Y722" s="9">
        <f>IFERROR(__xludf.DUMMYFUNCTION("IFERROR(((B722 - GOOGLEFINANCE(A722, ""priceopen"")) / GOOGLEFINANCE(A722, ""priceopen"")) * GOOGLEFINANCE(A722, ""volume""), 0)"),77.32625459722547)</f>
        <v>77.3262546</v>
      </c>
    </row>
    <row r="723">
      <c r="A723" s="4" t="s">
        <v>2516</v>
      </c>
      <c r="B723" s="7">
        <f>IFERROR(__xludf.DUMMYFUNCTION("GOOGLEFINANCE(A723, ""price"")"),248.1)</f>
        <v>248.1</v>
      </c>
      <c r="C723" s="7">
        <f>IFERROR(__xludf.DUMMYFUNCTION("GOOGLEFINANCE(A723, ""changepct"")"),2.37)</f>
        <v>2.37</v>
      </c>
      <c r="D723" s="9">
        <f>IFERROR(__xludf.DUMMYFUNCTION("GOOGLEFINANCE(A723, ""priceopen"")"),242.95)</f>
        <v>242.95</v>
      </c>
      <c r="E723" s="9">
        <f>IFERROR(__xludf.DUMMYFUNCTION("GOOGLEFINANCE(A723, ""high"")"),253.65)</f>
        <v>253.65</v>
      </c>
      <c r="F723" s="9">
        <f>IFERROR(__xludf.DUMMYFUNCTION("GOOGLEFINANCE(A723, ""low"")"),242.5)</f>
        <v>242.5</v>
      </c>
      <c r="G723" s="9">
        <f>IFERROR(__xludf.DUMMYFUNCTION("GOOGLEFINANCE(A723, ""price"")"),248.1)</f>
        <v>248.1</v>
      </c>
      <c r="H723" s="9">
        <f>IFERROR(__xludf.DUMMYFUNCTION("MAX(INDEX(GOOGLEFINANCE(A723, ""high"", TODAY()-30, TODAY()), 0, 2))"),278.55)</f>
        <v>278.55</v>
      </c>
      <c r="I723" s="9">
        <f>IFERROR(__xludf.DUMMYFUNCTION("MIN(INDEX(GOOGLEFINANCE(A723, ""low"", TODAY()-30, TODAY()), 0, 2))"),237.4)</f>
        <v>237.4</v>
      </c>
      <c r="J723" s="9">
        <f>IFERROR(__xludf.DUMMYFUNCTION("GOOGLEFINANCE(A723, ""high52"")"),278.63)</f>
        <v>278.63</v>
      </c>
      <c r="K723" s="9">
        <f>IFERROR(__xludf.DUMMYFUNCTION("GOOGLEFINANCE(A723, ""low52"")"),197.59)</f>
        <v>197.59</v>
      </c>
      <c r="L723" s="9">
        <f t="shared" si="1"/>
        <v>0.1095718336</v>
      </c>
      <c r="M723" s="9">
        <f t="shared" si="2"/>
        <v>0.2556303457</v>
      </c>
      <c r="N723" s="9">
        <f t="shared" si="3"/>
        <v>0.04597938144</v>
      </c>
      <c r="O723" s="9">
        <f t="shared" si="4"/>
        <v>0.2600243013</v>
      </c>
      <c r="P723" s="9">
        <f>IFERROR(__xludf.DUMMYFUNCTION("GOOGLEFINANCE(A723, ""pe"")"),60.66)</f>
        <v>60.66</v>
      </c>
      <c r="Q723" s="9">
        <f>IFERROR(__xludf.DUMMYFUNCTION("IFERROR(GOOGLEFINANCE(A723, ""volume"") / GOOGLEFINANCE(A723, ""volumeavg""), 0)"),0.0)</f>
        <v>0</v>
      </c>
      <c r="R723" s="9">
        <f>IFERROR(__xludf.DUMMYFUNCTION("AVERAGE(INDEX(GOOGLEFINANCE(A723, ""price"", TODAY()-30, TODAY()), 0, 2))"),253.0891304347826)</f>
        <v>253.0891304</v>
      </c>
      <c r="S723" s="9">
        <f>IFERROR(__xludf.DUMMYFUNCTION("AVERAGE(INDEX(GOOGLEFINANCE(A723, ""price"", TODAY()-75, TODAY()), 0, 2))"),250.8407547169812)</f>
        <v>250.8407547</v>
      </c>
      <c r="T723" s="9">
        <f>IFERROR(__xludf.DUMMYFUNCTION("AVERAGE(INDEX(GOOGLEFINANCE(A723, ""price"", TODAY()-300, TODAY()), 0, 2))"),243.22876237623765)</f>
        <v>243.2287624</v>
      </c>
      <c r="U723" s="9">
        <f t="shared" si="5"/>
        <v>-0.01971293839</v>
      </c>
      <c r="V723" s="15">
        <f>IFERROR(__xludf.DUMMYFUNCTION("LET(hist, GOOGLEFINANCE(A723,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rs))))))"),53.75070501974055)</f>
        <v>53.75070502</v>
      </c>
      <c r="W723" s="16" t="str">
        <f>IFERROR(__xludf.DUMMYFUNCTION("IFERROR(GOOGLEFINANCE(A723, ""volume"") / GOOGLEFINANCE(A723, ""volumeavg""), )"),"")</f>
        <v/>
      </c>
      <c r="X723" s="9">
        <f>IFERROR(__xludf.DUMMYFUNCTION("B723 * GOOGLEFINANCE(A723, ""volume"")"),1.289306232E8)</f>
        <v>128930623.2</v>
      </c>
      <c r="Y723" s="9">
        <f>IFERROR(__xludf.DUMMYFUNCTION("IFERROR(((B723 - GOOGLEFINANCE(A723, ""priceopen"")) / GOOGLEFINANCE(A723, ""priceopen"")) * GOOGLEFINANCE(A723, ""volume""), 0)"),11015.891335665787)</f>
        <v>11015.89134</v>
      </c>
    </row>
    <row r="724">
      <c r="A724" s="4" t="s">
        <v>2517</v>
      </c>
      <c r="B724" s="7">
        <f>IFERROR(__xludf.DUMMYFUNCTION("GOOGLEFINANCE(A724, ""price"")"),509.0)</f>
        <v>509</v>
      </c>
      <c r="C724" s="7">
        <f>IFERROR(__xludf.DUMMYFUNCTION("GOOGLEFINANCE(A724, ""changepct"")"),-0.31)</f>
        <v>-0.31</v>
      </c>
      <c r="D724" s="9">
        <f>IFERROR(__xludf.DUMMYFUNCTION("GOOGLEFINANCE(A724, ""priceopen"")"),510.0)</f>
        <v>510</v>
      </c>
      <c r="E724" s="9">
        <f>IFERROR(__xludf.DUMMYFUNCTION("GOOGLEFINANCE(A724, ""high"")"),514.0)</f>
        <v>514</v>
      </c>
      <c r="F724" s="9">
        <f>IFERROR(__xludf.DUMMYFUNCTION("GOOGLEFINANCE(A724, ""low"")"),508.0)</f>
        <v>508</v>
      </c>
      <c r="G724" s="9">
        <f>IFERROR(__xludf.DUMMYFUNCTION("GOOGLEFINANCE(A724, ""price"")"),509.0)</f>
        <v>509</v>
      </c>
      <c r="H724" s="9">
        <f>IFERROR(__xludf.DUMMYFUNCTION("MAX(INDEX(GOOGLEFINANCE(A724, ""high"", TODAY()-30, TODAY()), 0, 2))"),578.95)</f>
        <v>578.95</v>
      </c>
      <c r="I724" s="9">
        <f>IFERROR(__xludf.DUMMYFUNCTION("MIN(INDEX(GOOGLEFINANCE(A724, ""low"", TODAY()-30, TODAY()), 0, 2))"),508.0)</f>
        <v>508</v>
      </c>
      <c r="J724" s="9">
        <f>IFERROR(__xludf.DUMMYFUNCTION("GOOGLEFINANCE(A724, ""high52"")"),915.0)</f>
        <v>915</v>
      </c>
      <c r="K724" s="9">
        <f>IFERROR(__xludf.DUMMYFUNCTION("GOOGLEFINANCE(A724, ""low52"")"),456.35)</f>
        <v>456.35</v>
      </c>
      <c r="L724" s="9">
        <f t="shared" si="1"/>
        <v>0.443715847</v>
      </c>
      <c r="M724" s="9">
        <f t="shared" si="2"/>
        <v>0.1153719733</v>
      </c>
      <c r="N724" s="9">
        <f t="shared" si="3"/>
        <v>0.01181102362</v>
      </c>
      <c r="O724" s="9">
        <f t="shared" si="4"/>
        <v>0.0140944327</v>
      </c>
      <c r="P724" s="9">
        <f>IFERROR(__xludf.DUMMYFUNCTION("GOOGLEFINANCE(A724, ""pe"")"),29.61)</f>
        <v>29.61</v>
      </c>
      <c r="Q724" s="9">
        <f>IFERROR(__xludf.DUMMYFUNCTION("IFERROR(GOOGLEFINANCE(A724, ""volume"") / GOOGLEFINANCE(A724, ""volumeavg""), 0)"),0.0)</f>
        <v>0</v>
      </c>
      <c r="R724" s="9">
        <f>IFERROR(__xludf.DUMMYFUNCTION("AVERAGE(INDEX(GOOGLEFINANCE(A724, ""price"", TODAY()-30, TODAY()), 0, 2))"),532.2456521739131)</f>
        <v>532.2456522</v>
      </c>
      <c r="S724" s="9">
        <f>IFERROR(__xludf.DUMMYFUNCTION("AVERAGE(INDEX(GOOGLEFINANCE(A724, ""price"", TODAY()-75, TODAY()), 0, 2))"),543.6698113207549)</f>
        <v>543.6698113</v>
      </c>
      <c r="T724" s="9">
        <f>IFERROR(__xludf.DUMMYFUNCTION("AVERAGE(INDEX(GOOGLEFINANCE(A724, ""price"", TODAY()-300, TODAY()), 0, 2))"),602.4198019801979)</f>
        <v>602.419802</v>
      </c>
      <c r="U724" s="9">
        <f t="shared" si="5"/>
        <v>-0.04367466804</v>
      </c>
      <c r="V724" s="15">
        <f>IFERROR(__xludf.DUMMYFUNCTION("LET(hist, GOOGLEFINANCE(A724,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rs))))))"),24.178403755868572)</f>
        <v>24.17840376</v>
      </c>
      <c r="W724" s="16" t="str">
        <f>IFERROR(__xludf.DUMMYFUNCTION("IFERROR(GOOGLEFINANCE(A724, ""volume"") / GOOGLEFINANCE(A724, ""volumeavg""), )"),"")</f>
        <v/>
      </c>
      <c r="X724" s="9">
        <f>IFERROR(__xludf.DUMMYFUNCTION("B724 * GOOGLEFINANCE(A724, ""volume"")"),1.54044269E8)</f>
        <v>154044269</v>
      </c>
      <c r="Y724" s="9">
        <f>IFERROR(__xludf.DUMMYFUNCTION("IFERROR(((B724 - GOOGLEFINANCE(A724, ""priceopen"")) / GOOGLEFINANCE(A724, ""priceopen"")) * GOOGLEFINANCE(A724, ""volume""), 0)"),-593.413725490196)</f>
        <v>-593.4137255</v>
      </c>
    </row>
    <row r="725">
      <c r="A725" s="4" t="s">
        <v>2518</v>
      </c>
      <c r="B725" s="7">
        <f>IFERROR(__xludf.DUMMYFUNCTION("GOOGLEFINANCE(A725, ""price"")"),26.89)</f>
        <v>26.89</v>
      </c>
      <c r="C725" s="7">
        <f>IFERROR(__xludf.DUMMYFUNCTION("GOOGLEFINANCE(A725, ""changepct"")"),-4.34)</f>
        <v>-4.34</v>
      </c>
      <c r="D725" s="9">
        <f>IFERROR(__xludf.DUMMYFUNCTION("GOOGLEFINANCE(A725, ""priceopen"")"),28.19)</f>
        <v>28.19</v>
      </c>
      <c r="E725" s="9">
        <f>IFERROR(__xludf.DUMMYFUNCTION("GOOGLEFINANCE(A725, ""high"")"),28.38)</f>
        <v>28.38</v>
      </c>
      <c r="F725" s="9">
        <f>IFERROR(__xludf.DUMMYFUNCTION("GOOGLEFINANCE(A725, ""low"")"),26.71)</f>
        <v>26.71</v>
      </c>
      <c r="G725" s="9">
        <f>IFERROR(__xludf.DUMMYFUNCTION("GOOGLEFINANCE(A725, ""price"")"),26.89)</f>
        <v>26.89</v>
      </c>
      <c r="H725" s="9">
        <f>IFERROR(__xludf.DUMMYFUNCTION("MAX(INDEX(GOOGLEFINANCE(A725, ""high"", TODAY()-30, TODAY()), 0, 2))"),32.5)</f>
        <v>32.5</v>
      </c>
      <c r="I725" s="9">
        <f>IFERROR(__xludf.DUMMYFUNCTION("MIN(INDEX(GOOGLEFINANCE(A725, ""low"", TODAY()-30, TODAY()), 0, 2))"),25.4)</f>
        <v>25.4</v>
      </c>
      <c r="J725" s="9">
        <f>IFERROR(__xludf.DUMMYFUNCTION("GOOGLEFINANCE(A725, ""high52"")"),32.5)</f>
        <v>32.5</v>
      </c>
      <c r="K725" s="9">
        <f>IFERROR(__xludf.DUMMYFUNCTION("GOOGLEFINANCE(A725, ""low52"")"),8.9)</f>
        <v>8.9</v>
      </c>
      <c r="L725" s="9">
        <f t="shared" si="1"/>
        <v>0.1726153846</v>
      </c>
      <c r="M725" s="9">
        <f t="shared" si="2"/>
        <v>2.021348315</v>
      </c>
      <c r="N725" s="9">
        <f t="shared" si="3"/>
        <v>0.06252339948</v>
      </c>
      <c r="O725" s="9">
        <f t="shared" si="4"/>
        <v>0.2098591549</v>
      </c>
      <c r="P725" s="9" t="str">
        <f>IFERROR(__xludf.DUMMYFUNCTION("GOOGLEFINANCE(A725, ""pe"")"),"#N/A")</f>
        <v>#N/A</v>
      </c>
      <c r="Q725" s="9">
        <f>IFERROR(__xludf.DUMMYFUNCTION("IFERROR(GOOGLEFINANCE(A725, ""volume"") / GOOGLEFINANCE(A725, ""volumeavg""), 0)"),0.0)</f>
        <v>0</v>
      </c>
      <c r="R725" s="9">
        <f>IFERROR(__xludf.DUMMYFUNCTION("AVERAGE(INDEX(GOOGLEFINANCE(A725, ""price"", TODAY()-30, TODAY()), 0, 2))"),29.205652173913045)</f>
        <v>29.20565217</v>
      </c>
      <c r="S725" s="9">
        <f>IFERROR(__xludf.DUMMYFUNCTION("AVERAGE(INDEX(GOOGLEFINANCE(A725, ""price"", TODAY()-75, TODAY()), 0, 2))"),27.260754716981133)</f>
        <v>27.26075472</v>
      </c>
      <c r="T725" s="9">
        <f>IFERROR(__xludf.DUMMYFUNCTION("AVERAGE(INDEX(GOOGLEFINANCE(A725, ""price"", TODAY()-300, TODAY()), 0, 2))"),18.292941176470595)</f>
        <v>18.29294118</v>
      </c>
      <c r="U725" s="9">
        <f t="shared" si="5"/>
        <v>-0.07928780909</v>
      </c>
      <c r="V725" s="15">
        <f>IFERROR(__xludf.DUMMYFUNCTION("LET(hist, GOOGLEFINANCE(A725,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rs))))))"),42.487046632124354)</f>
        <v>42.48704663</v>
      </c>
      <c r="W725" s="16" t="str">
        <f>IFERROR(__xludf.DUMMYFUNCTION("IFERROR(GOOGLEFINANCE(A725, ""volume"") / GOOGLEFINANCE(A725, ""volumeavg""), )"),"")</f>
        <v/>
      </c>
      <c r="X725" s="9">
        <f>IFERROR(__xludf.DUMMYFUNCTION("B725 * GOOGLEFINANCE(A725, ""volume"")"),5.768109364E8)</f>
        <v>576810936.4</v>
      </c>
      <c r="Y725" s="9">
        <f>IFERROR(__xludf.DUMMYFUNCTION("IFERROR(((B725 - GOOGLEFINANCE(A725, ""priceopen"")) / GOOGLEFINANCE(A725, ""priceopen"")) * GOOGLEFINANCE(A725, ""volume""), 0)"),-989215.6083717636)</f>
        <v>-989215.6084</v>
      </c>
    </row>
    <row r="726">
      <c r="A726" s="4" t="s">
        <v>2519</v>
      </c>
      <c r="B726" s="7">
        <f>IFERROR(__xludf.DUMMYFUNCTION("GOOGLEFINANCE(A726, ""price"")"),242.03)</f>
        <v>242.03</v>
      </c>
      <c r="C726" s="7">
        <f>IFERROR(__xludf.DUMMYFUNCTION("GOOGLEFINANCE(A726, ""changepct"")"),0.59)</f>
        <v>0.59</v>
      </c>
      <c r="D726" s="9">
        <f>IFERROR(__xludf.DUMMYFUNCTION("GOOGLEFINANCE(A726, ""priceopen"")"),241.0)</f>
        <v>241</v>
      </c>
      <c r="E726" s="9">
        <f>IFERROR(__xludf.DUMMYFUNCTION("GOOGLEFINANCE(A726, ""high"")"),243.39)</f>
        <v>243.39</v>
      </c>
      <c r="F726" s="9">
        <f>IFERROR(__xludf.DUMMYFUNCTION("GOOGLEFINANCE(A726, ""low"")"),233.52)</f>
        <v>233.52</v>
      </c>
      <c r="G726" s="9">
        <f>IFERROR(__xludf.DUMMYFUNCTION("GOOGLEFINANCE(A726, ""price"")"),242.03)</f>
        <v>242.03</v>
      </c>
      <c r="H726" s="9">
        <f>IFERROR(__xludf.DUMMYFUNCTION("MAX(INDEX(GOOGLEFINANCE(A726, ""high"", TODAY()-30, TODAY()), 0, 2))"),243.64)</f>
        <v>243.64</v>
      </c>
      <c r="I726" s="9">
        <f>IFERROR(__xludf.DUMMYFUNCTION("MIN(INDEX(GOOGLEFINANCE(A726, ""low"", TODAY()-30, TODAY()), 0, 2))"),165.0)</f>
        <v>165</v>
      </c>
      <c r="J726" s="9">
        <f>IFERROR(__xludf.DUMMYFUNCTION("GOOGLEFINANCE(A726, ""high52"")"),301.24)</f>
        <v>301.24</v>
      </c>
      <c r="K726" s="9">
        <f>IFERROR(__xludf.DUMMYFUNCTION("GOOGLEFINANCE(A726, ""low52"")"),165.0)</f>
        <v>165</v>
      </c>
      <c r="L726" s="9">
        <f t="shared" si="1"/>
        <v>0.1965542425</v>
      </c>
      <c r="M726" s="9">
        <f t="shared" si="2"/>
        <v>0.4668484848</v>
      </c>
      <c r="N726" s="9">
        <f t="shared" si="3"/>
        <v>0.04226618705</v>
      </c>
      <c r="O726" s="9">
        <f t="shared" si="4"/>
        <v>0.9795269583</v>
      </c>
      <c r="P726" s="9">
        <f>IFERROR(__xludf.DUMMYFUNCTION("GOOGLEFINANCE(A726, ""pe"")"),50.01)</f>
        <v>50.01</v>
      </c>
      <c r="Q726" s="9">
        <f>IFERROR(__xludf.DUMMYFUNCTION("IFERROR(GOOGLEFINANCE(A726, ""volume"") / GOOGLEFINANCE(A726, ""volumeavg""), 0)"),0.0)</f>
        <v>0</v>
      </c>
      <c r="R726" s="9">
        <f>IFERROR(__xludf.DUMMYFUNCTION("AVERAGE(INDEX(GOOGLEFINANCE(A726, ""price"", TODAY()-30, TODAY()), 0, 2))"),207.20391304347825)</f>
        <v>207.203913</v>
      </c>
      <c r="S726" s="9">
        <f>IFERROR(__xludf.DUMMYFUNCTION("AVERAGE(INDEX(GOOGLEFINANCE(A726, ""price"", TODAY()-75, TODAY()), 0, 2))"),190.6615094339623)</f>
        <v>190.6615094</v>
      </c>
      <c r="T726" s="9">
        <f>IFERROR(__xludf.DUMMYFUNCTION("AVERAGE(INDEX(GOOGLEFINANCE(A726, ""price"", TODAY()-300, TODAY()), 0, 2))"),214.1004455445544)</f>
        <v>214.1004455</v>
      </c>
      <c r="U726" s="9">
        <f t="shared" si="5"/>
        <v>0.1680763961</v>
      </c>
      <c r="V726" s="15">
        <f>IFERROR(__xludf.DUMMYFUNCTION("LET(hist, GOOGLEFINANCE(A726,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rs))))))"),79.30235726938275)</f>
        <v>79.30235727</v>
      </c>
      <c r="W726" s="16" t="str">
        <f>IFERROR(__xludf.DUMMYFUNCTION("IFERROR(GOOGLEFINANCE(A726, ""volume"") / GOOGLEFINANCE(A726, ""volumeavg""), )"),"")</f>
        <v/>
      </c>
      <c r="X726" s="9">
        <f>IFERROR(__xludf.DUMMYFUNCTION("B726 * GOOGLEFINANCE(A726, ""volume"")"),5.4274428801E8)</f>
        <v>542744288</v>
      </c>
      <c r="Y726" s="9">
        <f>IFERROR(__xludf.DUMMYFUNCTION("IFERROR(((B726 - GOOGLEFINANCE(A726, ""priceopen"")) / GOOGLEFINANCE(A726, ""priceopen"")) * GOOGLEFINANCE(A726, ""volume""), 0)"),9583.987593361006)</f>
        <v>9583.987593</v>
      </c>
    </row>
    <row r="727">
      <c r="A727" s="4" t="s">
        <v>2520</v>
      </c>
      <c r="B727" s="7">
        <f>IFERROR(__xludf.DUMMYFUNCTION("GOOGLEFINANCE(A727, ""price"")"),160.41)</f>
        <v>160.41</v>
      </c>
      <c r="C727" s="7">
        <f>IFERROR(__xludf.DUMMYFUNCTION("GOOGLEFINANCE(A727, ""changepct"")"),-0.58)</f>
        <v>-0.58</v>
      </c>
      <c r="D727" s="9">
        <f>IFERROR(__xludf.DUMMYFUNCTION("GOOGLEFINANCE(A727, ""priceopen"")"),162.0)</f>
        <v>162</v>
      </c>
      <c r="E727" s="9">
        <f>IFERROR(__xludf.DUMMYFUNCTION("GOOGLEFINANCE(A727, ""high"")"),163.72)</f>
        <v>163.72</v>
      </c>
      <c r="F727" s="9">
        <f>IFERROR(__xludf.DUMMYFUNCTION("GOOGLEFINANCE(A727, ""low"")"),159.04)</f>
        <v>159.04</v>
      </c>
      <c r="G727" s="9">
        <f>IFERROR(__xludf.DUMMYFUNCTION("GOOGLEFINANCE(A727, ""price"")"),160.41)</f>
        <v>160.41</v>
      </c>
      <c r="H727" s="9">
        <f>IFERROR(__xludf.DUMMYFUNCTION("MAX(INDEX(GOOGLEFINANCE(A727, ""high"", TODAY()-30, TODAY()), 0, 2))"),165.74)</f>
        <v>165.74</v>
      </c>
      <c r="I727" s="9">
        <f>IFERROR(__xludf.DUMMYFUNCTION("MIN(INDEX(GOOGLEFINANCE(A727, ""low"", TODAY()-30, TODAY()), 0, 2))"),152.61)</f>
        <v>152.61</v>
      </c>
      <c r="J727" s="9">
        <f>IFERROR(__xludf.DUMMYFUNCTION("GOOGLEFINANCE(A727, ""high52"")"),220.59)</f>
        <v>220.59</v>
      </c>
      <c r="K727" s="9">
        <f>IFERROR(__xludf.DUMMYFUNCTION("GOOGLEFINANCE(A727, ""low52"")"),138.83)</f>
        <v>138.83</v>
      </c>
      <c r="L727" s="9">
        <f t="shared" si="1"/>
        <v>0.2728138175</v>
      </c>
      <c r="M727" s="9">
        <f t="shared" si="2"/>
        <v>0.1554419074</v>
      </c>
      <c r="N727" s="9">
        <f t="shared" si="3"/>
        <v>0.02942655936</v>
      </c>
      <c r="O727" s="9">
        <f t="shared" si="4"/>
        <v>0.5940594059</v>
      </c>
      <c r="P727" s="9">
        <f>IFERROR(__xludf.DUMMYFUNCTION("GOOGLEFINANCE(A727, ""pe"")"),9.5)</f>
        <v>9.5</v>
      </c>
      <c r="Q727" s="9">
        <f>IFERROR(__xludf.DUMMYFUNCTION("IFERROR(GOOGLEFINANCE(A727, ""volume"") / GOOGLEFINANCE(A727, ""volumeavg""), 0)"),0.0)</f>
        <v>0</v>
      </c>
      <c r="R727" s="9">
        <f>IFERROR(__xludf.DUMMYFUNCTION("AVERAGE(INDEX(GOOGLEFINANCE(A727, ""price"", TODAY()-30, TODAY()), 0, 2))"),159.6873913043478)</f>
        <v>159.6873913</v>
      </c>
      <c r="S727" s="9">
        <f>IFERROR(__xludf.DUMMYFUNCTION("AVERAGE(INDEX(GOOGLEFINANCE(A727, ""price"", TODAY()-75, TODAY()), 0, 2))"),161.47735849056605)</f>
        <v>161.4773585</v>
      </c>
      <c r="T727" s="9">
        <f>IFERROR(__xludf.DUMMYFUNCTION("AVERAGE(INDEX(GOOGLEFINANCE(A727, ""price"", TODAY()-300, TODAY()), 0, 2))"),171.15688118811883)</f>
        <v>171.1568812</v>
      </c>
      <c r="U727" s="9">
        <f t="shared" si="5"/>
        <v>0.004525145597</v>
      </c>
      <c r="V727" s="15">
        <f>IFERROR(__xludf.DUMMYFUNCTION("LET(hist, GOOGLEFINANCE(A727,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rs))))))"),69.83713355048862)</f>
        <v>69.83713355</v>
      </c>
      <c r="W727" s="16" t="str">
        <f>IFERROR(__xludf.DUMMYFUNCTION("IFERROR(GOOGLEFINANCE(A727, ""volume"") / GOOGLEFINANCE(A727, ""volumeavg""), )"),"")</f>
        <v/>
      </c>
      <c r="X727" s="9">
        <f>IFERROR(__xludf.DUMMYFUNCTION("B727 * GOOGLEFINANCE(A727, ""volume"")"),1.4526055878E8)</f>
        <v>145260558.8</v>
      </c>
      <c r="Y727" s="9">
        <f>IFERROR(__xludf.DUMMYFUNCTION("IFERROR(((B727 - GOOGLEFINANCE(A727, ""priceopen"")) / GOOGLEFINANCE(A727, ""priceopen"")) * GOOGLEFINANCE(A727, ""volume""), 0)"),-8887.884074074092)</f>
        <v>-8887.884074</v>
      </c>
    </row>
    <row r="728">
      <c r="A728" s="4" t="s">
        <v>2521</v>
      </c>
      <c r="B728" s="7">
        <f>IFERROR(__xludf.DUMMYFUNCTION("GOOGLEFINANCE(A728, ""price"")"),223.01)</f>
        <v>223.01</v>
      </c>
      <c r="C728" s="7">
        <f>IFERROR(__xludf.DUMMYFUNCTION("GOOGLEFINANCE(A728, ""changepct"")"),0.27)</f>
        <v>0.27</v>
      </c>
      <c r="D728" s="9">
        <f>IFERROR(__xludf.DUMMYFUNCTION("GOOGLEFINANCE(A728, ""priceopen"")"),223.4)</f>
        <v>223.4</v>
      </c>
      <c r="E728" s="9">
        <f>IFERROR(__xludf.DUMMYFUNCTION("GOOGLEFINANCE(A728, ""high"")"),224.19)</f>
        <v>224.19</v>
      </c>
      <c r="F728" s="9">
        <f>IFERROR(__xludf.DUMMYFUNCTION("GOOGLEFINANCE(A728, ""low"")"),216.74)</f>
        <v>216.74</v>
      </c>
      <c r="G728" s="9">
        <f>IFERROR(__xludf.DUMMYFUNCTION("GOOGLEFINANCE(A728, ""price"")"),223.01)</f>
        <v>223.01</v>
      </c>
      <c r="H728" s="9">
        <f>IFERROR(__xludf.DUMMYFUNCTION("MAX(INDEX(GOOGLEFINANCE(A728, ""high"", TODAY()-30, TODAY()), 0, 2))"),261.0)</f>
        <v>261</v>
      </c>
      <c r="I728" s="9">
        <f>IFERROR(__xludf.DUMMYFUNCTION("MIN(INDEX(GOOGLEFINANCE(A728, ""low"", TODAY()-30, TODAY()), 0, 2))"),206.5)</f>
        <v>206.5</v>
      </c>
      <c r="J728" s="9">
        <f>IFERROR(__xludf.DUMMYFUNCTION("GOOGLEFINANCE(A728, ""high52"")"),325.0)</f>
        <v>325</v>
      </c>
      <c r="K728" s="9">
        <f>IFERROR(__xludf.DUMMYFUNCTION("GOOGLEFINANCE(A728, ""low52"")"),158.17)</f>
        <v>158.17</v>
      </c>
      <c r="L728" s="9">
        <f t="shared" si="1"/>
        <v>0.3138153846</v>
      </c>
      <c r="M728" s="9">
        <f t="shared" si="2"/>
        <v>0.4099386736</v>
      </c>
      <c r="N728" s="9">
        <f t="shared" si="3"/>
        <v>0.03437298145</v>
      </c>
      <c r="O728" s="9">
        <f t="shared" si="4"/>
        <v>0.3029357798</v>
      </c>
      <c r="P728" s="9">
        <f>IFERROR(__xludf.DUMMYFUNCTION("GOOGLEFINANCE(A728, ""pe"")"),7.81)</f>
        <v>7.81</v>
      </c>
      <c r="Q728" s="9">
        <f>IFERROR(__xludf.DUMMYFUNCTION("IFERROR(GOOGLEFINANCE(A728, ""volume"") / GOOGLEFINANCE(A728, ""volumeavg""), 0)"),0.0)</f>
        <v>0</v>
      </c>
      <c r="R728" s="9">
        <f>IFERROR(__xludf.DUMMYFUNCTION("AVERAGE(INDEX(GOOGLEFINANCE(A728, ""price"", TODAY()-30, TODAY()), 0, 2))"),239.04956521739132)</f>
        <v>239.0495652</v>
      </c>
      <c r="S728" s="9">
        <f>IFERROR(__xludf.DUMMYFUNCTION("AVERAGE(INDEX(GOOGLEFINANCE(A728, ""price"", TODAY()-75, TODAY()), 0, 2))"),228.86792452830178)</f>
        <v>228.8679245</v>
      </c>
      <c r="T728" s="9">
        <f>IFERROR(__xludf.DUMMYFUNCTION("AVERAGE(INDEX(GOOGLEFINANCE(A728, ""price"", TODAY()-300, TODAY()), 0, 2))"),229.51950495049496)</f>
        <v>229.519505</v>
      </c>
      <c r="U728" s="9">
        <f t="shared" si="5"/>
        <v>-0.06709723652</v>
      </c>
      <c r="V728" s="15">
        <f>IFERROR(__xludf.DUMMYFUNCTION("LET(hist, GOOGLEFINANCE(A728,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rs))))))"),44.33456075749606)</f>
        <v>44.33456076</v>
      </c>
      <c r="W728" s="16" t="str">
        <f>IFERROR(__xludf.DUMMYFUNCTION("IFERROR(GOOGLEFINANCE(A728, ""volume"") / GOOGLEFINANCE(A728, ""volumeavg""), )"),"")</f>
        <v/>
      </c>
      <c r="X728" s="9">
        <f>IFERROR(__xludf.DUMMYFUNCTION("B728 * GOOGLEFINANCE(A728, ""volume"")"),2.2147613722E8)</f>
        <v>221476137.2</v>
      </c>
      <c r="Y728" s="9">
        <f>IFERROR(__xludf.DUMMYFUNCTION("IFERROR(((B728 - GOOGLEFINANCE(A728, ""priceopen"")) / GOOGLEFINANCE(A728, ""priceopen"")) * GOOGLEFINANCE(A728, ""volume""), 0)"),-1733.740286481713)</f>
        <v>-1733.740286</v>
      </c>
    </row>
    <row r="729">
      <c r="A729" s="4" t="s">
        <v>2522</v>
      </c>
      <c r="B729" s="7">
        <f>IFERROR(__xludf.DUMMYFUNCTION("GOOGLEFINANCE(A729, ""price"")"),1424.7)</f>
        <v>1424.7</v>
      </c>
      <c r="C729" s="7">
        <f>IFERROR(__xludf.DUMMYFUNCTION("GOOGLEFINANCE(A729, ""changepct"")"),0.23)</f>
        <v>0.23</v>
      </c>
      <c r="D729" s="9">
        <f>IFERROR(__xludf.DUMMYFUNCTION("GOOGLEFINANCE(A729, ""priceopen"")"),1426.9)</f>
        <v>1426.9</v>
      </c>
      <c r="E729" s="9">
        <f>IFERROR(__xludf.DUMMYFUNCTION("GOOGLEFINANCE(A729, ""high"")"),1441.8)</f>
        <v>1441.8</v>
      </c>
      <c r="F729" s="9">
        <f>IFERROR(__xludf.DUMMYFUNCTION("GOOGLEFINANCE(A729, ""low"")"),1407.1)</f>
        <v>1407.1</v>
      </c>
      <c r="G729" s="9">
        <f>IFERROR(__xludf.DUMMYFUNCTION("GOOGLEFINANCE(A729, ""price"")"),1424.7)</f>
        <v>1424.7</v>
      </c>
      <c r="H729" s="9">
        <f>IFERROR(__xludf.DUMMYFUNCTION("MAX(INDEX(GOOGLEFINANCE(A729, ""high"", TODAY()-30, TODAY()), 0, 2))"),1482.7)</f>
        <v>1482.7</v>
      </c>
      <c r="I729" s="9">
        <f>IFERROR(__xludf.DUMMYFUNCTION("MIN(INDEX(GOOGLEFINANCE(A729, ""low"", TODAY()-30, TODAY()), 0, 2))"),1152.3)</f>
        <v>1152.3</v>
      </c>
      <c r="J729" s="9">
        <f>IFERROR(__xludf.DUMMYFUNCTION("GOOGLEFINANCE(A729, ""high52"")"),1482.7)</f>
        <v>1482.7</v>
      </c>
      <c r="K729" s="9">
        <f>IFERROR(__xludf.DUMMYFUNCTION("GOOGLEFINANCE(A729, ""low52"")"),695.0)</f>
        <v>695</v>
      </c>
      <c r="L729" s="9">
        <f t="shared" si="1"/>
        <v>0.03911782559</v>
      </c>
      <c r="M729" s="9">
        <f t="shared" si="2"/>
        <v>1.049928058</v>
      </c>
      <c r="N729" s="9">
        <f t="shared" si="3"/>
        <v>0.02466064956</v>
      </c>
      <c r="O729" s="9">
        <f t="shared" si="4"/>
        <v>0.8244552058</v>
      </c>
      <c r="P729" s="9">
        <f>IFERROR(__xludf.DUMMYFUNCTION("GOOGLEFINANCE(A729, ""pe"")"),100.75)</f>
        <v>100.75</v>
      </c>
      <c r="Q729" s="9">
        <f>IFERROR(__xludf.DUMMYFUNCTION("IFERROR(GOOGLEFINANCE(A729, ""volume"") / GOOGLEFINANCE(A729, ""volumeavg""), 0)"),0.0)</f>
        <v>0</v>
      </c>
      <c r="R729" s="9">
        <f>IFERROR(__xludf.DUMMYFUNCTION("AVERAGE(INDEX(GOOGLEFINANCE(A729, ""price"", TODAY()-30, TODAY()), 0, 2))"),1278.2652173913045)</f>
        <v>1278.265217</v>
      </c>
      <c r="S729" s="9">
        <f>IFERROR(__xludf.DUMMYFUNCTION("AVERAGE(INDEX(GOOGLEFINANCE(A729, ""price"", TODAY()-75, TODAY()), 0, 2))"),1190.8839622641513)</f>
        <v>1190.883962</v>
      </c>
      <c r="T729" s="9">
        <f>IFERROR(__xludf.DUMMYFUNCTION("AVERAGE(INDEX(GOOGLEFINANCE(A729, ""price"", TODAY()-300, TODAY()), 0, 2))"),995.1767326732665)</f>
        <v>995.1767327</v>
      </c>
      <c r="U729" s="9">
        <f t="shared" si="5"/>
        <v>0.1145574335</v>
      </c>
      <c r="V729" s="15">
        <f>IFERROR(__xludf.DUMMYFUNCTION("LET(hist, GOOGLEFINANCE(A729,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rs))))))"),73.30275229357798)</f>
        <v>73.30275229</v>
      </c>
      <c r="W729" s="16" t="str">
        <f>IFERROR(__xludf.DUMMYFUNCTION("IFERROR(GOOGLEFINANCE(A729, ""volume"") / GOOGLEFINANCE(A729, ""volumeavg""), )"),"")</f>
        <v/>
      </c>
      <c r="X729" s="9">
        <f>IFERROR(__xludf.DUMMYFUNCTION("B729 * GOOGLEFINANCE(A729, ""volume"")"),1.277257797E8)</f>
        <v>127725779.7</v>
      </c>
      <c r="Y729" s="9">
        <f>IFERROR(__xludf.DUMMYFUNCTION("IFERROR(((B729 - GOOGLEFINANCE(A729, ""priceopen"")) / GOOGLEFINANCE(A729, ""priceopen"")) * GOOGLEFINANCE(A729, ""volume""), 0)"),-138.22426238699563)</f>
        <v>-138.2242624</v>
      </c>
    </row>
    <row r="730">
      <c r="A730" s="4" t="s">
        <v>2523</v>
      </c>
      <c r="B730" s="7">
        <f>IFERROR(__xludf.DUMMYFUNCTION("GOOGLEFINANCE(A730, ""price"")"),1042.0)</f>
        <v>1042</v>
      </c>
      <c r="C730" s="7">
        <f>IFERROR(__xludf.DUMMYFUNCTION("GOOGLEFINANCE(A730, ""changepct"")"),-0.17)</f>
        <v>-0.17</v>
      </c>
      <c r="D730" s="9">
        <f>IFERROR(__xludf.DUMMYFUNCTION("GOOGLEFINANCE(A730, ""priceopen"")"),1054.0)</f>
        <v>1054</v>
      </c>
      <c r="E730" s="9">
        <f>IFERROR(__xludf.DUMMYFUNCTION("GOOGLEFINANCE(A730, ""high"")"),1054.0)</f>
        <v>1054</v>
      </c>
      <c r="F730" s="9">
        <f>IFERROR(__xludf.DUMMYFUNCTION("GOOGLEFINANCE(A730, ""low"")"),1038.0)</f>
        <v>1038</v>
      </c>
      <c r="G730" s="9">
        <f>IFERROR(__xludf.DUMMYFUNCTION("GOOGLEFINANCE(A730, ""price"")"),1042.0)</f>
        <v>1042</v>
      </c>
      <c r="H730" s="9">
        <f>IFERROR(__xludf.DUMMYFUNCTION("MAX(INDEX(GOOGLEFINANCE(A730, ""high"", TODAY()-30, TODAY()), 0, 2))"),1137.0)</f>
        <v>1137</v>
      </c>
      <c r="I730" s="9">
        <f>IFERROR(__xludf.DUMMYFUNCTION("MIN(INDEX(GOOGLEFINANCE(A730, ""low"", TODAY()-30, TODAY()), 0, 2))"),1019.1)</f>
        <v>1019.1</v>
      </c>
      <c r="J730" s="9">
        <f>IFERROR(__xludf.DUMMYFUNCTION("GOOGLEFINANCE(A730, ""high52"")"),1500.0)</f>
        <v>1500</v>
      </c>
      <c r="K730" s="9">
        <f>IFERROR(__xludf.DUMMYFUNCTION("GOOGLEFINANCE(A730, ""low52"")"),964.1)</f>
        <v>964.1</v>
      </c>
      <c r="L730" s="9">
        <f t="shared" si="1"/>
        <v>0.3053333333</v>
      </c>
      <c r="M730" s="9">
        <f t="shared" si="2"/>
        <v>0.08080074681</v>
      </c>
      <c r="N730" s="9">
        <f t="shared" si="3"/>
        <v>0.01541425819</v>
      </c>
      <c r="O730" s="9">
        <f t="shared" si="4"/>
        <v>0.1942324003</v>
      </c>
      <c r="P730" s="9">
        <f>IFERROR(__xludf.DUMMYFUNCTION("GOOGLEFINANCE(A730, ""pe"")"),25.68)</f>
        <v>25.68</v>
      </c>
      <c r="Q730" s="9">
        <f>IFERROR(__xludf.DUMMYFUNCTION("IFERROR(GOOGLEFINANCE(A730, ""volume"") / GOOGLEFINANCE(A730, ""volumeavg""), 0)"),0.0)</f>
        <v>0</v>
      </c>
      <c r="R730" s="9">
        <f>IFERROR(__xludf.DUMMYFUNCTION("AVERAGE(INDEX(GOOGLEFINANCE(A730, ""price"", TODAY()-30, TODAY()), 0, 2))"),1057.4521739130432)</f>
        <v>1057.452174</v>
      </c>
      <c r="S730" s="9">
        <f>IFERROR(__xludf.DUMMYFUNCTION("AVERAGE(INDEX(GOOGLEFINANCE(A730, ""price"", TODAY()-75, TODAY()), 0, 2))"),1085.1830188679246)</f>
        <v>1085.183019</v>
      </c>
      <c r="T730" s="9">
        <f>IFERROR(__xludf.DUMMYFUNCTION("AVERAGE(INDEX(GOOGLEFINANCE(A730, ""price"", TODAY()-300, TODAY()), 0, 2))"),1139.8144278606962)</f>
        <v>1139.814428</v>
      </c>
      <c r="U730" s="9">
        <f t="shared" si="5"/>
        <v>-0.01461264565</v>
      </c>
      <c r="V730" s="15">
        <f>IFERROR(__xludf.DUMMYFUNCTION("LET(hist, GOOGLEFINANCE(A730,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rs))))))"),52.3881728582259)</f>
        <v>52.38817286</v>
      </c>
      <c r="W730" s="16" t="str">
        <f>IFERROR(__xludf.DUMMYFUNCTION("IFERROR(GOOGLEFINANCE(A730, ""volume"") / GOOGLEFINANCE(A730, ""volumeavg""), )"),"")</f>
        <v/>
      </c>
      <c r="X730" s="9">
        <f>IFERROR(__xludf.DUMMYFUNCTION("B730 * GOOGLEFINANCE(A730, ""volume"")"),1.8168312E7)</f>
        <v>18168312</v>
      </c>
      <c r="Y730" s="9">
        <f>IFERROR(__xludf.DUMMYFUNCTION("IFERROR(((B730 - GOOGLEFINANCE(A730, ""priceopen"")) / GOOGLEFINANCE(A730, ""priceopen"")) * GOOGLEFINANCE(A730, ""volume""), 0)"),-198.5123339658444)</f>
        <v>-198.512334</v>
      </c>
    </row>
    <row r="731">
      <c r="A731" s="4" t="s">
        <v>2524</v>
      </c>
      <c r="B731" s="7">
        <f>IFERROR(__xludf.DUMMYFUNCTION("GOOGLEFINANCE(A731, ""price"")"),3580.0)</f>
        <v>3580</v>
      </c>
      <c r="C731" s="7">
        <f>IFERROR(__xludf.DUMMYFUNCTION("GOOGLEFINANCE(A731, ""changepct"")"),8.42)</f>
        <v>8.42</v>
      </c>
      <c r="D731" s="9">
        <f>IFERROR(__xludf.DUMMYFUNCTION("GOOGLEFINANCE(A731, ""priceopen"")"),3326.1)</f>
        <v>3326.1</v>
      </c>
      <c r="E731" s="9">
        <f>IFERROR(__xludf.DUMMYFUNCTION("GOOGLEFINANCE(A731, ""high"")"),3614.9)</f>
        <v>3614.9</v>
      </c>
      <c r="F731" s="9">
        <f>IFERROR(__xludf.DUMMYFUNCTION("GOOGLEFINANCE(A731, ""low"")"),3230.7)</f>
        <v>3230.7</v>
      </c>
      <c r="G731" s="9">
        <f>IFERROR(__xludf.DUMMYFUNCTION("GOOGLEFINANCE(A731, ""price"")"),3580.0)</f>
        <v>3580</v>
      </c>
      <c r="H731" s="9">
        <f>IFERROR(__xludf.DUMMYFUNCTION("MAX(INDEX(GOOGLEFINANCE(A731, ""high"", TODAY()-30, TODAY()), 0, 2))"),3614.9)</f>
        <v>3614.9</v>
      </c>
      <c r="I731" s="9">
        <f>IFERROR(__xludf.DUMMYFUNCTION("MIN(INDEX(GOOGLEFINANCE(A731, ""low"", TODAY()-30, TODAY()), 0, 2))"),2712.4)</f>
        <v>2712.4</v>
      </c>
      <c r="J731" s="9">
        <f>IFERROR(__xludf.DUMMYFUNCTION("GOOGLEFINANCE(A731, ""high52"")"),3614.9)</f>
        <v>3614.9</v>
      </c>
      <c r="K731" s="9">
        <f>IFERROR(__xludf.DUMMYFUNCTION("GOOGLEFINANCE(A731, ""low52"")"),2405.2)</f>
        <v>2405.2</v>
      </c>
      <c r="L731" s="9">
        <f t="shared" si="1"/>
        <v>0.009654485601</v>
      </c>
      <c r="M731" s="9">
        <f t="shared" si="2"/>
        <v>0.4884417096</v>
      </c>
      <c r="N731" s="9">
        <f t="shared" si="3"/>
        <v>0.1189215959</v>
      </c>
      <c r="O731" s="9">
        <f t="shared" si="4"/>
        <v>0.9613296399</v>
      </c>
      <c r="P731" s="9">
        <f>IFERROR(__xludf.DUMMYFUNCTION("GOOGLEFINANCE(A731, ""pe"")"),56.8)</f>
        <v>56.8</v>
      </c>
      <c r="Q731" s="9">
        <f>IFERROR(__xludf.DUMMYFUNCTION("IFERROR(GOOGLEFINANCE(A731, ""volume"") / GOOGLEFINANCE(A731, ""volumeavg""), 0)"),0.0)</f>
        <v>0</v>
      </c>
      <c r="R731" s="9">
        <f>IFERROR(__xludf.DUMMYFUNCTION("AVERAGE(INDEX(GOOGLEFINANCE(A731, ""price"", TODAY()-30, TODAY()), 0, 2))"),2946.1260869565217)</f>
        <v>2946.126087</v>
      </c>
      <c r="S731" s="9">
        <f>IFERROR(__xludf.DUMMYFUNCTION("AVERAGE(INDEX(GOOGLEFINANCE(A731, ""price"", TODAY()-75, TODAY()), 0, 2))"),2931.87358490566)</f>
        <v>2931.873585</v>
      </c>
      <c r="T731" s="9">
        <f>IFERROR(__xludf.DUMMYFUNCTION("AVERAGE(INDEX(GOOGLEFINANCE(A731, ""price"", TODAY()-300, TODAY()), 0, 2))"),2888.91875)</f>
        <v>2888.91875</v>
      </c>
      <c r="U731" s="9">
        <f t="shared" si="5"/>
        <v>0.2151550525</v>
      </c>
      <c r="V731" s="15">
        <f>IFERROR(__xludf.DUMMYFUNCTION("LET(hist, GOOGLEFINANCE(A731,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rs))))))"),89.33110038419858)</f>
        <v>89.33110038</v>
      </c>
      <c r="W731" s="16" t="str">
        <f>IFERROR(__xludf.DUMMYFUNCTION("IFERROR(GOOGLEFINANCE(A731, ""volume"") / GOOGLEFINANCE(A731, ""volumeavg""), )"),"")</f>
        <v/>
      </c>
      <c r="X731" s="9">
        <f>IFERROR(__xludf.DUMMYFUNCTION("B731 * GOOGLEFINANCE(A731, ""volume"")"),7.0872902E8)</f>
        <v>708729020</v>
      </c>
      <c r="Y731" s="9">
        <f>IFERROR(__xludf.DUMMYFUNCTION("IFERROR(((B731 - GOOGLEFINANCE(A731, ""priceopen"")) / GOOGLEFINANCE(A731, ""priceopen"")) * GOOGLEFINANCE(A731, ""volume""), 0)"),15112.09196957398)</f>
        <v>15112.09197</v>
      </c>
    </row>
    <row r="732">
      <c r="A732" s="4" t="s">
        <v>2525</v>
      </c>
      <c r="B732" s="7">
        <f>IFERROR(__xludf.DUMMYFUNCTION("GOOGLEFINANCE(A732, ""price"")"),801.6)</f>
        <v>801.6</v>
      </c>
      <c r="C732" s="7">
        <f>IFERROR(__xludf.DUMMYFUNCTION("GOOGLEFINANCE(A732, ""changepct"")"),-1.61)</f>
        <v>-1.61</v>
      </c>
      <c r="D732" s="9">
        <f>IFERROR(__xludf.DUMMYFUNCTION("GOOGLEFINANCE(A732, ""priceopen"")"),814.7)</f>
        <v>814.7</v>
      </c>
      <c r="E732" s="9">
        <f>IFERROR(__xludf.DUMMYFUNCTION("GOOGLEFINANCE(A732, ""high"")"),815.2)</f>
        <v>815.2</v>
      </c>
      <c r="F732" s="9">
        <f>IFERROR(__xludf.DUMMYFUNCTION("GOOGLEFINANCE(A732, ""low"")"),795.0)</f>
        <v>795</v>
      </c>
      <c r="G732" s="9">
        <f>IFERROR(__xludf.DUMMYFUNCTION("GOOGLEFINANCE(A732, ""price"")"),801.6)</f>
        <v>801.6</v>
      </c>
      <c r="H732" s="9">
        <f>IFERROR(__xludf.DUMMYFUNCTION("MAX(INDEX(GOOGLEFINANCE(A732, ""high"", TODAY()-30, TODAY()), 0, 2))"),823.25)</f>
        <v>823.25</v>
      </c>
      <c r="I732" s="9">
        <f>IFERROR(__xludf.DUMMYFUNCTION("MIN(INDEX(GOOGLEFINANCE(A732, ""low"", TODAY()-30, TODAY()), 0, 2))"),682.65)</f>
        <v>682.65</v>
      </c>
      <c r="J732" s="9">
        <f>IFERROR(__xludf.DUMMYFUNCTION("GOOGLEFINANCE(A732, ""high52"")"),888.0)</f>
        <v>888</v>
      </c>
      <c r="K732" s="9">
        <f>IFERROR(__xludf.DUMMYFUNCTION("GOOGLEFINANCE(A732, ""low52"")"),457.9)</f>
        <v>457.9</v>
      </c>
      <c r="L732" s="9">
        <f t="shared" si="1"/>
        <v>0.0972972973</v>
      </c>
      <c r="M732" s="9">
        <f t="shared" si="2"/>
        <v>0.7506005678</v>
      </c>
      <c r="N732" s="9">
        <f t="shared" si="3"/>
        <v>0.02540880503</v>
      </c>
      <c r="O732" s="9">
        <f t="shared" si="4"/>
        <v>0.8460170697</v>
      </c>
      <c r="P732" s="9">
        <f>IFERROR(__xludf.DUMMYFUNCTION("GOOGLEFINANCE(A732, ""pe"")"),46.51)</f>
        <v>46.51</v>
      </c>
      <c r="Q732" s="9">
        <f>IFERROR(__xludf.DUMMYFUNCTION("IFERROR(GOOGLEFINANCE(A732, ""volume"") / GOOGLEFINANCE(A732, ""volumeavg""), 0)"),0.0)</f>
        <v>0</v>
      </c>
      <c r="R732" s="9">
        <f>IFERROR(__xludf.DUMMYFUNCTION("AVERAGE(INDEX(GOOGLEFINANCE(A732, ""price"", TODAY()-30, TODAY()), 0, 2))"),769.5826086956521)</f>
        <v>769.5826087</v>
      </c>
      <c r="S732" s="9">
        <f>IFERROR(__xludf.DUMMYFUNCTION("AVERAGE(INDEX(GOOGLEFINANCE(A732, ""price"", TODAY()-75, TODAY()), 0, 2))"),753.870754716981)</f>
        <v>753.8707547</v>
      </c>
      <c r="T732" s="9">
        <f>IFERROR(__xludf.DUMMYFUNCTION("AVERAGE(INDEX(GOOGLEFINANCE(A732, ""price"", TODAY()-300, TODAY()), 0, 2))"),691.5752475247525)</f>
        <v>691.5752475</v>
      </c>
      <c r="U732" s="9">
        <f t="shared" si="5"/>
        <v>0.04160357958</v>
      </c>
      <c r="V732" s="15">
        <f>IFERROR(__xludf.DUMMYFUNCTION("LET(hist, GOOGLEFINANCE(A732,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rs))))))"),60.1620029455081)</f>
        <v>60.16200295</v>
      </c>
      <c r="W732" s="16" t="str">
        <f>IFERROR(__xludf.DUMMYFUNCTION("IFERROR(GOOGLEFINANCE(A732, ""volume"") / GOOGLEFINANCE(A732, ""volumeavg""), )"),"")</f>
        <v/>
      </c>
      <c r="X732" s="9">
        <f>IFERROR(__xludf.DUMMYFUNCTION("B732 * GOOGLEFINANCE(A732, ""volume"")"),7.92838512E7)</f>
        <v>79283851.2</v>
      </c>
      <c r="Y732" s="9">
        <f>IFERROR(__xludf.DUMMYFUNCTION("IFERROR(((B732 - GOOGLEFINANCE(A732, ""priceopen"")) / GOOGLEFINANCE(A732, ""priceopen"")) * GOOGLEFINANCE(A732, ""volume""), 0)"),-1590.3789124831253)</f>
        <v>-1590.378912</v>
      </c>
    </row>
    <row r="733">
      <c r="A733" s="4" t="s">
        <v>2526</v>
      </c>
      <c r="B733" s="7">
        <f>IFERROR(__xludf.DUMMYFUNCTION("GOOGLEFINANCE(A733, ""price"")"),762.0)</f>
        <v>762</v>
      </c>
      <c r="C733" s="7">
        <f>IFERROR(__xludf.DUMMYFUNCTION("GOOGLEFINANCE(A733, ""changepct"")"),-0.26)</f>
        <v>-0.26</v>
      </c>
      <c r="D733" s="9">
        <f>IFERROR(__xludf.DUMMYFUNCTION("GOOGLEFINANCE(A733, ""priceopen"")"),766.15)</f>
        <v>766.15</v>
      </c>
      <c r="E733" s="9">
        <f>IFERROR(__xludf.DUMMYFUNCTION("GOOGLEFINANCE(A733, ""high"")"),771.0)</f>
        <v>771</v>
      </c>
      <c r="F733" s="9">
        <f>IFERROR(__xludf.DUMMYFUNCTION("GOOGLEFINANCE(A733, ""low"")"),751.25)</f>
        <v>751.25</v>
      </c>
      <c r="G733" s="9">
        <f>IFERROR(__xludf.DUMMYFUNCTION("GOOGLEFINANCE(A733, ""price"")"),762.0)</f>
        <v>762</v>
      </c>
      <c r="H733" s="9">
        <f>IFERROR(__xludf.DUMMYFUNCTION("MAX(INDEX(GOOGLEFINANCE(A733, ""high"", TODAY()-30, TODAY()), 0, 2))"),889.25)</f>
        <v>889.25</v>
      </c>
      <c r="I733" s="9">
        <f>IFERROR(__xludf.DUMMYFUNCTION("MIN(INDEX(GOOGLEFINANCE(A733, ""low"", TODAY()-30, TODAY()), 0, 2))"),728.2)</f>
        <v>728.2</v>
      </c>
      <c r="J733" s="9">
        <f>IFERROR(__xludf.DUMMYFUNCTION("GOOGLEFINANCE(A733, ""high52"")"),899.7)</f>
        <v>899.7</v>
      </c>
      <c r="K733" s="9">
        <f>IFERROR(__xludf.DUMMYFUNCTION("GOOGLEFINANCE(A733, ""low52"")"),500.0)</f>
        <v>500</v>
      </c>
      <c r="L733" s="9">
        <f t="shared" si="1"/>
        <v>0.153051017</v>
      </c>
      <c r="M733" s="9">
        <f t="shared" si="2"/>
        <v>0.524</v>
      </c>
      <c r="N733" s="9">
        <f t="shared" si="3"/>
        <v>0.02628951747</v>
      </c>
      <c r="O733" s="9">
        <f t="shared" si="4"/>
        <v>0.2098727103</v>
      </c>
      <c r="P733" s="9">
        <f>IFERROR(__xludf.DUMMYFUNCTION("GOOGLEFINANCE(A733, ""pe"")"),23.97)</f>
        <v>23.97</v>
      </c>
      <c r="Q733" s="9">
        <f>IFERROR(__xludf.DUMMYFUNCTION("IFERROR(GOOGLEFINANCE(A733, ""volume"") / GOOGLEFINANCE(A733, ""volumeavg""), 0)"),0.0)</f>
        <v>0</v>
      </c>
      <c r="R733" s="9">
        <f>IFERROR(__xludf.DUMMYFUNCTION("AVERAGE(INDEX(GOOGLEFINANCE(A733, ""price"", TODAY()-30, TODAY()), 0, 2))"),795.2978260869567)</f>
        <v>795.2978261</v>
      </c>
      <c r="S733" s="9">
        <f>IFERROR(__xludf.DUMMYFUNCTION("AVERAGE(INDEX(GOOGLEFINANCE(A733, ""price"", TODAY()-75, TODAY()), 0, 2))"),782.2424528301888)</f>
        <v>782.2424528</v>
      </c>
      <c r="T733" s="9">
        <f>IFERROR(__xludf.DUMMYFUNCTION("AVERAGE(INDEX(GOOGLEFINANCE(A733, ""price"", TODAY()-300, TODAY()), 0, 2))"),742.1564676616914)</f>
        <v>742.1564677</v>
      </c>
      <c r="U733" s="9">
        <f t="shared" si="5"/>
        <v>-0.04186837307</v>
      </c>
      <c r="V733" s="15">
        <f>IFERROR(__xludf.DUMMYFUNCTION("LET(hist, GOOGLEFINANCE(A733,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rs))))))"),38.54166666666667)</f>
        <v>38.54166667</v>
      </c>
      <c r="W733" s="16" t="str">
        <f>IFERROR(__xludf.DUMMYFUNCTION("IFERROR(GOOGLEFINANCE(A733, ""volume"") / GOOGLEFINANCE(A733, ""volumeavg""), )"),"")</f>
        <v/>
      </c>
      <c r="X733" s="9">
        <f>IFERROR(__xludf.DUMMYFUNCTION("B733 * GOOGLEFINANCE(A733, ""volume"")"),1.0902696E7)</f>
        <v>10902696</v>
      </c>
      <c r="Y733" s="9">
        <f>IFERROR(__xludf.DUMMYFUNCTION("IFERROR(((B733 - GOOGLEFINANCE(A733, ""priceopen"")) / GOOGLEFINANCE(A733, ""priceopen"")) * GOOGLEFINANCE(A733, ""volume""), 0)"),-77.5020557332111)</f>
        <v>-77.50205573</v>
      </c>
    </row>
    <row r="734">
      <c r="A734" s="4" t="s">
        <v>2527</v>
      </c>
      <c r="B734" s="7">
        <f>IFERROR(__xludf.DUMMYFUNCTION("GOOGLEFINANCE(A734, ""price"")"),378.0)</f>
        <v>378</v>
      </c>
      <c r="C734" s="7">
        <f>IFERROR(__xludf.DUMMYFUNCTION("GOOGLEFINANCE(A734, ""changepct"")"),-0.76)</f>
        <v>-0.76</v>
      </c>
      <c r="D734" s="9">
        <f>IFERROR(__xludf.DUMMYFUNCTION("GOOGLEFINANCE(A734, ""priceopen"")"),381.0)</f>
        <v>381</v>
      </c>
      <c r="E734" s="9">
        <f>IFERROR(__xludf.DUMMYFUNCTION("GOOGLEFINANCE(A734, ""high"")"),381.55)</f>
        <v>381.55</v>
      </c>
      <c r="F734" s="9">
        <f>IFERROR(__xludf.DUMMYFUNCTION("GOOGLEFINANCE(A734, ""low"")"),375.0)</f>
        <v>375</v>
      </c>
      <c r="G734" s="9">
        <f>IFERROR(__xludf.DUMMYFUNCTION("GOOGLEFINANCE(A734, ""price"")"),378.0)</f>
        <v>378</v>
      </c>
      <c r="H734" s="9">
        <f>IFERROR(__xludf.DUMMYFUNCTION("MAX(INDEX(GOOGLEFINANCE(A734, ""high"", TODAY()-30, TODAY()), 0, 2))"),486.0)</f>
        <v>486</v>
      </c>
      <c r="I734" s="9">
        <f>IFERROR(__xludf.DUMMYFUNCTION("MIN(INDEX(GOOGLEFINANCE(A734, ""low"", TODAY()-30, TODAY()), 0, 2))"),368.5)</f>
        <v>368.5</v>
      </c>
      <c r="J734" s="9">
        <f>IFERROR(__xludf.DUMMYFUNCTION("GOOGLEFINANCE(A734, ""high52"")"),486.0)</f>
        <v>486</v>
      </c>
      <c r="K734" s="9">
        <f>IFERROR(__xludf.DUMMYFUNCTION("GOOGLEFINANCE(A734, ""low52"")"),312.7)</f>
        <v>312.7</v>
      </c>
      <c r="L734" s="9">
        <f t="shared" si="1"/>
        <v>0.2222222222</v>
      </c>
      <c r="M734" s="9">
        <f t="shared" si="2"/>
        <v>0.2088263511</v>
      </c>
      <c r="N734" s="9">
        <f t="shared" si="3"/>
        <v>0.01746666667</v>
      </c>
      <c r="O734" s="9">
        <f t="shared" si="4"/>
        <v>0.08085106383</v>
      </c>
      <c r="P734" s="9">
        <f>IFERROR(__xludf.DUMMYFUNCTION("GOOGLEFINANCE(A734, ""pe"")"),45.69)</f>
        <v>45.69</v>
      </c>
      <c r="Q734" s="9">
        <f>IFERROR(__xludf.DUMMYFUNCTION("IFERROR(GOOGLEFINANCE(A734, ""volume"") / GOOGLEFINANCE(A734, ""volumeavg""), 0)"),0.0)</f>
        <v>0</v>
      </c>
      <c r="R734" s="9">
        <f>IFERROR(__xludf.DUMMYFUNCTION("AVERAGE(INDEX(GOOGLEFINANCE(A734, ""price"", TODAY()-30, TODAY()), 0, 2))"),418.44782608695647)</f>
        <v>418.4478261</v>
      </c>
      <c r="S734" s="9">
        <f>IFERROR(__xludf.DUMMYFUNCTION("AVERAGE(INDEX(GOOGLEFINANCE(A734, ""price"", TODAY()-75, TODAY()), 0, 2))"),396.8547169811322)</f>
        <v>396.854717</v>
      </c>
      <c r="T734" s="9">
        <f>IFERROR(__xludf.DUMMYFUNCTION("AVERAGE(INDEX(GOOGLEFINANCE(A734, ""price"", TODAY()-300, TODAY()), 0, 2))"),379.10149253731316)</f>
        <v>379.1014925</v>
      </c>
      <c r="U734" s="9">
        <f t="shared" si="5"/>
        <v>-0.09666157539</v>
      </c>
      <c r="V734" s="15">
        <f>IFERROR(__xludf.DUMMYFUNCTION("LET(hist, GOOGLEFINANCE(A734,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rs))))))"),34.891089108910876)</f>
        <v>34.89108911</v>
      </c>
      <c r="W734" s="16" t="str">
        <f>IFERROR(__xludf.DUMMYFUNCTION("IFERROR(GOOGLEFINANCE(A734, ""volume"") / GOOGLEFINANCE(A734, ""volumeavg""), )"),"")</f>
        <v/>
      </c>
      <c r="X734" s="9">
        <f>IFERROR(__xludf.DUMMYFUNCTION("B734 * GOOGLEFINANCE(A734, ""volume"")"),1.00573326E8)</f>
        <v>100573326</v>
      </c>
      <c r="Y734" s="9">
        <f>IFERROR(__xludf.DUMMYFUNCTION("IFERROR(((B734 - GOOGLEFINANCE(A734, ""priceopen"")) / GOOGLEFINANCE(A734, ""priceopen"")) * GOOGLEFINANCE(A734, ""volume""), 0)"),-2095.015748031496)</f>
        <v>-2095.015748</v>
      </c>
    </row>
    <row r="735">
      <c r="A735" s="4" t="s">
        <v>2528</v>
      </c>
      <c r="B735" s="7">
        <f>IFERROR(__xludf.DUMMYFUNCTION("GOOGLEFINANCE(A735, ""price"")"),285.3)</f>
        <v>285.3</v>
      </c>
      <c r="C735" s="7">
        <f>IFERROR(__xludf.DUMMYFUNCTION("GOOGLEFINANCE(A735, ""changepct"")"),-0.59)</f>
        <v>-0.59</v>
      </c>
      <c r="D735" s="9">
        <f>IFERROR(__xludf.DUMMYFUNCTION("GOOGLEFINANCE(A735, ""priceopen"")"),293.0)</f>
        <v>293</v>
      </c>
      <c r="E735" s="9">
        <f>IFERROR(__xludf.DUMMYFUNCTION("GOOGLEFINANCE(A735, ""high"")"),296.95)</f>
        <v>296.95</v>
      </c>
      <c r="F735" s="9">
        <f>IFERROR(__xludf.DUMMYFUNCTION("GOOGLEFINANCE(A735, ""low"")"),285.3)</f>
        <v>285.3</v>
      </c>
      <c r="G735" s="9">
        <f>IFERROR(__xludf.DUMMYFUNCTION("GOOGLEFINANCE(A735, ""price"")"),285.3)</f>
        <v>285.3</v>
      </c>
      <c r="H735" s="9">
        <f>IFERROR(__xludf.DUMMYFUNCTION("MAX(INDEX(GOOGLEFINANCE(A735, ""high"", TODAY()-30, TODAY()), 0, 2))"),314.8)</f>
        <v>314.8</v>
      </c>
      <c r="I735" s="9">
        <f>IFERROR(__xludf.DUMMYFUNCTION("MIN(INDEX(GOOGLEFINANCE(A735, ""low"", TODAY()-30, TODAY()), 0, 2))"),265.15)</f>
        <v>265.15</v>
      </c>
      <c r="J735" s="9">
        <f>IFERROR(__xludf.DUMMYFUNCTION("GOOGLEFINANCE(A735, ""high52"")"),429.3)</f>
        <v>429.3</v>
      </c>
      <c r="K735" s="9">
        <f>IFERROR(__xludf.DUMMYFUNCTION("GOOGLEFINANCE(A735, ""low52"")"),258.0)</f>
        <v>258</v>
      </c>
      <c r="L735" s="9">
        <f t="shared" si="1"/>
        <v>0.3354297694</v>
      </c>
      <c r="M735" s="9">
        <f t="shared" si="2"/>
        <v>0.1058139535</v>
      </c>
      <c r="N735" s="9">
        <f t="shared" si="3"/>
        <v>0.0408342096</v>
      </c>
      <c r="O735" s="9">
        <f t="shared" si="4"/>
        <v>0.4058408862</v>
      </c>
      <c r="P735" s="9">
        <f>IFERROR(__xludf.DUMMYFUNCTION("GOOGLEFINANCE(A735, ""pe"")"),37.05)</f>
        <v>37.05</v>
      </c>
      <c r="Q735" s="9">
        <f>IFERROR(__xludf.DUMMYFUNCTION("IFERROR(GOOGLEFINANCE(A735, ""volume"") / GOOGLEFINANCE(A735, ""volumeavg""), 0)"),0.0)</f>
        <v>0</v>
      </c>
      <c r="R735" s="9">
        <f>IFERROR(__xludf.DUMMYFUNCTION("AVERAGE(INDEX(GOOGLEFINANCE(A735, ""price"", TODAY()-30, TODAY()), 0, 2))"),281.75)</f>
        <v>281.75</v>
      </c>
      <c r="S735" s="9">
        <f>IFERROR(__xludf.DUMMYFUNCTION("AVERAGE(INDEX(GOOGLEFINANCE(A735, ""price"", TODAY()-75, TODAY()), 0, 2))"),299.2273584905661)</f>
        <v>299.2273585</v>
      </c>
      <c r="T735" s="9">
        <f>IFERROR(__xludf.DUMMYFUNCTION("AVERAGE(INDEX(GOOGLEFINANCE(A735, ""price"", TODAY()-300, TODAY()), 0, 2))"),327.88613861386136)</f>
        <v>327.8861386</v>
      </c>
      <c r="U735" s="9">
        <f t="shared" si="5"/>
        <v>0.01259982254</v>
      </c>
      <c r="V735" s="15">
        <f>IFERROR(__xludf.DUMMYFUNCTION("LET(hist, GOOGLEFINANCE(A735,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rs))))))"),59.593392630241404)</f>
        <v>59.59339263</v>
      </c>
      <c r="W735" s="16" t="str">
        <f>IFERROR(__xludf.DUMMYFUNCTION("IFERROR(GOOGLEFINANCE(A735, ""volume"") / GOOGLEFINANCE(A735, ""volumeavg""), )"),"")</f>
        <v/>
      </c>
      <c r="X735" s="9">
        <f>IFERROR(__xludf.DUMMYFUNCTION("B735 * GOOGLEFINANCE(A735, ""volume"")"),1.9020380400000002E7)</f>
        <v>19020380.4</v>
      </c>
      <c r="Y735" s="9">
        <f>IFERROR(__xludf.DUMMYFUNCTION("IFERROR(((B735 - GOOGLEFINANCE(A735, ""priceopen"")) / GOOGLEFINANCE(A735, ""priceopen"")) * GOOGLEFINANCE(A735, ""volume""), 0)"),-1752.0259385665504)</f>
        <v>-1752.025939</v>
      </c>
    </row>
    <row r="736">
      <c r="A736" s="4" t="s">
        <v>2529</v>
      </c>
      <c r="B736" s="7">
        <f>IFERROR(__xludf.DUMMYFUNCTION("GOOGLEFINANCE(A736, ""price"")"),619.0)</f>
        <v>619</v>
      </c>
      <c r="C736" s="7">
        <f>IFERROR(__xludf.DUMMYFUNCTION("GOOGLEFINANCE(A736, ""changepct"")"),-2.58)</f>
        <v>-2.58</v>
      </c>
      <c r="D736" s="9">
        <f>IFERROR(__xludf.DUMMYFUNCTION("GOOGLEFINANCE(A736, ""priceopen"")"),634.0)</f>
        <v>634</v>
      </c>
      <c r="E736" s="9">
        <f>IFERROR(__xludf.DUMMYFUNCTION("GOOGLEFINANCE(A736, ""high"")"),646.0)</f>
        <v>646</v>
      </c>
      <c r="F736" s="9">
        <f>IFERROR(__xludf.DUMMYFUNCTION("GOOGLEFINANCE(A736, ""low"")"),611.0)</f>
        <v>611</v>
      </c>
      <c r="G736" s="9">
        <f>IFERROR(__xludf.DUMMYFUNCTION("GOOGLEFINANCE(A736, ""price"")"),619.0)</f>
        <v>619</v>
      </c>
      <c r="H736" s="9">
        <f>IFERROR(__xludf.DUMMYFUNCTION("MAX(INDEX(GOOGLEFINANCE(A736, ""high"", TODAY()-30, TODAY()), 0, 2))"),659.5)</f>
        <v>659.5</v>
      </c>
      <c r="I736" s="9">
        <f>IFERROR(__xludf.DUMMYFUNCTION("MIN(INDEX(GOOGLEFINANCE(A736, ""low"", TODAY()-30, TODAY()), 0, 2))"),548.0)</f>
        <v>548</v>
      </c>
      <c r="J736" s="9">
        <f>IFERROR(__xludf.DUMMYFUNCTION("GOOGLEFINANCE(A736, ""high52"")"),659.5)</f>
        <v>659.5</v>
      </c>
      <c r="K736" s="9">
        <f>IFERROR(__xludf.DUMMYFUNCTION("GOOGLEFINANCE(A736, ""low52"")"),548.0)</f>
        <v>548</v>
      </c>
      <c r="L736" s="9">
        <f t="shared" si="1"/>
        <v>0.06141015921</v>
      </c>
      <c r="M736" s="9">
        <f t="shared" si="2"/>
        <v>0.1295620438</v>
      </c>
      <c r="N736" s="9">
        <f t="shared" si="3"/>
        <v>0.05728314239</v>
      </c>
      <c r="O736" s="9">
        <f t="shared" si="4"/>
        <v>0.6367713004</v>
      </c>
      <c r="P736" s="9">
        <f>IFERROR(__xludf.DUMMYFUNCTION("GOOGLEFINANCE(A736, ""pe"")"),66.18)</f>
        <v>66.18</v>
      </c>
      <c r="Q736" s="9">
        <f>IFERROR(__xludf.DUMMYFUNCTION("IFERROR(GOOGLEFINANCE(A736, ""volume"") / GOOGLEFINANCE(A736, ""volumeavg""), 0)"),0.0)</f>
        <v>0</v>
      </c>
      <c r="R736" s="9">
        <f>IFERROR(__xludf.DUMMYFUNCTION("AVERAGE(INDEX(GOOGLEFINANCE(A736, ""price"", TODAY()-30, TODAY()), 0, 2))"),601.4333333333333)</f>
        <v>601.4333333</v>
      </c>
      <c r="S736" s="9">
        <f>IFERROR(__xludf.DUMMYFUNCTION("AVERAGE(INDEX(GOOGLEFINANCE(A736, ""price"", TODAY()-75, TODAY()), 0, 2))"),601.4333333333333)</f>
        <v>601.4333333</v>
      </c>
      <c r="T736" s="9">
        <f>IFERROR(__xludf.DUMMYFUNCTION("AVERAGE(INDEX(GOOGLEFINANCE(A736, ""price"", TODAY()-300, TODAY()), 0, 2))"),601.4333333333333)</f>
        <v>601.4333333</v>
      </c>
      <c r="U736" s="9">
        <f t="shared" si="5"/>
        <v>0.0292080031</v>
      </c>
      <c r="V736" s="15">
        <f>IFERROR(__xludf.DUMMYFUNCTION("LET(hist, GOOGLEFINANCE(A736,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rs))))))"),51.96367206676485)</f>
        <v>51.96367207</v>
      </c>
      <c r="W736" s="16" t="str">
        <f>IFERROR(__xludf.DUMMYFUNCTION("IFERROR(GOOGLEFINANCE(A736, ""volume"") / GOOGLEFINANCE(A736, ""volumeavg""), )"),"")</f>
        <v/>
      </c>
      <c r="X736" s="9">
        <f>IFERROR(__xludf.DUMMYFUNCTION("B736 * GOOGLEFINANCE(A736, ""volume"")"),3.96689864E8)</f>
        <v>396689864</v>
      </c>
      <c r="Y736" s="9">
        <f>IFERROR(__xludf.DUMMYFUNCTION("IFERROR(((B736 - GOOGLEFINANCE(A736, ""priceopen"")) / GOOGLEFINANCE(A736, ""priceopen"")) * GOOGLEFINANCE(A736, ""volume""), 0)"),-15162.208201892743)</f>
        <v>-15162.2082</v>
      </c>
    </row>
    <row r="737">
      <c r="A737" s="4" t="s">
        <v>2530</v>
      </c>
      <c r="B737" s="7">
        <f>IFERROR(__xludf.DUMMYFUNCTION("GOOGLEFINANCE(A737, ""price"")"),113.45)</f>
        <v>113.45</v>
      </c>
      <c r="C737" s="7">
        <f>IFERROR(__xludf.DUMMYFUNCTION("GOOGLEFINANCE(A737, ""changepct"")"),-0.63)</f>
        <v>-0.63</v>
      </c>
      <c r="D737" s="9">
        <f>IFERROR(__xludf.DUMMYFUNCTION("GOOGLEFINANCE(A737, ""priceopen"")"),114.8)</f>
        <v>114.8</v>
      </c>
      <c r="E737" s="9">
        <f>IFERROR(__xludf.DUMMYFUNCTION("GOOGLEFINANCE(A737, ""high"")"),115.5)</f>
        <v>115.5</v>
      </c>
      <c r="F737" s="9">
        <f>IFERROR(__xludf.DUMMYFUNCTION("GOOGLEFINANCE(A737, ""low"")"),112.51)</f>
        <v>112.51</v>
      </c>
      <c r="G737" s="9">
        <f>IFERROR(__xludf.DUMMYFUNCTION("GOOGLEFINANCE(A737, ""price"")"),113.45)</f>
        <v>113.45</v>
      </c>
      <c r="H737" s="9">
        <f>IFERROR(__xludf.DUMMYFUNCTION("MAX(INDEX(GOOGLEFINANCE(A737, ""high"", TODAY()-30, TODAY()), 0, 2))"),125.99)</f>
        <v>125.99</v>
      </c>
      <c r="I737" s="9">
        <f>IFERROR(__xludf.DUMMYFUNCTION("MIN(INDEX(GOOGLEFINANCE(A737, ""low"", TODAY()-30, TODAY()), 0, 2))"),110.0)</f>
        <v>110</v>
      </c>
      <c r="J737" s="9">
        <f>IFERROR(__xludf.DUMMYFUNCTION("GOOGLEFINANCE(A737, ""high52"")"),187.4)</f>
        <v>187.4</v>
      </c>
      <c r="K737" s="9">
        <f>IFERROR(__xludf.DUMMYFUNCTION("GOOGLEFINANCE(A737, ""low52"")"),83.5)</f>
        <v>83.5</v>
      </c>
      <c r="L737" s="9">
        <f t="shared" si="1"/>
        <v>0.3946104589</v>
      </c>
      <c r="M737" s="9">
        <f t="shared" si="2"/>
        <v>0.3586826347</v>
      </c>
      <c r="N737" s="9">
        <f t="shared" si="3"/>
        <v>0.02657541552</v>
      </c>
      <c r="O737" s="9">
        <f t="shared" si="4"/>
        <v>0.2157598499</v>
      </c>
      <c r="P737" s="9">
        <f>IFERROR(__xludf.DUMMYFUNCTION("GOOGLEFINANCE(A737, ""pe"")"),226.9)</f>
        <v>226.9</v>
      </c>
      <c r="Q737" s="9">
        <f>IFERROR(__xludf.DUMMYFUNCTION("IFERROR(GOOGLEFINANCE(A737, ""volume"") / GOOGLEFINANCE(A737, ""volumeavg""), 0)"),0.0)</f>
        <v>0</v>
      </c>
      <c r="R737" s="9">
        <f>IFERROR(__xludf.DUMMYFUNCTION("AVERAGE(INDEX(GOOGLEFINANCE(A737, ""price"", TODAY()-30, TODAY()), 0, 2))"),114.92173913043477)</f>
        <v>114.9217391</v>
      </c>
      <c r="S737" s="9">
        <f>IFERROR(__xludf.DUMMYFUNCTION("AVERAGE(INDEX(GOOGLEFINANCE(A737, ""price"", TODAY()-75, TODAY()), 0, 2))"),114.33377358490566)</f>
        <v>114.3337736</v>
      </c>
      <c r="T737" s="9">
        <f>IFERROR(__xludf.DUMMYFUNCTION("AVERAGE(INDEX(GOOGLEFINANCE(A737, ""price"", TODAY()-300, TODAY()), 0, 2))"),117.75069306930688)</f>
        <v>117.7506931</v>
      </c>
      <c r="U737" s="9">
        <f t="shared" si="5"/>
        <v>-0.01280644673</v>
      </c>
      <c r="V737" s="15">
        <f>IFERROR(__xludf.DUMMYFUNCTION("LET(hist, GOOGLEFINANCE(A737,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rs))))))"),53.11884438608011)</f>
        <v>53.11884439</v>
      </c>
      <c r="W737" s="16" t="str">
        <f>IFERROR(__xludf.DUMMYFUNCTION("IFERROR(GOOGLEFINANCE(A737, ""volume"") / GOOGLEFINANCE(A737, ""volumeavg""), )"),"")</f>
        <v/>
      </c>
      <c r="X737" s="9">
        <f>IFERROR(__xludf.DUMMYFUNCTION("B737 * GOOGLEFINANCE(A737, ""volume"")"),3.931439575E7)</f>
        <v>39314395.75</v>
      </c>
      <c r="Y737" s="9">
        <f>IFERROR(__xludf.DUMMYFUNCTION("IFERROR(((B737 - GOOGLEFINANCE(A737, ""priceopen"")) / GOOGLEFINANCE(A737, ""priceopen"")) * GOOGLEFINANCE(A737, ""volume""), 0)"),-4075.106707317056)</f>
        <v>-4075.106707</v>
      </c>
    </row>
    <row r="738">
      <c r="A738" s="4" t="s">
        <v>2531</v>
      </c>
      <c r="B738" s="7">
        <f>IFERROR(__xludf.DUMMYFUNCTION("GOOGLEFINANCE(A738, ""price"")"),2645.0)</f>
        <v>2645</v>
      </c>
      <c r="C738" s="7">
        <f>IFERROR(__xludf.DUMMYFUNCTION("GOOGLEFINANCE(A738, ""changepct"")"),2.04)</f>
        <v>2.04</v>
      </c>
      <c r="D738" s="9">
        <f>IFERROR(__xludf.DUMMYFUNCTION("GOOGLEFINANCE(A738, ""priceopen"")"),2604.1)</f>
        <v>2604.1</v>
      </c>
      <c r="E738" s="9">
        <f>IFERROR(__xludf.DUMMYFUNCTION("GOOGLEFINANCE(A738, ""high"")"),2674.8)</f>
        <v>2674.8</v>
      </c>
      <c r="F738" s="9">
        <f>IFERROR(__xludf.DUMMYFUNCTION("GOOGLEFINANCE(A738, ""low"")"),2582.0)</f>
        <v>2582</v>
      </c>
      <c r="G738" s="9">
        <f>IFERROR(__xludf.DUMMYFUNCTION("GOOGLEFINANCE(A738, ""price"")"),2645.0)</f>
        <v>2645</v>
      </c>
      <c r="H738" s="9">
        <f>IFERROR(__xludf.DUMMYFUNCTION("MAX(INDEX(GOOGLEFINANCE(A738, ""high"", TODAY()-30, TODAY()), 0, 2))"),2674.8)</f>
        <v>2674.8</v>
      </c>
      <c r="I738" s="9">
        <f>IFERROR(__xludf.DUMMYFUNCTION("MIN(INDEX(GOOGLEFINANCE(A738, ""low"", TODAY()-30, TODAY()), 0, 2))"),2205.1)</f>
        <v>2205.1</v>
      </c>
      <c r="J738" s="9">
        <f>IFERROR(__xludf.DUMMYFUNCTION("GOOGLEFINANCE(A738, ""high52"")"),2674.8)</f>
        <v>2674.8</v>
      </c>
      <c r="K738" s="9">
        <f>IFERROR(__xludf.DUMMYFUNCTION("GOOGLEFINANCE(A738, ""low52"")"),1802.5)</f>
        <v>1802.5</v>
      </c>
      <c r="L738" s="9">
        <f t="shared" si="1"/>
        <v>0.01114101989</v>
      </c>
      <c r="M738" s="9">
        <f t="shared" si="2"/>
        <v>0.46740638</v>
      </c>
      <c r="N738" s="9">
        <f t="shared" si="3"/>
        <v>0.03594113091</v>
      </c>
      <c r="O738" s="9">
        <f t="shared" si="4"/>
        <v>0.936555248</v>
      </c>
      <c r="P738" s="9">
        <f>IFERROR(__xludf.DUMMYFUNCTION("GOOGLEFINANCE(A738, ""pe"")"),27.24)</f>
        <v>27.24</v>
      </c>
      <c r="Q738" s="9">
        <f>IFERROR(__xludf.DUMMYFUNCTION("IFERROR(GOOGLEFINANCE(A738, ""volume"") / GOOGLEFINANCE(A738, ""volumeavg""), 0)"),0.0)</f>
        <v>0</v>
      </c>
      <c r="R738" s="9">
        <f>IFERROR(__xludf.DUMMYFUNCTION("AVERAGE(INDEX(GOOGLEFINANCE(A738, ""price"", TODAY()-30, TODAY()), 0, 2))"),2377.1565217391308)</f>
        <v>2377.156522</v>
      </c>
      <c r="S738" s="9">
        <f>IFERROR(__xludf.DUMMYFUNCTION("AVERAGE(INDEX(GOOGLEFINANCE(A738, ""price"", TODAY()-75, TODAY()), 0, 2))"),2317.992452830189)</f>
        <v>2317.992453</v>
      </c>
      <c r="T738" s="9">
        <f>IFERROR(__xludf.DUMMYFUNCTION("AVERAGE(INDEX(GOOGLEFINANCE(A738, ""price"", TODAY()-300, TODAY()), 0, 2))"),2229.8138613861393)</f>
        <v>2229.813861</v>
      </c>
      <c r="U738" s="9">
        <f t="shared" si="5"/>
        <v>0.1126738924</v>
      </c>
      <c r="V738" s="15">
        <f>IFERROR(__xludf.DUMMYFUNCTION("LET(hist, GOOGLEFINANCE(A738,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rs))))))"),73.40391401989095)</f>
        <v>73.40391402</v>
      </c>
      <c r="W738" s="16" t="str">
        <f>IFERROR(__xludf.DUMMYFUNCTION("IFERROR(GOOGLEFINANCE(A738, ""volume"") / GOOGLEFINANCE(A738, ""volumeavg""), )"),"")</f>
        <v/>
      </c>
      <c r="X738" s="9">
        <f>IFERROR(__xludf.DUMMYFUNCTION("B738 * GOOGLEFINANCE(A738, ""volume"")"),4.05026205E8)</f>
        <v>405026205</v>
      </c>
      <c r="Y738" s="9">
        <f>IFERROR(__xludf.DUMMYFUNCTION("IFERROR(((B738 - GOOGLEFINANCE(A738, ""priceopen"")) / GOOGLEFINANCE(A738, ""priceopen"")) * GOOGLEFINANCE(A738, ""volume""), 0)"),2405.044391536429)</f>
        <v>2405.044392</v>
      </c>
    </row>
    <row r="739">
      <c r="A739" s="4" t="s">
        <v>2532</v>
      </c>
      <c r="B739" s="7">
        <f>IFERROR(__xludf.DUMMYFUNCTION("GOOGLEFINANCE(A739, ""price"")"),683.5)</f>
        <v>683.5</v>
      </c>
      <c r="C739" s="7">
        <f>IFERROR(__xludf.DUMMYFUNCTION("GOOGLEFINANCE(A739, ""changepct"")"),-1.65)</f>
        <v>-1.65</v>
      </c>
      <c r="D739" s="9">
        <f>IFERROR(__xludf.DUMMYFUNCTION("GOOGLEFINANCE(A739, ""priceopen"")"),700.95)</f>
        <v>700.95</v>
      </c>
      <c r="E739" s="9">
        <f>IFERROR(__xludf.DUMMYFUNCTION("GOOGLEFINANCE(A739, ""high"")"),707.65)</f>
        <v>707.65</v>
      </c>
      <c r="F739" s="9">
        <f>IFERROR(__xludf.DUMMYFUNCTION("GOOGLEFINANCE(A739, ""low"")"),673.6)</f>
        <v>673.6</v>
      </c>
      <c r="G739" s="9">
        <f>IFERROR(__xludf.DUMMYFUNCTION("GOOGLEFINANCE(A739, ""price"")"),683.5)</f>
        <v>683.5</v>
      </c>
      <c r="H739" s="9">
        <f>IFERROR(__xludf.DUMMYFUNCTION("MAX(INDEX(GOOGLEFINANCE(A739, ""high"", TODAY()-30, TODAY()), 0, 2))"),838.3)</f>
        <v>838.3</v>
      </c>
      <c r="I739" s="9">
        <f>IFERROR(__xludf.DUMMYFUNCTION("MIN(INDEX(GOOGLEFINANCE(A739, ""low"", TODAY()-30, TODAY()), 0, 2))"),601.95)</f>
        <v>601.95</v>
      </c>
      <c r="J739" s="9">
        <f>IFERROR(__xludf.DUMMYFUNCTION("GOOGLEFINANCE(A739, ""high52"")"),878.6)</f>
        <v>878.6</v>
      </c>
      <c r="K739" s="9">
        <f>IFERROR(__xludf.DUMMYFUNCTION("GOOGLEFINANCE(A739, ""low52"")"),480.5)</f>
        <v>480.5</v>
      </c>
      <c r="L739" s="9">
        <f t="shared" si="1"/>
        <v>0.2220578193</v>
      </c>
      <c r="M739" s="9">
        <f t="shared" si="2"/>
        <v>0.4224765869</v>
      </c>
      <c r="N739" s="9">
        <f t="shared" si="3"/>
        <v>0.05054928741</v>
      </c>
      <c r="O739" s="9">
        <f t="shared" si="4"/>
        <v>0.3450391369</v>
      </c>
      <c r="P739" s="9">
        <f>IFERROR(__xludf.DUMMYFUNCTION("GOOGLEFINANCE(A739, ""pe"")"),11.08)</f>
        <v>11.08</v>
      </c>
      <c r="Q739" s="9">
        <f>IFERROR(__xludf.DUMMYFUNCTION("IFERROR(GOOGLEFINANCE(A739, ""volume"") / GOOGLEFINANCE(A739, ""volumeavg""), 0)"),0.0)</f>
        <v>0</v>
      </c>
      <c r="R739" s="9">
        <f>IFERROR(__xludf.DUMMYFUNCTION("AVERAGE(INDEX(GOOGLEFINANCE(A739, ""price"", TODAY()-30, TODAY()), 0, 2))"),725.6521739130433)</f>
        <v>725.6521739</v>
      </c>
      <c r="S739" s="9">
        <f>IFERROR(__xludf.DUMMYFUNCTION("AVERAGE(INDEX(GOOGLEFINANCE(A739, ""price"", TODAY()-75, TODAY()), 0, 2))"),620.0330188679246)</f>
        <v>620.0330189</v>
      </c>
      <c r="T739" s="9">
        <f>IFERROR(__xludf.DUMMYFUNCTION("AVERAGE(INDEX(GOOGLEFINANCE(A739, ""price"", TODAY()-300, TODAY()), 0, 2))"),637.4930693069307)</f>
        <v>637.4930693</v>
      </c>
      <c r="U739" s="9">
        <f t="shared" si="5"/>
        <v>-0.05808867585</v>
      </c>
      <c r="V739" s="15">
        <f>IFERROR(__xludf.DUMMYFUNCTION("LET(hist, GOOGLEFINANCE(A739,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rs))))))"),37.06685334266718)</f>
        <v>37.06685334</v>
      </c>
      <c r="W739" s="16" t="str">
        <f>IFERROR(__xludf.DUMMYFUNCTION("IFERROR(GOOGLEFINANCE(A739, ""volume"") / GOOGLEFINANCE(A739, ""volumeavg""), )"),"")</f>
        <v/>
      </c>
      <c r="X739" s="9">
        <f>IFERROR(__xludf.DUMMYFUNCTION("B739 * GOOGLEFINANCE(A739, ""volume"")"),1.09675777E8)</f>
        <v>109675777</v>
      </c>
      <c r="Y739" s="9">
        <f>IFERROR(__xludf.DUMMYFUNCTION("IFERROR(((B739 - GOOGLEFINANCE(A739, ""priceopen"")) / GOOGLEFINANCE(A739, ""priceopen"")) * GOOGLEFINANCE(A739, ""volume""), 0)"),-3994.667094657261)</f>
        <v>-3994.667095</v>
      </c>
    </row>
    <row r="740">
      <c r="A740" s="4" t="s">
        <v>2533</v>
      </c>
      <c r="B740" s="7">
        <f>IFERROR(__xludf.DUMMYFUNCTION("GOOGLEFINANCE(A740, ""price"")"),548.75)</f>
        <v>548.75</v>
      </c>
      <c r="C740" s="7">
        <f>IFERROR(__xludf.DUMMYFUNCTION("GOOGLEFINANCE(A740, ""changepct"")"),4.21)</f>
        <v>4.21</v>
      </c>
      <c r="D740" s="9">
        <f>IFERROR(__xludf.DUMMYFUNCTION("GOOGLEFINANCE(A740, ""priceopen"")"),528.0)</f>
        <v>528</v>
      </c>
      <c r="E740" s="9">
        <f>IFERROR(__xludf.DUMMYFUNCTION("GOOGLEFINANCE(A740, ""high"")"),555.05)</f>
        <v>555.05</v>
      </c>
      <c r="F740" s="9">
        <f>IFERROR(__xludf.DUMMYFUNCTION("GOOGLEFINANCE(A740, ""low"")"),519.0)</f>
        <v>519</v>
      </c>
      <c r="G740" s="9">
        <f>IFERROR(__xludf.DUMMYFUNCTION("GOOGLEFINANCE(A740, ""price"")"),548.75)</f>
        <v>548.75</v>
      </c>
      <c r="H740" s="9">
        <f>IFERROR(__xludf.DUMMYFUNCTION("MAX(INDEX(GOOGLEFINANCE(A740, ""high"", TODAY()-30, TODAY()), 0, 2))"),593.0)</f>
        <v>593</v>
      </c>
      <c r="I740" s="9">
        <f>IFERROR(__xludf.DUMMYFUNCTION("MIN(INDEX(GOOGLEFINANCE(A740, ""low"", TODAY()-30, TODAY()), 0, 2))"),474.1)</f>
        <v>474.1</v>
      </c>
      <c r="J740" s="9">
        <f>IFERROR(__xludf.DUMMYFUNCTION("GOOGLEFINANCE(A740, ""high52"")"),593.0)</f>
        <v>593</v>
      </c>
      <c r="K740" s="9">
        <f>IFERROR(__xludf.DUMMYFUNCTION("GOOGLEFINANCE(A740, ""low52"")"),330.0)</f>
        <v>330</v>
      </c>
      <c r="L740" s="9">
        <f t="shared" si="1"/>
        <v>0.07462057336</v>
      </c>
      <c r="M740" s="9">
        <f t="shared" si="2"/>
        <v>0.6628787879</v>
      </c>
      <c r="N740" s="9">
        <f t="shared" si="3"/>
        <v>0.06946050096</v>
      </c>
      <c r="O740" s="9">
        <f t="shared" si="4"/>
        <v>0.6278385198</v>
      </c>
      <c r="P740" s="9">
        <f>IFERROR(__xludf.DUMMYFUNCTION("GOOGLEFINANCE(A740, ""pe"")"),15.27)</f>
        <v>15.27</v>
      </c>
      <c r="Q740" s="9">
        <f>IFERROR(__xludf.DUMMYFUNCTION("IFERROR(GOOGLEFINANCE(A740, ""volume"") / GOOGLEFINANCE(A740, ""volumeavg""), 0)"),0.0)</f>
        <v>0</v>
      </c>
      <c r="R740" s="9">
        <f>IFERROR(__xludf.DUMMYFUNCTION("AVERAGE(INDEX(GOOGLEFINANCE(A740, ""price"", TODAY()-30, TODAY()), 0, 2))"),539.7260869565217)</f>
        <v>539.726087</v>
      </c>
      <c r="S740" s="9">
        <f>IFERROR(__xludf.DUMMYFUNCTION("AVERAGE(INDEX(GOOGLEFINANCE(A740, ""price"", TODAY()-75, TODAY()), 0, 2))"),499.6075471698112)</f>
        <v>499.6075472</v>
      </c>
      <c r="T740" s="9">
        <f>IFERROR(__xludf.DUMMYFUNCTION("AVERAGE(INDEX(GOOGLEFINANCE(A740, ""price"", TODAY()-300, TODAY()), 0, 2))"),439.09653465346537)</f>
        <v>439.0965347</v>
      </c>
      <c r="U740" s="9">
        <f t="shared" si="5"/>
        <v>0.01671943095</v>
      </c>
      <c r="V740" s="15">
        <f>IFERROR(__xludf.DUMMYFUNCTION("LET(hist, GOOGLEFINANCE(A740,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rs))))))"),51.47653092943737)</f>
        <v>51.47653093</v>
      </c>
      <c r="W740" s="16" t="str">
        <f>IFERROR(__xludf.DUMMYFUNCTION("IFERROR(GOOGLEFINANCE(A740, ""volume"") / GOOGLEFINANCE(A740, ""volumeavg""), )"),"")</f>
        <v/>
      </c>
      <c r="X740" s="9">
        <f>IFERROR(__xludf.DUMMYFUNCTION("B740 * GOOGLEFINANCE(A740, ""volume"")"),2.748414375E8)</f>
        <v>274841437.5</v>
      </c>
      <c r="Y740" s="9">
        <f>IFERROR(__xludf.DUMMYFUNCTION("IFERROR(((B740 - GOOGLEFINANCE(A740, ""priceopen"")) / GOOGLEFINANCE(A740, ""priceopen"")) * GOOGLEFINANCE(A740, ""volume""), 0)"),19683.02556818182)</f>
        <v>19683.02557</v>
      </c>
    </row>
    <row r="741">
      <c r="A741" s="4" t="s">
        <v>2534</v>
      </c>
      <c r="B741" s="7">
        <f>IFERROR(__xludf.DUMMYFUNCTION("GOOGLEFINANCE(A741, ""price"")"),746.0)</f>
        <v>746</v>
      </c>
      <c r="C741" s="7">
        <f>IFERROR(__xludf.DUMMYFUNCTION("GOOGLEFINANCE(A741, ""changepct"")"),-7.55)</f>
        <v>-7.55</v>
      </c>
      <c r="D741" s="9">
        <f>IFERROR(__xludf.DUMMYFUNCTION("GOOGLEFINANCE(A741, ""priceopen"")"),800.0)</f>
        <v>800</v>
      </c>
      <c r="E741" s="9">
        <f>IFERROR(__xludf.DUMMYFUNCTION("GOOGLEFINANCE(A741, ""high"")"),803.0)</f>
        <v>803</v>
      </c>
      <c r="F741" s="9">
        <f>IFERROR(__xludf.DUMMYFUNCTION("GOOGLEFINANCE(A741, ""low"")"),741.05)</f>
        <v>741.05</v>
      </c>
      <c r="G741" s="9">
        <f>IFERROR(__xludf.DUMMYFUNCTION("GOOGLEFINANCE(A741, ""price"")"),746.0)</f>
        <v>746</v>
      </c>
      <c r="H741" s="9">
        <f>IFERROR(__xludf.DUMMYFUNCTION("MAX(INDEX(GOOGLEFINANCE(A741, ""high"", TODAY()-30, TODAY()), 0, 2))"),907.95)</f>
        <v>907.95</v>
      </c>
      <c r="I741" s="9">
        <f>IFERROR(__xludf.DUMMYFUNCTION("MIN(INDEX(GOOGLEFINANCE(A741, ""low"", TODAY()-30, TODAY()), 0, 2))"),741.05)</f>
        <v>741.05</v>
      </c>
      <c r="J741" s="9">
        <f>IFERROR(__xludf.DUMMYFUNCTION("GOOGLEFINANCE(A741, ""high52"")"),1113.9)</f>
        <v>1113.9</v>
      </c>
      <c r="K741" s="9">
        <f>IFERROR(__xludf.DUMMYFUNCTION("GOOGLEFINANCE(A741, ""low52"")"),683.95)</f>
        <v>683.95</v>
      </c>
      <c r="L741" s="9">
        <f t="shared" si="1"/>
        <v>0.3302809947</v>
      </c>
      <c r="M741" s="9">
        <f t="shared" si="2"/>
        <v>0.09072300607</v>
      </c>
      <c r="N741" s="9">
        <f t="shared" si="3"/>
        <v>0.083597598</v>
      </c>
      <c r="O741" s="9">
        <f t="shared" si="4"/>
        <v>0.02965847813</v>
      </c>
      <c r="P741" s="9">
        <f>IFERROR(__xludf.DUMMYFUNCTION("GOOGLEFINANCE(A741, ""pe"")"),50.37)</f>
        <v>50.37</v>
      </c>
      <c r="Q741" s="9">
        <f>IFERROR(__xludf.DUMMYFUNCTION("IFERROR(GOOGLEFINANCE(A741, ""volume"") / GOOGLEFINANCE(A741, ""volumeavg""), 0)"),0.0)</f>
        <v>0</v>
      </c>
      <c r="R741" s="9">
        <f>IFERROR(__xludf.DUMMYFUNCTION("AVERAGE(INDEX(GOOGLEFINANCE(A741, ""price"", TODAY()-30, TODAY()), 0, 2))"),850.0326086956524)</f>
        <v>850.0326087</v>
      </c>
      <c r="S741" s="9">
        <f>IFERROR(__xludf.DUMMYFUNCTION("AVERAGE(INDEX(GOOGLEFINANCE(A741, ""price"", TODAY()-75, TODAY()), 0, 2))"),888.2141509433959)</f>
        <v>888.2141509</v>
      </c>
      <c r="T741" s="9">
        <f>IFERROR(__xludf.DUMMYFUNCTION("AVERAGE(INDEX(GOOGLEFINANCE(A741, ""price"", TODAY()-300, TODAY()), 0, 2))"),894.9813432835822)</f>
        <v>894.9813433</v>
      </c>
      <c r="U741" s="9">
        <f t="shared" si="5"/>
        <v>-0.1223866092</v>
      </c>
      <c r="V741" s="15">
        <f>IFERROR(__xludf.DUMMYFUNCTION("LET(hist, GOOGLEFINANCE(A741,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rs))))))"),15.79943235572371)</f>
        <v>15.79943236</v>
      </c>
      <c r="W741" s="16" t="str">
        <f>IFERROR(__xludf.DUMMYFUNCTION("IFERROR(GOOGLEFINANCE(A741, ""volume"") / GOOGLEFINANCE(A741, ""volumeavg""), )"),"")</f>
        <v/>
      </c>
      <c r="X741" s="9">
        <f>IFERROR(__xludf.DUMMYFUNCTION("B741 * GOOGLEFINANCE(A741, ""volume"")"),1.63514994E8)</f>
        <v>163514994</v>
      </c>
      <c r="Y741" s="9">
        <f>IFERROR(__xludf.DUMMYFUNCTION("IFERROR(((B741 - GOOGLEFINANCE(A741, ""priceopen"")) / GOOGLEFINANCE(A741, ""priceopen"")) * GOOGLEFINANCE(A741, ""volume""), 0)"),-14795.257500000002)</f>
        <v>-14795.2575</v>
      </c>
    </row>
    <row r="742">
      <c r="A742" s="4" t="s">
        <v>2535</v>
      </c>
      <c r="B742" s="7">
        <f>IFERROR(__xludf.DUMMYFUNCTION("GOOGLEFINANCE(A742, ""price"")"),2593.0)</f>
        <v>2593</v>
      </c>
      <c r="C742" s="7">
        <f>IFERROR(__xludf.DUMMYFUNCTION("GOOGLEFINANCE(A742, ""changepct"")"),-1.07)</f>
        <v>-1.07</v>
      </c>
      <c r="D742" s="9">
        <f>IFERROR(__xludf.DUMMYFUNCTION("GOOGLEFINANCE(A742, ""priceopen"")"),2622.2)</f>
        <v>2622.2</v>
      </c>
      <c r="E742" s="9">
        <f>IFERROR(__xludf.DUMMYFUNCTION("GOOGLEFINANCE(A742, ""high"")"),2638.2)</f>
        <v>2638.2</v>
      </c>
      <c r="F742" s="9">
        <f>IFERROR(__xludf.DUMMYFUNCTION("GOOGLEFINANCE(A742, ""low"")"),2554.8)</f>
        <v>2554.8</v>
      </c>
      <c r="G742" s="9">
        <f>IFERROR(__xludf.DUMMYFUNCTION("GOOGLEFINANCE(A742, ""price"")"),2593.0)</f>
        <v>2593</v>
      </c>
      <c r="H742" s="9">
        <f>IFERROR(__xludf.DUMMYFUNCTION("MAX(INDEX(GOOGLEFINANCE(A742, ""high"", TODAY()-30, TODAY()), 0, 2))"),2737.0)</f>
        <v>2737</v>
      </c>
      <c r="I742" s="9">
        <f>IFERROR(__xludf.DUMMYFUNCTION("MIN(INDEX(GOOGLEFINANCE(A742, ""low"", TODAY()-30, TODAY()), 0, 2))"),2310.4)</f>
        <v>2310.4</v>
      </c>
      <c r="J742" s="9">
        <f>IFERROR(__xludf.DUMMYFUNCTION("GOOGLEFINANCE(A742, ""high52"")"),2737.0)</f>
        <v>2737</v>
      </c>
      <c r="K742" s="9">
        <f>IFERROR(__xludf.DUMMYFUNCTION("GOOGLEFINANCE(A742, ""low52"")"),804.0)</f>
        <v>804</v>
      </c>
      <c r="L742" s="9">
        <f t="shared" si="1"/>
        <v>0.05261234929</v>
      </c>
      <c r="M742" s="9">
        <f t="shared" si="2"/>
        <v>2.225124378</v>
      </c>
      <c r="N742" s="9">
        <f t="shared" si="3"/>
        <v>0.03264443401</v>
      </c>
      <c r="O742" s="9">
        <f t="shared" si="4"/>
        <v>0.6624472574</v>
      </c>
      <c r="P742" s="9">
        <f>IFERROR(__xludf.DUMMYFUNCTION("GOOGLEFINANCE(A742, ""pe"")"),75.14)</f>
        <v>75.14</v>
      </c>
      <c r="Q742" s="9">
        <f>IFERROR(__xludf.DUMMYFUNCTION("IFERROR(GOOGLEFINANCE(A742, ""volume"") / GOOGLEFINANCE(A742, ""volumeavg""), 0)"),0.0)</f>
        <v>0</v>
      </c>
      <c r="R742" s="9">
        <f>IFERROR(__xludf.DUMMYFUNCTION("AVERAGE(INDEX(GOOGLEFINANCE(A742, ""price"", TODAY()-30, TODAY()), 0, 2))"),2486.8173913043474)</f>
        <v>2486.817391</v>
      </c>
      <c r="S742" s="9">
        <f>IFERROR(__xludf.DUMMYFUNCTION("AVERAGE(INDEX(GOOGLEFINANCE(A742, ""price"", TODAY()-75, TODAY()), 0, 2))"),2260.0283018867926)</f>
        <v>2260.028302</v>
      </c>
      <c r="T742" s="9">
        <f>IFERROR(__xludf.DUMMYFUNCTION("AVERAGE(INDEX(GOOGLEFINANCE(A742, ""price"", TODAY()-300, TODAY()), 0, 2))"),1813.2799504950497)</f>
        <v>1813.27995</v>
      </c>
      <c r="U742" s="9">
        <f t="shared" si="5"/>
        <v>0.04269819291</v>
      </c>
      <c r="V742" s="15">
        <f>IFERROR(__xludf.DUMMYFUNCTION("LET(hist, GOOGLEFINANCE(A742,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rs))))))"),66.45005096839961)</f>
        <v>66.45005097</v>
      </c>
      <c r="W742" s="16" t="str">
        <f>IFERROR(__xludf.DUMMYFUNCTION("IFERROR(GOOGLEFINANCE(A742, ""volume"") / GOOGLEFINANCE(A742, ""volumeavg""), )"),"")</f>
        <v/>
      </c>
      <c r="X742" s="9">
        <f>IFERROR(__xludf.DUMMYFUNCTION("B742 * GOOGLEFINANCE(A742, ""volume"")"),1.07176469E8)</f>
        <v>107176469</v>
      </c>
      <c r="Y742" s="9">
        <f>IFERROR(__xludf.DUMMYFUNCTION("IFERROR(((B742 - GOOGLEFINANCE(A742, ""priceopen"")) / GOOGLEFINANCE(A742, ""priceopen"")) * GOOGLEFINANCE(A742, ""volume""), 0)"),-460.2713751811428)</f>
        <v>-460.2713752</v>
      </c>
    </row>
    <row r="743">
      <c r="A743" s="4" t="s">
        <v>2536</v>
      </c>
      <c r="B743" s="7">
        <f>IFERROR(__xludf.DUMMYFUNCTION("GOOGLEFINANCE(A743, ""price"")"),894.0)</f>
        <v>894</v>
      </c>
      <c r="C743" s="7">
        <f>IFERROR(__xludf.DUMMYFUNCTION("GOOGLEFINANCE(A743, ""changepct"")"),1.17)</f>
        <v>1.17</v>
      </c>
      <c r="D743" s="9">
        <f>IFERROR(__xludf.DUMMYFUNCTION("GOOGLEFINANCE(A743, ""priceopen"")"),875.5)</f>
        <v>875.5</v>
      </c>
      <c r="E743" s="9">
        <f>IFERROR(__xludf.DUMMYFUNCTION("GOOGLEFINANCE(A743, ""high"")"),930.95)</f>
        <v>930.95</v>
      </c>
      <c r="F743" s="9">
        <f>IFERROR(__xludf.DUMMYFUNCTION("GOOGLEFINANCE(A743, ""low"")"),875.1)</f>
        <v>875.1</v>
      </c>
      <c r="G743" s="9">
        <f>IFERROR(__xludf.DUMMYFUNCTION("GOOGLEFINANCE(A743, ""price"")"),894.0)</f>
        <v>894</v>
      </c>
      <c r="H743" s="9">
        <f>IFERROR(__xludf.DUMMYFUNCTION("MAX(INDEX(GOOGLEFINANCE(A743, ""high"", TODAY()-30, TODAY()), 0, 2))"),932.6)</f>
        <v>932.6</v>
      </c>
      <c r="I743" s="9">
        <f>IFERROR(__xludf.DUMMYFUNCTION("MIN(INDEX(GOOGLEFINANCE(A743, ""low"", TODAY()-30, TODAY()), 0, 2))"),650.8)</f>
        <v>650.8</v>
      </c>
      <c r="J743" s="9">
        <f>IFERROR(__xludf.DUMMYFUNCTION("GOOGLEFINANCE(A743, ""high52"")"),946.1)</f>
        <v>946.1</v>
      </c>
      <c r="K743" s="9">
        <f>IFERROR(__xludf.DUMMYFUNCTION("GOOGLEFINANCE(A743, ""low52"")"),585.0)</f>
        <v>585</v>
      </c>
      <c r="L743" s="9">
        <f t="shared" si="1"/>
        <v>0.05506817461</v>
      </c>
      <c r="M743" s="9">
        <f t="shared" si="2"/>
        <v>0.5282051282</v>
      </c>
      <c r="N743" s="9">
        <f t="shared" si="3"/>
        <v>0.06382127757</v>
      </c>
      <c r="O743" s="9">
        <f t="shared" si="4"/>
        <v>0.8630234209</v>
      </c>
      <c r="P743" s="9">
        <f>IFERROR(__xludf.DUMMYFUNCTION("GOOGLEFINANCE(A743, ""pe"")"),38.04)</f>
        <v>38.04</v>
      </c>
      <c r="Q743" s="9">
        <f>IFERROR(__xludf.DUMMYFUNCTION("IFERROR(GOOGLEFINANCE(A743, ""volume"") / GOOGLEFINANCE(A743, ""volumeavg""), 0)"),0.0)</f>
        <v>0</v>
      </c>
      <c r="R743" s="9">
        <f>IFERROR(__xludf.DUMMYFUNCTION("AVERAGE(INDEX(GOOGLEFINANCE(A743, ""price"", TODAY()-30, TODAY()), 0, 2))"),712.3652173913044)</f>
        <v>712.3652174</v>
      </c>
      <c r="S743" s="9">
        <f>IFERROR(__xludf.DUMMYFUNCTION("AVERAGE(INDEX(GOOGLEFINANCE(A743, ""price"", TODAY()-75, TODAY()), 0, 2))"),685.6301886792452)</f>
        <v>685.6301887</v>
      </c>
      <c r="T743" s="9">
        <f>IFERROR(__xludf.DUMMYFUNCTION("AVERAGE(INDEX(GOOGLEFINANCE(A743, ""price"", TODAY()-300, TODAY()), 0, 2))"),718.8586633663369)</f>
        <v>718.8586634</v>
      </c>
      <c r="U743" s="9">
        <f t="shared" si="5"/>
        <v>0.2549742438</v>
      </c>
      <c r="V743" s="15">
        <f>IFERROR(__xludf.DUMMYFUNCTION("LET(hist, GOOGLEFINANCE(A743,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rs))))))"),87.56153593698718)</f>
        <v>87.56153594</v>
      </c>
      <c r="W743" s="16" t="str">
        <f>IFERROR(__xludf.DUMMYFUNCTION("IFERROR(GOOGLEFINANCE(A743, ""volume"") / GOOGLEFINANCE(A743, ""volumeavg""), )"),"")</f>
        <v/>
      </c>
      <c r="X743" s="9">
        <f>IFERROR(__xludf.DUMMYFUNCTION("B743 * GOOGLEFINANCE(A743, ""volume"")"),3.175517502E9)</f>
        <v>3175517502</v>
      </c>
      <c r="Y743" s="9">
        <f>IFERROR(__xludf.DUMMYFUNCTION("IFERROR(((B743 - GOOGLEFINANCE(A743, ""priceopen"")) / GOOGLEFINANCE(A743, ""priceopen"")) * GOOGLEFINANCE(A743, ""volume""), 0)"),75057.2364363221)</f>
        <v>75057.23644</v>
      </c>
    </row>
    <row r="744">
      <c r="A744" s="4" t="s">
        <v>2537</v>
      </c>
      <c r="B744" s="7">
        <f>IFERROR(__xludf.DUMMYFUNCTION("GOOGLEFINANCE(A744, ""price"")"),578.0)</f>
        <v>578</v>
      </c>
      <c r="C744" s="7">
        <f>IFERROR(__xludf.DUMMYFUNCTION("GOOGLEFINANCE(A744, ""changepct"")"),0.95)</f>
        <v>0.95</v>
      </c>
      <c r="D744" s="9">
        <f>IFERROR(__xludf.DUMMYFUNCTION("GOOGLEFINANCE(A744, ""priceopen"")"),584.0)</f>
        <v>584</v>
      </c>
      <c r="E744" s="9">
        <f>IFERROR(__xludf.DUMMYFUNCTION("GOOGLEFINANCE(A744, ""high"")"),584.0)</f>
        <v>584</v>
      </c>
      <c r="F744" s="9">
        <f>IFERROR(__xludf.DUMMYFUNCTION("GOOGLEFINANCE(A744, ""low"")"),562.1)</f>
        <v>562.1</v>
      </c>
      <c r="G744" s="9">
        <f>IFERROR(__xludf.DUMMYFUNCTION("GOOGLEFINANCE(A744, ""price"")"),578.0)</f>
        <v>578</v>
      </c>
      <c r="H744" s="9">
        <f>IFERROR(__xludf.DUMMYFUNCTION("MAX(INDEX(GOOGLEFINANCE(A744, ""high"", TODAY()-30, TODAY()), 0, 2))"),637.3)</f>
        <v>637.3</v>
      </c>
      <c r="I744" s="9">
        <f>IFERROR(__xludf.DUMMYFUNCTION("MIN(INDEX(GOOGLEFINANCE(A744, ""low"", TODAY()-30, TODAY()), 0, 2))"),483.05)</f>
        <v>483.05</v>
      </c>
      <c r="J744" s="9">
        <f>IFERROR(__xludf.DUMMYFUNCTION("GOOGLEFINANCE(A744, ""high52"")"),689.5)</f>
        <v>689.5</v>
      </c>
      <c r="K744" s="9">
        <f>IFERROR(__xludf.DUMMYFUNCTION("GOOGLEFINANCE(A744, ""low52"")"),239.0)</f>
        <v>239</v>
      </c>
      <c r="L744" s="9">
        <f t="shared" si="1"/>
        <v>0.1617113851</v>
      </c>
      <c r="M744" s="9">
        <f t="shared" si="2"/>
        <v>1.418410042</v>
      </c>
      <c r="N744" s="9">
        <f t="shared" si="3"/>
        <v>0.03896103896</v>
      </c>
      <c r="O744" s="9">
        <f t="shared" si="4"/>
        <v>0.6155591572</v>
      </c>
      <c r="P744" s="9">
        <f>IFERROR(__xludf.DUMMYFUNCTION("GOOGLEFINANCE(A744, ""pe"")"),46.76)</f>
        <v>46.76</v>
      </c>
      <c r="Q744" s="9">
        <f>IFERROR(__xludf.DUMMYFUNCTION("IFERROR(GOOGLEFINANCE(A744, ""volume"") / GOOGLEFINANCE(A744, ""volumeavg""), 0)"),0.0)</f>
        <v>0</v>
      </c>
      <c r="R744" s="9">
        <f>IFERROR(__xludf.DUMMYFUNCTION("AVERAGE(INDEX(GOOGLEFINANCE(A744, ""price"", TODAY()-30, TODAY()), 0, 2))"),555.5956521739131)</f>
        <v>555.5956522</v>
      </c>
      <c r="S744" s="9">
        <f>IFERROR(__xludf.DUMMYFUNCTION("AVERAGE(INDEX(GOOGLEFINANCE(A744, ""price"", TODAY()-75, TODAY()), 0, 2))"),533.4594339622641)</f>
        <v>533.459434</v>
      </c>
      <c r="T744" s="9">
        <f>IFERROR(__xludf.DUMMYFUNCTION("AVERAGE(INDEX(GOOGLEFINANCE(A744, ""price"", TODAY()-300, TODAY()), 0, 2))"),395.97338308457716)</f>
        <v>395.9733831</v>
      </c>
      <c r="U744" s="9">
        <f t="shared" si="5"/>
        <v>0.04032491568</v>
      </c>
      <c r="V744" s="15">
        <f>IFERROR(__xludf.DUMMYFUNCTION("LET(hist, GOOGLEFINANCE(A744,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rs))))))"),57.063511229171695)</f>
        <v>57.06351123</v>
      </c>
      <c r="W744" s="16" t="str">
        <f>IFERROR(__xludf.DUMMYFUNCTION("IFERROR(GOOGLEFINANCE(A744, ""volume"") / GOOGLEFINANCE(A744, ""volumeavg""), )"),"")</f>
        <v/>
      </c>
      <c r="X744" s="9">
        <f>IFERROR(__xludf.DUMMYFUNCTION("B744 * GOOGLEFINANCE(A744, ""volume"")"),2.28476464E8)</f>
        <v>228476464</v>
      </c>
      <c r="Y744" s="9">
        <f>IFERROR(__xludf.DUMMYFUNCTION("IFERROR(((B744 - GOOGLEFINANCE(A744, ""priceopen"")) / GOOGLEFINANCE(A744, ""priceopen"")) * GOOGLEFINANCE(A744, ""volume""), 0)"),-4061.1780821917805)</f>
        <v>-4061.178082</v>
      </c>
    </row>
    <row r="745">
      <c r="A745" s="4" t="s">
        <v>2538</v>
      </c>
      <c r="B745" s="7">
        <f>IFERROR(__xludf.DUMMYFUNCTION("GOOGLEFINANCE(A745, ""price"")"),443.9)</f>
        <v>443.9</v>
      </c>
      <c r="C745" s="7">
        <f>IFERROR(__xludf.DUMMYFUNCTION("GOOGLEFINANCE(A745, ""changepct"")"),-0.8)</f>
        <v>-0.8</v>
      </c>
      <c r="D745" s="9">
        <f>IFERROR(__xludf.DUMMYFUNCTION("GOOGLEFINANCE(A745, ""priceopen"")"),451.15)</f>
        <v>451.15</v>
      </c>
      <c r="E745" s="9">
        <f>IFERROR(__xludf.DUMMYFUNCTION("GOOGLEFINANCE(A745, ""high"")"),451.15)</f>
        <v>451.15</v>
      </c>
      <c r="F745" s="9">
        <f>IFERROR(__xludf.DUMMYFUNCTION("GOOGLEFINANCE(A745, ""low"")"),438.3)</f>
        <v>438.3</v>
      </c>
      <c r="G745" s="9">
        <f>IFERROR(__xludf.DUMMYFUNCTION("GOOGLEFINANCE(A745, ""price"")"),443.9)</f>
        <v>443.9</v>
      </c>
      <c r="H745" s="9">
        <f>IFERROR(__xludf.DUMMYFUNCTION("MAX(INDEX(GOOGLEFINANCE(A745, ""high"", TODAY()-30, TODAY()), 0, 2))"),486.0)</f>
        <v>486</v>
      </c>
      <c r="I745" s="9">
        <f>IFERROR(__xludf.DUMMYFUNCTION("MIN(INDEX(GOOGLEFINANCE(A745, ""low"", TODAY()-30, TODAY()), 0, 2))"),438.3)</f>
        <v>438.3</v>
      </c>
      <c r="J745" s="9">
        <f>IFERROR(__xludf.DUMMYFUNCTION("GOOGLEFINANCE(A745, ""high52"")"),579.0)</f>
        <v>579</v>
      </c>
      <c r="K745" s="9">
        <f>IFERROR(__xludf.DUMMYFUNCTION("GOOGLEFINANCE(A745, ""low52"")"),366.2)</f>
        <v>366.2</v>
      </c>
      <c r="L745" s="9">
        <f t="shared" si="1"/>
        <v>0.2333333333</v>
      </c>
      <c r="M745" s="9">
        <f t="shared" si="2"/>
        <v>0.2121791371</v>
      </c>
      <c r="N745" s="9">
        <f t="shared" si="3"/>
        <v>0.02931781885</v>
      </c>
      <c r="O745" s="9">
        <f t="shared" si="4"/>
        <v>0.1174004193</v>
      </c>
      <c r="P745" s="9">
        <f>IFERROR(__xludf.DUMMYFUNCTION("GOOGLEFINANCE(A745, ""pe"")"),49.58)</f>
        <v>49.58</v>
      </c>
      <c r="Q745" s="9">
        <f>IFERROR(__xludf.DUMMYFUNCTION("IFERROR(GOOGLEFINANCE(A745, ""volume"") / GOOGLEFINANCE(A745, ""volumeavg""), 0)"),0.0)</f>
        <v>0</v>
      </c>
      <c r="R745" s="9">
        <f>IFERROR(__xludf.DUMMYFUNCTION("AVERAGE(INDEX(GOOGLEFINANCE(A745, ""price"", TODAY()-30, TODAY()), 0, 2))"),461.31304347826074)</f>
        <v>461.3130435</v>
      </c>
      <c r="S745" s="9">
        <f>IFERROR(__xludf.DUMMYFUNCTION("AVERAGE(INDEX(GOOGLEFINANCE(A745, ""price"", TODAY()-75, TODAY()), 0, 2))"),464.8358490566039)</f>
        <v>464.8358491</v>
      </c>
      <c r="T745" s="9">
        <f>IFERROR(__xludf.DUMMYFUNCTION("AVERAGE(INDEX(GOOGLEFINANCE(A745, ""price"", TODAY()-300, TODAY()), 0, 2))"),468.2034653465347)</f>
        <v>468.2034653</v>
      </c>
      <c r="U745" s="9">
        <f t="shared" si="5"/>
        <v>-0.03774669657</v>
      </c>
      <c r="V745" s="15">
        <f>IFERROR(__xludf.DUMMYFUNCTION("LET(hist, GOOGLEFINANCE(A745,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rs))))))"),27.78877887788782)</f>
        <v>27.78877888</v>
      </c>
      <c r="W745" s="16" t="str">
        <f>IFERROR(__xludf.DUMMYFUNCTION("IFERROR(GOOGLEFINANCE(A745, ""volume"") / GOOGLEFINANCE(A745, ""volumeavg""), )"),"")</f>
        <v/>
      </c>
      <c r="X745" s="9">
        <f>IFERROR(__xludf.DUMMYFUNCTION("B745 * GOOGLEFINANCE(A745, ""volume"")"),7.7287429E7)</f>
        <v>77287429</v>
      </c>
      <c r="Y745" s="9">
        <f>IFERROR(__xludf.DUMMYFUNCTION("IFERROR(((B745 - GOOGLEFINANCE(A745, ""priceopen"")) / GOOGLEFINANCE(A745, ""priceopen"")) * GOOGLEFINANCE(A745, ""volume""), 0)"),-2797.955225534745)</f>
        <v>-2797.955226</v>
      </c>
    </row>
    <row r="746">
      <c r="A746" s="4" t="s">
        <v>2539</v>
      </c>
      <c r="B746" s="7">
        <f>IFERROR(__xludf.DUMMYFUNCTION("GOOGLEFINANCE(A746, ""price"")"),1495.0)</f>
        <v>1495</v>
      </c>
      <c r="C746" s="7">
        <f>IFERROR(__xludf.DUMMYFUNCTION("GOOGLEFINANCE(A746, ""changepct"")"),1.31)</f>
        <v>1.31</v>
      </c>
      <c r="D746" s="9">
        <f>IFERROR(__xludf.DUMMYFUNCTION("GOOGLEFINANCE(A746, ""priceopen"")"),1475.7)</f>
        <v>1475.7</v>
      </c>
      <c r="E746" s="9">
        <f>IFERROR(__xludf.DUMMYFUNCTION("GOOGLEFINANCE(A746, ""high"")"),1501.0)</f>
        <v>1501</v>
      </c>
      <c r="F746" s="9">
        <f>IFERROR(__xludf.DUMMYFUNCTION("GOOGLEFINANCE(A746, ""low"")"),1455.0)</f>
        <v>1455</v>
      </c>
      <c r="G746" s="9">
        <f>IFERROR(__xludf.DUMMYFUNCTION("GOOGLEFINANCE(A746, ""price"")"),1495.0)</f>
        <v>1495</v>
      </c>
      <c r="H746" s="9">
        <f>IFERROR(__xludf.DUMMYFUNCTION("MAX(INDEX(GOOGLEFINANCE(A746, ""high"", TODAY()-30, TODAY()), 0, 2))"),1509.8)</f>
        <v>1509.8</v>
      </c>
      <c r="I746" s="9">
        <f>IFERROR(__xludf.DUMMYFUNCTION("MIN(INDEX(GOOGLEFINANCE(A746, ""low"", TODAY()-30, TODAY()), 0, 2))"),1279.7)</f>
        <v>1279.7</v>
      </c>
      <c r="J746" s="9">
        <f>IFERROR(__xludf.DUMMYFUNCTION("GOOGLEFINANCE(A746, ""high52"")"),1509.8)</f>
        <v>1509.8</v>
      </c>
      <c r="K746" s="9">
        <f>IFERROR(__xludf.DUMMYFUNCTION("GOOGLEFINANCE(A746, ""low52"")"),654.0)</f>
        <v>654</v>
      </c>
      <c r="L746" s="9">
        <f t="shared" si="1"/>
        <v>0.009802622864</v>
      </c>
      <c r="M746" s="9">
        <f t="shared" si="2"/>
        <v>1.285932722</v>
      </c>
      <c r="N746" s="9">
        <f t="shared" si="3"/>
        <v>0.03161512027</v>
      </c>
      <c r="O746" s="9">
        <f t="shared" si="4"/>
        <v>0.9356801391</v>
      </c>
      <c r="P746" s="9">
        <f>IFERROR(__xludf.DUMMYFUNCTION("GOOGLEFINANCE(A746, ""pe"")"),52.66)</f>
        <v>52.66</v>
      </c>
      <c r="Q746" s="9">
        <f>IFERROR(__xludf.DUMMYFUNCTION("IFERROR(GOOGLEFINANCE(A746, ""volume"") / GOOGLEFINANCE(A746, ""volumeavg""), 0)"),0.0)</f>
        <v>0</v>
      </c>
      <c r="R746" s="9">
        <f>IFERROR(__xludf.DUMMYFUNCTION("AVERAGE(INDEX(GOOGLEFINANCE(A746, ""price"", TODAY()-30, TODAY()), 0, 2))"),1388.8913043478262)</f>
        <v>1388.891304</v>
      </c>
      <c r="S746" s="9">
        <f>IFERROR(__xludf.DUMMYFUNCTION("AVERAGE(INDEX(GOOGLEFINANCE(A746, ""price"", TODAY()-75, TODAY()), 0, 2))"),1305.1537735849058)</f>
        <v>1305.153774</v>
      </c>
      <c r="T746" s="9">
        <f>IFERROR(__xludf.DUMMYFUNCTION("AVERAGE(INDEX(GOOGLEFINANCE(A746, ""price"", TODAY()-300, TODAY()), 0, 2))"),951.4759900990099)</f>
        <v>951.4759901</v>
      </c>
      <c r="U746" s="9">
        <f t="shared" si="5"/>
        <v>0.076398128</v>
      </c>
      <c r="V746" s="15">
        <f>IFERROR(__xludf.DUMMYFUNCTION("LET(hist, GOOGLEFINANCE(A746,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rs))))))"),61.34552273792782)</f>
        <v>61.34552274</v>
      </c>
      <c r="W746" s="16" t="str">
        <f>IFERROR(__xludf.DUMMYFUNCTION("IFERROR(GOOGLEFINANCE(A746, ""volume"") / GOOGLEFINANCE(A746, ""volumeavg""), )"),"")</f>
        <v/>
      </c>
      <c r="X746" s="9">
        <f>IFERROR(__xludf.DUMMYFUNCTION("B746 * GOOGLEFINANCE(A746, ""volume"")"),4.00640565E8)</f>
        <v>400640565</v>
      </c>
      <c r="Y746" s="9">
        <f>IFERROR(__xludf.DUMMYFUNCTION("IFERROR(((B746 - GOOGLEFINANCE(A746, ""priceopen"")) / GOOGLEFINANCE(A746, ""priceopen"")) * GOOGLEFINANCE(A746, ""volume""), 0)"),3504.8784305753115)</f>
        <v>3504.878431</v>
      </c>
    </row>
    <row r="747">
      <c r="A747" s="4" t="s">
        <v>2540</v>
      </c>
      <c r="B747" s="7">
        <f>IFERROR(__xludf.DUMMYFUNCTION("GOOGLEFINANCE(A747, ""price"")"),718.5)</f>
        <v>718.5</v>
      </c>
      <c r="C747" s="7">
        <f>IFERROR(__xludf.DUMMYFUNCTION("GOOGLEFINANCE(A747, ""changepct"")"),6.18)</f>
        <v>6.18</v>
      </c>
      <c r="D747" s="9">
        <f>IFERROR(__xludf.DUMMYFUNCTION("GOOGLEFINANCE(A747, ""priceopen"")"),676.95)</f>
        <v>676.95</v>
      </c>
      <c r="E747" s="9">
        <f>IFERROR(__xludf.DUMMYFUNCTION("GOOGLEFINANCE(A747, ""high"")"),761.75)</f>
        <v>761.75</v>
      </c>
      <c r="F747" s="9">
        <f>IFERROR(__xludf.DUMMYFUNCTION("GOOGLEFINANCE(A747, ""low"")"),667.15)</f>
        <v>667.15</v>
      </c>
      <c r="G747" s="9">
        <f>IFERROR(__xludf.DUMMYFUNCTION("GOOGLEFINANCE(A747, ""price"")"),718.5)</f>
        <v>718.5</v>
      </c>
      <c r="H747" s="9">
        <f>IFERROR(__xludf.DUMMYFUNCTION("MAX(INDEX(GOOGLEFINANCE(A747, ""high"", TODAY()-30, TODAY()), 0, 2))"),822.0)</f>
        <v>822</v>
      </c>
      <c r="I747" s="9">
        <f>IFERROR(__xludf.DUMMYFUNCTION("MIN(INDEX(GOOGLEFINANCE(A747, ""low"", TODAY()-30, TODAY()), 0, 2))"),667.15)</f>
        <v>667.15</v>
      </c>
      <c r="J747" s="9">
        <f>IFERROR(__xludf.DUMMYFUNCTION("GOOGLEFINANCE(A747, ""high52"")"),822.0)</f>
        <v>822</v>
      </c>
      <c r="K747" s="9">
        <f>IFERROR(__xludf.DUMMYFUNCTION("GOOGLEFINANCE(A747, ""low52"")"),368.0)</f>
        <v>368</v>
      </c>
      <c r="L747" s="9">
        <f t="shared" si="1"/>
        <v>0.1259124088</v>
      </c>
      <c r="M747" s="9">
        <f t="shared" si="2"/>
        <v>0.9524456522</v>
      </c>
      <c r="N747" s="9">
        <f t="shared" si="3"/>
        <v>0.141797197</v>
      </c>
      <c r="O747" s="9">
        <f t="shared" si="4"/>
        <v>0.3316112367</v>
      </c>
      <c r="P747" s="9">
        <f>IFERROR(__xludf.DUMMYFUNCTION("GOOGLEFINANCE(A747, ""pe"")"),74.37)</f>
        <v>74.37</v>
      </c>
      <c r="Q747" s="9">
        <f>IFERROR(__xludf.DUMMYFUNCTION("IFERROR(GOOGLEFINANCE(A747, ""volume"") / GOOGLEFINANCE(A747, ""volumeavg""), 0)"),0.0)</f>
        <v>0</v>
      </c>
      <c r="R747" s="9">
        <f>IFERROR(__xludf.DUMMYFUNCTION("AVERAGE(INDEX(GOOGLEFINANCE(A747, ""price"", TODAY()-30, TODAY()), 0, 2))"),723.7369565217392)</f>
        <v>723.7369565</v>
      </c>
      <c r="S747" s="9">
        <f>IFERROR(__xludf.DUMMYFUNCTION("AVERAGE(INDEX(GOOGLEFINANCE(A747, ""price"", TODAY()-75, TODAY()), 0, 2))"),658.9000000000002)</f>
        <v>658.9</v>
      </c>
      <c r="T747" s="9">
        <f>IFERROR(__xludf.DUMMYFUNCTION("AVERAGE(INDEX(GOOGLEFINANCE(A747, ""price"", TODAY()-300, TODAY()), 0, 2))"),578.0962871287127)</f>
        <v>578.0962871</v>
      </c>
      <c r="U747" s="9">
        <f t="shared" si="5"/>
        <v>-0.007235994341</v>
      </c>
      <c r="V747" s="15">
        <f>IFERROR(__xludf.DUMMYFUNCTION("LET(hist, GOOGLEFINANCE(A747,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rs))))))"),41.83328206705629)</f>
        <v>41.83328207</v>
      </c>
      <c r="W747" s="16" t="str">
        <f>IFERROR(__xludf.DUMMYFUNCTION("IFERROR(GOOGLEFINANCE(A747, ""volume"") / GOOGLEFINANCE(A747, ""volumeavg""), )"),"")</f>
        <v/>
      </c>
      <c r="X747" s="9">
        <f>IFERROR(__xludf.DUMMYFUNCTION("B747 * GOOGLEFINANCE(A747, ""volume"")"),2.4635518455E9)</f>
        <v>2463551846</v>
      </c>
      <c r="Y747" s="9">
        <f>IFERROR(__xludf.DUMMYFUNCTION("IFERROR(((B747 - GOOGLEFINANCE(A747, ""priceopen"")) / GOOGLEFINANCE(A747, ""priceopen"")) * GOOGLEFINANCE(A747, ""volume""), 0)"),210450.21294039418)</f>
        <v>210450.2129</v>
      </c>
    </row>
    <row r="748">
      <c r="A748" s="4" t="s">
        <v>2541</v>
      </c>
      <c r="B748" s="7">
        <f>IFERROR(__xludf.DUMMYFUNCTION("GOOGLEFINANCE(A748, ""price"")"),187.7)</f>
        <v>187.7</v>
      </c>
      <c r="C748" s="7">
        <f>IFERROR(__xludf.DUMMYFUNCTION("GOOGLEFINANCE(A748, ""changepct"")"),1.45)</f>
        <v>1.45</v>
      </c>
      <c r="D748" s="9">
        <f>IFERROR(__xludf.DUMMYFUNCTION("GOOGLEFINANCE(A748, ""priceopen"")"),186.05)</f>
        <v>186.05</v>
      </c>
      <c r="E748" s="9">
        <f>IFERROR(__xludf.DUMMYFUNCTION("GOOGLEFINANCE(A748, ""high"")"),191.73)</f>
        <v>191.73</v>
      </c>
      <c r="F748" s="9">
        <f>IFERROR(__xludf.DUMMYFUNCTION("GOOGLEFINANCE(A748, ""low"")"),186.0)</f>
        <v>186</v>
      </c>
      <c r="G748" s="9">
        <f>IFERROR(__xludf.DUMMYFUNCTION("GOOGLEFINANCE(A748, ""price"")"),187.7)</f>
        <v>187.7</v>
      </c>
      <c r="H748" s="9">
        <f>IFERROR(__xludf.DUMMYFUNCTION("MAX(INDEX(GOOGLEFINANCE(A748, ""high"", TODAY()-30, TODAY()), 0, 2))"),204.74)</f>
        <v>204.74</v>
      </c>
      <c r="I748" s="9">
        <f>IFERROR(__xludf.DUMMYFUNCTION("MIN(INDEX(GOOGLEFINANCE(A748, ""low"", TODAY()-30, TODAY()), 0, 2))"),182.08)</f>
        <v>182.08</v>
      </c>
      <c r="J748" s="9">
        <f>IFERROR(__xludf.DUMMYFUNCTION("GOOGLEFINANCE(A748, ""high52"")"),205.9)</f>
        <v>205.9</v>
      </c>
      <c r="K748" s="9">
        <f>IFERROR(__xludf.DUMMYFUNCTION("GOOGLEFINANCE(A748, ""low52"")"),119.51)</f>
        <v>119.51</v>
      </c>
      <c r="L748" s="9">
        <f t="shared" si="1"/>
        <v>0.08839242351</v>
      </c>
      <c r="M748" s="9">
        <f t="shared" si="2"/>
        <v>0.5705798678</v>
      </c>
      <c r="N748" s="9">
        <f t="shared" si="3"/>
        <v>0.03080645161</v>
      </c>
      <c r="O748" s="9">
        <f t="shared" si="4"/>
        <v>0.2480141218</v>
      </c>
      <c r="P748" s="9">
        <f>IFERROR(__xludf.DUMMYFUNCTION("GOOGLEFINANCE(A748, ""pe"")"),7.68)</f>
        <v>7.68</v>
      </c>
      <c r="Q748" s="9">
        <f>IFERROR(__xludf.DUMMYFUNCTION("IFERROR(GOOGLEFINANCE(A748, ""volume"") / GOOGLEFINANCE(A748, ""volumeavg""), 0)"),0.0)</f>
        <v>0</v>
      </c>
      <c r="R748" s="9">
        <f>IFERROR(__xludf.DUMMYFUNCTION("AVERAGE(INDEX(GOOGLEFINANCE(A748, ""price"", TODAY()-30, TODAY()), 0, 2))"),189.68304347826088)</f>
        <v>189.6830435</v>
      </c>
      <c r="S748" s="9">
        <f>IFERROR(__xludf.DUMMYFUNCTION("AVERAGE(INDEX(GOOGLEFINANCE(A748, ""price"", TODAY()-75, TODAY()), 0, 2))"),185.43433962264155)</f>
        <v>185.4343396</v>
      </c>
      <c r="T748" s="9">
        <f>IFERROR(__xludf.DUMMYFUNCTION("AVERAGE(INDEX(GOOGLEFINANCE(A748, ""price"", TODAY()-300, TODAY()), 0, 2))"),180.35661691542285)</f>
        <v>180.3566169</v>
      </c>
      <c r="U748" s="9">
        <f t="shared" si="5"/>
        <v>-0.01045451107</v>
      </c>
      <c r="V748" s="15">
        <f>IFERROR(__xludf.DUMMYFUNCTION("LET(hist, GOOGLEFINANCE(A748,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rs))))))"),48.4798685291701)</f>
        <v>48.47986853</v>
      </c>
      <c r="W748" s="16" t="str">
        <f>IFERROR(__xludf.DUMMYFUNCTION("IFERROR(GOOGLEFINANCE(A748, ""volume"") / GOOGLEFINANCE(A748, ""volumeavg""), )"),"")</f>
        <v/>
      </c>
      <c r="X748" s="9">
        <f>IFERROR(__xludf.DUMMYFUNCTION("B748 * GOOGLEFINANCE(A748, ""volume"")"),1.847504822E8)</f>
        <v>184750482.2</v>
      </c>
      <c r="Y748" s="9">
        <f>IFERROR(__xludf.DUMMYFUNCTION("IFERROR(((B748 - GOOGLEFINANCE(A748, ""priceopen"")) / GOOGLEFINANCE(A748, ""priceopen"")) * GOOGLEFINANCE(A748, ""volume""), 0)"),8729.222789572574)</f>
        <v>8729.22279</v>
      </c>
    </row>
    <row r="749">
      <c r="A749" s="4" t="s">
        <v>2542</v>
      </c>
      <c r="B749" s="7">
        <f>IFERROR(__xludf.DUMMYFUNCTION("GOOGLEFINANCE(A749, ""price"")"),761.0)</f>
        <v>761</v>
      </c>
      <c r="C749" s="7">
        <f>IFERROR(__xludf.DUMMYFUNCTION("GOOGLEFINANCE(A749, ""changepct"")"),-3.54)</f>
        <v>-3.54</v>
      </c>
      <c r="D749" s="9">
        <f>IFERROR(__xludf.DUMMYFUNCTION("GOOGLEFINANCE(A749, ""priceopen"")"),780.0)</f>
        <v>780</v>
      </c>
      <c r="E749" s="9">
        <f>IFERROR(__xludf.DUMMYFUNCTION("GOOGLEFINANCE(A749, ""high"")"),790.2)</f>
        <v>790.2</v>
      </c>
      <c r="F749" s="9">
        <f>IFERROR(__xludf.DUMMYFUNCTION("GOOGLEFINANCE(A749, ""low"")"),741.0)</f>
        <v>741</v>
      </c>
      <c r="G749" s="9">
        <f>IFERROR(__xludf.DUMMYFUNCTION("GOOGLEFINANCE(A749, ""price"")"),761.0)</f>
        <v>761</v>
      </c>
      <c r="H749" s="9">
        <f>IFERROR(__xludf.DUMMYFUNCTION("MAX(INDEX(GOOGLEFINANCE(A749, ""high"", TODAY()-30, TODAY()), 0, 2))"),866.8)</f>
        <v>866.8</v>
      </c>
      <c r="I749" s="9">
        <f>IFERROR(__xludf.DUMMYFUNCTION("MIN(INDEX(GOOGLEFINANCE(A749, ""low"", TODAY()-30, TODAY()), 0, 2))"),741.0)</f>
        <v>741</v>
      </c>
      <c r="J749" s="9">
        <f>IFERROR(__xludf.DUMMYFUNCTION("GOOGLEFINANCE(A749, ""high52"")"),954.9)</f>
        <v>954.9</v>
      </c>
      <c r="K749" s="9">
        <f>IFERROR(__xludf.DUMMYFUNCTION("GOOGLEFINANCE(A749, ""low52"")"),531.0)</f>
        <v>531</v>
      </c>
      <c r="L749" s="9">
        <f t="shared" si="1"/>
        <v>0.2030579118</v>
      </c>
      <c r="M749" s="9">
        <f t="shared" si="2"/>
        <v>0.4331450094</v>
      </c>
      <c r="N749" s="9">
        <f t="shared" si="3"/>
        <v>0.06639676113</v>
      </c>
      <c r="O749" s="9">
        <f t="shared" si="4"/>
        <v>0.1589825119</v>
      </c>
      <c r="P749" s="9">
        <f>IFERROR(__xludf.DUMMYFUNCTION("GOOGLEFINANCE(A749, ""pe"")"),58.05)</f>
        <v>58.05</v>
      </c>
      <c r="Q749" s="9">
        <f>IFERROR(__xludf.DUMMYFUNCTION("IFERROR(GOOGLEFINANCE(A749, ""volume"") / GOOGLEFINANCE(A749, ""volumeavg""), 0)"),0.0)</f>
        <v>0</v>
      </c>
      <c r="R749" s="9">
        <f>IFERROR(__xludf.DUMMYFUNCTION("AVERAGE(INDEX(GOOGLEFINANCE(A749, ""price"", TODAY()-30, TODAY()), 0, 2))"),815.4173913043479)</f>
        <v>815.4173913</v>
      </c>
      <c r="S749" s="9">
        <f>IFERROR(__xludf.DUMMYFUNCTION("AVERAGE(INDEX(GOOGLEFINANCE(A749, ""price"", TODAY()-75, TODAY()), 0, 2))"),791.3141509433962)</f>
        <v>791.3141509</v>
      </c>
      <c r="T749" s="9">
        <f>IFERROR(__xludf.DUMMYFUNCTION("AVERAGE(INDEX(GOOGLEFINANCE(A749, ""price"", TODAY()-300, TODAY()), 0, 2))"),749.3242574257424)</f>
        <v>749.3242574</v>
      </c>
      <c r="U749" s="9">
        <f t="shared" si="5"/>
        <v>-0.06673562753</v>
      </c>
      <c r="V749" s="15">
        <f>IFERROR(__xludf.DUMMYFUNCTION("LET(hist, GOOGLEFINANCE(A749,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rs))))))"),41.55509783728117)</f>
        <v>41.55509784</v>
      </c>
      <c r="W749" s="16" t="str">
        <f>IFERROR(__xludf.DUMMYFUNCTION("IFERROR(GOOGLEFINANCE(A749, ""volume"") / GOOGLEFINANCE(A749, ""volumeavg""), )"),"")</f>
        <v/>
      </c>
      <c r="X749" s="9">
        <f>IFERROR(__xludf.DUMMYFUNCTION("B749 * GOOGLEFINANCE(A749, ""volume"")"),6.09942261E8)</f>
        <v>609942261</v>
      </c>
      <c r="Y749" s="9">
        <f>IFERROR(__xludf.DUMMYFUNCTION("IFERROR(((B749 - GOOGLEFINANCE(A749, ""priceopen"")) / GOOGLEFINANCE(A749, ""priceopen"")) * GOOGLEFINANCE(A749, ""volume""), 0)"),-19523.742307692308)</f>
        <v>-19523.74231</v>
      </c>
    </row>
    <row r="750">
      <c r="A750" s="4" t="s">
        <v>2543</v>
      </c>
      <c r="B750" s="7">
        <f>IFERROR(__xludf.DUMMYFUNCTION("GOOGLEFINANCE(A750, ""price"")"),319.3)</f>
        <v>319.3</v>
      </c>
      <c r="C750" s="7">
        <f>IFERROR(__xludf.DUMMYFUNCTION("GOOGLEFINANCE(A750, ""changepct"")"),-1.98)</f>
        <v>-1.98</v>
      </c>
      <c r="D750" s="9">
        <f>IFERROR(__xludf.DUMMYFUNCTION("GOOGLEFINANCE(A750, ""priceopen"")"),328.2)</f>
        <v>328.2</v>
      </c>
      <c r="E750" s="9">
        <f>IFERROR(__xludf.DUMMYFUNCTION("GOOGLEFINANCE(A750, ""high"")"),328.2)</f>
        <v>328.2</v>
      </c>
      <c r="F750" s="9">
        <f>IFERROR(__xludf.DUMMYFUNCTION("GOOGLEFINANCE(A750, ""low"")"),316.2)</f>
        <v>316.2</v>
      </c>
      <c r="G750" s="9">
        <f>IFERROR(__xludf.DUMMYFUNCTION("GOOGLEFINANCE(A750, ""price"")"),319.3)</f>
        <v>319.3</v>
      </c>
      <c r="H750" s="9">
        <f>IFERROR(__xludf.DUMMYFUNCTION("MAX(INDEX(GOOGLEFINANCE(A750, ""high"", TODAY()-30, TODAY()), 0, 2))"),366.9)</f>
        <v>366.9</v>
      </c>
      <c r="I750" s="9">
        <f>IFERROR(__xludf.DUMMYFUNCTION("MIN(INDEX(GOOGLEFINANCE(A750, ""low"", TODAY()-30, TODAY()), 0, 2))"),313.6)</f>
        <v>313.6</v>
      </c>
      <c r="J750" s="9">
        <f>IFERROR(__xludf.DUMMYFUNCTION("GOOGLEFINANCE(A750, ""high52"")"),405.7)</f>
        <v>405.7</v>
      </c>
      <c r="K750" s="9">
        <f>IFERROR(__xludf.DUMMYFUNCTION("GOOGLEFINANCE(A750, ""low52"")"),222.61)</f>
        <v>222.61</v>
      </c>
      <c r="L750" s="9">
        <f t="shared" si="1"/>
        <v>0.2129652453</v>
      </c>
      <c r="M750" s="9">
        <f t="shared" si="2"/>
        <v>0.4343470644</v>
      </c>
      <c r="N750" s="9">
        <f t="shared" si="3"/>
        <v>0.03795066414</v>
      </c>
      <c r="O750" s="9">
        <f t="shared" si="4"/>
        <v>0.1069418386</v>
      </c>
      <c r="P750" s="9">
        <f>IFERROR(__xludf.DUMMYFUNCTION("GOOGLEFINANCE(A750, ""pe"")"),9.0)</f>
        <v>9</v>
      </c>
      <c r="Q750" s="9">
        <f>IFERROR(__xludf.DUMMYFUNCTION("IFERROR(GOOGLEFINANCE(A750, ""volume"") / GOOGLEFINANCE(A750, ""volumeavg""), 0)"),0.0)</f>
        <v>0</v>
      </c>
      <c r="R750" s="9">
        <f>IFERROR(__xludf.DUMMYFUNCTION("AVERAGE(INDEX(GOOGLEFINANCE(A750, ""price"", TODAY()-30, TODAY()), 0, 2))"),339.154347826087)</f>
        <v>339.1543478</v>
      </c>
      <c r="S750" s="9">
        <f>IFERROR(__xludf.DUMMYFUNCTION("AVERAGE(INDEX(GOOGLEFINANCE(A750, ""price"", TODAY()-75, TODAY()), 0, 2))"),356.4179245283018)</f>
        <v>356.4179245</v>
      </c>
      <c r="T750" s="9">
        <f>IFERROR(__xludf.DUMMYFUNCTION("AVERAGE(INDEX(GOOGLEFINANCE(A750, ""price"", TODAY()-300, TODAY()), 0, 2))"),299.3426732673268)</f>
        <v>299.3426733</v>
      </c>
      <c r="U750" s="9">
        <f t="shared" si="5"/>
        <v>-0.05854074392</v>
      </c>
      <c r="V750" s="15">
        <f>IFERROR(__xludf.DUMMYFUNCTION("LET(hist, GOOGLEFINANCE(A750,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rs))))))"),39.197930142302724)</f>
        <v>39.19793014</v>
      </c>
      <c r="W750" s="16" t="str">
        <f>IFERROR(__xludf.DUMMYFUNCTION("IFERROR(GOOGLEFINANCE(A750, ""volume"") / GOOGLEFINANCE(A750, ""volumeavg""), )"),"")</f>
        <v/>
      </c>
      <c r="X750" s="9">
        <f>IFERROR(__xludf.DUMMYFUNCTION("B750 * GOOGLEFINANCE(A750, ""volume"")"),1.105857234E8)</f>
        <v>110585723.4</v>
      </c>
      <c r="Y750" s="9">
        <f>IFERROR(__xludf.DUMMYFUNCTION("IFERROR(((B750 - GOOGLEFINANCE(A750, ""priceopen"")) / GOOGLEFINANCE(A750, ""priceopen"")) * GOOGLEFINANCE(A750, ""volume""), 0)"),-9391.859232175479)</f>
        <v>-9391.859232</v>
      </c>
    </row>
    <row r="751">
      <c r="A751" s="4" t="s">
        <v>2544</v>
      </c>
      <c r="B751" s="7">
        <f>IFERROR(__xludf.DUMMYFUNCTION("GOOGLEFINANCE(A751, ""price"")"),437.25)</f>
        <v>437.25</v>
      </c>
      <c r="C751" s="7">
        <f>IFERROR(__xludf.DUMMYFUNCTION("GOOGLEFINANCE(A751, ""changepct"")"),-0.07)</f>
        <v>-0.07</v>
      </c>
      <c r="D751" s="9">
        <f>IFERROR(__xludf.DUMMYFUNCTION("GOOGLEFINANCE(A751, ""priceopen"")"),437.55)</f>
        <v>437.55</v>
      </c>
      <c r="E751" s="9">
        <f>IFERROR(__xludf.DUMMYFUNCTION("GOOGLEFINANCE(A751, ""high"")"),441.9)</f>
        <v>441.9</v>
      </c>
      <c r="F751" s="9">
        <f>IFERROR(__xludf.DUMMYFUNCTION("GOOGLEFINANCE(A751, ""low"")"),435.0)</f>
        <v>435</v>
      </c>
      <c r="G751" s="9">
        <f>IFERROR(__xludf.DUMMYFUNCTION("GOOGLEFINANCE(A751, ""price"")"),437.25)</f>
        <v>437.25</v>
      </c>
      <c r="H751" s="9">
        <f>IFERROR(__xludf.DUMMYFUNCTION("MAX(INDEX(GOOGLEFINANCE(A751, ""high"", TODAY()-30, TODAY()), 0, 2))"),445.35)</f>
        <v>445.35</v>
      </c>
      <c r="I751" s="9">
        <f>IFERROR(__xludf.DUMMYFUNCTION("MIN(INDEX(GOOGLEFINANCE(A751, ""low"", TODAY()-30, TODAY()), 0, 2))"),420.3)</f>
        <v>420.3</v>
      </c>
      <c r="J751" s="9">
        <f>IFERROR(__xludf.DUMMYFUNCTION("GOOGLEFINANCE(A751, ""high52"")"),480.95)</f>
        <v>480.95</v>
      </c>
      <c r="K751" s="9">
        <f>IFERROR(__xludf.DUMMYFUNCTION("GOOGLEFINANCE(A751, ""low52"")"),257.05)</f>
        <v>257.05</v>
      </c>
      <c r="L751" s="9">
        <f t="shared" si="1"/>
        <v>0.09086183595</v>
      </c>
      <c r="M751" s="9">
        <f t="shared" si="2"/>
        <v>0.7010309278</v>
      </c>
      <c r="N751" s="9">
        <f t="shared" si="3"/>
        <v>0.01586206897</v>
      </c>
      <c r="O751" s="9">
        <f t="shared" si="4"/>
        <v>0.6766467066</v>
      </c>
      <c r="P751" s="9">
        <f>IFERROR(__xludf.DUMMYFUNCTION("GOOGLEFINANCE(A751, ""pe"")"),42.75)</f>
        <v>42.75</v>
      </c>
      <c r="Q751" s="9">
        <f>IFERROR(__xludf.DUMMYFUNCTION("IFERROR(GOOGLEFINANCE(A751, ""volume"") / GOOGLEFINANCE(A751, ""volumeavg""), 0)"),0.0)</f>
        <v>0</v>
      </c>
      <c r="R751" s="9">
        <f>IFERROR(__xludf.DUMMYFUNCTION("AVERAGE(INDEX(GOOGLEFINANCE(A751, ""price"", TODAY()-30, TODAY()), 0, 2))"),433.73478260869564)</f>
        <v>433.7347826</v>
      </c>
      <c r="S751" s="9">
        <f>IFERROR(__xludf.DUMMYFUNCTION("AVERAGE(INDEX(GOOGLEFINANCE(A751, ""price"", TODAY()-75, TODAY()), 0, 2))"),428.3349056603773)</f>
        <v>428.3349057</v>
      </c>
      <c r="T751" s="9">
        <f>IFERROR(__xludf.DUMMYFUNCTION("AVERAGE(INDEX(GOOGLEFINANCE(A751, ""price"", TODAY()-300, TODAY()), 0, 2))"),356.1554455445545)</f>
        <v>356.1554455</v>
      </c>
      <c r="U751" s="9">
        <f t="shared" si="5"/>
        <v>0.008104531922</v>
      </c>
      <c r="V751" s="15">
        <f>IFERROR(__xludf.DUMMYFUNCTION("LET(hist, GOOGLEFINANCE(A751,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rs))))))"),50.100401606425734)</f>
        <v>50.10040161</v>
      </c>
      <c r="W751" s="16" t="str">
        <f>IFERROR(__xludf.DUMMYFUNCTION("IFERROR(GOOGLEFINANCE(A751, ""volume"") / GOOGLEFINANCE(A751, ""volumeavg""), )"),"")</f>
        <v/>
      </c>
      <c r="X751" s="9">
        <f>IFERROR(__xludf.DUMMYFUNCTION("B751 * GOOGLEFINANCE(A751, ""volume"")"),5.280012375E7)</f>
        <v>52800123.75</v>
      </c>
      <c r="Y751" s="9">
        <f>IFERROR(__xludf.DUMMYFUNCTION("IFERROR(((B751 - GOOGLEFINANCE(A751, ""priceopen"")) / GOOGLEFINANCE(A751, ""priceopen"")) * GOOGLEFINANCE(A751, ""volume""), 0)"),-82.79396640384269)</f>
        <v>-82.7939664</v>
      </c>
    </row>
    <row r="752">
      <c r="A752" s="4" t="s">
        <v>2545</v>
      </c>
      <c r="B752" s="7">
        <f>IFERROR(__xludf.DUMMYFUNCTION("GOOGLEFINANCE(A752, ""price"")"),129.41)</f>
        <v>129.41</v>
      </c>
      <c r="C752" s="7">
        <f>IFERROR(__xludf.DUMMYFUNCTION("GOOGLEFINANCE(A752, ""changepct"")"),2.62)</f>
        <v>2.62</v>
      </c>
      <c r="D752" s="9">
        <f>IFERROR(__xludf.DUMMYFUNCTION("GOOGLEFINANCE(A752, ""priceopen"")"),126.95)</f>
        <v>126.95</v>
      </c>
      <c r="E752" s="9">
        <f>IFERROR(__xludf.DUMMYFUNCTION("GOOGLEFINANCE(A752, ""high"")"),137.0)</f>
        <v>137</v>
      </c>
      <c r="F752" s="9">
        <f>IFERROR(__xludf.DUMMYFUNCTION("GOOGLEFINANCE(A752, ""low"")"),126.74)</f>
        <v>126.74</v>
      </c>
      <c r="G752" s="9">
        <f>IFERROR(__xludf.DUMMYFUNCTION("GOOGLEFINANCE(A752, ""price"")"),129.41)</f>
        <v>129.41</v>
      </c>
      <c r="H752" s="9">
        <f>IFERROR(__xludf.DUMMYFUNCTION("MAX(INDEX(GOOGLEFINANCE(A752, ""high"", TODAY()-30, TODAY()), 0, 2))"),143.8)</f>
        <v>143.8</v>
      </c>
      <c r="I752" s="9">
        <f>IFERROR(__xludf.DUMMYFUNCTION("MIN(INDEX(GOOGLEFINANCE(A752, ""low"", TODAY()-30, TODAY()), 0, 2))"),123.45)</f>
        <v>123.45</v>
      </c>
      <c r="J752" s="9">
        <f>IFERROR(__xludf.DUMMYFUNCTION("GOOGLEFINANCE(A752, ""high52"")"),146.5)</f>
        <v>146.5</v>
      </c>
      <c r="K752" s="9">
        <f>IFERROR(__xludf.DUMMYFUNCTION("GOOGLEFINANCE(A752, ""low52"")"),90.32)</f>
        <v>90.32</v>
      </c>
      <c r="L752" s="9">
        <f t="shared" si="1"/>
        <v>0.1166552901</v>
      </c>
      <c r="M752" s="9">
        <f t="shared" si="2"/>
        <v>0.4327945084</v>
      </c>
      <c r="N752" s="9">
        <f t="shared" si="3"/>
        <v>0.0809531324</v>
      </c>
      <c r="O752" s="9">
        <f t="shared" si="4"/>
        <v>0.2928746929</v>
      </c>
      <c r="P752" s="9">
        <f>IFERROR(__xludf.DUMMYFUNCTION("GOOGLEFINANCE(A752, ""pe"")"),49.99)</f>
        <v>49.99</v>
      </c>
      <c r="Q752" s="9">
        <f>IFERROR(__xludf.DUMMYFUNCTION("IFERROR(GOOGLEFINANCE(A752, ""volume"") / GOOGLEFINANCE(A752, ""volumeavg""), 0)"),0.0)</f>
        <v>0</v>
      </c>
      <c r="R752" s="9">
        <f>IFERROR(__xludf.DUMMYFUNCTION("AVERAGE(INDEX(GOOGLEFINANCE(A752, ""price"", TODAY()-30, TODAY()), 0, 2))"),134.7234782608696)</f>
        <v>134.7234783</v>
      </c>
      <c r="S752" s="9">
        <f>IFERROR(__xludf.DUMMYFUNCTION("AVERAGE(INDEX(GOOGLEFINANCE(A752, ""price"", TODAY()-75, TODAY()), 0, 2))"),132.71207547169809)</f>
        <v>132.7120755</v>
      </c>
      <c r="T752" s="9">
        <f>IFERROR(__xludf.DUMMYFUNCTION("AVERAGE(INDEX(GOOGLEFINANCE(A752, ""price"", TODAY()-300, TODAY()), 0, 2))"),117.31584158415839)</f>
        <v>117.3158416</v>
      </c>
      <c r="U752" s="9">
        <f t="shared" si="5"/>
        <v>-0.0394398833</v>
      </c>
      <c r="V752" s="15">
        <f>IFERROR(__xludf.DUMMYFUNCTION("LET(hist, GOOGLEFINANCE(A752,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rs))))))"),44.041070773744046)</f>
        <v>44.04107077</v>
      </c>
      <c r="W752" s="16" t="str">
        <f>IFERROR(__xludf.DUMMYFUNCTION("IFERROR(GOOGLEFINANCE(A752, ""volume"") / GOOGLEFINANCE(A752, ""volumeavg""), )"),"")</f>
        <v/>
      </c>
      <c r="X752" s="9">
        <f>IFERROR(__xludf.DUMMYFUNCTION("B752 * GOOGLEFINANCE(A752, ""volume"")"),4.0628605965999997E8)</f>
        <v>406286059.7</v>
      </c>
      <c r="Y752" s="9">
        <f>IFERROR(__xludf.DUMMYFUNCTION("IFERROR(((B752 - GOOGLEFINANCE(A752, ""priceopen"")) / GOOGLEFINANCE(A752, ""priceopen"")) * GOOGLEFINANCE(A752, ""volume""), 0)"),60836.817329657184)</f>
        <v>60836.81733</v>
      </c>
    </row>
    <row r="753">
      <c r="A753" s="4" t="s">
        <v>2546</v>
      </c>
      <c r="B753" s="7">
        <f>IFERROR(__xludf.DUMMYFUNCTION("GOOGLEFINANCE(A753, ""price"")"),543.8)</f>
        <v>543.8</v>
      </c>
      <c r="C753" s="7">
        <f>IFERROR(__xludf.DUMMYFUNCTION("GOOGLEFINANCE(A753, ""changepct"")"),3.33)</f>
        <v>3.33</v>
      </c>
      <c r="D753" s="9">
        <f>IFERROR(__xludf.DUMMYFUNCTION("GOOGLEFINANCE(A753, ""priceopen"")"),522.65)</f>
        <v>522.65</v>
      </c>
      <c r="E753" s="9">
        <f>IFERROR(__xludf.DUMMYFUNCTION("GOOGLEFINANCE(A753, ""high"")"),546.45)</f>
        <v>546.45</v>
      </c>
      <c r="F753" s="9">
        <f>IFERROR(__xludf.DUMMYFUNCTION("GOOGLEFINANCE(A753, ""low"")"),509.5)</f>
        <v>509.5</v>
      </c>
      <c r="G753" s="9">
        <f>IFERROR(__xludf.DUMMYFUNCTION("GOOGLEFINANCE(A753, ""price"")"),543.8)</f>
        <v>543.8</v>
      </c>
      <c r="H753" s="9">
        <f>IFERROR(__xludf.DUMMYFUNCTION("MAX(INDEX(GOOGLEFINANCE(A753, ""high"", TODAY()-30, TODAY()), 0, 2))"),574.5)</f>
        <v>574.5</v>
      </c>
      <c r="I753" s="9">
        <f>IFERROR(__xludf.DUMMYFUNCTION("MIN(INDEX(GOOGLEFINANCE(A753, ""low"", TODAY()-30, TODAY()), 0, 2))"),503.3)</f>
        <v>503.3</v>
      </c>
      <c r="J753" s="9">
        <f>IFERROR(__xludf.DUMMYFUNCTION("GOOGLEFINANCE(A753, ""high52"")"),593.0)</f>
        <v>593</v>
      </c>
      <c r="K753" s="9">
        <f>IFERROR(__xludf.DUMMYFUNCTION("GOOGLEFINANCE(A753, ""low52"")"),327.05)</f>
        <v>327.05</v>
      </c>
      <c r="L753" s="9">
        <f t="shared" si="1"/>
        <v>0.08296795953</v>
      </c>
      <c r="M753" s="9">
        <f t="shared" si="2"/>
        <v>0.6627426999</v>
      </c>
      <c r="N753" s="9">
        <f t="shared" si="3"/>
        <v>0.07252208047</v>
      </c>
      <c r="O753" s="9">
        <f t="shared" si="4"/>
        <v>0.5688202247</v>
      </c>
      <c r="P753" s="9">
        <f>IFERROR(__xludf.DUMMYFUNCTION("GOOGLEFINANCE(A753, ""pe"")"),28.8)</f>
        <v>28.8</v>
      </c>
      <c r="Q753" s="9">
        <f>IFERROR(__xludf.DUMMYFUNCTION("IFERROR(GOOGLEFINANCE(A753, ""volume"") / GOOGLEFINANCE(A753, ""volumeavg""), 0)"),0.0)</f>
        <v>0</v>
      </c>
      <c r="R753" s="9">
        <f>IFERROR(__xludf.DUMMYFUNCTION("AVERAGE(INDEX(GOOGLEFINANCE(A753, ""price"", TODAY()-30, TODAY()), 0, 2))"),535.6847826086956)</f>
        <v>535.6847826</v>
      </c>
      <c r="S753" s="9">
        <f>IFERROR(__xludf.DUMMYFUNCTION("AVERAGE(INDEX(GOOGLEFINANCE(A753, ""price"", TODAY()-75, TODAY()), 0, 2))"),543.066037735849)</f>
        <v>543.0660377</v>
      </c>
      <c r="T753" s="9">
        <f>IFERROR(__xludf.DUMMYFUNCTION("AVERAGE(INDEX(GOOGLEFINANCE(A753, ""price"", TODAY()-300, TODAY()), 0, 2))"),456.583910891089)</f>
        <v>456.5839109</v>
      </c>
      <c r="U753" s="9">
        <f t="shared" si="5"/>
        <v>0.0151492401</v>
      </c>
      <c r="V753" s="15">
        <f>IFERROR(__xludf.DUMMYFUNCTION("LET(hist, GOOGLEFINANCE(A753,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rs))))))"),54.5178435839028)</f>
        <v>54.51784358</v>
      </c>
      <c r="W753" s="16" t="str">
        <f>IFERROR(__xludf.DUMMYFUNCTION("IFERROR(GOOGLEFINANCE(A753, ""volume"") / GOOGLEFINANCE(A753, ""volumeavg""), )"),"")</f>
        <v/>
      </c>
      <c r="X753" s="9">
        <f>IFERROR(__xludf.DUMMYFUNCTION("B753 * GOOGLEFINANCE(A753, ""volume"")"),6.437950315999999E8)</f>
        <v>643795031.6</v>
      </c>
      <c r="Y753" s="9">
        <f>IFERROR(__xludf.DUMMYFUNCTION("IFERROR(((B753 - GOOGLEFINANCE(A753, ""priceopen"")) / GOOGLEFINANCE(A753, ""priceopen"")) * GOOGLEFINANCE(A753, ""volume""), 0)"),47907.97723141677)</f>
        <v>47907.97723</v>
      </c>
    </row>
    <row r="754">
      <c r="A754" s="4" t="s">
        <v>2547</v>
      </c>
      <c r="B754" s="7">
        <f>IFERROR(__xludf.DUMMYFUNCTION("GOOGLEFINANCE(A754, ""price"")"),231.3)</f>
        <v>231.3</v>
      </c>
      <c r="C754" s="7">
        <f>IFERROR(__xludf.DUMMYFUNCTION("GOOGLEFINANCE(A754, ""changepct"")"),-2.0)</f>
        <v>-2</v>
      </c>
      <c r="D754" s="9">
        <f>IFERROR(__xludf.DUMMYFUNCTION("GOOGLEFINANCE(A754, ""priceopen"")"),236.98)</f>
        <v>236.98</v>
      </c>
      <c r="E754" s="9">
        <f>IFERROR(__xludf.DUMMYFUNCTION("GOOGLEFINANCE(A754, ""high"")"),238.89)</f>
        <v>238.89</v>
      </c>
      <c r="F754" s="9">
        <f>IFERROR(__xludf.DUMMYFUNCTION("GOOGLEFINANCE(A754, ""low"")"),226.7)</f>
        <v>226.7</v>
      </c>
      <c r="G754" s="9">
        <f>IFERROR(__xludf.DUMMYFUNCTION("GOOGLEFINANCE(A754, ""price"")"),231.3)</f>
        <v>231.3</v>
      </c>
      <c r="H754" s="9">
        <f>IFERROR(__xludf.DUMMYFUNCTION("MAX(INDEX(GOOGLEFINANCE(A754, ""high"", TODAY()-30, TODAY()), 0, 2))"),238.89)</f>
        <v>238.89</v>
      </c>
      <c r="I754" s="9">
        <f>IFERROR(__xludf.DUMMYFUNCTION("MIN(INDEX(GOOGLEFINANCE(A754, ""low"", TODAY()-30, TODAY()), 0, 2))"),171.9)</f>
        <v>171.9</v>
      </c>
      <c r="J754" s="9">
        <f>IFERROR(__xludf.DUMMYFUNCTION("GOOGLEFINANCE(A754, ""high52"")"),347.9)</f>
        <v>347.9</v>
      </c>
      <c r="K754" s="9">
        <f>IFERROR(__xludf.DUMMYFUNCTION("GOOGLEFINANCE(A754, ""low52"")"),139.91)</f>
        <v>139.91</v>
      </c>
      <c r="L754" s="9">
        <f t="shared" si="1"/>
        <v>0.3351537798</v>
      </c>
      <c r="M754" s="9">
        <f t="shared" si="2"/>
        <v>0.6532056322</v>
      </c>
      <c r="N754" s="9">
        <f t="shared" si="3"/>
        <v>0.05377150419</v>
      </c>
      <c r="O754" s="9">
        <f t="shared" si="4"/>
        <v>0.8866995074</v>
      </c>
      <c r="P754" s="9" t="str">
        <f>IFERROR(__xludf.DUMMYFUNCTION("GOOGLEFINANCE(A754, ""pe"")"),"#N/A")</f>
        <v>#N/A</v>
      </c>
      <c r="Q754" s="9">
        <f>IFERROR(__xludf.DUMMYFUNCTION("IFERROR(GOOGLEFINANCE(A754, ""volume"") / GOOGLEFINANCE(A754, ""volumeavg""), 0)"),0.0)</f>
        <v>0</v>
      </c>
      <c r="R754" s="9">
        <f>IFERROR(__xludf.DUMMYFUNCTION("AVERAGE(INDEX(GOOGLEFINANCE(A754, ""price"", TODAY()-30, TODAY()), 0, 2))"),193.8091304347826)</f>
        <v>193.8091304</v>
      </c>
      <c r="S754" s="9">
        <f>IFERROR(__xludf.DUMMYFUNCTION("AVERAGE(INDEX(GOOGLEFINANCE(A754, ""price"", TODAY()-75, TODAY()), 0, 2))"),186.4741509433962)</f>
        <v>186.4741509</v>
      </c>
      <c r="T754" s="9">
        <f>IFERROR(__xludf.DUMMYFUNCTION("AVERAGE(INDEX(GOOGLEFINANCE(A754, ""price"", TODAY()-300, TODAY()), 0, 2))"),207.18811881188114)</f>
        <v>207.1881188</v>
      </c>
      <c r="U754" s="9">
        <f t="shared" si="5"/>
        <v>0.1934422258</v>
      </c>
      <c r="V754" s="15">
        <f>IFERROR(__xludf.DUMMYFUNCTION("LET(hist, GOOGLEFINANCE(A754,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rs))))))"),75.68962095653899)</f>
        <v>75.68962096</v>
      </c>
      <c r="W754" s="16" t="str">
        <f>IFERROR(__xludf.DUMMYFUNCTION("IFERROR(GOOGLEFINANCE(A754, ""volume"") / GOOGLEFINANCE(A754, ""volumeavg""), )"),"")</f>
        <v/>
      </c>
      <c r="X754" s="9">
        <f>IFERROR(__xludf.DUMMYFUNCTION("B754 * GOOGLEFINANCE(A754, ""volume"")"),8.134760862E8)</f>
        <v>813476086.2</v>
      </c>
      <c r="Y754" s="9">
        <f>IFERROR(__xludf.DUMMYFUNCTION("IFERROR(((B754 - GOOGLEFINANCE(A754, ""priceopen"")) / GOOGLEFINANCE(A754, ""priceopen"")) * GOOGLEFINANCE(A754, ""volume""), 0)"),-84295.7731454128)</f>
        <v>-84295.77315</v>
      </c>
    </row>
    <row r="755">
      <c r="A755" s="4" t="s">
        <v>2548</v>
      </c>
      <c r="B755" s="7">
        <f>IFERROR(__xludf.DUMMYFUNCTION("GOOGLEFINANCE(A755, ""price"")"),821.5)</f>
        <v>821.5</v>
      </c>
      <c r="C755" s="7">
        <f>IFERROR(__xludf.DUMMYFUNCTION("GOOGLEFINANCE(A755, ""changepct"")"),-1.47)</f>
        <v>-1.47</v>
      </c>
      <c r="D755" s="9">
        <f>IFERROR(__xludf.DUMMYFUNCTION("GOOGLEFINANCE(A755, ""priceopen"")"),833.75)</f>
        <v>833.75</v>
      </c>
      <c r="E755" s="9">
        <f>IFERROR(__xludf.DUMMYFUNCTION("GOOGLEFINANCE(A755, ""high"")"),837.5)</f>
        <v>837.5</v>
      </c>
      <c r="F755" s="9">
        <f>IFERROR(__xludf.DUMMYFUNCTION("GOOGLEFINANCE(A755, ""low"")"),818.45)</f>
        <v>818.45</v>
      </c>
      <c r="G755" s="9">
        <f>IFERROR(__xludf.DUMMYFUNCTION("GOOGLEFINANCE(A755, ""price"")"),821.5)</f>
        <v>821.5</v>
      </c>
      <c r="H755" s="9">
        <f>IFERROR(__xludf.DUMMYFUNCTION("MAX(INDEX(GOOGLEFINANCE(A755, ""high"", TODAY()-30, TODAY()), 0, 2))"),925.65)</f>
        <v>925.65</v>
      </c>
      <c r="I755" s="9">
        <f>IFERROR(__xludf.DUMMYFUNCTION("MIN(INDEX(GOOGLEFINANCE(A755, ""low"", TODAY()-30, TODAY()), 0, 2))"),782.0)</f>
        <v>782</v>
      </c>
      <c r="J755" s="9">
        <f>IFERROR(__xludf.DUMMYFUNCTION("GOOGLEFINANCE(A755, ""high52"")"),925.65)</f>
        <v>925.65</v>
      </c>
      <c r="K755" s="9">
        <f>IFERROR(__xludf.DUMMYFUNCTION("GOOGLEFINANCE(A755, ""low52"")"),623.1)</f>
        <v>623.1</v>
      </c>
      <c r="L755" s="9">
        <f t="shared" si="1"/>
        <v>0.1125155296</v>
      </c>
      <c r="M755" s="9">
        <f t="shared" si="2"/>
        <v>0.3184079602</v>
      </c>
      <c r="N755" s="9">
        <f t="shared" si="3"/>
        <v>0.02327570407</v>
      </c>
      <c r="O755" s="9">
        <f t="shared" si="4"/>
        <v>0.2749738949</v>
      </c>
      <c r="P755" s="9">
        <f>IFERROR(__xludf.DUMMYFUNCTION("GOOGLEFINANCE(A755, ""pe"")"),139.47)</f>
        <v>139.47</v>
      </c>
      <c r="Q755" s="9">
        <f>IFERROR(__xludf.DUMMYFUNCTION("IFERROR(GOOGLEFINANCE(A755, ""volume"") / GOOGLEFINANCE(A755, ""volumeavg""), 0)"),0.0)</f>
        <v>0</v>
      </c>
      <c r="R755" s="9">
        <f>IFERROR(__xludf.DUMMYFUNCTION("AVERAGE(INDEX(GOOGLEFINANCE(A755, ""price"", TODAY()-30, TODAY()), 0, 2))"),830.7934782608697)</f>
        <v>830.7934783</v>
      </c>
      <c r="S755" s="9">
        <f>IFERROR(__xludf.DUMMYFUNCTION("AVERAGE(INDEX(GOOGLEFINANCE(A755, ""price"", TODAY()-75, TODAY()), 0, 2))"),819.975806451613)</f>
        <v>819.9758065</v>
      </c>
      <c r="T755" s="9">
        <f>IFERROR(__xludf.DUMMYFUNCTION("AVERAGE(INDEX(GOOGLEFINANCE(A755, ""price"", TODAY()-300, TODAY()), 0, 2))"),819.975806451613)</f>
        <v>819.9758065</v>
      </c>
      <c r="U755" s="9">
        <f t="shared" si="5"/>
        <v>-0.01118626771</v>
      </c>
      <c r="V755" s="15">
        <f>IFERROR(__xludf.DUMMYFUNCTION("LET(hist, GOOGLEFINANCE(A755,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rs))))))"),49.68099861303745)</f>
        <v>49.68099861</v>
      </c>
      <c r="W755" s="16" t="str">
        <f>IFERROR(__xludf.DUMMYFUNCTION("IFERROR(GOOGLEFINANCE(A755, ""volume"") / GOOGLEFINANCE(A755, ""volumeavg""), )"),"")</f>
        <v/>
      </c>
      <c r="X755" s="9">
        <f>IFERROR(__xludf.DUMMYFUNCTION("B755 * GOOGLEFINANCE(A755, ""volume"")"),6.76612045E7)</f>
        <v>67661204.5</v>
      </c>
      <c r="Y755" s="9">
        <f>IFERROR(__xludf.DUMMYFUNCTION("IFERROR(((B755 - GOOGLEFINANCE(A755, ""priceopen"")) / GOOGLEFINANCE(A755, ""priceopen"")) * GOOGLEFINANCE(A755, ""volume""), 0)"),-1210.1310344827587)</f>
        <v>-1210.131034</v>
      </c>
    </row>
    <row r="756">
      <c r="A756" s="4" t="s">
        <v>2549</v>
      </c>
      <c r="B756" s="7">
        <f>IFERROR(__xludf.DUMMYFUNCTION("GOOGLEFINANCE(A756, ""price"")"),11.81)</f>
        <v>11.81</v>
      </c>
      <c r="C756" s="7">
        <f>IFERROR(__xludf.DUMMYFUNCTION("GOOGLEFINANCE(A756, ""changepct"")"),-0.25)</f>
        <v>-0.25</v>
      </c>
      <c r="D756" s="9">
        <f>IFERROR(__xludf.DUMMYFUNCTION("GOOGLEFINANCE(A756, ""priceopen"")"),11.85)</f>
        <v>11.85</v>
      </c>
      <c r="E756" s="9">
        <f>IFERROR(__xludf.DUMMYFUNCTION("GOOGLEFINANCE(A756, ""high"")"),11.88)</f>
        <v>11.88</v>
      </c>
      <c r="F756" s="9">
        <f>IFERROR(__xludf.DUMMYFUNCTION("GOOGLEFINANCE(A756, ""low"")"),11.73)</f>
        <v>11.73</v>
      </c>
      <c r="G756" s="9">
        <f>IFERROR(__xludf.DUMMYFUNCTION("GOOGLEFINANCE(A756, ""price"")"),11.81)</f>
        <v>11.81</v>
      </c>
      <c r="H756" s="9">
        <f>IFERROR(__xludf.DUMMYFUNCTION("MAX(INDEX(GOOGLEFINANCE(A756, ""high"", TODAY()-30, TODAY()), 0, 2))"),12.92)</f>
        <v>12.92</v>
      </c>
      <c r="I756" s="9">
        <f>IFERROR(__xludf.DUMMYFUNCTION("MIN(INDEX(GOOGLEFINANCE(A756, ""low"", TODAY()-30, TODAY()), 0, 2))"),11.73)</f>
        <v>11.73</v>
      </c>
      <c r="J756" s="9">
        <f>IFERROR(__xludf.DUMMYFUNCTION("GOOGLEFINANCE(A756, ""high52"")"),19.34)</f>
        <v>19.34</v>
      </c>
      <c r="K756" s="9">
        <f>IFERROR(__xludf.DUMMYFUNCTION("GOOGLEFINANCE(A756, ""low52"")"),11.11)</f>
        <v>11.11</v>
      </c>
      <c r="L756" s="9">
        <f t="shared" si="1"/>
        <v>0.3893485005</v>
      </c>
      <c r="M756" s="9">
        <f t="shared" si="2"/>
        <v>0.06300630063</v>
      </c>
      <c r="N756" s="9">
        <f t="shared" si="3"/>
        <v>0.01278772379</v>
      </c>
      <c r="O756" s="9">
        <f t="shared" si="4"/>
        <v>0.06722689076</v>
      </c>
      <c r="P756" s="9" t="str">
        <f>IFERROR(__xludf.DUMMYFUNCTION("GOOGLEFINANCE(A756, ""pe"")"),"#N/A")</f>
        <v>#N/A</v>
      </c>
      <c r="Q756" s="9">
        <f>IFERROR(__xludf.DUMMYFUNCTION("IFERROR(GOOGLEFINANCE(A756, ""volume"") / GOOGLEFINANCE(A756, ""volumeavg""), 0)"),0.0)</f>
        <v>0</v>
      </c>
      <c r="R756" s="9">
        <f>IFERROR(__xludf.DUMMYFUNCTION("AVERAGE(INDEX(GOOGLEFINANCE(A756, ""price"", TODAY()-30, TODAY()), 0, 2))"),12.11173913043478)</f>
        <v>12.11173913</v>
      </c>
      <c r="S756" s="9">
        <f>IFERROR(__xludf.DUMMYFUNCTION("AVERAGE(INDEX(GOOGLEFINANCE(A756, ""price"", TODAY()-75, TODAY()), 0, 2))"),12.4188679245283)</f>
        <v>12.41886792</v>
      </c>
      <c r="T756" s="9">
        <f>IFERROR(__xludf.DUMMYFUNCTION("AVERAGE(INDEX(GOOGLEFINANCE(A756, ""price"", TODAY()-300, TODAY()), 0, 2))"),14.37272277227723)</f>
        <v>14.37272277</v>
      </c>
      <c r="U756" s="9">
        <f t="shared" si="5"/>
        <v>-0.02491294827</v>
      </c>
      <c r="V756" s="15">
        <f>IFERROR(__xludf.DUMMYFUNCTION("LET(hist, GOOGLEFINANCE(A756,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rs))))))"),36.95652173913042)</f>
        <v>36.95652174</v>
      </c>
      <c r="W756" s="16" t="str">
        <f>IFERROR(__xludf.DUMMYFUNCTION("IFERROR(GOOGLEFINANCE(A756, ""volume"") / GOOGLEFINANCE(A756, ""volumeavg""), )"),"")</f>
        <v/>
      </c>
      <c r="X756" s="9">
        <f>IFERROR(__xludf.DUMMYFUNCTION("B756 * GOOGLEFINANCE(A756, ""volume"")"),2.889851493E7)</f>
        <v>28898514.93</v>
      </c>
      <c r="Y756" s="9">
        <f>IFERROR(__xludf.DUMMYFUNCTION("IFERROR(((B756 - GOOGLEFINANCE(A756, ""priceopen"")) / GOOGLEFINANCE(A756, ""priceopen"")) * GOOGLEFINANCE(A756, ""volume""), 0)"),-8259.75696202514)</f>
        <v>-8259.756962</v>
      </c>
    </row>
    <row r="757">
      <c r="A757" s="4" t="s">
        <v>2550</v>
      </c>
      <c r="B757" s="7">
        <f>IFERROR(__xludf.DUMMYFUNCTION("GOOGLEFINANCE(A757, ""price"")"),2909.0)</f>
        <v>2909</v>
      </c>
      <c r="C757" s="7">
        <f>IFERROR(__xludf.DUMMYFUNCTION("GOOGLEFINANCE(A757, ""changepct"")"),11.5)</f>
        <v>11.5</v>
      </c>
      <c r="D757" s="9">
        <f>IFERROR(__xludf.DUMMYFUNCTION("GOOGLEFINANCE(A757, ""priceopen"")"),2650.0)</f>
        <v>2650</v>
      </c>
      <c r="E757" s="9">
        <f>IFERROR(__xludf.DUMMYFUNCTION("GOOGLEFINANCE(A757, ""high"")"),2925.0)</f>
        <v>2925</v>
      </c>
      <c r="F757" s="9">
        <f>IFERROR(__xludf.DUMMYFUNCTION("GOOGLEFINANCE(A757, ""low"")"),2650.0)</f>
        <v>2650</v>
      </c>
      <c r="G757" s="9">
        <f>IFERROR(__xludf.DUMMYFUNCTION("GOOGLEFINANCE(A757, ""price"")"),2909.0)</f>
        <v>2909</v>
      </c>
      <c r="H757" s="9">
        <f>IFERROR(__xludf.DUMMYFUNCTION("MAX(INDEX(GOOGLEFINANCE(A757, ""high"", TODAY()-30, TODAY()), 0, 2))"),2925.0)</f>
        <v>2925</v>
      </c>
      <c r="I757" s="9">
        <f>IFERROR(__xludf.DUMMYFUNCTION("MIN(INDEX(GOOGLEFINANCE(A757, ""low"", TODAY()-30, TODAY()), 0, 2))"),2436.7)</f>
        <v>2436.7</v>
      </c>
      <c r="J757" s="9">
        <f>IFERROR(__xludf.DUMMYFUNCTION("GOOGLEFINANCE(A757, ""high52"")"),2925.0)</f>
        <v>2925</v>
      </c>
      <c r="K757" s="9">
        <f>IFERROR(__xludf.DUMMYFUNCTION("GOOGLEFINANCE(A757, ""low52"")"),1868.5)</f>
        <v>1868.5</v>
      </c>
      <c r="L757" s="9">
        <f t="shared" si="1"/>
        <v>0.00547008547</v>
      </c>
      <c r="M757" s="9">
        <f t="shared" si="2"/>
        <v>0.5568637945</v>
      </c>
      <c r="N757" s="9">
        <f t="shared" si="3"/>
        <v>0.1037735849</v>
      </c>
      <c r="O757" s="9">
        <f t="shared" si="4"/>
        <v>0.9672332582</v>
      </c>
      <c r="P757" s="9">
        <f>IFERROR(__xludf.DUMMYFUNCTION("GOOGLEFINANCE(A757, ""pe"")"),23.12)</f>
        <v>23.12</v>
      </c>
      <c r="Q757" s="9">
        <f>IFERROR(__xludf.DUMMYFUNCTION("IFERROR(GOOGLEFINANCE(A757, ""volume"") / GOOGLEFINANCE(A757, ""volumeavg""), 0)"),0.0)</f>
        <v>0</v>
      </c>
      <c r="R757" s="9">
        <f>IFERROR(__xludf.DUMMYFUNCTION("AVERAGE(INDEX(GOOGLEFINANCE(A757, ""price"", TODAY()-30, TODAY()), 0, 2))"),2587.013043478261)</f>
        <v>2587.013043</v>
      </c>
      <c r="S757" s="9">
        <f>IFERROR(__xludf.DUMMYFUNCTION("AVERAGE(INDEX(GOOGLEFINANCE(A757, ""price"", TODAY()-75, TODAY()), 0, 2))"),2551.328301886792)</f>
        <v>2551.328302</v>
      </c>
      <c r="T757" s="9">
        <f>IFERROR(__xludf.DUMMYFUNCTION("AVERAGE(INDEX(GOOGLEFINANCE(A757, ""price"", TODAY()-300, TODAY()), 0, 2))"),2379.825742574258)</f>
        <v>2379.825743</v>
      </c>
      <c r="U757" s="9">
        <f t="shared" si="5"/>
        <v>0.1244628269</v>
      </c>
      <c r="V757" s="15">
        <f>IFERROR(__xludf.DUMMYFUNCTION("LET(hist, GOOGLEFINANCE(A757,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rs))))))"),76.00732600732599)</f>
        <v>76.00732601</v>
      </c>
      <c r="W757" s="16" t="str">
        <f>IFERROR(__xludf.DUMMYFUNCTION("IFERROR(GOOGLEFINANCE(A757, ""volume"") / GOOGLEFINANCE(A757, ""volumeavg""), )"),"")</f>
        <v/>
      </c>
      <c r="X757" s="9">
        <f>IFERROR(__xludf.DUMMYFUNCTION("B757 * GOOGLEFINANCE(A757, ""volume"")"),5.61332276E8)</f>
        <v>561332276</v>
      </c>
      <c r="Y757" s="9">
        <f>IFERROR(__xludf.DUMMYFUNCTION("IFERROR(((B757 - GOOGLEFINANCE(A757, ""priceopen"")) / GOOGLEFINANCE(A757, ""priceopen"")) * GOOGLEFINANCE(A757, ""volume""), 0)"),18859.50037735849)</f>
        <v>18859.50038</v>
      </c>
    </row>
    <row r="758">
      <c r="A758" s="4" t="s">
        <v>2551</v>
      </c>
      <c r="B758" s="7">
        <f>IFERROR(__xludf.DUMMYFUNCTION("GOOGLEFINANCE(A758, ""price"")"),1818.0)</f>
        <v>1818</v>
      </c>
      <c r="C758" s="7">
        <f>IFERROR(__xludf.DUMMYFUNCTION("GOOGLEFINANCE(A758, ""changepct"")"),0.3)</f>
        <v>0.3</v>
      </c>
      <c r="D758" s="9">
        <f>IFERROR(__xludf.DUMMYFUNCTION("GOOGLEFINANCE(A758, ""priceopen"")"),1812.6)</f>
        <v>1812.6</v>
      </c>
      <c r="E758" s="9">
        <f>IFERROR(__xludf.DUMMYFUNCTION("GOOGLEFINANCE(A758, ""high"")"),1831.0)</f>
        <v>1831</v>
      </c>
      <c r="F758" s="9">
        <f>IFERROR(__xludf.DUMMYFUNCTION("GOOGLEFINANCE(A758, ""low"")"),1793.2)</f>
        <v>1793.2</v>
      </c>
      <c r="G758" s="9">
        <f>IFERROR(__xludf.DUMMYFUNCTION("GOOGLEFINANCE(A758, ""price"")"),1818.0)</f>
        <v>1818</v>
      </c>
      <c r="H758" s="9">
        <f>IFERROR(__xludf.DUMMYFUNCTION("MAX(INDEX(GOOGLEFINANCE(A758, ""high"", TODAY()-30, TODAY()), 0, 2))"),1945.7)</f>
        <v>1945.7</v>
      </c>
      <c r="I758" s="9">
        <f>IFERROR(__xludf.DUMMYFUNCTION("MIN(INDEX(GOOGLEFINANCE(A758, ""low"", TODAY()-30, TODAY()), 0, 2))"),1632.1)</f>
        <v>1632.1</v>
      </c>
      <c r="J758" s="9">
        <f>IFERROR(__xludf.DUMMYFUNCTION("GOOGLEFINANCE(A758, ""high52"")"),2625.0)</f>
        <v>2625</v>
      </c>
      <c r="K758" s="9">
        <f>IFERROR(__xludf.DUMMYFUNCTION("GOOGLEFINANCE(A758, ""low52"")"),1334.2)</f>
        <v>1334.2</v>
      </c>
      <c r="L758" s="9">
        <f t="shared" si="1"/>
        <v>0.3074285714</v>
      </c>
      <c r="M758" s="9">
        <f t="shared" si="2"/>
        <v>0.3626143007</v>
      </c>
      <c r="N758" s="9">
        <f t="shared" si="3"/>
        <v>0.02107963417</v>
      </c>
      <c r="O758" s="9">
        <f t="shared" si="4"/>
        <v>0.5927933673</v>
      </c>
      <c r="P758" s="9">
        <f>IFERROR(__xludf.DUMMYFUNCTION("GOOGLEFINANCE(A758, ""pe"")"),13.58)</f>
        <v>13.58</v>
      </c>
      <c r="Q758" s="9">
        <f>IFERROR(__xludf.DUMMYFUNCTION("IFERROR(GOOGLEFINANCE(A758, ""volume"") / GOOGLEFINANCE(A758, ""volumeavg""), 0)"),0.0)</f>
        <v>0</v>
      </c>
      <c r="R758" s="9">
        <f>IFERROR(__xludf.DUMMYFUNCTION("AVERAGE(INDEX(GOOGLEFINANCE(A758, ""price"", TODAY()-30, TODAY()), 0, 2))"),1793.1043478260867)</f>
        <v>1793.104348</v>
      </c>
      <c r="S758" s="9">
        <f>IFERROR(__xludf.DUMMYFUNCTION("AVERAGE(INDEX(GOOGLEFINANCE(A758, ""price"", TODAY()-75, TODAY()), 0, 2))"),1695.3509433962265)</f>
        <v>1695.350943</v>
      </c>
      <c r="T758" s="9">
        <f>IFERROR(__xludf.DUMMYFUNCTION("AVERAGE(INDEX(GOOGLEFINANCE(A758, ""price"", TODAY()-300, TODAY()), 0, 2))"),1840.003465346535)</f>
        <v>1840.003465</v>
      </c>
      <c r="U758" s="9">
        <f t="shared" si="5"/>
        <v>0.01388410675</v>
      </c>
      <c r="V758" s="15">
        <f>IFERROR(__xludf.DUMMYFUNCTION("LET(hist, GOOGLEFINANCE(A758,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rs))))))"),65.52567237163811)</f>
        <v>65.52567237</v>
      </c>
      <c r="W758" s="16" t="str">
        <f>IFERROR(__xludf.DUMMYFUNCTION("IFERROR(GOOGLEFINANCE(A758, ""volume"") / GOOGLEFINANCE(A758, ""volumeavg""), )"),"")</f>
        <v/>
      </c>
      <c r="X758" s="9">
        <f>IFERROR(__xludf.DUMMYFUNCTION("B758 * GOOGLEFINANCE(A758, ""volume"")"),9.6377634E7)</f>
        <v>96377634</v>
      </c>
      <c r="Y758" s="9">
        <f>IFERROR(__xludf.DUMMYFUNCTION("IFERROR(((B758 - GOOGLEFINANCE(A758, ""priceopen"")) / GOOGLEFINANCE(A758, ""priceopen"")) * GOOGLEFINANCE(A758, ""volume""), 0)"),157.93346573982393)</f>
        <v>157.9334657</v>
      </c>
    </row>
    <row r="759">
      <c r="A759" s="4" t="s">
        <v>2552</v>
      </c>
      <c r="B759" s="7">
        <f>IFERROR(__xludf.DUMMYFUNCTION("GOOGLEFINANCE(A759, ""price"")"),305.0)</f>
        <v>305</v>
      </c>
      <c r="C759" s="7">
        <f>IFERROR(__xludf.DUMMYFUNCTION("GOOGLEFINANCE(A759, ""changepct"")"),1.63)</f>
        <v>1.63</v>
      </c>
      <c r="D759" s="9">
        <f>IFERROR(__xludf.DUMMYFUNCTION("GOOGLEFINANCE(A759, ""priceopen"")"),302.3)</f>
        <v>302.3</v>
      </c>
      <c r="E759" s="9">
        <f>IFERROR(__xludf.DUMMYFUNCTION("GOOGLEFINANCE(A759, ""high"")"),305.0)</f>
        <v>305</v>
      </c>
      <c r="F759" s="9">
        <f>IFERROR(__xludf.DUMMYFUNCTION("GOOGLEFINANCE(A759, ""low"")"),299.0)</f>
        <v>299</v>
      </c>
      <c r="G759" s="9">
        <f>IFERROR(__xludf.DUMMYFUNCTION("GOOGLEFINANCE(A759, ""price"")"),305.0)</f>
        <v>305</v>
      </c>
      <c r="H759" s="9">
        <f>IFERROR(__xludf.DUMMYFUNCTION("MAX(INDEX(GOOGLEFINANCE(A759, ""high"", TODAY()-30, TODAY()), 0, 2))"),334.0)</f>
        <v>334</v>
      </c>
      <c r="I759" s="9">
        <f>IFERROR(__xludf.DUMMYFUNCTION("MIN(INDEX(GOOGLEFINANCE(A759, ""low"", TODAY()-30, TODAY()), 0, 2))"),299.0)</f>
        <v>299</v>
      </c>
      <c r="J759" s="9">
        <f>IFERROR(__xludf.DUMMYFUNCTION("GOOGLEFINANCE(A759, ""high52"")"),358.85)</f>
        <v>358.85</v>
      </c>
      <c r="K759" s="9">
        <f>IFERROR(__xludf.DUMMYFUNCTION("GOOGLEFINANCE(A759, ""low52"")"),277.35)</f>
        <v>277.35</v>
      </c>
      <c r="L759" s="9">
        <f t="shared" si="1"/>
        <v>0.1500627003</v>
      </c>
      <c r="M759" s="9">
        <f t="shared" si="2"/>
        <v>0.09969352803</v>
      </c>
      <c r="N759" s="9">
        <f t="shared" si="3"/>
        <v>0.02006688963</v>
      </c>
      <c r="O759" s="9">
        <f t="shared" si="4"/>
        <v>0.1714285714</v>
      </c>
      <c r="P759" s="9">
        <f>IFERROR(__xludf.DUMMYFUNCTION("GOOGLEFINANCE(A759, ""pe"")"),14.04)</f>
        <v>14.04</v>
      </c>
      <c r="Q759" s="9">
        <f>IFERROR(__xludf.DUMMYFUNCTION("IFERROR(GOOGLEFINANCE(A759, ""volume"") / GOOGLEFINANCE(A759, ""volumeavg""), 0)"),0.0)</f>
        <v>0</v>
      </c>
      <c r="R759" s="9">
        <f>IFERROR(__xludf.DUMMYFUNCTION("AVERAGE(INDEX(GOOGLEFINANCE(A759, ""price"", TODAY()-30, TODAY()), 0, 2))"),314.5934782608696)</f>
        <v>314.5934783</v>
      </c>
      <c r="S759" s="9">
        <f>IFERROR(__xludf.DUMMYFUNCTION("AVERAGE(INDEX(GOOGLEFINANCE(A759, ""price"", TODAY()-75, TODAY()), 0, 2))"),312.4113207547169)</f>
        <v>312.4113208</v>
      </c>
      <c r="T759" s="9">
        <f>IFERROR(__xludf.DUMMYFUNCTION("AVERAGE(INDEX(GOOGLEFINANCE(A759, ""price"", TODAY()-300, TODAY()), 0, 2))"),314.55346534653484)</f>
        <v>314.5534653</v>
      </c>
      <c r="U759" s="9">
        <f t="shared" si="5"/>
        <v>-0.03049484151</v>
      </c>
      <c r="V759" s="15">
        <f>IFERROR(__xludf.DUMMYFUNCTION("LET(hist, GOOGLEFINANCE(A759,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rs))))))"),38.82244710211594)</f>
        <v>38.8224471</v>
      </c>
      <c r="W759" s="16" t="str">
        <f>IFERROR(__xludf.DUMMYFUNCTION("IFERROR(GOOGLEFINANCE(A759, ""volume"") / GOOGLEFINANCE(A759, ""volumeavg""), )"),"")</f>
        <v/>
      </c>
      <c r="X759" s="9">
        <f>IFERROR(__xludf.DUMMYFUNCTION("B759 * GOOGLEFINANCE(A759, ""volume"")"),2.4457035E7)</f>
        <v>24457035</v>
      </c>
      <c r="Y759" s="9">
        <f>IFERROR(__xludf.DUMMYFUNCTION("IFERROR(((B759 - GOOGLEFINANCE(A759, ""priceopen"")) / GOOGLEFINANCE(A759, ""priceopen"")) * GOOGLEFINANCE(A759, ""volume""), 0)"),716.1921931855742)</f>
        <v>716.1921932</v>
      </c>
    </row>
    <row r="760">
      <c r="A760" s="4" t="s">
        <v>2553</v>
      </c>
      <c r="B760" s="7">
        <f>IFERROR(__xludf.DUMMYFUNCTION("GOOGLEFINANCE(A760, ""price"")"),151.01)</f>
        <v>151.01</v>
      </c>
      <c r="C760" s="7">
        <f>IFERROR(__xludf.DUMMYFUNCTION("GOOGLEFINANCE(A760, ""changepct"")"),-2.34)</f>
        <v>-2.34</v>
      </c>
      <c r="D760" s="9">
        <f>IFERROR(__xludf.DUMMYFUNCTION("GOOGLEFINANCE(A760, ""priceopen"")"),155.0)</f>
        <v>155</v>
      </c>
      <c r="E760" s="9">
        <f>IFERROR(__xludf.DUMMYFUNCTION("GOOGLEFINANCE(A760, ""high"")"),155.51)</f>
        <v>155.51</v>
      </c>
      <c r="F760" s="9">
        <f>IFERROR(__xludf.DUMMYFUNCTION("GOOGLEFINANCE(A760, ""low"")"),150.93)</f>
        <v>150.93</v>
      </c>
      <c r="G760" s="9">
        <f>IFERROR(__xludf.DUMMYFUNCTION("GOOGLEFINANCE(A760, ""price"")"),151.01)</f>
        <v>151.01</v>
      </c>
      <c r="H760" s="9">
        <f>IFERROR(__xludf.DUMMYFUNCTION("MAX(INDEX(GOOGLEFINANCE(A760, ""high"", TODAY()-30, TODAY()), 0, 2))"),174.4)</f>
        <v>174.4</v>
      </c>
      <c r="I760" s="9">
        <f>IFERROR(__xludf.DUMMYFUNCTION("MIN(INDEX(GOOGLEFINANCE(A760, ""low"", TODAY()-30, TODAY()), 0, 2))"),147.4)</f>
        <v>147.4</v>
      </c>
      <c r="J760" s="9">
        <f>IFERROR(__xludf.DUMMYFUNCTION("GOOGLEFINANCE(A760, ""high52"")"),178.48)</f>
        <v>178.48</v>
      </c>
      <c r="K760" s="9">
        <f>IFERROR(__xludf.DUMMYFUNCTION("GOOGLEFINANCE(A760, ""low52"")"),119.07)</f>
        <v>119.07</v>
      </c>
      <c r="L760" s="9">
        <f t="shared" si="1"/>
        <v>0.1539108023</v>
      </c>
      <c r="M760" s="9">
        <f t="shared" si="2"/>
        <v>0.2682455698</v>
      </c>
      <c r="N760" s="9">
        <f t="shared" si="3"/>
        <v>0.03034519314</v>
      </c>
      <c r="O760" s="9">
        <f t="shared" si="4"/>
        <v>0.1337037037</v>
      </c>
      <c r="P760" s="9">
        <f>IFERROR(__xludf.DUMMYFUNCTION("GOOGLEFINANCE(A760, ""pe"")"),14.88)</f>
        <v>14.88</v>
      </c>
      <c r="Q760" s="9">
        <f>IFERROR(__xludf.DUMMYFUNCTION("IFERROR(GOOGLEFINANCE(A760, ""volume"") / GOOGLEFINANCE(A760, ""volumeavg""), 0)"),0.0)</f>
        <v>0</v>
      </c>
      <c r="R760" s="9">
        <f>IFERROR(__xludf.DUMMYFUNCTION("AVERAGE(INDEX(GOOGLEFINANCE(A760, ""price"", TODAY()-30, TODAY()), 0, 2))"),153.79434782608695)</f>
        <v>153.7943478</v>
      </c>
      <c r="S760" s="9">
        <f>IFERROR(__xludf.DUMMYFUNCTION("AVERAGE(INDEX(GOOGLEFINANCE(A760, ""price"", TODAY()-75, TODAY()), 0, 2))"),154.3203773584906)</f>
        <v>154.3203774</v>
      </c>
      <c r="T760" s="9">
        <f>IFERROR(__xludf.DUMMYFUNCTION("AVERAGE(INDEX(GOOGLEFINANCE(A760, ""price"", TODAY()-300, TODAY()), 0, 2))"),146.87990099009903)</f>
        <v>146.879901</v>
      </c>
      <c r="U760" s="9">
        <f t="shared" si="5"/>
        <v>-0.01810435732</v>
      </c>
      <c r="V760" s="15">
        <f>IFERROR(__xludf.DUMMYFUNCTION("LET(hist, GOOGLEFINANCE(A760,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rs))))))"),52.91943828529196)</f>
        <v>52.91943829</v>
      </c>
      <c r="W760" s="16" t="str">
        <f>IFERROR(__xludf.DUMMYFUNCTION("IFERROR(GOOGLEFINANCE(A760, ""volume"") / GOOGLEFINANCE(A760, ""volumeavg""), )"),"")</f>
        <v/>
      </c>
      <c r="X760" s="9">
        <f>IFERROR(__xludf.DUMMYFUNCTION("B760 * GOOGLEFINANCE(A760, ""volume"")"),1.3278792532E8)</f>
        <v>132787925.3</v>
      </c>
      <c r="Y760" s="9">
        <f>IFERROR(__xludf.DUMMYFUNCTION("IFERROR(((B760 - GOOGLEFINANCE(A760, ""priceopen"")) / GOOGLEFINANCE(A760, ""priceopen"")) * GOOGLEFINANCE(A760, ""volume""), 0)"),-22635.70761290328)</f>
        <v>-22635.70761</v>
      </c>
    </row>
    <row r="761">
      <c r="A761" s="4" t="s">
        <v>2554</v>
      </c>
      <c r="B761" s="7">
        <f>IFERROR(__xludf.DUMMYFUNCTION("GOOGLEFINANCE(A761, ""price"")"),446.0)</f>
        <v>446</v>
      </c>
      <c r="C761" s="7">
        <f>IFERROR(__xludf.DUMMYFUNCTION("GOOGLEFINANCE(A761, ""changepct"")"),5.52)</f>
        <v>5.52</v>
      </c>
      <c r="D761" s="9">
        <f>IFERROR(__xludf.DUMMYFUNCTION("GOOGLEFINANCE(A761, ""priceopen"")"),426.4)</f>
        <v>426.4</v>
      </c>
      <c r="E761" s="9">
        <f>IFERROR(__xludf.DUMMYFUNCTION("GOOGLEFINANCE(A761, ""high"")"),450.0)</f>
        <v>450</v>
      </c>
      <c r="F761" s="9">
        <f>IFERROR(__xludf.DUMMYFUNCTION("GOOGLEFINANCE(A761, ""low"")"),423.0)</f>
        <v>423</v>
      </c>
      <c r="G761" s="9">
        <f>IFERROR(__xludf.DUMMYFUNCTION("GOOGLEFINANCE(A761, ""price"")"),446.0)</f>
        <v>446</v>
      </c>
      <c r="H761" s="9">
        <f>IFERROR(__xludf.DUMMYFUNCTION("MAX(INDEX(GOOGLEFINANCE(A761, ""high"", TODAY()-30, TODAY()), 0, 2))"),471.95)</f>
        <v>471.95</v>
      </c>
      <c r="I761" s="9">
        <f>IFERROR(__xludf.DUMMYFUNCTION("MIN(INDEX(GOOGLEFINANCE(A761, ""low"", TODAY()-30, TODAY()), 0, 2))"),398.15)</f>
        <v>398.15</v>
      </c>
      <c r="J761" s="9">
        <f>IFERROR(__xludf.DUMMYFUNCTION("GOOGLEFINANCE(A761, ""high52"")"),521.9)</f>
        <v>521.9</v>
      </c>
      <c r="K761" s="9">
        <f>IFERROR(__xludf.DUMMYFUNCTION("GOOGLEFINANCE(A761, ""low52"")"),158.0)</f>
        <v>158</v>
      </c>
      <c r="L761" s="9">
        <f t="shared" si="1"/>
        <v>0.145430159</v>
      </c>
      <c r="M761" s="9">
        <f t="shared" si="2"/>
        <v>1.82278481</v>
      </c>
      <c r="N761" s="9">
        <f t="shared" si="3"/>
        <v>0.06382978723</v>
      </c>
      <c r="O761" s="9">
        <f t="shared" si="4"/>
        <v>0.6483739837</v>
      </c>
      <c r="P761" s="9">
        <f>IFERROR(__xludf.DUMMYFUNCTION("GOOGLEFINANCE(A761, ""pe"")"),86.69)</f>
        <v>86.69</v>
      </c>
      <c r="Q761" s="9">
        <f>IFERROR(__xludf.DUMMYFUNCTION("IFERROR(GOOGLEFINANCE(A761, ""volume"") / GOOGLEFINANCE(A761, ""volumeavg""), 0)"),0.0)</f>
        <v>0</v>
      </c>
      <c r="R761" s="9">
        <f>IFERROR(__xludf.DUMMYFUNCTION("AVERAGE(INDEX(GOOGLEFINANCE(A761, ""price"", TODAY()-30, TODAY()), 0, 2))"),427.19782608695647)</f>
        <v>427.1978261</v>
      </c>
      <c r="S761" s="9">
        <f>IFERROR(__xludf.DUMMYFUNCTION("AVERAGE(INDEX(GOOGLEFINANCE(A761, ""price"", TODAY()-75, TODAY()), 0, 2))"),439.5330188679244)</f>
        <v>439.5330189</v>
      </c>
      <c r="T761" s="9">
        <f>IFERROR(__xludf.DUMMYFUNCTION("AVERAGE(INDEX(GOOGLEFINANCE(A761, ""price"", TODAY()-300, TODAY()), 0, 2))"),284.31618811881185)</f>
        <v>284.3161881</v>
      </c>
      <c r="U761" s="9">
        <f t="shared" si="5"/>
        <v>0.04401280335</v>
      </c>
      <c r="V761" s="15">
        <f>IFERROR(__xludf.DUMMYFUNCTION("LET(hist, GOOGLEFINANCE(A761,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rs))))))"),57.59839126687733)</f>
        <v>57.59839127</v>
      </c>
      <c r="W761" s="16" t="str">
        <f>IFERROR(__xludf.DUMMYFUNCTION("IFERROR(GOOGLEFINANCE(A761, ""volume"") / GOOGLEFINANCE(A761, ""volumeavg""), )"),"")</f>
        <v/>
      </c>
      <c r="X761" s="9">
        <f>IFERROR(__xludf.DUMMYFUNCTION("B761 * GOOGLEFINANCE(A761, ""volume"")"),8.04109456E8)</f>
        <v>804109456</v>
      </c>
      <c r="Y761" s="9">
        <f>IFERROR(__xludf.DUMMYFUNCTION("IFERROR(((B761 - GOOGLEFINANCE(A761, ""priceopen"")) / GOOGLEFINANCE(A761, ""priceopen"")) * GOOGLEFINANCE(A761, ""volume""), 0)"),82874.16885553481)</f>
        <v>82874.16886</v>
      </c>
    </row>
    <row r="762">
      <c r="A762" s="4" t="s">
        <v>2555</v>
      </c>
      <c r="B762" s="7">
        <f>IFERROR(__xludf.DUMMYFUNCTION("GOOGLEFINANCE(A762, ""price"")"),390.5)</f>
        <v>390.5</v>
      </c>
      <c r="C762" s="7">
        <f>IFERROR(__xludf.DUMMYFUNCTION("GOOGLEFINANCE(A762, ""changepct"")"),-0.98)</f>
        <v>-0.98</v>
      </c>
      <c r="D762" s="9">
        <f>IFERROR(__xludf.DUMMYFUNCTION("GOOGLEFINANCE(A762, ""priceopen"")"),394.0)</f>
        <v>394</v>
      </c>
      <c r="E762" s="9">
        <f>IFERROR(__xludf.DUMMYFUNCTION("GOOGLEFINANCE(A762, ""high"")"),394.65)</f>
        <v>394.65</v>
      </c>
      <c r="F762" s="9">
        <f>IFERROR(__xludf.DUMMYFUNCTION("GOOGLEFINANCE(A762, ""low"")"),384.75)</f>
        <v>384.75</v>
      </c>
      <c r="G762" s="9">
        <f>IFERROR(__xludf.DUMMYFUNCTION("GOOGLEFINANCE(A762, ""price"")"),390.5)</f>
        <v>390.5</v>
      </c>
      <c r="H762" s="9">
        <f>IFERROR(__xludf.DUMMYFUNCTION("MAX(INDEX(GOOGLEFINANCE(A762, ""high"", TODAY()-30, TODAY()), 0, 2))"),419.9)</f>
        <v>419.9</v>
      </c>
      <c r="I762" s="9">
        <f>IFERROR(__xludf.DUMMYFUNCTION("MIN(INDEX(GOOGLEFINANCE(A762, ""low"", TODAY()-30, TODAY()), 0, 2))"),353.8)</f>
        <v>353.8</v>
      </c>
      <c r="J762" s="9">
        <f>IFERROR(__xludf.DUMMYFUNCTION("GOOGLEFINANCE(A762, ""high52"")"),635.0)</f>
        <v>635</v>
      </c>
      <c r="K762" s="9">
        <f>IFERROR(__xludf.DUMMYFUNCTION("GOOGLEFINANCE(A762, ""low52"")"),330.2)</f>
        <v>330.2</v>
      </c>
      <c r="L762" s="9">
        <f t="shared" si="1"/>
        <v>0.3850393701</v>
      </c>
      <c r="M762" s="9">
        <f t="shared" si="2"/>
        <v>0.182616596</v>
      </c>
      <c r="N762" s="9">
        <f t="shared" si="3"/>
        <v>0.02573099415</v>
      </c>
      <c r="O762" s="9">
        <f t="shared" si="4"/>
        <v>0.5552193646</v>
      </c>
      <c r="P762" s="9">
        <f>IFERROR(__xludf.DUMMYFUNCTION("GOOGLEFINANCE(A762, ""pe"")"),26.39)</f>
        <v>26.39</v>
      </c>
      <c r="Q762" s="9">
        <f>IFERROR(__xludf.DUMMYFUNCTION("IFERROR(GOOGLEFINANCE(A762, ""volume"") / GOOGLEFINANCE(A762, ""volumeavg""), 0)"),0.0)</f>
        <v>0</v>
      </c>
      <c r="R762" s="9">
        <f>IFERROR(__xludf.DUMMYFUNCTION("AVERAGE(INDEX(GOOGLEFINANCE(A762, ""price"", TODAY()-30, TODAY()), 0, 2))"),386.8304347826086)</f>
        <v>386.8304348</v>
      </c>
      <c r="S762" s="9">
        <f>IFERROR(__xludf.DUMMYFUNCTION("AVERAGE(INDEX(GOOGLEFINANCE(A762, ""price"", TODAY()-75, TODAY()), 0, 2))"),368.3896226415094)</f>
        <v>368.3896226</v>
      </c>
      <c r="T762" s="9">
        <f>IFERROR(__xludf.DUMMYFUNCTION("AVERAGE(INDEX(GOOGLEFINANCE(A762, ""price"", TODAY()-300, TODAY()), 0, 2))"),411.54009900990116)</f>
        <v>411.540099</v>
      </c>
      <c r="U762" s="9">
        <f t="shared" si="5"/>
        <v>0.009486237088</v>
      </c>
      <c r="V762" s="15">
        <f>IFERROR(__xludf.DUMMYFUNCTION("LET(hist, GOOGLEFINANCE(A762,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rs))))))"),64.23957721667645)</f>
        <v>64.23957722</v>
      </c>
      <c r="W762" s="16" t="str">
        <f>IFERROR(__xludf.DUMMYFUNCTION("IFERROR(GOOGLEFINANCE(A762, ""volume"") / GOOGLEFINANCE(A762, ""volumeavg""), )"),"")</f>
        <v/>
      </c>
      <c r="X762" s="9">
        <f>IFERROR(__xludf.DUMMYFUNCTION("B762 * GOOGLEFINANCE(A762, ""volume"")"),2.279180585E8)</f>
        <v>227918058.5</v>
      </c>
      <c r="Y762" s="9">
        <f>IFERROR(__xludf.DUMMYFUNCTION("IFERROR(((B762 - GOOGLEFINANCE(A762, ""priceopen"")) / GOOGLEFINANCE(A762, ""priceopen"")) * GOOGLEFINANCE(A762, ""volume""), 0)"),-5184.770304568528)</f>
        <v>-5184.770305</v>
      </c>
    </row>
    <row r="763">
      <c r="A763" s="4" t="s">
        <v>2556</v>
      </c>
      <c r="B763" s="7">
        <f>IFERROR(__xludf.DUMMYFUNCTION("GOOGLEFINANCE(A763, ""price"")"),3546.6)</f>
        <v>3546.6</v>
      </c>
      <c r="C763" s="7">
        <f>IFERROR(__xludf.DUMMYFUNCTION("GOOGLEFINANCE(A763, ""changepct"")"),-0.62)</f>
        <v>-0.62</v>
      </c>
      <c r="D763" s="9">
        <f>IFERROR(__xludf.DUMMYFUNCTION("GOOGLEFINANCE(A763, ""priceopen"")"),3568.7)</f>
        <v>3568.7</v>
      </c>
      <c r="E763" s="9">
        <f>IFERROR(__xludf.DUMMYFUNCTION("GOOGLEFINANCE(A763, ""high"")"),3572.9)</f>
        <v>3572.9</v>
      </c>
      <c r="F763" s="9">
        <f>IFERROR(__xludf.DUMMYFUNCTION("GOOGLEFINANCE(A763, ""low"")"),3500.0)</f>
        <v>3500</v>
      </c>
      <c r="G763" s="9">
        <f>IFERROR(__xludf.DUMMYFUNCTION("GOOGLEFINANCE(A763, ""price"")"),3546.6)</f>
        <v>3546.6</v>
      </c>
      <c r="H763" s="9">
        <f>IFERROR(__xludf.DUMMYFUNCTION("MAX(INDEX(GOOGLEFINANCE(A763, ""high"", TODAY()-30, TODAY()), 0, 2))"),4150.0)</f>
        <v>4150</v>
      </c>
      <c r="I763" s="9">
        <f>IFERROR(__xludf.DUMMYFUNCTION("MIN(INDEX(GOOGLEFINANCE(A763, ""low"", TODAY()-30, TODAY()), 0, 2))"),3208.0)</f>
        <v>3208</v>
      </c>
      <c r="J763" s="9">
        <f>IFERROR(__xludf.DUMMYFUNCTION("GOOGLEFINANCE(A763, ""high52"")"),4150.0)</f>
        <v>4150</v>
      </c>
      <c r="K763" s="9">
        <f>IFERROR(__xludf.DUMMYFUNCTION("GOOGLEFINANCE(A763, ""low52"")"),1594.1)</f>
        <v>1594.1</v>
      </c>
      <c r="L763" s="9">
        <f t="shared" si="1"/>
        <v>0.1453975904</v>
      </c>
      <c r="M763" s="9">
        <f t="shared" si="2"/>
        <v>1.224829057</v>
      </c>
      <c r="N763" s="9">
        <f t="shared" si="3"/>
        <v>0.02082857143</v>
      </c>
      <c r="O763" s="9">
        <f t="shared" si="4"/>
        <v>0.359447983</v>
      </c>
      <c r="P763" s="9">
        <f>IFERROR(__xludf.DUMMYFUNCTION("GOOGLEFINANCE(A763, ""pe"")"),35.39)</f>
        <v>35.39</v>
      </c>
      <c r="Q763" s="9">
        <f>IFERROR(__xludf.DUMMYFUNCTION("IFERROR(GOOGLEFINANCE(A763, ""volume"") / GOOGLEFINANCE(A763, ""volumeavg""), 0)"),0.0)</f>
        <v>0</v>
      </c>
      <c r="R763" s="9">
        <f>IFERROR(__xludf.DUMMYFUNCTION("AVERAGE(INDEX(GOOGLEFINANCE(A763, ""price"", TODAY()-30, TODAY()), 0, 2))"),3430.708695652174)</f>
        <v>3430.708696</v>
      </c>
      <c r="S763" s="9">
        <f>IFERROR(__xludf.DUMMYFUNCTION("AVERAGE(INDEX(GOOGLEFINANCE(A763, ""price"", TODAY()-75, TODAY()), 0, 2))"),3278.1716981132076)</f>
        <v>3278.171698</v>
      </c>
      <c r="T763" s="9">
        <f>IFERROR(__xludf.DUMMYFUNCTION("AVERAGE(INDEX(GOOGLEFINANCE(A763, ""price"", TODAY()-300, TODAY()), 0, 2))"),2493.669801980199)</f>
        <v>2493.669802</v>
      </c>
      <c r="U763" s="9">
        <f t="shared" si="5"/>
        <v>0.03378057265</v>
      </c>
      <c r="V763" s="15">
        <f>IFERROR(__xludf.DUMMYFUNCTION("LET(hist, GOOGLEFINANCE(A763,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rs))))))"),60.75450450450448)</f>
        <v>60.7545045</v>
      </c>
      <c r="W763" s="16" t="str">
        <f>IFERROR(__xludf.DUMMYFUNCTION("IFERROR(GOOGLEFINANCE(A763, ""volume"") / GOOGLEFINANCE(A763, ""volumeavg""), )"),"")</f>
        <v/>
      </c>
      <c r="X763" s="9">
        <f>IFERROR(__xludf.DUMMYFUNCTION("B763 * GOOGLEFINANCE(A763, ""volume"")"),5.80081896E7)</f>
        <v>58008189.6</v>
      </c>
      <c r="Y763" s="9">
        <f>IFERROR(__xludf.DUMMYFUNCTION("IFERROR(((B763 - GOOGLEFINANCE(A763, ""priceopen"")) / GOOGLEFINANCE(A763, ""priceopen"")) * GOOGLEFINANCE(A763, ""volume""), 0)"),-101.28831227057431)</f>
        <v>-101.2883123</v>
      </c>
    </row>
    <row r="764">
      <c r="A764" s="4" t="s">
        <v>2557</v>
      </c>
      <c r="B764" s="7">
        <f>IFERROR(__xludf.DUMMYFUNCTION("GOOGLEFINANCE(A764, ""price"")"),324.1)</f>
        <v>324.1</v>
      </c>
      <c r="C764" s="7">
        <f>IFERROR(__xludf.DUMMYFUNCTION("GOOGLEFINANCE(A764, ""changepct"")"),-1.76)</f>
        <v>-1.76</v>
      </c>
      <c r="D764" s="9">
        <f>IFERROR(__xludf.DUMMYFUNCTION("GOOGLEFINANCE(A764, ""priceopen"")"),329.9)</f>
        <v>329.9</v>
      </c>
      <c r="E764" s="9">
        <f>IFERROR(__xludf.DUMMYFUNCTION("GOOGLEFINANCE(A764, ""high"")"),332.5)</f>
        <v>332.5</v>
      </c>
      <c r="F764" s="9">
        <f>IFERROR(__xludf.DUMMYFUNCTION("GOOGLEFINANCE(A764, ""low"")"),324.0)</f>
        <v>324</v>
      </c>
      <c r="G764" s="9">
        <f>IFERROR(__xludf.DUMMYFUNCTION("GOOGLEFINANCE(A764, ""price"")"),324.1)</f>
        <v>324.1</v>
      </c>
      <c r="H764" s="9">
        <f>IFERROR(__xludf.DUMMYFUNCTION("MAX(INDEX(GOOGLEFINANCE(A764, ""high"", TODAY()-30, TODAY()), 0, 2))"),360.85)</f>
        <v>360.85</v>
      </c>
      <c r="I764" s="9">
        <f>IFERROR(__xludf.DUMMYFUNCTION("MIN(INDEX(GOOGLEFINANCE(A764, ""low"", TODAY()-30, TODAY()), 0, 2))"),300.8)</f>
        <v>300.8</v>
      </c>
      <c r="J764" s="9">
        <f>IFERROR(__xludf.DUMMYFUNCTION("GOOGLEFINANCE(A764, ""high52"")"),433.0)</f>
        <v>433</v>
      </c>
      <c r="K764" s="9">
        <f>IFERROR(__xludf.DUMMYFUNCTION("GOOGLEFINANCE(A764, ""low52"")"),273.0)</f>
        <v>273</v>
      </c>
      <c r="L764" s="9">
        <f t="shared" si="1"/>
        <v>0.2515011547</v>
      </c>
      <c r="M764" s="9">
        <f t="shared" si="2"/>
        <v>0.1871794872</v>
      </c>
      <c r="N764" s="9">
        <f t="shared" si="3"/>
        <v>0.0262345679</v>
      </c>
      <c r="O764" s="9">
        <f t="shared" si="4"/>
        <v>0.3880099917</v>
      </c>
      <c r="P764" s="9">
        <f>IFERROR(__xludf.DUMMYFUNCTION("GOOGLEFINANCE(A764, ""pe"")"),249.87)</f>
        <v>249.87</v>
      </c>
      <c r="Q764" s="9">
        <f>IFERROR(__xludf.DUMMYFUNCTION("IFERROR(GOOGLEFINANCE(A764, ""volume"") / GOOGLEFINANCE(A764, ""volumeavg""), 0)"),0.0)</f>
        <v>0</v>
      </c>
      <c r="R764" s="9">
        <f>IFERROR(__xludf.DUMMYFUNCTION("AVERAGE(INDEX(GOOGLEFINANCE(A764, ""price"", TODAY()-30, TODAY()), 0, 2))"),327.7543478260869)</f>
        <v>327.7543478</v>
      </c>
      <c r="S764" s="9">
        <f>IFERROR(__xludf.DUMMYFUNCTION("AVERAGE(INDEX(GOOGLEFINANCE(A764, ""price"", TODAY()-75, TODAY()), 0, 2))"),339.47169811320754)</f>
        <v>339.4716981</v>
      </c>
      <c r="T764" s="9">
        <f>IFERROR(__xludf.DUMMYFUNCTION("AVERAGE(INDEX(GOOGLEFINANCE(A764, ""price"", TODAY()-300, TODAY()), 0, 2))"),334.7403465346535)</f>
        <v>334.7403465</v>
      </c>
      <c r="U764" s="9">
        <f t="shared" si="5"/>
        <v>-0.01114965477</v>
      </c>
      <c r="V764" s="15">
        <f>IFERROR(__xludf.DUMMYFUNCTION("LET(hist, GOOGLEFINANCE(A764,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rs))))))"),51.55855096882901)</f>
        <v>51.55855097</v>
      </c>
      <c r="W764" s="16" t="str">
        <f>IFERROR(__xludf.DUMMYFUNCTION("IFERROR(GOOGLEFINANCE(A764, ""volume"") / GOOGLEFINANCE(A764, ""volumeavg""), )"),"")</f>
        <v/>
      </c>
      <c r="X764" s="9">
        <f>IFERROR(__xludf.DUMMYFUNCTION("B764 * GOOGLEFINANCE(A764, ""volume"")"),9.610310430000001E7)</f>
        <v>96103104.3</v>
      </c>
      <c r="Y764" s="9">
        <f>IFERROR(__xludf.DUMMYFUNCTION("IFERROR(((B764 - GOOGLEFINANCE(A764, ""priceopen"")) / GOOGLEFINANCE(A764, ""priceopen"")) * GOOGLEFINANCE(A764, ""volume""), 0)"),-5213.196120036335)</f>
        <v>-5213.19612</v>
      </c>
    </row>
    <row r="765">
      <c r="A765" s="4" t="s">
        <v>2558</v>
      </c>
      <c r="B765" s="7">
        <f>IFERROR(__xludf.DUMMYFUNCTION("GOOGLEFINANCE(A765, ""price"")"),319.0)</f>
        <v>319</v>
      </c>
      <c r="C765" s="7">
        <f>IFERROR(__xludf.DUMMYFUNCTION("GOOGLEFINANCE(A765, ""changepct"")"),-1.71)</f>
        <v>-1.71</v>
      </c>
      <c r="D765" s="9">
        <f>IFERROR(__xludf.DUMMYFUNCTION("GOOGLEFINANCE(A765, ""priceopen"")"),326.05)</f>
        <v>326.05</v>
      </c>
      <c r="E765" s="9">
        <f>IFERROR(__xludf.DUMMYFUNCTION("GOOGLEFINANCE(A765, ""high"")"),326.2)</f>
        <v>326.2</v>
      </c>
      <c r="F765" s="9">
        <f>IFERROR(__xludf.DUMMYFUNCTION("GOOGLEFINANCE(A765, ""low"")"),317.0)</f>
        <v>317</v>
      </c>
      <c r="G765" s="9">
        <f>IFERROR(__xludf.DUMMYFUNCTION("GOOGLEFINANCE(A765, ""price"")"),319.0)</f>
        <v>319</v>
      </c>
      <c r="H765" s="9">
        <f>IFERROR(__xludf.DUMMYFUNCTION("MAX(INDEX(GOOGLEFINANCE(A765, ""high"", TODAY()-30, TODAY()), 0, 2))"),376.55)</f>
        <v>376.55</v>
      </c>
      <c r="I765" s="9">
        <f>IFERROR(__xludf.DUMMYFUNCTION("MIN(INDEX(GOOGLEFINANCE(A765, ""low"", TODAY()-30, TODAY()), 0, 2))"),315.25)</f>
        <v>315.25</v>
      </c>
      <c r="J765" s="9">
        <f>IFERROR(__xludf.DUMMYFUNCTION("GOOGLEFINANCE(A765, ""high52"")"),574.4)</f>
        <v>574.4</v>
      </c>
      <c r="K765" s="9">
        <f>IFERROR(__xludf.DUMMYFUNCTION("GOOGLEFINANCE(A765, ""low52"")"),315.25)</f>
        <v>315.25</v>
      </c>
      <c r="L765" s="9">
        <f t="shared" si="1"/>
        <v>0.444637883</v>
      </c>
      <c r="M765" s="9">
        <f t="shared" si="2"/>
        <v>0.01189532117</v>
      </c>
      <c r="N765" s="9">
        <f t="shared" si="3"/>
        <v>0.02902208202</v>
      </c>
      <c r="O765" s="9">
        <f t="shared" si="4"/>
        <v>0.06117455139</v>
      </c>
      <c r="P765" s="9">
        <f>IFERROR(__xludf.DUMMYFUNCTION("GOOGLEFINANCE(A765, ""pe"")"),8.33)</f>
        <v>8.33</v>
      </c>
      <c r="Q765" s="9">
        <f>IFERROR(__xludf.DUMMYFUNCTION("IFERROR(GOOGLEFINANCE(A765, ""volume"") / GOOGLEFINANCE(A765, ""volumeavg""), 0)"),0.0)</f>
        <v>0</v>
      </c>
      <c r="R765" s="9">
        <f>IFERROR(__xludf.DUMMYFUNCTION("AVERAGE(INDEX(GOOGLEFINANCE(A765, ""price"", TODAY()-30, TODAY()), 0, 2))"),340.8760869565217)</f>
        <v>340.876087</v>
      </c>
      <c r="S765" s="9">
        <f>IFERROR(__xludf.DUMMYFUNCTION("AVERAGE(INDEX(GOOGLEFINANCE(A765, ""price"", TODAY()-75, TODAY()), 0, 2))"),349.1716981132076)</f>
        <v>349.1716981</v>
      </c>
      <c r="T765" s="9">
        <f>IFERROR(__xludf.DUMMYFUNCTION("AVERAGE(INDEX(GOOGLEFINANCE(A765, ""price"", TODAY()-300, TODAY()), 0, 2))"),391.43910891089115)</f>
        <v>391.4391089</v>
      </c>
      <c r="U765" s="9">
        <f t="shared" si="5"/>
        <v>-0.06417606806</v>
      </c>
      <c r="V765" s="15">
        <f>IFERROR(__xludf.DUMMYFUNCTION("LET(hist, GOOGLEFINANCE(A765,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rs))))))"),33.185448092280424)</f>
        <v>33.18544809</v>
      </c>
      <c r="W765" s="16" t="str">
        <f>IFERROR(__xludf.DUMMYFUNCTION("IFERROR(GOOGLEFINANCE(A765, ""volume"") / GOOGLEFINANCE(A765, ""volumeavg""), )"),"")</f>
        <v/>
      </c>
      <c r="X765" s="9">
        <f>IFERROR(__xludf.DUMMYFUNCTION("B765 * GOOGLEFINANCE(A765, ""volume"")"),7.8871793E7)</f>
        <v>78871793</v>
      </c>
      <c r="Y765" s="9">
        <f>IFERROR(__xludf.DUMMYFUNCTION("IFERROR(((B765 - GOOGLEFINANCE(A765, ""priceopen"")) / GOOGLEFINANCE(A765, ""priceopen"")) * GOOGLEFINANCE(A765, ""volume""), 0)"),-5346.086029750047)</f>
        <v>-5346.08603</v>
      </c>
    </row>
    <row r="766">
      <c r="A766" s="4" t="s">
        <v>2559</v>
      </c>
      <c r="B766" s="7">
        <f>IFERROR(__xludf.DUMMYFUNCTION("GOOGLEFINANCE(A766, ""price"")"),279.9)</f>
        <v>279.9</v>
      </c>
      <c r="C766" s="7">
        <f>IFERROR(__xludf.DUMMYFUNCTION("GOOGLEFINANCE(A766, ""changepct"")"),0.16)</f>
        <v>0.16</v>
      </c>
      <c r="D766" s="9">
        <f>IFERROR(__xludf.DUMMYFUNCTION("GOOGLEFINANCE(A766, ""priceopen"")"),280.0)</f>
        <v>280</v>
      </c>
      <c r="E766" s="9">
        <f>IFERROR(__xludf.DUMMYFUNCTION("GOOGLEFINANCE(A766, ""high"")"),288.95)</f>
        <v>288.95</v>
      </c>
      <c r="F766" s="9">
        <f>IFERROR(__xludf.DUMMYFUNCTION("GOOGLEFINANCE(A766, ""low"")"),278.15)</f>
        <v>278.15</v>
      </c>
      <c r="G766" s="9">
        <f>IFERROR(__xludf.DUMMYFUNCTION("GOOGLEFINANCE(A766, ""price"")"),279.9)</f>
        <v>279.9</v>
      </c>
      <c r="H766" s="9">
        <f>IFERROR(__xludf.DUMMYFUNCTION("MAX(INDEX(GOOGLEFINANCE(A766, ""high"", TODAY()-30, TODAY()), 0, 2))"),304.5)</f>
        <v>304.5</v>
      </c>
      <c r="I766" s="9">
        <f>IFERROR(__xludf.DUMMYFUNCTION("MIN(INDEX(GOOGLEFINANCE(A766, ""low"", TODAY()-30, TODAY()), 0, 2))"),257.9)</f>
        <v>257.9</v>
      </c>
      <c r="J766" s="9">
        <f>IFERROR(__xludf.DUMMYFUNCTION("GOOGLEFINANCE(A766, ""high52"")"),404.9)</f>
        <v>404.9</v>
      </c>
      <c r="K766" s="9">
        <f>IFERROR(__xludf.DUMMYFUNCTION("GOOGLEFINANCE(A766, ""low52"")"),242.35)</f>
        <v>242.35</v>
      </c>
      <c r="L766" s="9">
        <f t="shared" si="1"/>
        <v>0.308718202</v>
      </c>
      <c r="M766" s="9">
        <f t="shared" si="2"/>
        <v>0.1549412007</v>
      </c>
      <c r="N766" s="9">
        <f t="shared" si="3"/>
        <v>0.03882797052</v>
      </c>
      <c r="O766" s="9">
        <f t="shared" si="4"/>
        <v>0.4721030043</v>
      </c>
      <c r="P766" s="9">
        <f>IFERROR(__xludf.DUMMYFUNCTION("GOOGLEFINANCE(A766, ""pe"")"),18.76)</f>
        <v>18.76</v>
      </c>
      <c r="Q766" s="9">
        <f>IFERROR(__xludf.DUMMYFUNCTION("IFERROR(GOOGLEFINANCE(A766, ""volume"") / GOOGLEFINANCE(A766, ""volumeavg""), 0)"),0.0)</f>
        <v>0</v>
      </c>
      <c r="R766" s="9">
        <f>IFERROR(__xludf.DUMMYFUNCTION("AVERAGE(INDEX(GOOGLEFINANCE(A766, ""price"", TODAY()-30, TODAY()), 0, 2))"),275.8478260869565)</f>
        <v>275.8478261</v>
      </c>
      <c r="S766" s="9">
        <f>IFERROR(__xludf.DUMMYFUNCTION("AVERAGE(INDEX(GOOGLEFINANCE(A766, ""price"", TODAY()-75, TODAY()), 0, 2))"),281.9962264150944)</f>
        <v>281.9962264</v>
      </c>
      <c r="T766" s="9">
        <f>IFERROR(__xludf.DUMMYFUNCTION("AVERAGE(INDEX(GOOGLEFINANCE(A766, ""price"", TODAY()-300, TODAY()), 0, 2))"),314.1272277227721)</f>
        <v>314.1272277</v>
      </c>
      <c r="U766" s="9">
        <f t="shared" si="5"/>
        <v>0.01468988888</v>
      </c>
      <c r="V766" s="15">
        <f>IFERROR(__xludf.DUMMYFUNCTION("LET(hist, GOOGLEFINANCE(A766,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rs))))))"),65.03496503496501)</f>
        <v>65.03496503</v>
      </c>
      <c r="W766" s="16" t="str">
        <f>IFERROR(__xludf.DUMMYFUNCTION("IFERROR(GOOGLEFINANCE(A766, ""volume"") / GOOGLEFINANCE(A766, ""volumeavg""), )"),"")</f>
        <v/>
      </c>
      <c r="X766" s="9">
        <f>IFERROR(__xludf.DUMMYFUNCTION("B766 * GOOGLEFINANCE(A766, ""volume"")"),3.1782477059999996E8)</f>
        <v>317824770.6</v>
      </c>
      <c r="Y766" s="9">
        <f>IFERROR(__xludf.DUMMYFUNCTION("IFERROR(((B766 - GOOGLEFINANCE(A766, ""priceopen"")) / GOOGLEFINANCE(A766, ""priceopen"")) * GOOGLEFINANCE(A766, ""volume""), 0)"),-405.53357142866366)</f>
        <v>-405.5335714</v>
      </c>
    </row>
    <row r="767">
      <c r="A767" s="4" t="s">
        <v>2560</v>
      </c>
      <c r="B767" s="7">
        <f>IFERROR(__xludf.DUMMYFUNCTION("GOOGLEFINANCE(A767, ""price"")"),560.0)</f>
        <v>560</v>
      </c>
      <c r="C767" s="7">
        <f>IFERROR(__xludf.DUMMYFUNCTION("GOOGLEFINANCE(A767, ""changepct"")"),2.95)</f>
        <v>2.95</v>
      </c>
      <c r="D767" s="9">
        <f>IFERROR(__xludf.DUMMYFUNCTION("GOOGLEFINANCE(A767, ""priceopen"")"),541.0)</f>
        <v>541</v>
      </c>
      <c r="E767" s="9">
        <f>IFERROR(__xludf.DUMMYFUNCTION("GOOGLEFINANCE(A767, ""high"")"),564.0)</f>
        <v>564</v>
      </c>
      <c r="F767" s="9">
        <f>IFERROR(__xludf.DUMMYFUNCTION("GOOGLEFINANCE(A767, ""low"")"),536.4)</f>
        <v>536.4</v>
      </c>
      <c r="G767" s="9">
        <f>IFERROR(__xludf.DUMMYFUNCTION("GOOGLEFINANCE(A767, ""price"")"),560.0)</f>
        <v>560</v>
      </c>
      <c r="H767" s="9">
        <f>IFERROR(__xludf.DUMMYFUNCTION("MAX(INDEX(GOOGLEFINANCE(A767, ""high"", TODAY()-30, TODAY()), 0, 2))"),661.0)</f>
        <v>661</v>
      </c>
      <c r="I767" s="9">
        <f>IFERROR(__xludf.DUMMYFUNCTION("MIN(INDEX(GOOGLEFINANCE(A767, ""low"", TODAY()-30, TODAY()), 0, 2))"),535.1)</f>
        <v>535.1</v>
      </c>
      <c r="J767" s="9">
        <f>IFERROR(__xludf.DUMMYFUNCTION("GOOGLEFINANCE(A767, ""high52"")"),713.0)</f>
        <v>713</v>
      </c>
      <c r="K767" s="9">
        <f>IFERROR(__xludf.DUMMYFUNCTION("GOOGLEFINANCE(A767, ""low52"")"),288.0)</f>
        <v>288</v>
      </c>
      <c r="L767" s="9">
        <f t="shared" si="1"/>
        <v>0.2145862553</v>
      </c>
      <c r="M767" s="9">
        <f t="shared" si="2"/>
        <v>0.9444444444</v>
      </c>
      <c r="N767" s="9">
        <f t="shared" si="3"/>
        <v>0.0514541387</v>
      </c>
      <c r="O767" s="9">
        <f t="shared" si="4"/>
        <v>0.1977760127</v>
      </c>
      <c r="P767" s="9">
        <f>IFERROR(__xludf.DUMMYFUNCTION("GOOGLEFINANCE(A767, ""pe"")"),68.9)</f>
        <v>68.9</v>
      </c>
      <c r="Q767" s="9">
        <f>IFERROR(__xludf.DUMMYFUNCTION("IFERROR(GOOGLEFINANCE(A767, ""volume"") / GOOGLEFINANCE(A767, ""volumeavg""), 0)"),0.0)</f>
        <v>0</v>
      </c>
      <c r="R767" s="9">
        <f>IFERROR(__xludf.DUMMYFUNCTION("AVERAGE(INDEX(GOOGLEFINANCE(A767, ""price"", TODAY()-30, TODAY()), 0, 2))"),596.3913043478261)</f>
        <v>596.3913043</v>
      </c>
      <c r="S767" s="9">
        <f>IFERROR(__xludf.DUMMYFUNCTION("AVERAGE(INDEX(GOOGLEFINANCE(A767, ""price"", TODAY()-75, TODAY()), 0, 2))"),519.3122641509433)</f>
        <v>519.3122642</v>
      </c>
      <c r="T767" s="9">
        <f>IFERROR(__xludf.DUMMYFUNCTION("AVERAGE(INDEX(GOOGLEFINANCE(A767, ""price"", TODAY()-300, TODAY()), 0, 2))"),473.87995049504934)</f>
        <v>473.8799505</v>
      </c>
      <c r="U767" s="9">
        <f t="shared" si="5"/>
        <v>-0.06101917329</v>
      </c>
      <c r="V767" s="15">
        <f>IFERROR(__xludf.DUMMYFUNCTION("LET(hist, GOOGLEFINANCE(A767,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rs))))))"),36.580796252927385)</f>
        <v>36.58079625</v>
      </c>
      <c r="W767" s="16" t="str">
        <f>IFERROR(__xludf.DUMMYFUNCTION("IFERROR(GOOGLEFINANCE(A767, ""volume"") / GOOGLEFINANCE(A767, ""volumeavg""), )"),"")</f>
        <v/>
      </c>
      <c r="X767" s="9">
        <f>IFERROR(__xludf.DUMMYFUNCTION("B767 * GOOGLEFINANCE(A767, ""volume"")"),1.00646E8)</f>
        <v>100646000</v>
      </c>
      <c r="Y767" s="9">
        <f>IFERROR(__xludf.DUMMYFUNCTION("IFERROR(((B767 - GOOGLEFINANCE(A767, ""priceopen"")) / GOOGLEFINANCE(A767, ""priceopen"")) * GOOGLEFINANCE(A767, ""volume""), 0)"),6311.968576709797)</f>
        <v>6311.968577</v>
      </c>
    </row>
    <row r="768">
      <c r="A768" s="4" t="s">
        <v>2561</v>
      </c>
      <c r="B768" s="7">
        <f>IFERROR(__xludf.DUMMYFUNCTION("GOOGLEFINANCE(A768, ""price"")"),1000.0)</f>
        <v>1000</v>
      </c>
      <c r="C768" s="7">
        <f>IFERROR(__xludf.DUMMYFUNCTION("GOOGLEFINANCE(A768, ""changepct"")"),1.12)</f>
        <v>1.12</v>
      </c>
      <c r="D768" s="9">
        <f>IFERROR(__xludf.DUMMYFUNCTION("GOOGLEFINANCE(A768, ""priceopen"")"),988.95)</f>
        <v>988.95</v>
      </c>
      <c r="E768" s="9">
        <f>IFERROR(__xludf.DUMMYFUNCTION("GOOGLEFINANCE(A768, ""high"")"),1059.9)</f>
        <v>1059.9</v>
      </c>
      <c r="F768" s="9">
        <f>IFERROR(__xludf.DUMMYFUNCTION("GOOGLEFINANCE(A768, ""low"")"),966.0)</f>
        <v>966</v>
      </c>
      <c r="G768" s="9">
        <f>IFERROR(__xludf.DUMMYFUNCTION("GOOGLEFINANCE(A768, ""price"")"),1000.0)</f>
        <v>1000</v>
      </c>
      <c r="H768" s="9">
        <f>IFERROR(__xludf.DUMMYFUNCTION("MAX(INDEX(GOOGLEFINANCE(A768, ""high"", TODAY()-30, TODAY()), 0, 2))"),1059.9)</f>
        <v>1059.9</v>
      </c>
      <c r="I768" s="9">
        <f>IFERROR(__xludf.DUMMYFUNCTION("MIN(INDEX(GOOGLEFINANCE(A768, ""low"", TODAY()-30, TODAY()), 0, 2))"),813.7)</f>
        <v>813.7</v>
      </c>
      <c r="J768" s="9">
        <f>IFERROR(__xludf.DUMMYFUNCTION("GOOGLEFINANCE(A768, ""high52"")"),1059.9)</f>
        <v>1059.9</v>
      </c>
      <c r="K768" s="9">
        <f>IFERROR(__xludf.DUMMYFUNCTION("GOOGLEFINANCE(A768, ""low52"")"),330.0)</f>
        <v>330</v>
      </c>
      <c r="L768" s="9">
        <f t="shared" si="1"/>
        <v>0.05651476554</v>
      </c>
      <c r="M768" s="9">
        <f t="shared" si="2"/>
        <v>2.03030303</v>
      </c>
      <c r="N768" s="9">
        <f t="shared" si="3"/>
        <v>0.09720496894</v>
      </c>
      <c r="O768" s="9">
        <f t="shared" si="4"/>
        <v>0.7567018684</v>
      </c>
      <c r="P768" s="9">
        <f>IFERROR(__xludf.DUMMYFUNCTION("GOOGLEFINANCE(A768, ""pe"")"),54.44)</f>
        <v>54.44</v>
      </c>
      <c r="Q768" s="9">
        <f>IFERROR(__xludf.DUMMYFUNCTION("IFERROR(GOOGLEFINANCE(A768, ""volume"") / GOOGLEFINANCE(A768, ""volumeavg""), 0)"),0.0)</f>
        <v>0</v>
      </c>
      <c r="R768" s="9">
        <f>IFERROR(__xludf.DUMMYFUNCTION("AVERAGE(INDEX(GOOGLEFINANCE(A768, ""price"", TODAY()-30, TODAY()), 0, 2))"),888.9717391304349)</f>
        <v>888.9717391</v>
      </c>
      <c r="S768" s="9">
        <f>IFERROR(__xludf.DUMMYFUNCTION("AVERAGE(INDEX(GOOGLEFINANCE(A768, ""price"", TODAY()-75, TODAY()), 0, 2))"),859.5518867924524)</f>
        <v>859.5518868</v>
      </c>
      <c r="T768" s="9">
        <f>IFERROR(__xludf.DUMMYFUNCTION("AVERAGE(INDEX(GOOGLEFINANCE(A768, ""price"", TODAY()-300, TODAY()), 0, 2))"),596.3737179487181)</f>
        <v>596.3737179</v>
      </c>
      <c r="U768" s="9">
        <f t="shared" si="5"/>
        <v>0.1248951524</v>
      </c>
      <c r="V768" s="15">
        <f>IFERROR(__xludf.DUMMYFUNCTION("LET(hist, GOOGLEFINANCE(A768,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rs))))))"),73.38012958963282)</f>
        <v>73.38012959</v>
      </c>
      <c r="W768" s="16" t="str">
        <f>IFERROR(__xludf.DUMMYFUNCTION("IFERROR(GOOGLEFINANCE(A768, ""volume"") / GOOGLEFINANCE(A768, ""volumeavg""), )"),"")</f>
        <v/>
      </c>
      <c r="X768" s="9">
        <f>IFERROR(__xludf.DUMMYFUNCTION("B768 * GOOGLEFINANCE(A768, ""volume"")"),1.174005E9)</f>
        <v>1174005000</v>
      </c>
      <c r="Y768" s="9">
        <f>IFERROR(__xludf.DUMMYFUNCTION("IFERROR(((B768 - GOOGLEFINANCE(A768, ""priceopen"")) / GOOGLEFINANCE(A768, ""priceopen"")) * GOOGLEFINANCE(A768, ""volume""), 0)"),13117.705900197125)</f>
        <v>13117.7059</v>
      </c>
    </row>
    <row r="769">
      <c r="A769" s="4" t="s">
        <v>2562</v>
      </c>
      <c r="B769" s="7">
        <f>IFERROR(__xludf.DUMMYFUNCTION("GOOGLEFINANCE(A769, ""price"")"),372.3)</f>
        <v>372.3</v>
      </c>
      <c r="C769" s="7">
        <f>IFERROR(__xludf.DUMMYFUNCTION("GOOGLEFINANCE(A769, ""changepct"")"),-3.06)</f>
        <v>-3.06</v>
      </c>
      <c r="D769" s="9">
        <f>IFERROR(__xludf.DUMMYFUNCTION("GOOGLEFINANCE(A769, ""priceopen"")"),387.9)</f>
        <v>387.9</v>
      </c>
      <c r="E769" s="9">
        <f>IFERROR(__xludf.DUMMYFUNCTION("GOOGLEFINANCE(A769, ""high"")"),387.9)</f>
        <v>387.9</v>
      </c>
      <c r="F769" s="9">
        <f>IFERROR(__xludf.DUMMYFUNCTION("GOOGLEFINANCE(A769, ""low"")"),369.05)</f>
        <v>369.05</v>
      </c>
      <c r="G769" s="9">
        <f>IFERROR(__xludf.DUMMYFUNCTION("GOOGLEFINANCE(A769, ""price"")"),372.3)</f>
        <v>372.3</v>
      </c>
      <c r="H769" s="9">
        <f>IFERROR(__xludf.DUMMYFUNCTION("MAX(INDEX(GOOGLEFINANCE(A769, ""high"", TODAY()-30, TODAY()), 0, 2))"),398.2)</f>
        <v>398.2</v>
      </c>
      <c r="I769" s="9">
        <f>IFERROR(__xludf.DUMMYFUNCTION("MIN(INDEX(GOOGLEFINANCE(A769, ""low"", TODAY()-30, TODAY()), 0, 2))"),330.95)</f>
        <v>330.95</v>
      </c>
      <c r="J769" s="9">
        <f>IFERROR(__xludf.DUMMYFUNCTION("GOOGLEFINANCE(A769, ""high52"")"),398.2)</f>
        <v>398.2</v>
      </c>
      <c r="K769" s="9">
        <f>IFERROR(__xludf.DUMMYFUNCTION("GOOGLEFINANCE(A769, ""low52"")"),198.75)</f>
        <v>198.75</v>
      </c>
      <c r="L769" s="9">
        <f t="shared" si="1"/>
        <v>0.06504269211</v>
      </c>
      <c r="M769" s="9">
        <f t="shared" si="2"/>
        <v>0.8732075472</v>
      </c>
      <c r="N769" s="9">
        <f t="shared" si="3"/>
        <v>0.05107708983</v>
      </c>
      <c r="O769" s="9">
        <f t="shared" si="4"/>
        <v>0.6148698885</v>
      </c>
      <c r="P769" s="9">
        <f>IFERROR(__xludf.DUMMYFUNCTION("GOOGLEFINANCE(A769, ""pe"")"),26.82)</f>
        <v>26.82</v>
      </c>
      <c r="Q769" s="9">
        <f>IFERROR(__xludf.DUMMYFUNCTION("IFERROR(GOOGLEFINANCE(A769, ""volume"") / GOOGLEFINANCE(A769, ""volumeavg""), 0)"),0.0)</f>
        <v>0</v>
      </c>
      <c r="R769" s="9">
        <f>IFERROR(__xludf.DUMMYFUNCTION("AVERAGE(INDEX(GOOGLEFINANCE(A769, ""price"", TODAY()-30, TODAY()), 0, 2))"),360.05)</f>
        <v>360.05</v>
      </c>
      <c r="S769" s="9">
        <f>IFERROR(__xludf.DUMMYFUNCTION("AVERAGE(INDEX(GOOGLEFINANCE(A769, ""price"", TODAY()-75, TODAY()), 0, 2))"),347.6566037735849)</f>
        <v>347.6566038</v>
      </c>
      <c r="T769" s="9">
        <f>IFERROR(__xludf.DUMMYFUNCTION("AVERAGE(INDEX(GOOGLEFINANCE(A769, ""price"", TODAY()-300, TODAY()), 0, 2))"),289.9022772277229)</f>
        <v>289.9022772</v>
      </c>
      <c r="U769" s="9">
        <f t="shared" si="5"/>
        <v>0.03402305235</v>
      </c>
      <c r="V769" s="15">
        <f>IFERROR(__xludf.DUMMYFUNCTION("LET(hist, GOOGLEFINANCE(A769,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rs))))))"),62.47582205029016)</f>
        <v>62.47582205</v>
      </c>
      <c r="W769" s="16" t="str">
        <f>IFERROR(__xludf.DUMMYFUNCTION("IFERROR(GOOGLEFINANCE(A769, ""volume"") / GOOGLEFINANCE(A769, ""volumeavg""), )"),"")</f>
        <v/>
      </c>
      <c r="X769" s="9">
        <f>IFERROR(__xludf.DUMMYFUNCTION("B769 * GOOGLEFINANCE(A769, ""volume"")"),3.346061142E8)</f>
        <v>334606114.2</v>
      </c>
      <c r="Y769" s="9">
        <f>IFERROR(__xludf.DUMMYFUNCTION("IFERROR(((B769 - GOOGLEFINANCE(A769, ""priceopen"")) / GOOGLEFINANCE(A769, ""priceopen"")) * GOOGLEFINANCE(A769, ""volume""), 0)"),-36144.78576952815)</f>
        <v>-36144.78577</v>
      </c>
    </row>
    <row r="770">
      <c r="A770" s="4" t="s">
        <v>2563</v>
      </c>
      <c r="B770" s="7">
        <f>IFERROR(__xludf.DUMMYFUNCTION("GOOGLEFINANCE(A770, ""price"")"),186.25)</f>
        <v>186.25</v>
      </c>
      <c r="C770" s="7">
        <f>IFERROR(__xludf.DUMMYFUNCTION("GOOGLEFINANCE(A770, ""changepct"")"),-0.11)</f>
        <v>-0.11</v>
      </c>
      <c r="D770" s="9">
        <f>IFERROR(__xludf.DUMMYFUNCTION("GOOGLEFINANCE(A770, ""priceopen"")"),186.65)</f>
        <v>186.65</v>
      </c>
      <c r="E770" s="9">
        <f>IFERROR(__xludf.DUMMYFUNCTION("GOOGLEFINANCE(A770, ""high"")"),190.1)</f>
        <v>190.1</v>
      </c>
      <c r="F770" s="9">
        <f>IFERROR(__xludf.DUMMYFUNCTION("GOOGLEFINANCE(A770, ""low"")"),184.5)</f>
        <v>184.5</v>
      </c>
      <c r="G770" s="9">
        <f>IFERROR(__xludf.DUMMYFUNCTION("GOOGLEFINANCE(A770, ""price"")"),186.25)</f>
        <v>186.25</v>
      </c>
      <c r="H770" s="9">
        <f>IFERROR(__xludf.DUMMYFUNCTION("MAX(INDEX(GOOGLEFINANCE(A770, ""high"", TODAY()-30, TODAY()), 0, 2))"),193.9)</f>
        <v>193.9</v>
      </c>
      <c r="I770" s="9">
        <f>IFERROR(__xludf.DUMMYFUNCTION("MIN(INDEX(GOOGLEFINANCE(A770, ""low"", TODAY()-30, TODAY()), 0, 2))"),133.05)</f>
        <v>133.05</v>
      </c>
      <c r="J770" s="9">
        <f>IFERROR(__xludf.DUMMYFUNCTION("GOOGLEFINANCE(A770, ""high52"")"),193.9)</f>
        <v>193.9</v>
      </c>
      <c r="K770" s="9">
        <f>IFERROR(__xludf.DUMMYFUNCTION("GOOGLEFINANCE(A770, ""low52"")"),86.2)</f>
        <v>86.2</v>
      </c>
      <c r="L770" s="9">
        <f t="shared" si="1"/>
        <v>0.03945332646</v>
      </c>
      <c r="M770" s="9">
        <f t="shared" si="2"/>
        <v>1.160672854</v>
      </c>
      <c r="N770" s="9">
        <f t="shared" si="3"/>
        <v>0.03035230352</v>
      </c>
      <c r="O770" s="9">
        <f t="shared" si="4"/>
        <v>0.8742810189</v>
      </c>
      <c r="P770" s="9">
        <f>IFERROR(__xludf.DUMMYFUNCTION("GOOGLEFINANCE(A770, ""pe"")"),29.3)</f>
        <v>29.3</v>
      </c>
      <c r="Q770" s="9">
        <f>IFERROR(__xludf.DUMMYFUNCTION("IFERROR(GOOGLEFINANCE(A770, ""volume"") / GOOGLEFINANCE(A770, ""volumeavg""), 0)"),0.0)</f>
        <v>0</v>
      </c>
      <c r="R770" s="9">
        <f>IFERROR(__xludf.DUMMYFUNCTION("AVERAGE(INDEX(GOOGLEFINANCE(A770, ""price"", TODAY()-30, TODAY()), 0, 2))"),163.38347826086957)</f>
        <v>163.3834783</v>
      </c>
      <c r="S770" s="9">
        <f>IFERROR(__xludf.DUMMYFUNCTION("AVERAGE(INDEX(GOOGLEFINANCE(A770, ""price"", TODAY()-75, TODAY()), 0, 2))"),148.59867924528297)</f>
        <v>148.5986792</v>
      </c>
      <c r="T770" s="9">
        <f>IFERROR(__xludf.DUMMYFUNCTION("AVERAGE(INDEX(GOOGLEFINANCE(A770, ""price"", TODAY()-300, TODAY()), 0, 2))"),118.69766169154232)</f>
        <v>118.6976617</v>
      </c>
      <c r="U770" s="9">
        <f t="shared" si="5"/>
        <v>0.1399561448</v>
      </c>
      <c r="V770" s="15">
        <f>IFERROR(__xludf.DUMMYFUNCTION("LET(hist, GOOGLEFINANCE(A770,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rs))))))"),81.5843621399177)</f>
        <v>81.58436214</v>
      </c>
      <c r="W770" s="16" t="str">
        <f>IFERROR(__xludf.DUMMYFUNCTION("IFERROR(GOOGLEFINANCE(A770, ""volume"") / GOOGLEFINANCE(A770, ""volumeavg""), )"),"")</f>
        <v/>
      </c>
      <c r="X770" s="9">
        <f>IFERROR(__xludf.DUMMYFUNCTION("B770 * GOOGLEFINANCE(A770, ""volume"")"),7.227636125E7)</f>
        <v>72276361.25</v>
      </c>
      <c r="Y770" s="9">
        <f>IFERROR(__xludf.DUMMYFUNCTION("IFERROR(((B770 - GOOGLEFINANCE(A770, ""priceopen"")) / GOOGLEFINANCE(A770, ""priceopen"")) * GOOGLEFINANCE(A770, ""volume""), 0)"),-831.6335387088251)</f>
        <v>-831.6335387</v>
      </c>
    </row>
    <row r="771">
      <c r="A771" s="4" t="s">
        <v>2564</v>
      </c>
      <c r="B771" s="7">
        <f>IFERROR(__xludf.DUMMYFUNCTION("GOOGLEFINANCE(A771, ""price"")"),520.0)</f>
        <v>520</v>
      </c>
      <c r="C771" s="7">
        <f>IFERROR(__xludf.DUMMYFUNCTION("GOOGLEFINANCE(A771, ""changepct"")"),4.01)</f>
        <v>4.01</v>
      </c>
      <c r="D771" s="9">
        <f>IFERROR(__xludf.DUMMYFUNCTION("GOOGLEFINANCE(A771, ""priceopen"")"),503.0)</f>
        <v>503</v>
      </c>
      <c r="E771" s="9">
        <f>IFERROR(__xludf.DUMMYFUNCTION("GOOGLEFINANCE(A771, ""high"")"),524.0)</f>
        <v>524</v>
      </c>
      <c r="F771" s="9">
        <f>IFERROR(__xludf.DUMMYFUNCTION("GOOGLEFINANCE(A771, ""low"")"),493.55)</f>
        <v>493.55</v>
      </c>
      <c r="G771" s="9">
        <f>IFERROR(__xludf.DUMMYFUNCTION("GOOGLEFINANCE(A771, ""price"")"),520.0)</f>
        <v>520</v>
      </c>
      <c r="H771" s="9">
        <f>IFERROR(__xludf.DUMMYFUNCTION("MAX(INDEX(GOOGLEFINANCE(A771, ""high"", TODAY()-30, TODAY()), 0, 2))"),555.6)</f>
        <v>555.6</v>
      </c>
      <c r="I771" s="9">
        <f>IFERROR(__xludf.DUMMYFUNCTION("MIN(INDEX(GOOGLEFINANCE(A771, ""low"", TODAY()-30, TODAY()), 0, 2))"),461.0)</f>
        <v>461</v>
      </c>
      <c r="J771" s="9">
        <f>IFERROR(__xludf.DUMMYFUNCTION("GOOGLEFINANCE(A771, ""high52"")"),555.6)</f>
        <v>555.6</v>
      </c>
      <c r="K771" s="9">
        <f>IFERROR(__xludf.DUMMYFUNCTION("GOOGLEFINANCE(A771, ""low52"")"),461.0)</f>
        <v>461</v>
      </c>
      <c r="L771" s="9">
        <f t="shared" si="1"/>
        <v>0.06407487401</v>
      </c>
      <c r="M771" s="9">
        <f t="shared" si="2"/>
        <v>0.1279826464</v>
      </c>
      <c r="N771" s="9">
        <f t="shared" si="3"/>
        <v>0.06169587681</v>
      </c>
      <c r="O771" s="9">
        <f t="shared" si="4"/>
        <v>0.6236786469</v>
      </c>
      <c r="P771" s="9">
        <f>IFERROR(__xludf.DUMMYFUNCTION("GOOGLEFINANCE(A771, ""pe"")"),28.41)</f>
        <v>28.41</v>
      </c>
      <c r="Q771" s="9">
        <f>IFERROR(__xludf.DUMMYFUNCTION("IFERROR(GOOGLEFINANCE(A771, ""volume"") / GOOGLEFINANCE(A771, ""volumeavg""), 0)"),0.0)</f>
        <v>0</v>
      </c>
      <c r="R771" s="9">
        <f>IFERROR(__xludf.DUMMYFUNCTION("AVERAGE(INDEX(GOOGLEFINANCE(A771, ""price"", TODAY()-30, TODAY()), 0, 2))"),518.405)</f>
        <v>518.405</v>
      </c>
      <c r="S771" s="9">
        <f>IFERROR(__xludf.DUMMYFUNCTION("AVERAGE(INDEX(GOOGLEFINANCE(A771, ""price"", TODAY()-75, TODAY()), 0, 2))"),518.405)</f>
        <v>518.405</v>
      </c>
      <c r="T771" s="9">
        <f>IFERROR(__xludf.DUMMYFUNCTION("AVERAGE(INDEX(GOOGLEFINANCE(A771, ""price"", TODAY()-300, TODAY()), 0, 2))"),518.405)</f>
        <v>518.405</v>
      </c>
      <c r="U771" s="9">
        <f t="shared" si="5"/>
        <v>0.003076745016</v>
      </c>
      <c r="V771" s="15" t="str">
        <f>IFERROR(__xludf.DUMMYFUNCTION("LET(hist, GOOGLEFINANCE(A771,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rs))))))"),"#N/A")</f>
        <v>#N/A</v>
      </c>
      <c r="W771" s="16" t="str">
        <f>IFERROR(__xludf.DUMMYFUNCTION("IFERROR(GOOGLEFINANCE(A771, ""volume"") / GOOGLEFINANCE(A771, ""volumeavg""), )"),"")</f>
        <v/>
      </c>
      <c r="X771" s="9">
        <f>IFERROR(__xludf.DUMMYFUNCTION("B771 * GOOGLEFINANCE(A771, ""volume"")"),3.4668764E8)</f>
        <v>346687640</v>
      </c>
      <c r="Y771" s="9">
        <f>IFERROR(__xludf.DUMMYFUNCTION("IFERROR(((B771 - GOOGLEFINANCE(A771, ""priceopen"")) / GOOGLEFINANCE(A771, ""priceopen"")) * GOOGLEFINANCE(A771, ""volume""), 0)"),22532.840954274354)</f>
        <v>22532.84095</v>
      </c>
    </row>
    <row r="772">
      <c r="A772" s="4" t="s">
        <v>2565</v>
      </c>
      <c r="B772" s="7">
        <f>IFERROR(__xludf.DUMMYFUNCTION("GOOGLEFINANCE(A772, ""price"")"),20.12)</f>
        <v>20.12</v>
      </c>
      <c r="C772" s="7">
        <f>IFERROR(__xludf.DUMMYFUNCTION("GOOGLEFINANCE(A772, ""changepct"")"),0.35)</f>
        <v>0.35</v>
      </c>
      <c r="D772" s="9">
        <f>IFERROR(__xludf.DUMMYFUNCTION("GOOGLEFINANCE(A772, ""priceopen"")"),20.24)</f>
        <v>20.24</v>
      </c>
      <c r="E772" s="9">
        <f>IFERROR(__xludf.DUMMYFUNCTION("GOOGLEFINANCE(A772, ""high"")"),20.24)</f>
        <v>20.24</v>
      </c>
      <c r="F772" s="9">
        <f>IFERROR(__xludf.DUMMYFUNCTION("GOOGLEFINANCE(A772, ""low"")"),19.71)</f>
        <v>19.71</v>
      </c>
      <c r="G772" s="9">
        <f>IFERROR(__xludf.DUMMYFUNCTION("GOOGLEFINANCE(A772, ""price"")"),20.12)</f>
        <v>20.12</v>
      </c>
      <c r="H772" s="9">
        <f>IFERROR(__xludf.DUMMYFUNCTION("MAX(INDEX(GOOGLEFINANCE(A772, ""high"", TODAY()-30, TODAY()), 0, 2))"),24.16)</f>
        <v>24.16</v>
      </c>
      <c r="I772" s="9">
        <f>IFERROR(__xludf.DUMMYFUNCTION("MIN(INDEX(GOOGLEFINANCE(A772, ""low"", TODAY()-30, TODAY()), 0, 2))"),19.69)</f>
        <v>19.69</v>
      </c>
      <c r="J772" s="9">
        <f>IFERROR(__xludf.DUMMYFUNCTION("GOOGLEFINANCE(A772, ""high52"")"),28.5)</f>
        <v>28.5</v>
      </c>
      <c r="K772" s="9">
        <f>IFERROR(__xludf.DUMMYFUNCTION("GOOGLEFINANCE(A772, ""low52"")"),13.65)</f>
        <v>13.65</v>
      </c>
      <c r="L772" s="9">
        <f t="shared" si="1"/>
        <v>0.2940350877</v>
      </c>
      <c r="M772" s="9">
        <f t="shared" si="2"/>
        <v>0.473992674</v>
      </c>
      <c r="N772" s="9">
        <f t="shared" si="3"/>
        <v>0.0268899036</v>
      </c>
      <c r="O772" s="9">
        <f t="shared" si="4"/>
        <v>0.09619686801</v>
      </c>
      <c r="P772" s="9">
        <f>IFERROR(__xludf.DUMMYFUNCTION("GOOGLEFINANCE(A772, ""pe"")"),29.62)</f>
        <v>29.62</v>
      </c>
      <c r="Q772" s="9">
        <f>IFERROR(__xludf.DUMMYFUNCTION("IFERROR(GOOGLEFINANCE(A772, ""volume"") / GOOGLEFINANCE(A772, ""volumeavg""), 0)"),0.0)</f>
        <v>0</v>
      </c>
      <c r="R772" s="9">
        <f>IFERROR(__xludf.DUMMYFUNCTION("AVERAGE(INDEX(GOOGLEFINANCE(A772, ""price"", TODAY()-30, TODAY()), 0, 2))"),21.74130434782609)</f>
        <v>21.74130435</v>
      </c>
      <c r="S772" s="9">
        <f>IFERROR(__xludf.DUMMYFUNCTION("AVERAGE(INDEX(GOOGLEFINANCE(A772, ""price"", TODAY()-75, TODAY()), 0, 2))"),23.385471698113207)</f>
        <v>23.3854717</v>
      </c>
      <c r="T772" s="9">
        <f>IFERROR(__xludf.DUMMYFUNCTION("AVERAGE(INDEX(GOOGLEFINANCE(A772, ""price"", TODAY()-300, TODAY()), 0, 2))"),20.608059701492532)</f>
        <v>20.6080597</v>
      </c>
      <c r="U772" s="9">
        <f t="shared" si="5"/>
        <v>-0.07457254275</v>
      </c>
      <c r="V772" s="15">
        <f>IFERROR(__xludf.DUMMYFUNCTION("LET(hist, GOOGLEFINANCE(A772,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rs))))))"),34.375)</f>
        <v>34.375</v>
      </c>
      <c r="W772" s="16" t="str">
        <f>IFERROR(__xludf.DUMMYFUNCTION("IFERROR(GOOGLEFINANCE(A772, ""volume"") / GOOGLEFINANCE(A772, ""volumeavg""), )"),"")</f>
        <v/>
      </c>
      <c r="X772" s="9">
        <f>IFERROR(__xludf.DUMMYFUNCTION("B772 * GOOGLEFINANCE(A772, ""volume"")"),3.658166088E8)</f>
        <v>365816608.8</v>
      </c>
      <c r="Y772" s="9">
        <f>IFERROR(__xludf.DUMMYFUNCTION("IFERROR(((B772 - GOOGLEFINANCE(A772, ""priceopen"")) / GOOGLEFINANCE(A772, ""priceopen"")) * GOOGLEFINANCE(A772, ""volume""), 0)"),-107796.87747035344)</f>
        <v>-107796.8775</v>
      </c>
    </row>
    <row r="773">
      <c r="A773" s="4" t="s">
        <v>2566</v>
      </c>
      <c r="B773" s="7">
        <f>IFERROR(__xludf.DUMMYFUNCTION("GOOGLEFINANCE(A773, ""price"")"),411.5)</f>
        <v>411.5</v>
      </c>
      <c r="C773" s="7">
        <f>IFERROR(__xludf.DUMMYFUNCTION("GOOGLEFINANCE(A773, ""changepct"")"),-0.23)</f>
        <v>-0.23</v>
      </c>
      <c r="D773" s="9">
        <f>IFERROR(__xludf.DUMMYFUNCTION("GOOGLEFINANCE(A773, ""priceopen"")"),412.45)</f>
        <v>412.45</v>
      </c>
      <c r="E773" s="9">
        <f>IFERROR(__xludf.DUMMYFUNCTION("GOOGLEFINANCE(A773, ""high"")"),417.9)</f>
        <v>417.9</v>
      </c>
      <c r="F773" s="9">
        <f>IFERROR(__xludf.DUMMYFUNCTION("GOOGLEFINANCE(A773, ""low"")"),402.35)</f>
        <v>402.35</v>
      </c>
      <c r="G773" s="9">
        <f>IFERROR(__xludf.DUMMYFUNCTION("GOOGLEFINANCE(A773, ""price"")"),411.5)</f>
        <v>411.5</v>
      </c>
      <c r="H773" s="9">
        <f>IFERROR(__xludf.DUMMYFUNCTION("MAX(INDEX(GOOGLEFINANCE(A773, ""high"", TODAY()-30, TODAY()), 0, 2))"),424.75)</f>
        <v>424.75</v>
      </c>
      <c r="I773" s="9">
        <f>IFERROR(__xludf.DUMMYFUNCTION("MIN(INDEX(GOOGLEFINANCE(A773, ""low"", TODAY()-30, TODAY()), 0, 2))"),342.05)</f>
        <v>342.05</v>
      </c>
      <c r="J773" s="9">
        <f>IFERROR(__xludf.DUMMYFUNCTION("GOOGLEFINANCE(A773, ""high52"")"),437.45)</f>
        <v>437.45</v>
      </c>
      <c r="K773" s="9">
        <f>IFERROR(__xludf.DUMMYFUNCTION("GOOGLEFINANCE(A773, ""low52"")"),209.11)</f>
        <v>209.11</v>
      </c>
      <c r="L773" s="9">
        <f t="shared" si="1"/>
        <v>0.05932106526</v>
      </c>
      <c r="M773" s="9">
        <f t="shared" si="2"/>
        <v>0.9678638037</v>
      </c>
      <c r="N773" s="9">
        <f t="shared" si="3"/>
        <v>0.03864794333</v>
      </c>
      <c r="O773" s="9">
        <f t="shared" si="4"/>
        <v>0.8397823458</v>
      </c>
      <c r="P773" s="9">
        <f>IFERROR(__xludf.DUMMYFUNCTION("GOOGLEFINANCE(A773, ""pe"")"),24.8)</f>
        <v>24.8</v>
      </c>
      <c r="Q773" s="9">
        <f>IFERROR(__xludf.DUMMYFUNCTION("IFERROR(GOOGLEFINANCE(A773, ""volume"") / GOOGLEFINANCE(A773, ""volumeavg""), 0)"),0.0)</f>
        <v>0</v>
      </c>
      <c r="R773" s="9">
        <f>IFERROR(__xludf.DUMMYFUNCTION("AVERAGE(INDEX(GOOGLEFINANCE(A773, ""price"", TODAY()-30, TODAY()), 0, 2))"),380.4652173913044)</f>
        <v>380.4652174</v>
      </c>
      <c r="S773" s="9">
        <f>IFERROR(__xludf.DUMMYFUNCTION("AVERAGE(INDEX(GOOGLEFINANCE(A773, ""price"", TODAY()-75, TODAY()), 0, 2))"),334.2149056603773)</f>
        <v>334.2149057</v>
      </c>
      <c r="T773" s="9">
        <f>IFERROR(__xludf.DUMMYFUNCTION("AVERAGE(INDEX(GOOGLEFINANCE(A773, ""price"", TODAY()-300, TODAY()), 0, 2))"),292.3572277227724)</f>
        <v>292.3572277</v>
      </c>
      <c r="U773" s="9">
        <f t="shared" si="5"/>
        <v>0.08157061721</v>
      </c>
      <c r="V773" s="15">
        <f>IFERROR(__xludf.DUMMYFUNCTION("LET(hist, GOOGLEFINANCE(A773,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rs))))))"),53.501308900523576)</f>
        <v>53.5013089</v>
      </c>
      <c r="W773" s="16" t="str">
        <f>IFERROR(__xludf.DUMMYFUNCTION("IFERROR(GOOGLEFINANCE(A773, ""volume"") / GOOGLEFINANCE(A773, ""volumeavg""), )"),"")</f>
        <v/>
      </c>
      <c r="X773" s="9">
        <f>IFERROR(__xludf.DUMMYFUNCTION("B773 * GOOGLEFINANCE(A773, ""volume"")"),5.4798632E7)</f>
        <v>54798632</v>
      </c>
      <c r="Y773" s="9">
        <f>IFERROR(__xludf.DUMMYFUNCTION("IFERROR(((B773 - GOOGLEFINANCE(A773, ""priceopen"")) / GOOGLEFINANCE(A773, ""priceopen"")) * GOOGLEFINANCE(A773, ""volume""), 0)"),-306.72711843859497)</f>
        <v>-306.7271184</v>
      </c>
    </row>
    <row r="774">
      <c r="A774" s="4" t="s">
        <v>2567</v>
      </c>
      <c r="B774" s="7">
        <f>IFERROR(__xludf.DUMMYFUNCTION("GOOGLEFINANCE(A774, ""price"")"),640.0)</f>
        <v>640</v>
      </c>
      <c r="C774" s="7">
        <f>IFERROR(__xludf.DUMMYFUNCTION("GOOGLEFINANCE(A774, ""changepct"")"),-0.02)</f>
        <v>-0.02</v>
      </c>
      <c r="D774" s="9">
        <f>IFERROR(__xludf.DUMMYFUNCTION("GOOGLEFINANCE(A774, ""priceopen"")"),642.05)</f>
        <v>642.05</v>
      </c>
      <c r="E774" s="9">
        <f>IFERROR(__xludf.DUMMYFUNCTION("GOOGLEFINANCE(A774, ""high"")"),649.55)</f>
        <v>649.55</v>
      </c>
      <c r="F774" s="9">
        <f>IFERROR(__xludf.DUMMYFUNCTION("GOOGLEFINANCE(A774, ""low"")"),632.0)</f>
        <v>632</v>
      </c>
      <c r="G774" s="9">
        <f>IFERROR(__xludf.DUMMYFUNCTION("GOOGLEFINANCE(A774, ""price"")"),640.0)</f>
        <v>640</v>
      </c>
      <c r="H774" s="9">
        <f>IFERROR(__xludf.DUMMYFUNCTION("MAX(INDEX(GOOGLEFINANCE(A774, ""high"", TODAY()-30, TODAY()), 0, 2))"),657.0)</f>
        <v>657</v>
      </c>
      <c r="I774" s="9">
        <f>IFERROR(__xludf.DUMMYFUNCTION("MIN(INDEX(GOOGLEFINANCE(A774, ""low"", TODAY()-30, TODAY()), 0, 2))"),604.6)</f>
        <v>604.6</v>
      </c>
      <c r="J774" s="9">
        <f>IFERROR(__xludf.DUMMYFUNCTION("GOOGLEFINANCE(A774, ""high52"")"),657.0)</f>
        <v>657</v>
      </c>
      <c r="K774" s="9">
        <f>IFERROR(__xludf.DUMMYFUNCTION("GOOGLEFINANCE(A774, ""low52"")"),516.03)</f>
        <v>516.03</v>
      </c>
      <c r="L774" s="9">
        <f t="shared" si="1"/>
        <v>0.02587519026</v>
      </c>
      <c r="M774" s="9">
        <f t="shared" si="2"/>
        <v>0.2402379707</v>
      </c>
      <c r="N774" s="9">
        <f t="shared" si="3"/>
        <v>0.02776898734</v>
      </c>
      <c r="O774" s="9">
        <f t="shared" si="4"/>
        <v>0.6755725191</v>
      </c>
      <c r="P774" s="9">
        <f>IFERROR(__xludf.DUMMYFUNCTION("GOOGLEFINANCE(A774, ""pe"")"),20.86)</f>
        <v>20.86</v>
      </c>
      <c r="Q774" s="9">
        <f>IFERROR(__xludf.DUMMYFUNCTION("IFERROR(GOOGLEFINANCE(A774, ""volume"") / GOOGLEFINANCE(A774, ""volumeavg""), 0)"),0.0)</f>
        <v>0</v>
      </c>
      <c r="R774" s="9">
        <f>IFERROR(__xludf.DUMMYFUNCTION("AVERAGE(INDEX(GOOGLEFINANCE(A774, ""price"", TODAY()-30, TODAY()), 0, 2))"),625.5565217391305)</f>
        <v>625.5565217</v>
      </c>
      <c r="S774" s="9">
        <f>IFERROR(__xludf.DUMMYFUNCTION("AVERAGE(INDEX(GOOGLEFINANCE(A774, ""price"", TODAY()-75, TODAY()), 0, 2))"),621.0386792452831)</f>
        <v>621.0386792</v>
      </c>
      <c r="T774" s="9">
        <f>IFERROR(__xludf.DUMMYFUNCTION("AVERAGE(INDEX(GOOGLEFINANCE(A774, ""price"", TODAY()-300, TODAY()), 0, 2))"),608.269875)</f>
        <v>608.269875</v>
      </c>
      <c r="U774" s="9">
        <f t="shared" si="5"/>
        <v>0.02308900596</v>
      </c>
      <c r="V774" s="15">
        <f>IFERROR(__xludf.DUMMYFUNCTION("LET(hist, GOOGLEFINANCE(A774,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rs))))))"),81.40794223826693)</f>
        <v>81.40794224</v>
      </c>
      <c r="W774" s="16" t="str">
        <f>IFERROR(__xludf.DUMMYFUNCTION("IFERROR(GOOGLEFINANCE(A774, ""volume"") / GOOGLEFINANCE(A774, ""volumeavg""), )"),"")</f>
        <v/>
      </c>
      <c r="X774" s="9">
        <f>IFERROR(__xludf.DUMMYFUNCTION("B774 * GOOGLEFINANCE(A774, ""volume"")"),2592640.0)</f>
        <v>2592640</v>
      </c>
      <c r="Y774" s="9">
        <f>IFERROR(__xludf.DUMMYFUNCTION("IFERROR(((B774 - GOOGLEFINANCE(A774, ""priceopen"")) / GOOGLEFINANCE(A774, ""priceopen"")) * GOOGLEFINANCE(A774, ""volume""), 0)"),-12.934428782804792)</f>
        <v>-12.93442878</v>
      </c>
    </row>
    <row r="775">
      <c r="A775" s="4" t="s">
        <v>2568</v>
      </c>
      <c r="B775" s="7">
        <f>IFERROR(__xludf.DUMMYFUNCTION("GOOGLEFINANCE(A775, ""price"")"),1285.0)</f>
        <v>1285</v>
      </c>
      <c r="C775" s="7">
        <f>IFERROR(__xludf.DUMMYFUNCTION("GOOGLEFINANCE(A775, ""changepct"")"),-1.3)</f>
        <v>-1.3</v>
      </c>
      <c r="D775" s="9">
        <f>IFERROR(__xludf.DUMMYFUNCTION("GOOGLEFINANCE(A775, ""priceopen"")"),1308.6)</f>
        <v>1308.6</v>
      </c>
      <c r="E775" s="9">
        <f>IFERROR(__xludf.DUMMYFUNCTION("GOOGLEFINANCE(A775, ""high"")"),1308.6)</f>
        <v>1308.6</v>
      </c>
      <c r="F775" s="9">
        <f>IFERROR(__xludf.DUMMYFUNCTION("GOOGLEFINANCE(A775, ""low"")"),1272.7)</f>
        <v>1272.7</v>
      </c>
      <c r="G775" s="9">
        <f>IFERROR(__xludf.DUMMYFUNCTION("GOOGLEFINANCE(A775, ""price"")"),1285.0)</f>
        <v>1285</v>
      </c>
      <c r="H775" s="9">
        <f>IFERROR(__xludf.DUMMYFUNCTION("MAX(INDEX(GOOGLEFINANCE(A775, ""high"", TODAY()-30, TODAY()), 0, 2))"),1371.8)</f>
        <v>1371.8</v>
      </c>
      <c r="I775" s="9">
        <f>IFERROR(__xludf.DUMMYFUNCTION("MIN(INDEX(GOOGLEFINANCE(A775, ""low"", TODAY()-30, TODAY()), 0, 2))"),1202.7)</f>
        <v>1202.7</v>
      </c>
      <c r="J775" s="9">
        <f>IFERROR(__xludf.DUMMYFUNCTION("GOOGLEFINANCE(A775, ""high52"")"),1371.8)</f>
        <v>1371.8</v>
      </c>
      <c r="K775" s="9">
        <f>IFERROR(__xludf.DUMMYFUNCTION("GOOGLEFINANCE(A775, ""low52"")"),561.3)</f>
        <v>561.3</v>
      </c>
      <c r="L775" s="9">
        <f t="shared" si="1"/>
        <v>0.06327452981</v>
      </c>
      <c r="M775" s="9">
        <f t="shared" si="2"/>
        <v>1.289328345</v>
      </c>
      <c r="N775" s="9">
        <f t="shared" si="3"/>
        <v>0.02820774731</v>
      </c>
      <c r="O775" s="9">
        <f t="shared" si="4"/>
        <v>0.4866942637</v>
      </c>
      <c r="P775" s="9">
        <f>IFERROR(__xludf.DUMMYFUNCTION("GOOGLEFINANCE(A775, ""pe"")"),94.02)</f>
        <v>94.02</v>
      </c>
      <c r="Q775" s="9">
        <f>IFERROR(__xludf.DUMMYFUNCTION("IFERROR(GOOGLEFINANCE(A775, ""volume"") / GOOGLEFINANCE(A775, ""volumeavg""), 0)"),0.0)</f>
        <v>0</v>
      </c>
      <c r="R775" s="9">
        <f>IFERROR(__xludf.DUMMYFUNCTION("AVERAGE(INDEX(GOOGLEFINANCE(A775, ""price"", TODAY()-30, TODAY()), 0, 2))"),1279.608695652174)</f>
        <v>1279.608696</v>
      </c>
      <c r="S775" s="9">
        <f>IFERROR(__xludf.DUMMYFUNCTION("AVERAGE(INDEX(GOOGLEFINANCE(A775, ""price"", TODAY()-75, TODAY()), 0, 2))"),1219.4358490566037)</f>
        <v>1219.435849</v>
      </c>
      <c r="T775" s="9">
        <f>IFERROR(__xludf.DUMMYFUNCTION("AVERAGE(INDEX(GOOGLEFINANCE(A775, ""price"", TODAY()-300, TODAY()), 0, 2))"),915.6707920792078)</f>
        <v>915.6707921</v>
      </c>
      <c r="U775" s="9">
        <f t="shared" si="5"/>
        <v>0.004213244538</v>
      </c>
      <c r="V775" s="15">
        <f>IFERROR(__xludf.DUMMYFUNCTION("LET(hist, GOOGLEFINANCE(A775,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rs))))))"),49.60501225824025)</f>
        <v>49.60501226</v>
      </c>
      <c r="W775" s="16" t="str">
        <f>IFERROR(__xludf.DUMMYFUNCTION("IFERROR(GOOGLEFINANCE(A775, ""volume"") / GOOGLEFINANCE(A775, ""volumeavg""), )"),"")</f>
        <v/>
      </c>
      <c r="X775" s="9">
        <f>IFERROR(__xludf.DUMMYFUNCTION("B775 * GOOGLEFINANCE(A775, ""volume"")"),5.0684255E7)</f>
        <v>50684255</v>
      </c>
      <c r="Y775" s="9">
        <f>IFERROR(__xludf.DUMMYFUNCTION("IFERROR(((B775 - GOOGLEFINANCE(A775, ""priceopen"")) / GOOGLEFINANCE(A775, ""priceopen"")) * GOOGLEFINANCE(A775, ""volume""), 0)"),-711.3363900351494)</f>
        <v>-711.33639</v>
      </c>
    </row>
    <row r="776">
      <c r="A776" s="4" t="s">
        <v>2569</v>
      </c>
      <c r="B776" s="7">
        <f>IFERROR(__xludf.DUMMYFUNCTION("GOOGLEFINANCE(A776, ""price"")"),1014.5)</f>
        <v>1014.5</v>
      </c>
      <c r="C776" s="7">
        <f>IFERROR(__xludf.DUMMYFUNCTION("GOOGLEFINANCE(A776, ""changepct"")"),-0.43)</f>
        <v>-0.43</v>
      </c>
      <c r="D776" s="9">
        <f>IFERROR(__xludf.DUMMYFUNCTION("GOOGLEFINANCE(A776, ""priceopen"")"),1100.1)</f>
        <v>1100.1</v>
      </c>
      <c r="E776" s="9">
        <f>IFERROR(__xludf.DUMMYFUNCTION("GOOGLEFINANCE(A776, ""high"")"),1120.0)</f>
        <v>1120</v>
      </c>
      <c r="F776" s="9">
        <f>IFERROR(__xludf.DUMMYFUNCTION("GOOGLEFINANCE(A776, ""low"")"),986.5)</f>
        <v>986.5</v>
      </c>
      <c r="G776" s="9">
        <f>IFERROR(__xludf.DUMMYFUNCTION("GOOGLEFINANCE(A776, ""price"")"),1014.5)</f>
        <v>1014.5</v>
      </c>
      <c r="H776" s="9">
        <f>IFERROR(__xludf.DUMMYFUNCTION("MAX(INDEX(GOOGLEFINANCE(A776, ""high"", TODAY()-30, TODAY()), 0, 2))"),1120.0)</f>
        <v>1120</v>
      </c>
      <c r="I776" s="9">
        <f>IFERROR(__xludf.DUMMYFUNCTION("MIN(INDEX(GOOGLEFINANCE(A776, ""low"", TODAY()-30, TODAY()), 0, 2))"),925.2)</f>
        <v>925.2</v>
      </c>
      <c r="J776" s="9">
        <f>IFERROR(__xludf.DUMMYFUNCTION("GOOGLEFINANCE(A776, ""high52"")"),1120.0)</f>
        <v>1120</v>
      </c>
      <c r="K776" s="9">
        <f>IFERROR(__xludf.DUMMYFUNCTION("GOOGLEFINANCE(A776, ""low52"")"),622.0)</f>
        <v>622</v>
      </c>
      <c r="L776" s="9">
        <f t="shared" si="1"/>
        <v>0.09419642857</v>
      </c>
      <c r="M776" s="9">
        <f t="shared" si="2"/>
        <v>0.6310289389</v>
      </c>
      <c r="N776" s="9">
        <f t="shared" si="3"/>
        <v>0.1353269133</v>
      </c>
      <c r="O776" s="9">
        <f t="shared" si="4"/>
        <v>0.4584188912</v>
      </c>
      <c r="P776" s="9">
        <f>IFERROR(__xludf.DUMMYFUNCTION("GOOGLEFINANCE(A776, ""pe"")"),41.2)</f>
        <v>41.2</v>
      </c>
      <c r="Q776" s="9">
        <f>IFERROR(__xludf.DUMMYFUNCTION("IFERROR(GOOGLEFINANCE(A776, ""volume"") / GOOGLEFINANCE(A776, ""volumeavg""), 0)"),0.0)</f>
        <v>0</v>
      </c>
      <c r="R776" s="9">
        <f>IFERROR(__xludf.DUMMYFUNCTION("AVERAGE(INDEX(GOOGLEFINANCE(A776, ""price"", TODAY()-30, TODAY()), 0, 2))"),973.2217391304347)</f>
        <v>973.2217391</v>
      </c>
      <c r="S776" s="9">
        <f>IFERROR(__xludf.DUMMYFUNCTION("AVERAGE(INDEX(GOOGLEFINANCE(A776, ""price"", TODAY()-75, TODAY()), 0, 2))"),951.0424528301885)</f>
        <v>951.0424528</v>
      </c>
      <c r="T776" s="9">
        <f>IFERROR(__xludf.DUMMYFUNCTION("AVERAGE(INDEX(GOOGLEFINANCE(A776, ""price"", TODAY()-300, TODAY()), 0, 2))"),791.4146766169155)</f>
        <v>791.4146766</v>
      </c>
      <c r="U776" s="9">
        <f t="shared" si="5"/>
        <v>0.04241403496</v>
      </c>
      <c r="V776" s="15">
        <f>IFERROR(__xludf.DUMMYFUNCTION("LET(hist, GOOGLEFINANCE(A776,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rs))))))"),60.917838638045914)</f>
        <v>60.91783864</v>
      </c>
      <c r="W776" s="16" t="str">
        <f>IFERROR(__xludf.DUMMYFUNCTION("IFERROR(GOOGLEFINANCE(A776, ""volume"") / GOOGLEFINANCE(A776, ""volumeavg""), )"),"")</f>
        <v/>
      </c>
      <c r="X776" s="9">
        <f>IFERROR(__xludf.DUMMYFUNCTION("B776 * GOOGLEFINANCE(A776, ""volume"")"),5.881147805E8)</f>
        <v>588114780.5</v>
      </c>
      <c r="Y776" s="9">
        <f>IFERROR(__xludf.DUMMYFUNCTION("IFERROR(((B776 - GOOGLEFINANCE(A776, ""priceopen"")) / GOOGLEFINANCE(A776, ""priceopen"")) * GOOGLEFINANCE(A776, ""volume""), 0)"),-45107.79965457681)</f>
        <v>-45107.79965</v>
      </c>
    </row>
    <row r="777">
      <c r="A777" s="4" t="s">
        <v>2570</v>
      </c>
      <c r="B777" s="7">
        <f>IFERROR(__xludf.DUMMYFUNCTION("GOOGLEFINANCE(A777, ""price"")"),193.8)</f>
        <v>193.8</v>
      </c>
      <c r="C777" s="7">
        <f>IFERROR(__xludf.DUMMYFUNCTION("GOOGLEFINANCE(A777, ""changepct"")"),-2.01)</f>
        <v>-2.01</v>
      </c>
      <c r="D777" s="9">
        <f>IFERROR(__xludf.DUMMYFUNCTION("GOOGLEFINANCE(A777, ""priceopen"")"),198.1)</f>
        <v>198.1</v>
      </c>
      <c r="E777" s="9">
        <f>IFERROR(__xludf.DUMMYFUNCTION("GOOGLEFINANCE(A777, ""high"")"),198.49)</f>
        <v>198.49</v>
      </c>
      <c r="F777" s="9">
        <f>IFERROR(__xludf.DUMMYFUNCTION("GOOGLEFINANCE(A777, ""low"")"),190.57)</f>
        <v>190.57</v>
      </c>
      <c r="G777" s="9">
        <f>IFERROR(__xludf.DUMMYFUNCTION("GOOGLEFINANCE(A777, ""price"")"),193.8)</f>
        <v>193.8</v>
      </c>
      <c r="H777" s="9">
        <f>IFERROR(__xludf.DUMMYFUNCTION("MAX(INDEX(GOOGLEFINANCE(A777, ""high"", TODAY()-30, TODAY()), 0, 2))"),271.9)</f>
        <v>271.9</v>
      </c>
      <c r="I777" s="9">
        <f>IFERROR(__xludf.DUMMYFUNCTION("MIN(INDEX(GOOGLEFINANCE(A777, ""low"", TODAY()-30, TODAY()), 0, 2))"),190.57)</f>
        <v>190.57</v>
      </c>
      <c r="J777" s="9">
        <f>IFERROR(__xludf.DUMMYFUNCTION("GOOGLEFINANCE(A777, ""high52"")"),271.9)</f>
        <v>271.9</v>
      </c>
      <c r="K777" s="9">
        <f>IFERROR(__xludf.DUMMYFUNCTION("GOOGLEFINANCE(A777, ""low52"")"),119.99)</f>
        <v>119.99</v>
      </c>
      <c r="L777" s="9">
        <f t="shared" si="1"/>
        <v>0.2872379551</v>
      </c>
      <c r="M777" s="9">
        <f t="shared" si="2"/>
        <v>0.6151345945</v>
      </c>
      <c r="N777" s="9">
        <f t="shared" si="3"/>
        <v>0.04155953193</v>
      </c>
      <c r="O777" s="9">
        <f t="shared" si="4"/>
        <v>0.03971474241</v>
      </c>
      <c r="P777" s="9">
        <f>IFERROR(__xludf.DUMMYFUNCTION("GOOGLEFINANCE(A777, ""pe"")"),45.48)</f>
        <v>45.48</v>
      </c>
      <c r="Q777" s="9">
        <f>IFERROR(__xludf.DUMMYFUNCTION("IFERROR(GOOGLEFINANCE(A777, ""volume"") / GOOGLEFINANCE(A777, ""volumeavg""), 0)"),0.0)</f>
        <v>0</v>
      </c>
      <c r="R777" s="9">
        <f>IFERROR(__xludf.DUMMYFUNCTION("AVERAGE(INDEX(GOOGLEFINANCE(A777, ""price"", TODAY()-30, TODAY()), 0, 2))"),231.10347826086962)</f>
        <v>231.1034783</v>
      </c>
      <c r="S777" s="9">
        <f>IFERROR(__xludf.DUMMYFUNCTION("AVERAGE(INDEX(GOOGLEFINANCE(A777, ""price"", TODAY()-75, TODAY()), 0, 2))"),215.64358490566033)</f>
        <v>215.6435849</v>
      </c>
      <c r="T777" s="9">
        <f>IFERROR(__xludf.DUMMYFUNCTION("AVERAGE(INDEX(GOOGLEFINANCE(A777, ""price"", TODAY()-300, TODAY()), 0, 2))"),185.19815920398003)</f>
        <v>185.1981592</v>
      </c>
      <c r="U777" s="9">
        <f t="shared" si="5"/>
        <v>-0.1614146119</v>
      </c>
      <c r="V777" s="15">
        <f>IFERROR(__xludf.DUMMYFUNCTION("LET(hist, GOOGLEFINANCE(A777,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rs))))))"),26.60342783227337)</f>
        <v>26.60342783</v>
      </c>
      <c r="W777" s="16" t="str">
        <f>IFERROR(__xludf.DUMMYFUNCTION("IFERROR(GOOGLEFINANCE(A777, ""volume"") / GOOGLEFINANCE(A777, ""volumeavg""), )"),"")</f>
        <v/>
      </c>
      <c r="X777" s="9">
        <f>IFERROR(__xludf.DUMMYFUNCTION("B777 * GOOGLEFINANCE(A777, ""volume"")"),2.349530424E8)</f>
        <v>234953042.4</v>
      </c>
      <c r="Y777" s="9">
        <f>IFERROR(__xludf.DUMMYFUNCTION("IFERROR(((B777 - GOOGLEFINANCE(A777, ""priceopen"")) / GOOGLEFINANCE(A777, ""priceopen"")) * GOOGLEFINANCE(A777, ""volume""), 0)"),-26315.479050984246)</f>
        <v>-26315.47905</v>
      </c>
    </row>
    <row r="778">
      <c r="A778" s="4" t="s">
        <v>2571</v>
      </c>
      <c r="B778" s="7">
        <f>IFERROR(__xludf.DUMMYFUNCTION("GOOGLEFINANCE(A778, ""price"")"),2080.0)</f>
        <v>2080</v>
      </c>
      <c r="C778" s="7">
        <f>IFERROR(__xludf.DUMMYFUNCTION("GOOGLEFINANCE(A778, ""changepct"")"),-0.61)</f>
        <v>-0.61</v>
      </c>
      <c r="D778" s="9">
        <f>IFERROR(__xludf.DUMMYFUNCTION("GOOGLEFINANCE(A778, ""priceopen"")"),2099.7)</f>
        <v>2099.7</v>
      </c>
      <c r="E778" s="9">
        <f>IFERROR(__xludf.DUMMYFUNCTION("GOOGLEFINANCE(A778, ""high"")"),2099.7)</f>
        <v>2099.7</v>
      </c>
      <c r="F778" s="9">
        <f>IFERROR(__xludf.DUMMYFUNCTION("GOOGLEFINANCE(A778, ""low"")"),2016.2)</f>
        <v>2016.2</v>
      </c>
      <c r="G778" s="9">
        <f>IFERROR(__xludf.DUMMYFUNCTION("GOOGLEFINANCE(A778, ""price"")"),2080.0)</f>
        <v>2080</v>
      </c>
      <c r="H778" s="9">
        <f>IFERROR(__xludf.DUMMYFUNCTION("MAX(INDEX(GOOGLEFINANCE(A778, ""high"", TODAY()-30, TODAY()), 0, 2))"),2374.0)</f>
        <v>2374</v>
      </c>
      <c r="I778" s="9">
        <f>IFERROR(__xludf.DUMMYFUNCTION("MIN(INDEX(GOOGLEFINANCE(A778, ""low"", TODAY()-30, TODAY()), 0, 2))"),1965.0)</f>
        <v>1965</v>
      </c>
      <c r="J778" s="9">
        <f>IFERROR(__xludf.DUMMYFUNCTION("GOOGLEFINANCE(A778, ""high52"")"),2374.0)</f>
        <v>2374</v>
      </c>
      <c r="K778" s="9">
        <f>IFERROR(__xludf.DUMMYFUNCTION("GOOGLEFINANCE(A778, ""low52"")"),966.7)</f>
        <v>966.7</v>
      </c>
      <c r="L778" s="9">
        <f t="shared" si="1"/>
        <v>0.1238416175</v>
      </c>
      <c r="M778" s="9">
        <f t="shared" si="2"/>
        <v>1.151649943</v>
      </c>
      <c r="N778" s="9">
        <f t="shared" si="3"/>
        <v>0.04141454221</v>
      </c>
      <c r="O778" s="9">
        <f t="shared" si="4"/>
        <v>0.2811735941</v>
      </c>
      <c r="P778" s="9">
        <f>IFERROR(__xludf.DUMMYFUNCTION("GOOGLEFINANCE(A778, ""pe"")"),156.43)</f>
        <v>156.43</v>
      </c>
      <c r="Q778" s="9">
        <f>IFERROR(__xludf.DUMMYFUNCTION("IFERROR(GOOGLEFINANCE(A778, ""volume"") / GOOGLEFINANCE(A778, ""volumeavg""), 0)"),0.0)</f>
        <v>0</v>
      </c>
      <c r="R778" s="9">
        <f>IFERROR(__xludf.DUMMYFUNCTION("AVERAGE(INDEX(GOOGLEFINANCE(A778, ""price"", TODAY()-30, TODAY()), 0, 2))"),2102.8869565217387)</f>
        <v>2102.886957</v>
      </c>
      <c r="S778" s="9">
        <f>IFERROR(__xludf.DUMMYFUNCTION("AVERAGE(INDEX(GOOGLEFINANCE(A778, ""price"", TODAY()-75, TODAY()), 0, 2))"),2018.8679245283026)</f>
        <v>2018.867925</v>
      </c>
      <c r="T778" s="9">
        <f>IFERROR(__xludf.DUMMYFUNCTION("AVERAGE(INDEX(GOOGLEFINANCE(A778, ""price"", TODAY()-300, TODAY()), 0, 2))"),1521.5594059405935)</f>
        <v>1521.559406</v>
      </c>
      <c r="U778" s="9">
        <f t="shared" si="5"/>
        <v>-0.01088358861</v>
      </c>
      <c r="V778" s="15">
        <f>IFERROR(__xludf.DUMMYFUNCTION("LET(hist, GOOGLEFINANCE(A778,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rs))))))"),48.43228819212808)</f>
        <v>48.43228819</v>
      </c>
      <c r="W778" s="16" t="str">
        <f>IFERROR(__xludf.DUMMYFUNCTION("IFERROR(GOOGLEFINANCE(A778, ""volume"") / GOOGLEFINANCE(A778, ""volumeavg""), )"),"")</f>
        <v/>
      </c>
      <c r="X778" s="9">
        <f>IFERROR(__xludf.DUMMYFUNCTION("B778 * GOOGLEFINANCE(A778, ""volume"")"),2.91096E8)</f>
        <v>291096000</v>
      </c>
      <c r="Y778" s="9">
        <f>IFERROR(__xludf.DUMMYFUNCTION("IFERROR(((B778 - GOOGLEFINANCE(A778, ""priceopen"")) / GOOGLEFINANCE(A778, ""priceopen"")) * GOOGLEFINANCE(A778, ""volume""), 0)"),-1313.051864552067)</f>
        <v>-1313.051865</v>
      </c>
    </row>
    <row r="779">
      <c r="A779" s="4" t="s">
        <v>2572</v>
      </c>
      <c r="B779" s="7">
        <f>IFERROR(__xludf.DUMMYFUNCTION("GOOGLEFINANCE(A779, ""price"")"),16.1)</f>
        <v>16.1</v>
      </c>
      <c r="C779" s="7">
        <f>IFERROR(__xludf.DUMMYFUNCTION("GOOGLEFINANCE(A779, ""changepct"")"),-1.95)</f>
        <v>-1.95</v>
      </c>
      <c r="D779" s="9">
        <f>IFERROR(__xludf.DUMMYFUNCTION("GOOGLEFINANCE(A779, ""priceopen"")"),16.5)</f>
        <v>16.5</v>
      </c>
      <c r="E779" s="9">
        <f>IFERROR(__xludf.DUMMYFUNCTION("GOOGLEFINANCE(A779, ""high"")"),16.6)</f>
        <v>16.6</v>
      </c>
      <c r="F779" s="9">
        <f>IFERROR(__xludf.DUMMYFUNCTION("GOOGLEFINANCE(A779, ""low"")"),15.85)</f>
        <v>15.85</v>
      </c>
      <c r="G779" s="9">
        <f>IFERROR(__xludf.DUMMYFUNCTION("GOOGLEFINANCE(A779, ""price"")"),16.1)</f>
        <v>16.1</v>
      </c>
      <c r="H779" s="9">
        <f>IFERROR(__xludf.DUMMYFUNCTION("MAX(INDEX(GOOGLEFINANCE(A779, ""high"", TODAY()-30, TODAY()), 0, 2))"),18.4)</f>
        <v>18.4</v>
      </c>
      <c r="I779" s="9">
        <f>IFERROR(__xludf.DUMMYFUNCTION("MIN(INDEX(GOOGLEFINANCE(A779, ""low"", TODAY()-30, TODAY()), 0, 2))"),15.78)</f>
        <v>15.78</v>
      </c>
      <c r="J779" s="9">
        <f>IFERROR(__xludf.DUMMYFUNCTION("GOOGLEFINANCE(A779, ""high52"")"),19.43)</f>
        <v>19.43</v>
      </c>
      <c r="K779" s="9">
        <f>IFERROR(__xludf.DUMMYFUNCTION("GOOGLEFINANCE(A779, ""low52"")"),12.92)</f>
        <v>12.92</v>
      </c>
      <c r="L779" s="9">
        <f t="shared" si="1"/>
        <v>0.171384457</v>
      </c>
      <c r="M779" s="9">
        <f t="shared" si="2"/>
        <v>0.246130031</v>
      </c>
      <c r="N779" s="9">
        <f t="shared" si="3"/>
        <v>0.04731861199</v>
      </c>
      <c r="O779" s="9">
        <f t="shared" si="4"/>
        <v>0.1221374046</v>
      </c>
      <c r="P779" s="9">
        <f>IFERROR(__xludf.DUMMYFUNCTION("GOOGLEFINANCE(A779, ""pe"")"),17.31)</f>
        <v>17.31</v>
      </c>
      <c r="Q779" s="9">
        <f>IFERROR(__xludf.DUMMYFUNCTION("IFERROR(GOOGLEFINANCE(A779, ""volume"") / GOOGLEFINANCE(A779, ""volumeavg""), 0)"),0.0)</f>
        <v>0</v>
      </c>
      <c r="R779" s="9">
        <f>IFERROR(__xludf.DUMMYFUNCTION("AVERAGE(INDEX(GOOGLEFINANCE(A779, ""price"", TODAY()-30, TODAY()), 0, 2))"),16.93695652173913)</f>
        <v>16.93695652</v>
      </c>
      <c r="S779" s="9">
        <f>IFERROR(__xludf.DUMMYFUNCTION("AVERAGE(INDEX(GOOGLEFINANCE(A779, ""price"", TODAY()-75, TODAY()), 0, 2))"),15.95226415094339)</f>
        <v>15.95226415</v>
      </c>
      <c r="T779" s="9">
        <f>IFERROR(__xludf.DUMMYFUNCTION("AVERAGE(INDEX(GOOGLEFINANCE(A779, ""price"", TODAY()-300, TODAY()), 0, 2))"),15.558682170542632)</f>
        <v>15.55868217</v>
      </c>
      <c r="U779" s="9">
        <f t="shared" si="5"/>
        <v>-0.04941599281</v>
      </c>
      <c r="V779" s="15">
        <f>IFERROR(__xludf.DUMMYFUNCTION("LET(hist, GOOGLEFINANCE(A779,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rs))))))"),49.18032786885248)</f>
        <v>49.18032787</v>
      </c>
      <c r="W779" s="16" t="str">
        <f>IFERROR(__xludf.DUMMYFUNCTION("IFERROR(GOOGLEFINANCE(A779, ""volume"") / GOOGLEFINANCE(A779, ""volumeavg""), )"),"")</f>
        <v/>
      </c>
      <c r="X779" s="9">
        <f>IFERROR(__xludf.DUMMYFUNCTION("B779 * GOOGLEFINANCE(A779, ""volume"")"),2.5486754020000002E8)</f>
        <v>254867540.2</v>
      </c>
      <c r="Y779" s="9">
        <f>IFERROR(__xludf.DUMMYFUNCTION("IFERROR(((B779 - GOOGLEFINANCE(A779, ""priceopen"")) / GOOGLEFINANCE(A779, ""priceopen"")) * GOOGLEFINANCE(A779, ""volume""), 0)"),-383764.4121212108)</f>
        <v>-383764.4121</v>
      </c>
    </row>
    <row r="780">
      <c r="A780" s="4" t="s">
        <v>2573</v>
      </c>
      <c r="B780" s="7">
        <f>IFERROR(__xludf.DUMMYFUNCTION("GOOGLEFINANCE(A780, ""price"")"),433.1)</f>
        <v>433.1</v>
      </c>
      <c r="C780" s="7">
        <f>IFERROR(__xludf.DUMMYFUNCTION("GOOGLEFINANCE(A780, ""changepct"")"),1.5)</f>
        <v>1.5</v>
      </c>
      <c r="D780" s="9">
        <f>IFERROR(__xludf.DUMMYFUNCTION("GOOGLEFINANCE(A780, ""priceopen"")"),434.7)</f>
        <v>434.7</v>
      </c>
      <c r="E780" s="9">
        <f>IFERROR(__xludf.DUMMYFUNCTION("GOOGLEFINANCE(A780, ""high"")"),444.7)</f>
        <v>444.7</v>
      </c>
      <c r="F780" s="9">
        <f>IFERROR(__xludf.DUMMYFUNCTION("GOOGLEFINANCE(A780, ""low"")"),430.05)</f>
        <v>430.05</v>
      </c>
      <c r="G780" s="9">
        <f>IFERROR(__xludf.DUMMYFUNCTION("GOOGLEFINANCE(A780, ""price"")"),433.1)</f>
        <v>433.1</v>
      </c>
      <c r="H780" s="9">
        <f>IFERROR(__xludf.DUMMYFUNCTION("MAX(INDEX(GOOGLEFINANCE(A780, ""high"", TODAY()-30, TODAY()), 0, 2))"),485.55)</f>
        <v>485.55</v>
      </c>
      <c r="I780" s="9">
        <f>IFERROR(__xludf.DUMMYFUNCTION("MIN(INDEX(GOOGLEFINANCE(A780, ""low"", TODAY()-30, TODAY()), 0, 2))"),416.1)</f>
        <v>416.1</v>
      </c>
      <c r="J780" s="9">
        <f>IFERROR(__xludf.DUMMYFUNCTION("GOOGLEFINANCE(A780, ""high52"")"),567.0)</f>
        <v>567</v>
      </c>
      <c r="K780" s="9">
        <f>IFERROR(__xludf.DUMMYFUNCTION("GOOGLEFINANCE(A780, ""low52"")"),328.0)</f>
        <v>328</v>
      </c>
      <c r="L780" s="9">
        <f t="shared" si="1"/>
        <v>0.2361552028</v>
      </c>
      <c r="M780" s="9">
        <f t="shared" si="2"/>
        <v>0.3204268293</v>
      </c>
      <c r="N780" s="9">
        <f t="shared" si="3"/>
        <v>0.0340658063</v>
      </c>
      <c r="O780" s="9">
        <f t="shared" si="4"/>
        <v>0.2447804176</v>
      </c>
      <c r="P780" s="9">
        <f>IFERROR(__xludf.DUMMYFUNCTION("GOOGLEFINANCE(A780, ""pe"")"),14.55)</f>
        <v>14.55</v>
      </c>
      <c r="Q780" s="9">
        <f>IFERROR(__xludf.DUMMYFUNCTION("IFERROR(GOOGLEFINANCE(A780, ""volume"") / GOOGLEFINANCE(A780, ""volumeavg""), 0)"),0.0)</f>
        <v>0</v>
      </c>
      <c r="R780" s="9">
        <f>IFERROR(__xludf.DUMMYFUNCTION("AVERAGE(INDEX(GOOGLEFINANCE(A780, ""price"", TODAY()-30, TODAY()), 0, 2))"),441.5869565217392)</f>
        <v>441.5869565</v>
      </c>
      <c r="S780" s="9">
        <f>IFERROR(__xludf.DUMMYFUNCTION("AVERAGE(INDEX(GOOGLEFINANCE(A780, ""price"", TODAY()-75, TODAY()), 0, 2))"),451.68584905660373)</f>
        <v>451.6858491</v>
      </c>
      <c r="T780" s="9">
        <f>IFERROR(__xludf.DUMMYFUNCTION("AVERAGE(INDEX(GOOGLEFINANCE(A780, ""price"", TODAY()-300, TODAY()), 0, 2))"),429.14009900990055)</f>
        <v>429.140099</v>
      </c>
      <c r="U780" s="9">
        <f t="shared" si="5"/>
        <v>-0.01921921922</v>
      </c>
      <c r="V780" s="15">
        <f>IFERROR(__xludf.DUMMYFUNCTION("LET(hist, GOOGLEFINANCE(A780,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rs))))))"),48.714285714285744)</f>
        <v>48.71428571</v>
      </c>
      <c r="W780" s="16" t="str">
        <f>IFERROR(__xludf.DUMMYFUNCTION("IFERROR(GOOGLEFINANCE(A780, ""volume"") / GOOGLEFINANCE(A780, ""volumeavg""), )"),"")</f>
        <v/>
      </c>
      <c r="X780" s="9">
        <f>IFERROR(__xludf.DUMMYFUNCTION("B780 * GOOGLEFINANCE(A780, ""volume"")"),4.8876634300000004E7)</f>
        <v>48876634.3</v>
      </c>
      <c r="Y780" s="9">
        <f>IFERROR(__xludf.DUMMYFUNCTION("IFERROR(((B780 - GOOGLEFINANCE(A780, ""priceopen"")) / GOOGLEFINANCE(A780, ""priceopen"")) * GOOGLEFINANCE(A780, ""volume""), 0)"),-415.3779618127356)</f>
        <v>-415.3779618</v>
      </c>
    </row>
    <row r="781">
      <c r="A781" s="4" t="s">
        <v>2574</v>
      </c>
      <c r="B781" s="7">
        <f>IFERROR(__xludf.DUMMYFUNCTION("GOOGLEFINANCE(A781, ""price"")"),809.5)</f>
        <v>809.5</v>
      </c>
      <c r="C781" s="7">
        <f>IFERROR(__xludf.DUMMYFUNCTION("GOOGLEFINANCE(A781, ""changepct"")"),-2.93)</f>
        <v>-2.93</v>
      </c>
      <c r="D781" s="9">
        <f>IFERROR(__xludf.DUMMYFUNCTION("GOOGLEFINANCE(A781, ""priceopen"")"),836.0)</f>
        <v>836</v>
      </c>
      <c r="E781" s="9">
        <f>IFERROR(__xludf.DUMMYFUNCTION("GOOGLEFINANCE(A781, ""high"")"),836.0)</f>
        <v>836</v>
      </c>
      <c r="F781" s="9">
        <f>IFERROR(__xludf.DUMMYFUNCTION("GOOGLEFINANCE(A781, ""low"")"),804.75)</f>
        <v>804.75</v>
      </c>
      <c r="G781" s="9">
        <f>IFERROR(__xludf.DUMMYFUNCTION("GOOGLEFINANCE(A781, ""price"")"),809.5)</f>
        <v>809.5</v>
      </c>
      <c r="H781" s="9">
        <f>IFERROR(__xludf.DUMMYFUNCTION("MAX(INDEX(GOOGLEFINANCE(A781, ""high"", TODAY()-30, TODAY()), 0, 2))"),885.0)</f>
        <v>885</v>
      </c>
      <c r="I781" s="9">
        <f>IFERROR(__xludf.DUMMYFUNCTION("MIN(INDEX(GOOGLEFINANCE(A781, ""low"", TODAY()-30, TODAY()), 0, 2))"),791.1)</f>
        <v>791.1</v>
      </c>
      <c r="J781" s="9">
        <f>IFERROR(__xludf.DUMMYFUNCTION("GOOGLEFINANCE(A781, ""high52"")"),1077.95)</f>
        <v>1077.95</v>
      </c>
      <c r="K781" s="9">
        <f>IFERROR(__xludf.DUMMYFUNCTION("GOOGLEFINANCE(A781, ""low52"")"),645.15)</f>
        <v>645.15</v>
      </c>
      <c r="L781" s="9">
        <f t="shared" si="1"/>
        <v>0.2490375249</v>
      </c>
      <c r="M781" s="9">
        <f t="shared" si="2"/>
        <v>0.2547469581</v>
      </c>
      <c r="N781" s="9">
        <f t="shared" si="3"/>
        <v>0.03883193538</v>
      </c>
      <c r="O781" s="9">
        <f t="shared" si="4"/>
        <v>0.1959531416</v>
      </c>
      <c r="P781" s="9">
        <f>IFERROR(__xludf.DUMMYFUNCTION("GOOGLEFINANCE(A781, ""pe"")"),20.4)</f>
        <v>20.4</v>
      </c>
      <c r="Q781" s="9">
        <f>IFERROR(__xludf.DUMMYFUNCTION("IFERROR(GOOGLEFINANCE(A781, ""volume"") / GOOGLEFINANCE(A781, ""volumeavg""), 0)"),0.0)</f>
        <v>0</v>
      </c>
      <c r="R781" s="9">
        <f>IFERROR(__xludf.DUMMYFUNCTION("AVERAGE(INDEX(GOOGLEFINANCE(A781, ""price"", TODAY()-30, TODAY()), 0, 2))"),833.8152173913044)</f>
        <v>833.8152174</v>
      </c>
      <c r="S781" s="9">
        <f>IFERROR(__xludf.DUMMYFUNCTION("AVERAGE(INDEX(GOOGLEFINANCE(A781, ""price"", TODAY()-75, TODAY()), 0, 2))"),827.4245283018869)</f>
        <v>827.4245283</v>
      </c>
      <c r="T781" s="9">
        <f>IFERROR(__xludf.DUMMYFUNCTION("AVERAGE(INDEX(GOOGLEFINANCE(A781, ""price"", TODAY()-300, TODAY()), 0, 2))"),858.0482673267327)</f>
        <v>858.0482673</v>
      </c>
      <c r="U781" s="9">
        <f t="shared" si="5"/>
        <v>-0.02916139797</v>
      </c>
      <c r="V781" s="15">
        <f>IFERROR(__xludf.DUMMYFUNCTION("LET(hist, GOOGLEFINANCE(A781,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rs))))))"),53.65653245686112)</f>
        <v>53.65653246</v>
      </c>
      <c r="W781" s="16" t="str">
        <f>IFERROR(__xludf.DUMMYFUNCTION("IFERROR(GOOGLEFINANCE(A781, ""volume"") / GOOGLEFINANCE(A781, ""volumeavg""), )"),"")</f>
        <v/>
      </c>
      <c r="X781" s="9">
        <f>IFERROR(__xludf.DUMMYFUNCTION("B781 * GOOGLEFINANCE(A781, ""volume"")"),2.4189479E7)</f>
        <v>24189479</v>
      </c>
      <c r="Y781" s="9">
        <f>IFERROR(__xludf.DUMMYFUNCTION("IFERROR(((B781 - GOOGLEFINANCE(A781, ""priceopen"")) / GOOGLEFINANCE(A781, ""priceopen"")) * GOOGLEFINANCE(A781, ""volume""), 0)"),-947.2165071770335)</f>
        <v>-947.2165072</v>
      </c>
    </row>
    <row r="782">
      <c r="A782" s="4" t="s">
        <v>2575</v>
      </c>
      <c r="B782" s="7">
        <f>IFERROR(__xludf.DUMMYFUNCTION("GOOGLEFINANCE(A782, ""price"")"),848.0)</f>
        <v>848</v>
      </c>
      <c r="C782" s="7">
        <f>IFERROR(__xludf.DUMMYFUNCTION("GOOGLEFINANCE(A782, ""changepct"")"),-4.48)</f>
        <v>-4.48</v>
      </c>
      <c r="D782" s="9">
        <f>IFERROR(__xludf.DUMMYFUNCTION("GOOGLEFINANCE(A782, ""priceopen"")"),894.1)</f>
        <v>894.1</v>
      </c>
      <c r="E782" s="9">
        <f>IFERROR(__xludf.DUMMYFUNCTION("GOOGLEFINANCE(A782, ""high"")"),894.1)</f>
        <v>894.1</v>
      </c>
      <c r="F782" s="9">
        <f>IFERROR(__xludf.DUMMYFUNCTION("GOOGLEFINANCE(A782, ""low"")"),844.45)</f>
        <v>844.45</v>
      </c>
      <c r="G782" s="9">
        <f>IFERROR(__xludf.DUMMYFUNCTION("GOOGLEFINANCE(A782, ""price"")"),848.0)</f>
        <v>848</v>
      </c>
      <c r="H782" s="9">
        <f>IFERROR(__xludf.DUMMYFUNCTION("MAX(INDEX(GOOGLEFINANCE(A782, ""high"", TODAY()-30, TODAY()), 0, 2))"),967.7)</f>
        <v>967.7</v>
      </c>
      <c r="I782" s="9">
        <f>IFERROR(__xludf.DUMMYFUNCTION("MIN(INDEX(GOOGLEFINANCE(A782, ""low"", TODAY()-30, TODAY()), 0, 2))"),730.0)</f>
        <v>730</v>
      </c>
      <c r="J782" s="9">
        <f>IFERROR(__xludf.DUMMYFUNCTION("GOOGLEFINANCE(A782, ""high52"")"),967.7)</f>
        <v>967.7</v>
      </c>
      <c r="K782" s="9">
        <f>IFERROR(__xludf.DUMMYFUNCTION("GOOGLEFINANCE(A782, ""low52"")"),276.0)</f>
        <v>276</v>
      </c>
      <c r="L782" s="9">
        <f t="shared" si="1"/>
        <v>0.1236953601</v>
      </c>
      <c r="M782" s="9">
        <f t="shared" si="2"/>
        <v>2.072463768</v>
      </c>
      <c r="N782" s="9">
        <f t="shared" si="3"/>
        <v>0.05879566582</v>
      </c>
      <c r="O782" s="9">
        <f t="shared" si="4"/>
        <v>0.4964240639</v>
      </c>
      <c r="P782" s="9">
        <f>IFERROR(__xludf.DUMMYFUNCTION("GOOGLEFINANCE(A782, ""pe"")"),17.9)</f>
        <v>17.9</v>
      </c>
      <c r="Q782" s="9">
        <f>IFERROR(__xludf.DUMMYFUNCTION("IFERROR(GOOGLEFINANCE(A782, ""volume"") / GOOGLEFINANCE(A782, ""volumeavg""), 0)"),0.0)</f>
        <v>0</v>
      </c>
      <c r="R782" s="9">
        <f>IFERROR(__xludf.DUMMYFUNCTION("AVERAGE(INDEX(GOOGLEFINANCE(A782, ""price"", TODAY()-30, TODAY()), 0, 2))"),812.0608695652173)</f>
        <v>812.0608696</v>
      </c>
      <c r="S782" s="9">
        <f>IFERROR(__xludf.DUMMYFUNCTION("AVERAGE(INDEX(GOOGLEFINANCE(A782, ""price"", TODAY()-75, TODAY()), 0, 2))"),731.8830188679245)</f>
        <v>731.8830189</v>
      </c>
      <c r="T782" s="9">
        <f>IFERROR(__xludf.DUMMYFUNCTION("AVERAGE(INDEX(GOOGLEFINANCE(A782, ""price"", TODAY()-300, TODAY()), 0, 2))"),473.0660891089108)</f>
        <v>473.0660891</v>
      </c>
      <c r="U782" s="9">
        <f t="shared" si="5"/>
        <v>0.04425669526</v>
      </c>
      <c r="V782" s="15">
        <f>IFERROR(__xludf.DUMMYFUNCTION("LET(hist, GOOGLEFINANCE(A782,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rs))))))"),64.0228331080066)</f>
        <v>64.02283311</v>
      </c>
      <c r="W782" s="16" t="str">
        <f>IFERROR(__xludf.DUMMYFUNCTION("IFERROR(GOOGLEFINANCE(A782, ""volume"") / GOOGLEFINANCE(A782, ""volumeavg""), )"),"")</f>
        <v/>
      </c>
      <c r="X782" s="9">
        <f>IFERROR(__xludf.DUMMYFUNCTION("B782 * GOOGLEFINANCE(A782, ""volume"")"),2.51914512E8)</f>
        <v>251914512</v>
      </c>
      <c r="Y782" s="9">
        <f>IFERROR(__xludf.DUMMYFUNCTION("IFERROR(((B782 - GOOGLEFINANCE(A782, ""priceopen"")) / GOOGLEFINANCE(A782, ""priceopen"")) * GOOGLEFINANCE(A782, ""volume""), 0)"),-15316.9454199754)</f>
        <v>-15316.94542</v>
      </c>
    </row>
    <row r="783">
      <c r="A783" s="4" t="s">
        <v>2576</v>
      </c>
      <c r="B783" s="7">
        <f>IFERROR(__xludf.DUMMYFUNCTION("GOOGLEFINANCE(A783, ""price"")"),301.0)</f>
        <v>301</v>
      </c>
      <c r="C783" s="7">
        <f>IFERROR(__xludf.DUMMYFUNCTION("GOOGLEFINANCE(A783, ""changepct"")"),1.24)</f>
        <v>1.24</v>
      </c>
      <c r="D783" s="9">
        <f>IFERROR(__xludf.DUMMYFUNCTION("GOOGLEFINANCE(A783, ""priceopen"")"),301.9)</f>
        <v>301.9</v>
      </c>
      <c r="E783" s="9">
        <f>IFERROR(__xludf.DUMMYFUNCTION("GOOGLEFINANCE(A783, ""high"")"),307.0)</f>
        <v>307</v>
      </c>
      <c r="F783" s="9">
        <f>IFERROR(__xludf.DUMMYFUNCTION("GOOGLEFINANCE(A783, ""low"")"),286.0)</f>
        <v>286</v>
      </c>
      <c r="G783" s="9">
        <f>IFERROR(__xludf.DUMMYFUNCTION("GOOGLEFINANCE(A783, ""price"")"),301.0)</f>
        <v>301</v>
      </c>
      <c r="H783" s="9">
        <f>IFERROR(__xludf.DUMMYFUNCTION("MAX(INDEX(GOOGLEFINANCE(A783, ""high"", TODAY()-30, TODAY()), 0, 2))"),307.0)</f>
        <v>307</v>
      </c>
      <c r="I783" s="9">
        <f>IFERROR(__xludf.DUMMYFUNCTION("MIN(INDEX(GOOGLEFINANCE(A783, ""low"", TODAY()-30, TODAY()), 0, 2))"),258.25)</f>
        <v>258.25</v>
      </c>
      <c r="J783" s="9">
        <f>IFERROR(__xludf.DUMMYFUNCTION("GOOGLEFINANCE(A783, ""high52"")"),307.0)</f>
        <v>307</v>
      </c>
      <c r="K783" s="9">
        <f>IFERROR(__xludf.DUMMYFUNCTION("GOOGLEFINANCE(A783, ""low52"")"),104.56)</f>
        <v>104.56</v>
      </c>
      <c r="L783" s="9">
        <f t="shared" si="1"/>
        <v>0.01954397394</v>
      </c>
      <c r="M783" s="9">
        <f t="shared" si="2"/>
        <v>1.878729916</v>
      </c>
      <c r="N783" s="9">
        <f t="shared" si="3"/>
        <v>0.07342657343</v>
      </c>
      <c r="O783" s="9">
        <f t="shared" si="4"/>
        <v>0.8769230769</v>
      </c>
      <c r="P783" s="9">
        <f>IFERROR(__xludf.DUMMYFUNCTION("GOOGLEFINANCE(A783, ""pe"")"),70.33)</f>
        <v>70.33</v>
      </c>
      <c r="Q783" s="9">
        <f>IFERROR(__xludf.DUMMYFUNCTION("IFERROR(GOOGLEFINANCE(A783, ""volume"") / GOOGLEFINANCE(A783, ""volumeavg""), 0)"),0.0)</f>
        <v>0</v>
      </c>
      <c r="R783" s="9">
        <f>IFERROR(__xludf.DUMMYFUNCTION("AVERAGE(INDEX(GOOGLEFINANCE(A783, ""price"", TODAY()-30, TODAY()), 0, 2))"),280.9130434782608)</f>
        <v>280.9130435</v>
      </c>
      <c r="S783" s="9">
        <f>IFERROR(__xludf.DUMMYFUNCTION("AVERAGE(INDEX(GOOGLEFINANCE(A783, ""price"", TODAY()-75, TODAY()), 0, 2))"),236.26415094339623)</f>
        <v>236.2641509</v>
      </c>
      <c r="T783" s="9">
        <f>IFERROR(__xludf.DUMMYFUNCTION("AVERAGE(INDEX(GOOGLEFINANCE(A783, ""price"", TODAY()-300, TODAY()), 0, 2))"),169.3470503597122)</f>
        <v>169.3470504</v>
      </c>
      <c r="U783" s="9">
        <f t="shared" si="5"/>
        <v>0.07150595883</v>
      </c>
      <c r="V783" s="15">
        <f>IFERROR(__xludf.DUMMYFUNCTION("LET(hist, GOOGLEFINANCE(A783,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rs))))))"),56.95329087048832)</f>
        <v>56.95329087</v>
      </c>
      <c r="W783" s="16" t="str">
        <f>IFERROR(__xludf.DUMMYFUNCTION("IFERROR(GOOGLEFINANCE(A783, ""volume"") / GOOGLEFINANCE(A783, ""volumeavg""), )"),"")</f>
        <v/>
      </c>
      <c r="X783" s="9">
        <f>IFERROR(__xludf.DUMMYFUNCTION("B783 * GOOGLEFINANCE(A783, ""volume"")"),5.78157188E8)</f>
        <v>578157188</v>
      </c>
      <c r="Y783" s="9">
        <f>IFERROR(__xludf.DUMMYFUNCTION("IFERROR(((B783 - GOOGLEFINANCE(A783, ""priceopen"")) / GOOGLEFINANCE(A783, ""priceopen"")) * GOOGLEFINANCE(A783, ""volume""), 0)"),-5726.098708181373)</f>
        <v>-5726.098708</v>
      </c>
    </row>
    <row r="784">
      <c r="A784" s="4" t="s">
        <v>2577</v>
      </c>
      <c r="B784" s="7">
        <f>IFERROR(__xludf.DUMMYFUNCTION("GOOGLEFINANCE(A784, ""price"")"),1425.0)</f>
        <v>1425</v>
      </c>
      <c r="C784" s="7">
        <f>IFERROR(__xludf.DUMMYFUNCTION("GOOGLEFINANCE(A784, ""changepct"")"),-0.15)</f>
        <v>-0.15</v>
      </c>
      <c r="D784" s="9">
        <f>IFERROR(__xludf.DUMMYFUNCTION("GOOGLEFINANCE(A784, ""priceopen"")"),1425.1)</f>
        <v>1425.1</v>
      </c>
      <c r="E784" s="9">
        <f>IFERROR(__xludf.DUMMYFUNCTION("GOOGLEFINANCE(A784, ""high"")"),1459.8)</f>
        <v>1459.8</v>
      </c>
      <c r="F784" s="9">
        <f>IFERROR(__xludf.DUMMYFUNCTION("GOOGLEFINANCE(A784, ""low"")"),1406.4)</f>
        <v>1406.4</v>
      </c>
      <c r="G784" s="9">
        <f>IFERROR(__xludf.DUMMYFUNCTION("GOOGLEFINANCE(A784, ""price"")"),1425.0)</f>
        <v>1425</v>
      </c>
      <c r="H784" s="9">
        <f>IFERROR(__xludf.DUMMYFUNCTION("MAX(INDEX(GOOGLEFINANCE(A784, ""high"", TODAY()-30, TODAY()), 0, 2))"),1459.8)</f>
        <v>1459.8</v>
      </c>
      <c r="I784" s="9">
        <f>IFERROR(__xludf.DUMMYFUNCTION("MIN(INDEX(GOOGLEFINANCE(A784, ""low"", TODAY()-30, TODAY()), 0, 2))"),1169.1)</f>
        <v>1169.1</v>
      </c>
      <c r="J784" s="9">
        <f>IFERROR(__xludf.DUMMYFUNCTION("GOOGLEFINANCE(A784, ""high52"")"),1459.8)</f>
        <v>1459.8</v>
      </c>
      <c r="K784" s="9">
        <f>IFERROR(__xludf.DUMMYFUNCTION("GOOGLEFINANCE(A784, ""low52"")"),944.0)</f>
        <v>944</v>
      </c>
      <c r="L784" s="9">
        <f t="shared" si="1"/>
        <v>0.02383888204</v>
      </c>
      <c r="M784" s="9">
        <f t="shared" si="2"/>
        <v>0.5095338983</v>
      </c>
      <c r="N784" s="9">
        <f t="shared" si="3"/>
        <v>0.03796928328</v>
      </c>
      <c r="O784" s="9">
        <f t="shared" si="4"/>
        <v>0.8802889577</v>
      </c>
      <c r="P784" s="9">
        <f>IFERROR(__xludf.DUMMYFUNCTION("GOOGLEFINANCE(A784, ""pe"")"),49.51)</f>
        <v>49.51</v>
      </c>
      <c r="Q784" s="9">
        <f>IFERROR(__xludf.DUMMYFUNCTION("IFERROR(GOOGLEFINANCE(A784, ""volume"") / GOOGLEFINANCE(A784, ""volumeavg""), 0)"),0.0)</f>
        <v>0</v>
      </c>
      <c r="R784" s="9">
        <f>IFERROR(__xludf.DUMMYFUNCTION("AVERAGE(INDEX(GOOGLEFINANCE(A784, ""price"", TODAY()-30, TODAY()), 0, 2))"),1250.7)</f>
        <v>1250.7</v>
      </c>
      <c r="S784" s="9">
        <f>IFERROR(__xludf.DUMMYFUNCTION("AVERAGE(INDEX(GOOGLEFINANCE(A784, ""price"", TODAY()-75, TODAY()), 0, 2))"),1195.2849056603773)</f>
        <v>1195.284906</v>
      </c>
      <c r="T784" s="9">
        <f>IFERROR(__xludf.DUMMYFUNCTION("AVERAGE(INDEX(GOOGLEFINANCE(A784, ""price"", TODAY()-300, TODAY()), 0, 2))"),1144.6227722772273)</f>
        <v>1144.622772</v>
      </c>
      <c r="U784" s="9">
        <f t="shared" si="5"/>
        <v>0.1393619573</v>
      </c>
      <c r="V784" s="15">
        <f>IFERROR(__xludf.DUMMYFUNCTION("LET(hist, GOOGLEFINANCE(A784,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rs))))))"),77.53996905621452)</f>
        <v>77.53996906</v>
      </c>
      <c r="W784" s="16" t="str">
        <f>IFERROR(__xludf.DUMMYFUNCTION("IFERROR(GOOGLEFINANCE(A784, ""volume"") / GOOGLEFINANCE(A784, ""volumeavg""), )"),"")</f>
        <v/>
      </c>
      <c r="X784" s="9">
        <f>IFERROR(__xludf.DUMMYFUNCTION("B784 * GOOGLEFINANCE(A784, ""volume"")"),3.34451775E8)</f>
        <v>334451775</v>
      </c>
      <c r="Y784" s="9">
        <f>IFERROR(__xludf.DUMMYFUNCTION("IFERROR(((B784 - GOOGLEFINANCE(A784, ""priceopen"")) / GOOGLEFINANCE(A784, ""priceopen"")) * GOOGLEFINANCE(A784, ""volume""), 0)"),-16.469230229442605)</f>
        <v>-16.46923023</v>
      </c>
    </row>
    <row r="785">
      <c r="A785" s="4" t="s">
        <v>2578</v>
      </c>
      <c r="B785" s="7">
        <f>IFERROR(__xludf.DUMMYFUNCTION("GOOGLEFINANCE(A785, ""price"")"),490.2)</f>
        <v>490.2</v>
      </c>
      <c r="C785" s="7">
        <f>IFERROR(__xludf.DUMMYFUNCTION("GOOGLEFINANCE(A785, ""changepct"")"),2.53)</f>
        <v>2.53</v>
      </c>
      <c r="D785" s="9">
        <f>IFERROR(__xludf.DUMMYFUNCTION("GOOGLEFINANCE(A785, ""priceopen"")"),491.5)</f>
        <v>491.5</v>
      </c>
      <c r="E785" s="9">
        <f>IFERROR(__xludf.DUMMYFUNCTION("GOOGLEFINANCE(A785, ""high"")"),494.5)</f>
        <v>494.5</v>
      </c>
      <c r="F785" s="9">
        <f>IFERROR(__xludf.DUMMYFUNCTION("GOOGLEFINANCE(A785, ""low"")"),470.1)</f>
        <v>470.1</v>
      </c>
      <c r="G785" s="9">
        <f>IFERROR(__xludf.DUMMYFUNCTION("GOOGLEFINANCE(A785, ""price"")"),490.2)</f>
        <v>490.2</v>
      </c>
      <c r="H785" s="9">
        <f>IFERROR(__xludf.DUMMYFUNCTION("MAX(INDEX(GOOGLEFINANCE(A785, ""high"", TODAY()-30, TODAY()), 0, 2))"),515.0)</f>
        <v>515</v>
      </c>
      <c r="I785" s="9">
        <f>IFERROR(__xludf.DUMMYFUNCTION("MIN(INDEX(GOOGLEFINANCE(A785, ""low"", TODAY()-30, TODAY()), 0, 2))"),452.55)</f>
        <v>452.55</v>
      </c>
      <c r="J785" s="9">
        <f>IFERROR(__xludf.DUMMYFUNCTION("GOOGLEFINANCE(A785, ""high52"")"),619.0)</f>
        <v>619</v>
      </c>
      <c r="K785" s="9">
        <f>IFERROR(__xludf.DUMMYFUNCTION("GOOGLEFINANCE(A785, ""low52"")"),361.5)</f>
        <v>361.5</v>
      </c>
      <c r="L785" s="9">
        <f t="shared" si="1"/>
        <v>0.2080775444</v>
      </c>
      <c r="M785" s="9">
        <f t="shared" si="2"/>
        <v>0.3560165975</v>
      </c>
      <c r="N785" s="9">
        <f t="shared" si="3"/>
        <v>0.05190385024</v>
      </c>
      <c r="O785" s="9">
        <f t="shared" si="4"/>
        <v>0.6028823058</v>
      </c>
      <c r="P785" s="9">
        <f>IFERROR(__xludf.DUMMYFUNCTION("GOOGLEFINANCE(A785, ""pe"")"),200.9)</f>
        <v>200.9</v>
      </c>
      <c r="Q785" s="9">
        <f>IFERROR(__xludf.DUMMYFUNCTION("IFERROR(GOOGLEFINANCE(A785, ""volume"") / GOOGLEFINANCE(A785, ""volumeavg""), 0)"),0.0)</f>
        <v>0</v>
      </c>
      <c r="R785" s="9">
        <f>IFERROR(__xludf.DUMMYFUNCTION("AVERAGE(INDEX(GOOGLEFINANCE(A785, ""price"", TODAY()-30, TODAY()), 0, 2))"),478.3152173913044)</f>
        <v>478.3152174</v>
      </c>
      <c r="S785" s="9">
        <f>IFERROR(__xludf.DUMMYFUNCTION("AVERAGE(INDEX(GOOGLEFINANCE(A785, ""price"", TODAY()-75, TODAY()), 0, 2))"),470.08490566037733)</f>
        <v>470.0849057</v>
      </c>
      <c r="T785" s="9">
        <f>IFERROR(__xludf.DUMMYFUNCTION("AVERAGE(INDEX(GOOGLEFINANCE(A785, ""price"", TODAY()-300, TODAY()), 0, 2))"),464.8712871287133)</f>
        <v>464.8712871</v>
      </c>
      <c r="U785" s="9">
        <f t="shared" si="5"/>
        <v>0.02484717646</v>
      </c>
      <c r="V785" s="15">
        <f>IFERROR(__xludf.DUMMYFUNCTION("LET(hist, GOOGLEFINANCE(A785,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rs))))))"),54.62130937098844)</f>
        <v>54.62130937</v>
      </c>
      <c r="W785" s="16" t="str">
        <f>IFERROR(__xludf.DUMMYFUNCTION("IFERROR(GOOGLEFINANCE(A785, ""volume"") / GOOGLEFINANCE(A785, ""volumeavg""), )"),"")</f>
        <v/>
      </c>
      <c r="X785" s="9">
        <f>IFERROR(__xludf.DUMMYFUNCTION("B785 * GOOGLEFINANCE(A785, ""volume"")"),6.5623074E7)</f>
        <v>65623074</v>
      </c>
      <c r="Y785" s="9">
        <f>IFERROR(__xludf.DUMMYFUNCTION("IFERROR(((B785 - GOOGLEFINANCE(A785, ""priceopen"")) / GOOGLEFINANCE(A785, ""priceopen"")) * GOOGLEFINANCE(A785, ""volume""), 0)"),-354.08138351984036)</f>
        <v>-354.0813835</v>
      </c>
    </row>
    <row r="786">
      <c r="A786" s="4" t="s">
        <v>2579</v>
      </c>
      <c r="B786" s="7">
        <f>IFERROR(__xludf.DUMMYFUNCTION("GOOGLEFINANCE(A786, ""price"")"),562.5)</f>
        <v>562.5</v>
      </c>
      <c r="C786" s="7">
        <f>IFERROR(__xludf.DUMMYFUNCTION("GOOGLEFINANCE(A786, ""changepct"")"),-1.85)</f>
        <v>-1.85</v>
      </c>
      <c r="D786" s="9">
        <f>IFERROR(__xludf.DUMMYFUNCTION("GOOGLEFINANCE(A786, ""priceopen"")"),571.1)</f>
        <v>571.1</v>
      </c>
      <c r="E786" s="9">
        <f>IFERROR(__xludf.DUMMYFUNCTION("GOOGLEFINANCE(A786, ""high"")"),573.1)</f>
        <v>573.1</v>
      </c>
      <c r="F786" s="9">
        <f>IFERROR(__xludf.DUMMYFUNCTION("GOOGLEFINANCE(A786, ""low"")"),558.55)</f>
        <v>558.55</v>
      </c>
      <c r="G786" s="9">
        <f>IFERROR(__xludf.DUMMYFUNCTION("GOOGLEFINANCE(A786, ""price"")"),562.5)</f>
        <v>562.5</v>
      </c>
      <c r="H786" s="9">
        <f>IFERROR(__xludf.DUMMYFUNCTION("MAX(INDEX(GOOGLEFINANCE(A786, ""high"", TODAY()-30, TODAY()), 0, 2))"),618.0)</f>
        <v>618</v>
      </c>
      <c r="I786" s="9">
        <f>IFERROR(__xludf.DUMMYFUNCTION("MIN(INDEX(GOOGLEFINANCE(A786, ""low"", TODAY()-30, TODAY()), 0, 2))"),515.0)</f>
        <v>515</v>
      </c>
      <c r="J786" s="9">
        <f>IFERROR(__xludf.DUMMYFUNCTION("GOOGLEFINANCE(A786, ""high52"")"),618.0)</f>
        <v>618</v>
      </c>
      <c r="K786" s="9">
        <f>IFERROR(__xludf.DUMMYFUNCTION("GOOGLEFINANCE(A786, ""low52"")"),312.0)</f>
        <v>312</v>
      </c>
      <c r="L786" s="9">
        <f t="shared" si="1"/>
        <v>0.08980582524</v>
      </c>
      <c r="M786" s="9">
        <f t="shared" si="2"/>
        <v>0.8028846154</v>
      </c>
      <c r="N786" s="9">
        <f t="shared" si="3"/>
        <v>0.0260495927</v>
      </c>
      <c r="O786" s="9">
        <f t="shared" si="4"/>
        <v>0.4611650485</v>
      </c>
      <c r="P786" s="9">
        <f>IFERROR(__xludf.DUMMYFUNCTION("GOOGLEFINANCE(A786, ""pe"")"),61.78)</f>
        <v>61.78</v>
      </c>
      <c r="Q786" s="9">
        <f>IFERROR(__xludf.DUMMYFUNCTION("IFERROR(GOOGLEFINANCE(A786, ""volume"") / GOOGLEFINANCE(A786, ""volumeavg""), 0)"),0.0)</f>
        <v>0</v>
      </c>
      <c r="R786" s="9">
        <f>IFERROR(__xludf.DUMMYFUNCTION("AVERAGE(INDEX(GOOGLEFINANCE(A786, ""price"", TODAY()-30, TODAY()), 0, 2))"),556.5521739130435)</f>
        <v>556.5521739</v>
      </c>
      <c r="S786" s="9">
        <f>IFERROR(__xludf.DUMMYFUNCTION("AVERAGE(INDEX(GOOGLEFINANCE(A786, ""price"", TODAY()-75, TODAY()), 0, 2))"),519.2603773584905)</f>
        <v>519.2603774</v>
      </c>
      <c r="T786" s="9">
        <f>IFERROR(__xludf.DUMMYFUNCTION("AVERAGE(INDEX(GOOGLEFINANCE(A786, ""price"", TODAY()-300, TODAY()), 0, 2))"),463.7393750000001)</f>
        <v>463.739375</v>
      </c>
      <c r="U786" s="9">
        <f t="shared" si="5"/>
        <v>0.01068691556</v>
      </c>
      <c r="V786" s="15">
        <f>IFERROR(__xludf.DUMMYFUNCTION("LET(hist, GOOGLEFINANCE(A786,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rs))))))"),46.497919556171986)</f>
        <v>46.49791956</v>
      </c>
      <c r="W786" s="16" t="str">
        <f>IFERROR(__xludf.DUMMYFUNCTION("IFERROR(GOOGLEFINANCE(A786, ""volume"") / GOOGLEFINANCE(A786, ""volumeavg""), )"),"")</f>
        <v/>
      </c>
      <c r="X786" s="9">
        <f>IFERROR(__xludf.DUMMYFUNCTION("B786 * GOOGLEFINANCE(A786, ""volume"")"),6.07674375E7)</f>
        <v>60767437.5</v>
      </c>
      <c r="Y786" s="9">
        <f>IFERROR(__xludf.DUMMYFUNCTION("IFERROR(((B786 - GOOGLEFINANCE(A786, ""priceopen"")) / GOOGLEFINANCE(A786, ""priceopen"")) * GOOGLEFINANCE(A786, ""volume""), 0)"),-1626.8019611276525)</f>
        <v>-1626.801961</v>
      </c>
    </row>
    <row r="787">
      <c r="A787" s="4" t="s">
        <v>2580</v>
      </c>
      <c r="B787" s="7">
        <f>IFERROR(__xludf.DUMMYFUNCTION("GOOGLEFINANCE(A787, ""price"")"),106.1)</f>
        <v>106.1</v>
      </c>
      <c r="C787" s="7">
        <f>IFERROR(__xludf.DUMMYFUNCTION("GOOGLEFINANCE(A787, ""changepct"")"),-2.29)</f>
        <v>-2.29</v>
      </c>
      <c r="D787" s="9">
        <f>IFERROR(__xludf.DUMMYFUNCTION("GOOGLEFINANCE(A787, ""priceopen"")"),109.46)</f>
        <v>109.46</v>
      </c>
      <c r="E787" s="9">
        <f>IFERROR(__xludf.DUMMYFUNCTION("GOOGLEFINANCE(A787, ""high"")"),110.5)</f>
        <v>110.5</v>
      </c>
      <c r="F787" s="9">
        <f>IFERROR(__xludf.DUMMYFUNCTION("GOOGLEFINANCE(A787, ""low"")"),105.4)</f>
        <v>105.4</v>
      </c>
      <c r="G787" s="9">
        <f>IFERROR(__xludf.DUMMYFUNCTION("GOOGLEFINANCE(A787, ""price"")"),106.1)</f>
        <v>106.1</v>
      </c>
      <c r="H787" s="9">
        <f>IFERROR(__xludf.DUMMYFUNCTION("MAX(INDEX(GOOGLEFINANCE(A787, ""high"", TODAY()-30, TODAY()), 0, 2))"),131.0)</f>
        <v>131</v>
      </c>
      <c r="I787" s="9">
        <f>IFERROR(__xludf.DUMMYFUNCTION("MIN(INDEX(GOOGLEFINANCE(A787, ""low"", TODAY()-30, TODAY()), 0, 2))"),97.1)</f>
        <v>97.1</v>
      </c>
      <c r="J787" s="9">
        <f>IFERROR(__xludf.DUMMYFUNCTION("GOOGLEFINANCE(A787, ""high52"")"),176.0)</f>
        <v>176</v>
      </c>
      <c r="K787" s="9">
        <f>IFERROR(__xludf.DUMMYFUNCTION("GOOGLEFINANCE(A787, ""low52"")"),97.1)</f>
        <v>97.1</v>
      </c>
      <c r="L787" s="9">
        <f t="shared" si="1"/>
        <v>0.3971590909</v>
      </c>
      <c r="M787" s="9">
        <f t="shared" si="2"/>
        <v>0.09268795057</v>
      </c>
      <c r="N787" s="9">
        <f t="shared" si="3"/>
        <v>0.04838709677</v>
      </c>
      <c r="O787" s="9">
        <f t="shared" si="4"/>
        <v>0.2654867257</v>
      </c>
      <c r="P787" s="9">
        <f>IFERROR(__xludf.DUMMYFUNCTION("GOOGLEFINANCE(A787, ""pe"")"),30.59)</f>
        <v>30.59</v>
      </c>
      <c r="Q787" s="9">
        <f>IFERROR(__xludf.DUMMYFUNCTION("IFERROR(GOOGLEFINANCE(A787, ""volume"") / GOOGLEFINANCE(A787, ""volumeavg""), 0)"),0.0)</f>
        <v>0</v>
      </c>
      <c r="R787" s="9">
        <f>IFERROR(__xludf.DUMMYFUNCTION("AVERAGE(INDEX(GOOGLEFINANCE(A787, ""price"", TODAY()-30, TODAY()), 0, 2))"),109.51739130434783)</f>
        <v>109.5173913</v>
      </c>
      <c r="S787" s="9">
        <f>IFERROR(__xludf.DUMMYFUNCTION("AVERAGE(INDEX(GOOGLEFINANCE(A787, ""price"", TODAY()-75, TODAY()), 0, 2))"),114.45113207547172)</f>
        <v>114.4511321</v>
      </c>
      <c r="T787" s="9">
        <f>IFERROR(__xludf.DUMMYFUNCTION("AVERAGE(INDEX(GOOGLEFINANCE(A787, ""price"", TODAY()-300, TODAY()), 0, 2))"),127.1308910891089)</f>
        <v>127.1308911</v>
      </c>
      <c r="U787" s="9">
        <f t="shared" si="5"/>
        <v>-0.03120409703</v>
      </c>
      <c r="V787" s="15">
        <f>IFERROR(__xludf.DUMMYFUNCTION("LET(hist, GOOGLEFINANCE(A787,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rs))))))"),45.47945205479454)</f>
        <v>45.47945205</v>
      </c>
      <c r="W787" s="16" t="str">
        <f>IFERROR(__xludf.DUMMYFUNCTION("IFERROR(GOOGLEFINANCE(A787, ""volume"") / GOOGLEFINANCE(A787, ""volumeavg""), )"),"")</f>
        <v/>
      </c>
      <c r="X787" s="9">
        <f>IFERROR(__xludf.DUMMYFUNCTION("B787 * GOOGLEFINANCE(A787, ""volume"")"),7.27586055E7)</f>
        <v>72758605.5</v>
      </c>
      <c r="Y787" s="9">
        <f>IFERROR(__xludf.DUMMYFUNCTION("IFERROR(((B787 - GOOGLEFINANCE(A787, ""priceopen"")) / GOOGLEFINANCE(A787, ""priceopen"")) * GOOGLEFINANCE(A787, ""volume""), 0)"),-21050.034715877944)</f>
        <v>-21050.03472</v>
      </c>
    </row>
    <row r="788">
      <c r="A788" s="4" t="s">
        <v>2581</v>
      </c>
      <c r="B788" s="7">
        <f>IFERROR(__xludf.DUMMYFUNCTION("GOOGLEFINANCE(A788, ""price"")"),291.7)</f>
        <v>291.7</v>
      </c>
      <c r="C788" s="7">
        <f>IFERROR(__xludf.DUMMYFUNCTION("GOOGLEFINANCE(A788, ""changepct"")"),-1.27)</f>
        <v>-1.27</v>
      </c>
      <c r="D788" s="9">
        <f>IFERROR(__xludf.DUMMYFUNCTION("GOOGLEFINANCE(A788, ""priceopen"")"),295.05)</f>
        <v>295.05</v>
      </c>
      <c r="E788" s="9">
        <f>IFERROR(__xludf.DUMMYFUNCTION("GOOGLEFINANCE(A788, ""high"")"),298.5)</f>
        <v>298.5</v>
      </c>
      <c r="F788" s="9">
        <f>IFERROR(__xludf.DUMMYFUNCTION("GOOGLEFINANCE(A788, ""low"")"),289.0)</f>
        <v>289</v>
      </c>
      <c r="G788" s="9">
        <f>IFERROR(__xludf.DUMMYFUNCTION("GOOGLEFINANCE(A788, ""price"")"),291.7)</f>
        <v>291.7</v>
      </c>
      <c r="H788" s="9">
        <f>IFERROR(__xludf.DUMMYFUNCTION("MAX(INDEX(GOOGLEFINANCE(A788, ""high"", TODAY()-30, TODAY()), 0, 2))"),351.5)</f>
        <v>351.5</v>
      </c>
      <c r="I788" s="9">
        <f>IFERROR(__xludf.DUMMYFUNCTION("MIN(INDEX(GOOGLEFINANCE(A788, ""low"", TODAY()-30, TODAY()), 0, 2))"),289.0)</f>
        <v>289</v>
      </c>
      <c r="J788" s="9">
        <f>IFERROR(__xludf.DUMMYFUNCTION("GOOGLEFINANCE(A788, ""high52"")"),351.5)</f>
        <v>351.5</v>
      </c>
      <c r="K788" s="9">
        <f>IFERROR(__xludf.DUMMYFUNCTION("GOOGLEFINANCE(A788, ""low52"")"),190.0)</f>
        <v>190</v>
      </c>
      <c r="L788" s="9">
        <f t="shared" si="1"/>
        <v>0.1701280228</v>
      </c>
      <c r="M788" s="9">
        <f t="shared" si="2"/>
        <v>0.5352631579</v>
      </c>
      <c r="N788" s="9">
        <f t="shared" si="3"/>
        <v>0.03287197232</v>
      </c>
      <c r="O788" s="9">
        <f t="shared" si="4"/>
        <v>0.0432</v>
      </c>
      <c r="P788" s="9">
        <f>IFERROR(__xludf.DUMMYFUNCTION("GOOGLEFINANCE(A788, ""pe"")"),5.61)</f>
        <v>5.61</v>
      </c>
      <c r="Q788" s="9">
        <f>IFERROR(__xludf.DUMMYFUNCTION("IFERROR(GOOGLEFINANCE(A788, ""volume"") / GOOGLEFINANCE(A788, ""volumeavg""), 0)"),0.0)</f>
        <v>0</v>
      </c>
      <c r="R788" s="9">
        <f>IFERROR(__xludf.DUMMYFUNCTION("AVERAGE(INDEX(GOOGLEFINANCE(A788, ""price"", TODAY()-30, TODAY()), 0, 2))"),319.9608695652174)</f>
        <v>319.9608696</v>
      </c>
      <c r="S788" s="9">
        <f>IFERROR(__xludf.DUMMYFUNCTION("AVERAGE(INDEX(GOOGLEFINANCE(A788, ""price"", TODAY()-75, TODAY()), 0, 2))"),299.59169811320754)</f>
        <v>299.5916981</v>
      </c>
      <c r="T788" s="9">
        <f>IFERROR(__xludf.DUMMYFUNCTION("AVERAGE(INDEX(GOOGLEFINANCE(A788, ""price"", TODAY()-300, TODAY()), 0, 2))"),284.14119402985074)</f>
        <v>284.141194</v>
      </c>
      <c r="U788" s="9">
        <f t="shared" si="5"/>
        <v>-0.08832601813</v>
      </c>
      <c r="V788" s="15">
        <f>IFERROR(__xludf.DUMMYFUNCTION("LET(hist, GOOGLEFINANCE(A788,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rs))))))"),8.75968992248066)</f>
        <v>8.759689922</v>
      </c>
      <c r="W788" s="16" t="str">
        <f>IFERROR(__xludf.DUMMYFUNCTION("IFERROR(GOOGLEFINANCE(A788, ""volume"") / GOOGLEFINANCE(A788, ""volumeavg""), )"),"")</f>
        <v/>
      </c>
      <c r="X788" s="9">
        <f>IFERROR(__xludf.DUMMYFUNCTION("B788 * GOOGLEFINANCE(A788, ""volume"")"),3.658125107E8)</f>
        <v>365812510.7</v>
      </c>
      <c r="Y788" s="9">
        <f>IFERROR(__xludf.DUMMYFUNCTION("IFERROR(((B788 - GOOGLEFINANCE(A788, ""priceopen"")) / GOOGLEFINANCE(A788, ""priceopen"")) * GOOGLEFINANCE(A788, ""volume""), 0)"),-14238.731909845885)</f>
        <v>-14238.73191</v>
      </c>
    </row>
    <row r="789">
      <c r="A789" s="4" t="s">
        <v>2582</v>
      </c>
      <c r="B789" s="7">
        <f>IFERROR(__xludf.DUMMYFUNCTION("GOOGLEFINANCE(A789, ""price"")"),463.2)</f>
        <v>463.2</v>
      </c>
      <c r="C789" s="7">
        <f>IFERROR(__xludf.DUMMYFUNCTION("GOOGLEFINANCE(A789, ""changepct"")"),0.92)</f>
        <v>0.92</v>
      </c>
      <c r="D789" s="9">
        <f>IFERROR(__xludf.DUMMYFUNCTION("GOOGLEFINANCE(A789, ""priceopen"")"),462.0)</f>
        <v>462</v>
      </c>
      <c r="E789" s="9">
        <f>IFERROR(__xludf.DUMMYFUNCTION("GOOGLEFINANCE(A789, ""high"")"),471.0)</f>
        <v>471</v>
      </c>
      <c r="F789" s="9">
        <f>IFERROR(__xludf.DUMMYFUNCTION("GOOGLEFINANCE(A789, ""low"")"),455.0)</f>
        <v>455</v>
      </c>
      <c r="G789" s="9">
        <f>IFERROR(__xludf.DUMMYFUNCTION("GOOGLEFINANCE(A789, ""price"")"),463.2)</f>
        <v>463.2</v>
      </c>
      <c r="H789" s="9">
        <f>IFERROR(__xludf.DUMMYFUNCTION("MAX(INDEX(GOOGLEFINANCE(A789, ""high"", TODAY()-30, TODAY()), 0, 2))"),478.9)</f>
        <v>478.9</v>
      </c>
      <c r="I789" s="9">
        <f>IFERROR(__xludf.DUMMYFUNCTION("MIN(INDEX(GOOGLEFINANCE(A789, ""low"", TODAY()-30, TODAY()), 0, 2))"),422.6)</f>
        <v>422.6</v>
      </c>
      <c r="J789" s="9">
        <f>IFERROR(__xludf.DUMMYFUNCTION("GOOGLEFINANCE(A789, ""high52"")"),697.0)</f>
        <v>697</v>
      </c>
      <c r="K789" s="9">
        <f>IFERROR(__xludf.DUMMYFUNCTION("GOOGLEFINANCE(A789, ""low52"")"),341.05)</f>
        <v>341.05</v>
      </c>
      <c r="L789" s="9">
        <f t="shared" si="1"/>
        <v>0.3354375897</v>
      </c>
      <c r="M789" s="9">
        <f t="shared" si="2"/>
        <v>0.3581586278</v>
      </c>
      <c r="N789" s="9">
        <f t="shared" si="3"/>
        <v>0.03516483516</v>
      </c>
      <c r="O789" s="9">
        <f t="shared" si="4"/>
        <v>0.7211367673</v>
      </c>
      <c r="P789" s="9">
        <f>IFERROR(__xludf.DUMMYFUNCTION("GOOGLEFINANCE(A789, ""pe"")"),19.38)</f>
        <v>19.38</v>
      </c>
      <c r="Q789" s="9">
        <f>IFERROR(__xludf.DUMMYFUNCTION("IFERROR(GOOGLEFINANCE(A789, ""volume"") / GOOGLEFINANCE(A789, ""volumeavg""), 0)"),0.0)</f>
        <v>0</v>
      </c>
      <c r="R789" s="9">
        <f>IFERROR(__xludf.DUMMYFUNCTION("AVERAGE(INDEX(GOOGLEFINANCE(A789, ""price"", TODAY()-30, TODAY()), 0, 2))"),447.1521739130435)</f>
        <v>447.1521739</v>
      </c>
      <c r="S789" s="9">
        <f>IFERROR(__xludf.DUMMYFUNCTION("AVERAGE(INDEX(GOOGLEFINANCE(A789, ""price"", TODAY()-75, TODAY()), 0, 2))"),453.44245283018864)</f>
        <v>453.4424528</v>
      </c>
      <c r="T789" s="9">
        <f>IFERROR(__xludf.DUMMYFUNCTION("AVERAGE(INDEX(GOOGLEFINANCE(A789, ""price"", TODAY()-300, TODAY()), 0, 2))"),505.8200495049508)</f>
        <v>505.8200495</v>
      </c>
      <c r="U789" s="9">
        <f t="shared" si="5"/>
        <v>0.03588895911</v>
      </c>
      <c r="V789" s="15">
        <f>IFERROR(__xludf.DUMMYFUNCTION("LET(hist, GOOGLEFINANCE(A789,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rs))))))"),67.74744027303753)</f>
        <v>67.74744027</v>
      </c>
      <c r="W789" s="16" t="str">
        <f>IFERROR(__xludf.DUMMYFUNCTION("IFERROR(GOOGLEFINANCE(A789, ""volume"") / GOOGLEFINANCE(A789, ""volumeavg""), )"),"")</f>
        <v/>
      </c>
      <c r="X789" s="9">
        <f>IFERROR(__xludf.DUMMYFUNCTION("B789 * GOOGLEFINANCE(A789, ""volume"")"),4.6912571759999996E8)</f>
        <v>469125717.6</v>
      </c>
      <c r="Y789" s="9">
        <f>IFERROR(__xludf.DUMMYFUNCTION("IFERROR(((B789 - GOOGLEFINANCE(A789, ""priceopen"")) / GOOGLEFINANCE(A789, ""priceopen"")) * GOOGLEFINANCE(A789, ""volume""), 0)"),2630.631168831144)</f>
        <v>2630.631169</v>
      </c>
    </row>
    <row r="790">
      <c r="A790" s="4" t="s">
        <v>2583</v>
      </c>
      <c r="B790" s="7">
        <f>IFERROR(__xludf.DUMMYFUNCTION("GOOGLEFINANCE(A790, ""price"")"),765.0)</f>
        <v>765</v>
      </c>
      <c r="C790" s="7">
        <f>IFERROR(__xludf.DUMMYFUNCTION("GOOGLEFINANCE(A790, ""changepct"")"),-0.08)</f>
        <v>-0.08</v>
      </c>
      <c r="D790" s="9">
        <f>IFERROR(__xludf.DUMMYFUNCTION("GOOGLEFINANCE(A790, ""priceopen"")"),765.6)</f>
        <v>765.6</v>
      </c>
      <c r="E790" s="9">
        <f>IFERROR(__xludf.DUMMYFUNCTION("GOOGLEFINANCE(A790, ""high"")"),775.0)</f>
        <v>775</v>
      </c>
      <c r="F790" s="9">
        <f>IFERROR(__xludf.DUMMYFUNCTION("GOOGLEFINANCE(A790, ""low"")"),753.65)</f>
        <v>753.65</v>
      </c>
      <c r="G790" s="9">
        <f>IFERROR(__xludf.DUMMYFUNCTION("GOOGLEFINANCE(A790, ""price"")"),765.0)</f>
        <v>765</v>
      </c>
      <c r="H790" s="9">
        <f>IFERROR(__xludf.DUMMYFUNCTION("MAX(INDEX(GOOGLEFINANCE(A790, ""high"", TODAY()-30, TODAY()), 0, 2))"),844.15)</f>
        <v>844.15</v>
      </c>
      <c r="I790" s="9">
        <f>IFERROR(__xludf.DUMMYFUNCTION("MIN(INDEX(GOOGLEFINANCE(A790, ""low"", TODAY()-30, TODAY()), 0, 2))"),753.65)</f>
        <v>753.65</v>
      </c>
      <c r="J790" s="9">
        <f>IFERROR(__xludf.DUMMYFUNCTION("GOOGLEFINANCE(A790, ""high52"")"),1213.7)</f>
        <v>1213.7</v>
      </c>
      <c r="K790" s="9">
        <f>IFERROR(__xludf.DUMMYFUNCTION("GOOGLEFINANCE(A790, ""low52"")"),622.1)</f>
        <v>622.1</v>
      </c>
      <c r="L790" s="9">
        <f t="shared" si="1"/>
        <v>0.369695971</v>
      </c>
      <c r="M790" s="9">
        <f t="shared" si="2"/>
        <v>0.2297058351</v>
      </c>
      <c r="N790" s="9">
        <f t="shared" si="3"/>
        <v>0.02832879984</v>
      </c>
      <c r="O790" s="9">
        <f t="shared" si="4"/>
        <v>0.1254143646</v>
      </c>
      <c r="P790" s="9">
        <f>IFERROR(__xludf.DUMMYFUNCTION("GOOGLEFINANCE(A790, ""pe"")"),30.13)</f>
        <v>30.13</v>
      </c>
      <c r="Q790" s="9">
        <f>IFERROR(__xludf.DUMMYFUNCTION("IFERROR(GOOGLEFINANCE(A790, ""volume"") / GOOGLEFINANCE(A790, ""volumeavg""), 0)"),0.0)</f>
        <v>0</v>
      </c>
      <c r="R790" s="9">
        <f>IFERROR(__xludf.DUMMYFUNCTION("AVERAGE(INDEX(GOOGLEFINANCE(A790, ""price"", TODAY()-30, TODAY()), 0, 2))"),800.3913043478261)</f>
        <v>800.3913043</v>
      </c>
      <c r="S790" s="9">
        <f>IFERROR(__xludf.DUMMYFUNCTION("AVERAGE(INDEX(GOOGLEFINANCE(A790, ""price"", TODAY()-75, TODAY()), 0, 2))"),786.1518867924527)</f>
        <v>786.1518868</v>
      </c>
      <c r="T790" s="9">
        <f>IFERROR(__xludf.DUMMYFUNCTION("AVERAGE(INDEX(GOOGLEFINANCE(A790, ""price"", TODAY()-300, TODAY()), 0, 2))"),812.3143564356442)</f>
        <v>812.3143564</v>
      </c>
      <c r="U790" s="9">
        <f t="shared" si="5"/>
        <v>-0.04421750231</v>
      </c>
      <c r="V790" s="15">
        <f>IFERROR(__xludf.DUMMYFUNCTION("LET(hist, GOOGLEFINANCE(A790,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rs))))))"),46.07177497575171)</f>
        <v>46.07177498</v>
      </c>
      <c r="W790" s="16" t="str">
        <f>IFERROR(__xludf.DUMMYFUNCTION("IFERROR(GOOGLEFINANCE(A790, ""volume"") / GOOGLEFINANCE(A790, ""volumeavg""), )"),"")</f>
        <v/>
      </c>
      <c r="X790" s="9">
        <f>IFERROR(__xludf.DUMMYFUNCTION("B790 * GOOGLEFINANCE(A790, ""volume"")"),4.198779E7)</f>
        <v>41987790</v>
      </c>
      <c r="Y790" s="9">
        <f>IFERROR(__xludf.DUMMYFUNCTION("IFERROR(((B790 - GOOGLEFINANCE(A790, ""priceopen"")) / GOOGLEFINANCE(A790, ""priceopen"")) * GOOGLEFINANCE(A790, ""volume""), 0)"),-43.014106583073726)</f>
        <v>-43.01410658</v>
      </c>
    </row>
    <row r="791">
      <c r="A791" s="4" t="s">
        <v>2584</v>
      </c>
      <c r="B791" s="7">
        <f>IFERROR(__xludf.DUMMYFUNCTION("GOOGLEFINANCE(A791, ""price"")"),1360.0)</f>
        <v>1360</v>
      </c>
      <c r="C791" s="7">
        <f>IFERROR(__xludf.DUMMYFUNCTION("GOOGLEFINANCE(A791, ""changepct"")"),-1.14)</f>
        <v>-1.14</v>
      </c>
      <c r="D791" s="9">
        <f>IFERROR(__xludf.DUMMYFUNCTION("GOOGLEFINANCE(A791, ""priceopen"")"),1370.5)</f>
        <v>1370.5</v>
      </c>
      <c r="E791" s="9">
        <f>IFERROR(__xludf.DUMMYFUNCTION("GOOGLEFINANCE(A791, ""high"")"),1377.7)</f>
        <v>1377.7</v>
      </c>
      <c r="F791" s="9">
        <f>IFERROR(__xludf.DUMMYFUNCTION("GOOGLEFINANCE(A791, ""low"")"),1347.2)</f>
        <v>1347.2</v>
      </c>
      <c r="G791" s="9">
        <f>IFERROR(__xludf.DUMMYFUNCTION("GOOGLEFINANCE(A791, ""price"")"),1360.0)</f>
        <v>1360</v>
      </c>
      <c r="H791" s="9">
        <f>IFERROR(__xludf.DUMMYFUNCTION("MAX(INDEX(GOOGLEFINANCE(A791, ""high"", TODAY()-30, TODAY()), 0, 2))"),1476.1)</f>
        <v>1476.1</v>
      </c>
      <c r="I791" s="9">
        <f>IFERROR(__xludf.DUMMYFUNCTION("MIN(INDEX(GOOGLEFINANCE(A791, ""low"", TODAY()-30, TODAY()), 0, 2))"),1272.2)</f>
        <v>1272.2</v>
      </c>
      <c r="J791" s="9">
        <f>IFERROR(__xludf.DUMMYFUNCTION("GOOGLEFINANCE(A791, ""high52"")"),2019.8)</f>
        <v>2019.8</v>
      </c>
      <c r="K791" s="9">
        <f>IFERROR(__xludf.DUMMYFUNCTION("GOOGLEFINANCE(A791, ""low52"")"),883.2)</f>
        <v>883.2</v>
      </c>
      <c r="L791" s="9">
        <f t="shared" si="1"/>
        <v>0.3266660065</v>
      </c>
      <c r="M791" s="9">
        <f t="shared" si="2"/>
        <v>0.5398550725</v>
      </c>
      <c r="N791" s="9">
        <f t="shared" si="3"/>
        <v>0.02263954869</v>
      </c>
      <c r="O791" s="9">
        <f t="shared" si="4"/>
        <v>0.4306032369</v>
      </c>
      <c r="P791" s="9">
        <f>IFERROR(__xludf.DUMMYFUNCTION("GOOGLEFINANCE(A791, ""pe"")"),34.35)</f>
        <v>34.35</v>
      </c>
      <c r="Q791" s="9">
        <f>IFERROR(__xludf.DUMMYFUNCTION("IFERROR(GOOGLEFINANCE(A791, ""volume"") / GOOGLEFINANCE(A791, ""volumeavg""), 0)"),0.0)</f>
        <v>0</v>
      </c>
      <c r="R791" s="9">
        <f>IFERROR(__xludf.DUMMYFUNCTION("AVERAGE(INDEX(GOOGLEFINANCE(A791, ""price"", TODAY()-30, TODAY()), 0, 2))"),1358.3173913043481)</f>
        <v>1358.317391</v>
      </c>
      <c r="S791" s="9">
        <f>IFERROR(__xludf.DUMMYFUNCTION("AVERAGE(INDEX(GOOGLEFINANCE(A791, ""price"", TODAY()-75, TODAY()), 0, 2))"),1310.9886792452828)</f>
        <v>1310.988679</v>
      </c>
      <c r="T791" s="9">
        <f>IFERROR(__xludf.DUMMYFUNCTION("AVERAGE(INDEX(GOOGLEFINANCE(A791, ""price"", TODAY()-300, TODAY()), 0, 2))"),1341.082089552239)</f>
        <v>1341.08209</v>
      </c>
      <c r="U791" s="9">
        <f t="shared" si="5"/>
        <v>0.001238744867</v>
      </c>
      <c r="V791" s="15">
        <f>IFERROR(__xludf.DUMMYFUNCTION("LET(hist, GOOGLEFINANCE(A791,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rs))))))"),59.62277331470489)</f>
        <v>59.62277331</v>
      </c>
      <c r="W791" s="16" t="str">
        <f>IFERROR(__xludf.DUMMYFUNCTION("IFERROR(GOOGLEFINANCE(A791, ""volume"") / GOOGLEFINANCE(A791, ""volumeavg""), )"),"")</f>
        <v/>
      </c>
      <c r="X791" s="9">
        <f>IFERROR(__xludf.DUMMYFUNCTION("B791 * GOOGLEFINANCE(A791, ""volume"")"),4.114E7)</f>
        <v>41140000</v>
      </c>
      <c r="Y791" s="9">
        <f>IFERROR(__xludf.DUMMYFUNCTION("IFERROR(((B791 - GOOGLEFINANCE(A791, ""priceopen"")) / GOOGLEFINANCE(A791, ""priceopen"")) * GOOGLEFINANCE(A791, ""volume""), 0)"),-231.75848230572785)</f>
        <v>-231.7584823</v>
      </c>
    </row>
    <row r="792">
      <c r="A792" s="4" t="s">
        <v>2585</v>
      </c>
      <c r="B792" s="7">
        <f>IFERROR(__xludf.DUMMYFUNCTION("GOOGLEFINANCE(A792, ""price"")"),688.0)</f>
        <v>688</v>
      </c>
      <c r="C792" s="7">
        <f>IFERROR(__xludf.DUMMYFUNCTION("GOOGLEFINANCE(A792, ""changepct"")"),-2.96)</f>
        <v>-2.96</v>
      </c>
      <c r="D792" s="9">
        <f>IFERROR(__xludf.DUMMYFUNCTION("GOOGLEFINANCE(A792, ""priceopen"")"),712.1)</f>
        <v>712.1</v>
      </c>
      <c r="E792" s="9">
        <f>IFERROR(__xludf.DUMMYFUNCTION("GOOGLEFINANCE(A792, ""high"")"),715.0)</f>
        <v>715</v>
      </c>
      <c r="F792" s="9">
        <f>IFERROR(__xludf.DUMMYFUNCTION("GOOGLEFINANCE(A792, ""low"")"),682.05)</f>
        <v>682.05</v>
      </c>
      <c r="G792" s="9">
        <f>IFERROR(__xludf.DUMMYFUNCTION("GOOGLEFINANCE(A792, ""price"")"),688.0)</f>
        <v>688</v>
      </c>
      <c r="H792" s="9">
        <f>IFERROR(__xludf.DUMMYFUNCTION("MAX(INDEX(GOOGLEFINANCE(A792, ""high"", TODAY()-30, TODAY()), 0, 2))"),734.95)</f>
        <v>734.95</v>
      </c>
      <c r="I792" s="9">
        <f>IFERROR(__xludf.DUMMYFUNCTION("MIN(INDEX(GOOGLEFINANCE(A792, ""low"", TODAY()-30, TODAY()), 0, 2))"),512.15)</f>
        <v>512.15</v>
      </c>
      <c r="J792" s="9">
        <f>IFERROR(__xludf.DUMMYFUNCTION("GOOGLEFINANCE(A792, ""high52"")"),734.95)</f>
        <v>734.95</v>
      </c>
      <c r="K792" s="9">
        <f>IFERROR(__xludf.DUMMYFUNCTION("GOOGLEFINANCE(A792, ""low52"")"),265.2)</f>
        <v>265.2</v>
      </c>
      <c r="L792" s="9">
        <f t="shared" si="1"/>
        <v>0.06388189673</v>
      </c>
      <c r="M792" s="9">
        <f t="shared" si="2"/>
        <v>1.594268477</v>
      </c>
      <c r="N792" s="9">
        <f t="shared" si="3"/>
        <v>0.04831024118</v>
      </c>
      <c r="O792" s="9">
        <f t="shared" si="4"/>
        <v>0.7892728905</v>
      </c>
      <c r="P792" s="9">
        <f>IFERROR(__xludf.DUMMYFUNCTION("GOOGLEFINANCE(A792, ""pe"")"),66.54)</f>
        <v>66.54</v>
      </c>
      <c r="Q792" s="9">
        <f>IFERROR(__xludf.DUMMYFUNCTION("IFERROR(GOOGLEFINANCE(A792, ""volume"") / GOOGLEFINANCE(A792, ""volumeavg""), 0)"),0.0)</f>
        <v>0</v>
      </c>
      <c r="R792" s="9">
        <f>IFERROR(__xludf.DUMMYFUNCTION("AVERAGE(INDEX(GOOGLEFINANCE(A792, ""price"", TODAY()-30, TODAY()), 0, 2))"),644.9369565217391)</f>
        <v>644.9369565</v>
      </c>
      <c r="S792" s="9">
        <f>IFERROR(__xludf.DUMMYFUNCTION("AVERAGE(INDEX(GOOGLEFINANCE(A792, ""price"", TODAY()-75, TODAY()), 0, 2))"),546.2066037735848)</f>
        <v>546.2066038</v>
      </c>
      <c r="T792" s="9">
        <f>IFERROR(__xludf.DUMMYFUNCTION("AVERAGE(INDEX(GOOGLEFINANCE(A792, ""price"", TODAY()-300, TODAY()), 0, 2))"),428.25024875621875)</f>
        <v>428.2502488</v>
      </c>
      <c r="U792" s="9">
        <f t="shared" si="5"/>
        <v>0.06677093481</v>
      </c>
      <c r="V792" s="15">
        <f>IFERROR(__xludf.DUMMYFUNCTION("LET(hist, GOOGLEFINANCE(A792,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rs))))))"),60.1966652415562)</f>
        <v>60.19666524</v>
      </c>
      <c r="W792" s="16" t="str">
        <f>IFERROR(__xludf.DUMMYFUNCTION("IFERROR(GOOGLEFINANCE(A792, ""volume"") / GOOGLEFINANCE(A792, ""volumeavg""), )"),"")</f>
        <v/>
      </c>
      <c r="X792" s="9">
        <f>IFERROR(__xludf.DUMMYFUNCTION("B792 * GOOGLEFINANCE(A792, ""volume"")"),2.5512072E8)</f>
        <v>255120720</v>
      </c>
      <c r="Y792" s="9">
        <f>IFERROR(__xludf.DUMMYFUNCTION("IFERROR(((B792 - GOOGLEFINANCE(A792, ""priceopen"")) / GOOGLEFINANCE(A792, ""priceopen"")) * GOOGLEFINANCE(A792, ""volume""), 0)"),-12549.70018255864)</f>
        <v>-12549.70018</v>
      </c>
    </row>
    <row r="793">
      <c r="A793" s="4" t="s">
        <v>2586</v>
      </c>
      <c r="B793" s="7">
        <f>IFERROR(__xludf.DUMMYFUNCTION("GOOGLEFINANCE(A793, ""price"")"),1127.0)</f>
        <v>1127</v>
      </c>
      <c r="C793" s="7">
        <f>IFERROR(__xludf.DUMMYFUNCTION("GOOGLEFINANCE(A793, ""changepct"")"),0.13)</f>
        <v>0.13</v>
      </c>
      <c r="D793" s="9">
        <f>IFERROR(__xludf.DUMMYFUNCTION("GOOGLEFINANCE(A793, ""priceopen"")"),1127.0)</f>
        <v>1127</v>
      </c>
      <c r="E793" s="9">
        <f>IFERROR(__xludf.DUMMYFUNCTION("GOOGLEFINANCE(A793, ""high"")"),1144.9)</f>
        <v>1144.9</v>
      </c>
      <c r="F793" s="9">
        <f>IFERROR(__xludf.DUMMYFUNCTION("GOOGLEFINANCE(A793, ""low"")"),1116.1)</f>
        <v>1116.1</v>
      </c>
      <c r="G793" s="9">
        <f>IFERROR(__xludf.DUMMYFUNCTION("GOOGLEFINANCE(A793, ""price"")"),1127.0)</f>
        <v>1127</v>
      </c>
      <c r="H793" s="9">
        <f>IFERROR(__xludf.DUMMYFUNCTION("MAX(INDEX(GOOGLEFINANCE(A793, ""high"", TODAY()-30, TODAY()), 0, 2))"),1159.0)</f>
        <v>1159</v>
      </c>
      <c r="I793" s="9">
        <f>IFERROR(__xludf.DUMMYFUNCTION("MIN(INDEX(GOOGLEFINANCE(A793, ""low"", TODAY()-30, TODAY()), 0, 2))"),1020.2)</f>
        <v>1020.2</v>
      </c>
      <c r="J793" s="9">
        <f>IFERROR(__xludf.DUMMYFUNCTION("GOOGLEFINANCE(A793, ""high52"")"),1345.9)</f>
        <v>1345.9</v>
      </c>
      <c r="K793" s="9">
        <f>IFERROR(__xludf.DUMMYFUNCTION("GOOGLEFINANCE(A793, ""low52"")"),708.05)</f>
        <v>708.05</v>
      </c>
      <c r="L793" s="9">
        <f t="shared" si="1"/>
        <v>0.1626420982</v>
      </c>
      <c r="M793" s="9">
        <f t="shared" si="2"/>
        <v>0.5916955017</v>
      </c>
      <c r="N793" s="9">
        <f t="shared" si="3"/>
        <v>0.02580413941</v>
      </c>
      <c r="O793" s="9">
        <f t="shared" si="4"/>
        <v>0.7694524496</v>
      </c>
      <c r="P793" s="9">
        <f>IFERROR(__xludf.DUMMYFUNCTION("GOOGLEFINANCE(A793, ""pe"")"),37.15)</f>
        <v>37.15</v>
      </c>
      <c r="Q793" s="9">
        <f>IFERROR(__xludf.DUMMYFUNCTION("IFERROR(GOOGLEFINANCE(A793, ""volume"") / GOOGLEFINANCE(A793, ""volumeavg""), 0)"),0.0)</f>
        <v>0</v>
      </c>
      <c r="R793" s="9">
        <f>IFERROR(__xludf.DUMMYFUNCTION("AVERAGE(INDEX(GOOGLEFINANCE(A793, ""price"", TODAY()-30, TODAY()), 0, 2))"),1085.2217391304346)</f>
        <v>1085.221739</v>
      </c>
      <c r="S793" s="9">
        <f>IFERROR(__xludf.DUMMYFUNCTION("AVERAGE(INDEX(GOOGLEFINANCE(A793, ""price"", TODAY()-75, TODAY()), 0, 2))"),1043.745283018868)</f>
        <v>1043.745283</v>
      </c>
      <c r="T793" s="9">
        <f>IFERROR(__xludf.DUMMYFUNCTION("AVERAGE(INDEX(GOOGLEFINANCE(A793, ""price"", TODAY()-300, TODAY()), 0, 2))"),1029.1883663366334)</f>
        <v>1029.188366</v>
      </c>
      <c r="U793" s="9">
        <f t="shared" si="5"/>
        <v>0.03849744192</v>
      </c>
      <c r="V793" s="15">
        <f>IFERROR(__xludf.DUMMYFUNCTION("LET(hist, GOOGLEFINANCE(A793,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rs))))))"),65.84432156529138)</f>
        <v>65.84432157</v>
      </c>
      <c r="W793" s="16" t="str">
        <f>IFERROR(__xludf.DUMMYFUNCTION("IFERROR(GOOGLEFINANCE(A793, ""volume"") / GOOGLEFINANCE(A793, ""volumeavg""), )"),"")</f>
        <v/>
      </c>
      <c r="X793" s="9">
        <f>IFERROR(__xludf.DUMMYFUNCTION("B793 * GOOGLEFINANCE(A793, ""volume"")"),3.2548887E7)</f>
        <v>32548887</v>
      </c>
      <c r="Y793" s="9">
        <f>IFERROR(__xludf.DUMMYFUNCTION("IFERROR(((B793 - GOOGLEFINANCE(A793, ""priceopen"")) / GOOGLEFINANCE(A793, ""priceopen"")) * GOOGLEFINANCE(A793, ""volume""), 0)"),0.0)</f>
        <v>0</v>
      </c>
    </row>
    <row r="794">
      <c r="A794" s="4" t="s">
        <v>2587</v>
      </c>
      <c r="B794" s="7">
        <f>IFERROR(__xludf.DUMMYFUNCTION("GOOGLEFINANCE(A794, ""price"")"),1180.1)</f>
        <v>1180.1</v>
      </c>
      <c r="C794" s="7">
        <f>IFERROR(__xludf.DUMMYFUNCTION("GOOGLEFINANCE(A794, ""changepct"")"),-0.82)</f>
        <v>-0.82</v>
      </c>
      <c r="D794" s="9">
        <f>IFERROR(__xludf.DUMMYFUNCTION("GOOGLEFINANCE(A794, ""priceopen"")"),1200.8)</f>
        <v>1200.8</v>
      </c>
      <c r="E794" s="9">
        <f>IFERROR(__xludf.DUMMYFUNCTION("GOOGLEFINANCE(A794, ""high"")"),1200.8)</f>
        <v>1200.8</v>
      </c>
      <c r="F794" s="9">
        <f>IFERROR(__xludf.DUMMYFUNCTION("GOOGLEFINANCE(A794, ""low"")"),1171.0)</f>
        <v>1171</v>
      </c>
      <c r="G794" s="9">
        <f>IFERROR(__xludf.DUMMYFUNCTION("GOOGLEFINANCE(A794, ""price"")"),1180.1)</f>
        <v>1180.1</v>
      </c>
      <c r="H794" s="9">
        <f>IFERROR(__xludf.DUMMYFUNCTION("MAX(INDEX(GOOGLEFINANCE(A794, ""high"", TODAY()-30, TODAY()), 0, 2))"),1230.4)</f>
        <v>1230.4</v>
      </c>
      <c r="I794" s="9">
        <f>IFERROR(__xludf.DUMMYFUNCTION("MIN(INDEX(GOOGLEFINANCE(A794, ""low"", TODAY()-30, TODAY()), 0, 2))"),974.0)</f>
        <v>974</v>
      </c>
      <c r="J794" s="9">
        <f>IFERROR(__xludf.DUMMYFUNCTION("GOOGLEFINANCE(A794, ""high52"")"),1329.0)</f>
        <v>1329</v>
      </c>
      <c r="K794" s="9">
        <f>IFERROR(__xludf.DUMMYFUNCTION("GOOGLEFINANCE(A794, ""low52"")"),865.0)</f>
        <v>865</v>
      </c>
      <c r="L794" s="9">
        <f t="shared" si="1"/>
        <v>0.1120391272</v>
      </c>
      <c r="M794" s="9">
        <f t="shared" si="2"/>
        <v>0.3642774566</v>
      </c>
      <c r="N794" s="9">
        <f t="shared" si="3"/>
        <v>0.02544833476</v>
      </c>
      <c r="O794" s="9">
        <f t="shared" si="4"/>
        <v>0.8038221529</v>
      </c>
      <c r="P794" s="9">
        <f>IFERROR(__xludf.DUMMYFUNCTION("GOOGLEFINANCE(A794, ""pe"")"),15.71)</f>
        <v>15.71</v>
      </c>
      <c r="Q794" s="9">
        <f>IFERROR(__xludf.DUMMYFUNCTION("IFERROR(GOOGLEFINANCE(A794, ""volume"") / GOOGLEFINANCE(A794, ""volumeavg""), 0)"),0.0)</f>
        <v>0</v>
      </c>
      <c r="R794" s="9">
        <f>IFERROR(__xludf.DUMMYFUNCTION("AVERAGE(INDEX(GOOGLEFINANCE(A794, ""price"", TODAY()-30, TODAY()), 0, 2))"),1079.8)</f>
        <v>1079.8</v>
      </c>
      <c r="S794" s="9">
        <f>IFERROR(__xludf.DUMMYFUNCTION("AVERAGE(INDEX(GOOGLEFINANCE(A794, ""price"", TODAY()-75, TODAY()), 0, 2))"),1034.877358490566)</f>
        <v>1034.877358</v>
      </c>
      <c r="T794" s="9">
        <f>IFERROR(__xludf.DUMMYFUNCTION("AVERAGE(INDEX(GOOGLEFINANCE(A794, ""price"", TODAY()-300, TODAY()), 0, 2))"),1070.837623762376)</f>
        <v>1070.837624</v>
      </c>
      <c r="U794" s="9">
        <f t="shared" si="5"/>
        <v>0.09288757177</v>
      </c>
      <c r="V794" s="15">
        <f>IFERROR(__xludf.DUMMYFUNCTION("LET(hist, GOOGLEFINANCE(A794,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rs))))))"),74.66937945066124)</f>
        <v>74.66937945</v>
      </c>
      <c r="W794" s="16" t="str">
        <f>IFERROR(__xludf.DUMMYFUNCTION("IFERROR(GOOGLEFINANCE(A794, ""volume"") / GOOGLEFINANCE(A794, ""volumeavg""), )"),"")</f>
        <v/>
      </c>
      <c r="X794" s="9">
        <f>IFERROR(__xludf.DUMMYFUNCTION("B794 * GOOGLEFINANCE(A794, ""volume"")"),3.22804554E7)</f>
        <v>32280455.4</v>
      </c>
      <c r="Y794" s="9">
        <f>IFERROR(__xludf.DUMMYFUNCTION("IFERROR(((B794 - GOOGLEFINANCE(A794, ""priceopen"")) / GOOGLEFINANCE(A794, ""priceopen"")) * GOOGLEFINANCE(A794, ""volume""), 0)"),-471.5421385742849)</f>
        <v>-471.5421386</v>
      </c>
    </row>
    <row r="795">
      <c r="A795" s="4" t="s">
        <v>2588</v>
      </c>
      <c r="B795" s="7">
        <f>IFERROR(__xludf.DUMMYFUNCTION("GOOGLEFINANCE(A795, ""price"")"),65.5)</f>
        <v>65.5</v>
      </c>
      <c r="C795" s="7">
        <f>IFERROR(__xludf.DUMMYFUNCTION("GOOGLEFINANCE(A795, ""changepct"")"),-2.06)</f>
        <v>-2.06</v>
      </c>
      <c r="D795" s="9">
        <f>IFERROR(__xludf.DUMMYFUNCTION("GOOGLEFINANCE(A795, ""priceopen"")"),66.6)</f>
        <v>66.6</v>
      </c>
      <c r="E795" s="9">
        <f>IFERROR(__xludf.DUMMYFUNCTION("GOOGLEFINANCE(A795, ""high"")"),67.53)</f>
        <v>67.53</v>
      </c>
      <c r="F795" s="9">
        <f>IFERROR(__xludf.DUMMYFUNCTION("GOOGLEFINANCE(A795, ""low"")"),65.01)</f>
        <v>65.01</v>
      </c>
      <c r="G795" s="9">
        <f>IFERROR(__xludf.DUMMYFUNCTION("GOOGLEFINANCE(A795, ""price"")"),65.5)</f>
        <v>65.5</v>
      </c>
      <c r="H795" s="9">
        <f>IFERROR(__xludf.DUMMYFUNCTION("MAX(INDEX(GOOGLEFINANCE(A795, ""high"", TODAY()-30, TODAY()), 0, 2))"),69.5)</f>
        <v>69.5</v>
      </c>
      <c r="I795" s="9">
        <f>IFERROR(__xludf.DUMMYFUNCTION("MIN(INDEX(GOOGLEFINANCE(A795, ""low"", TODAY()-30, TODAY()), 0, 2))"),57.1)</f>
        <v>57.1</v>
      </c>
      <c r="J795" s="9">
        <f>IFERROR(__xludf.DUMMYFUNCTION("GOOGLEFINANCE(A795, ""high52"")"),109.72)</f>
        <v>109.72</v>
      </c>
      <c r="K795" s="9">
        <f>IFERROR(__xludf.DUMMYFUNCTION("GOOGLEFINANCE(A795, ""low52"")"),53.65)</f>
        <v>53.65</v>
      </c>
      <c r="L795" s="9">
        <f t="shared" si="1"/>
        <v>0.4030258841</v>
      </c>
      <c r="M795" s="9">
        <f t="shared" si="2"/>
        <v>0.2208760485</v>
      </c>
      <c r="N795" s="9">
        <f t="shared" si="3"/>
        <v>0.03876326719</v>
      </c>
      <c r="O795" s="9">
        <f t="shared" si="4"/>
        <v>0.6774193548</v>
      </c>
      <c r="P795" s="9">
        <f>IFERROR(__xludf.DUMMYFUNCTION("GOOGLEFINANCE(A795, ""pe"")"),46.13)</f>
        <v>46.13</v>
      </c>
      <c r="Q795" s="9">
        <f>IFERROR(__xludf.DUMMYFUNCTION("IFERROR(GOOGLEFINANCE(A795, ""volume"") / GOOGLEFINANCE(A795, ""volumeavg""), 0)"),0.0)</f>
        <v>0</v>
      </c>
      <c r="R795" s="9">
        <f>IFERROR(__xludf.DUMMYFUNCTION("AVERAGE(INDEX(GOOGLEFINANCE(A795, ""price"", TODAY()-30, TODAY()), 0, 2))"),63.134347826086966)</f>
        <v>63.13434783</v>
      </c>
      <c r="S795" s="9">
        <f>IFERROR(__xludf.DUMMYFUNCTION("AVERAGE(INDEX(GOOGLEFINANCE(A795, ""price"", TODAY()-75, TODAY()), 0, 2))"),66.10603773584906)</f>
        <v>66.10603774</v>
      </c>
      <c r="T795" s="9">
        <f>IFERROR(__xludf.DUMMYFUNCTION("AVERAGE(INDEX(GOOGLEFINANCE(A795, ""price"", TODAY()-300, TODAY()), 0, 2))"),70.47990099009907)</f>
        <v>70.47990099</v>
      </c>
      <c r="U795" s="9">
        <f t="shared" si="5"/>
        <v>0.03747012926</v>
      </c>
      <c r="V795" s="15">
        <f>IFERROR(__xludf.DUMMYFUNCTION("LET(hist, GOOGLEFINANCE(A795,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rs))))))"),63.114377583830944)</f>
        <v>63.11437758</v>
      </c>
      <c r="W795" s="16" t="str">
        <f>IFERROR(__xludf.DUMMYFUNCTION("IFERROR(GOOGLEFINANCE(A795, ""volume"") / GOOGLEFINANCE(A795, ""volumeavg""), )"),"")</f>
        <v/>
      </c>
      <c r="X795" s="9">
        <f>IFERROR(__xludf.DUMMYFUNCTION("B795 * GOOGLEFINANCE(A795, ""volume"")"),1.4281358E7)</f>
        <v>14281358</v>
      </c>
      <c r="Y795" s="9">
        <f>IFERROR(__xludf.DUMMYFUNCTION("IFERROR(((B795 - GOOGLEFINANCE(A795, ""priceopen"")) / GOOGLEFINANCE(A795, ""priceopen"")) * GOOGLEFINANCE(A795, ""volume""), 0)"),-3601.195195195177)</f>
        <v>-3601.195195</v>
      </c>
    </row>
    <row r="796">
      <c r="A796" s="4" t="s">
        <v>2589</v>
      </c>
      <c r="B796" s="7">
        <f>IFERROR(__xludf.DUMMYFUNCTION("GOOGLEFINANCE(A796, ""price"")"),3852.0)</f>
        <v>3852</v>
      </c>
      <c r="C796" s="7">
        <f>IFERROR(__xludf.DUMMYFUNCTION("GOOGLEFINANCE(A796, ""changepct"")"),-15.93)</f>
        <v>-15.93</v>
      </c>
      <c r="D796" s="9">
        <f>IFERROR(__xludf.DUMMYFUNCTION("GOOGLEFINANCE(A796, ""priceopen"")"),3972.0)</f>
        <v>3972</v>
      </c>
      <c r="E796" s="9">
        <f>IFERROR(__xludf.DUMMYFUNCTION("GOOGLEFINANCE(A796, ""high"")"),4069.0)</f>
        <v>4069</v>
      </c>
      <c r="F796" s="9">
        <f>IFERROR(__xludf.DUMMYFUNCTION("GOOGLEFINANCE(A796, ""low"")"),3784.9)</f>
        <v>3784.9</v>
      </c>
      <c r="G796" s="9">
        <f>IFERROR(__xludf.DUMMYFUNCTION("GOOGLEFINANCE(A796, ""price"")"),3852.0)</f>
        <v>3852</v>
      </c>
      <c r="H796" s="9">
        <f>IFERROR(__xludf.DUMMYFUNCTION("MAX(INDEX(GOOGLEFINANCE(A796, ""high"", TODAY()-30, TODAY()), 0, 2))"),4750.0)</f>
        <v>4750</v>
      </c>
      <c r="I796" s="9">
        <f>IFERROR(__xludf.DUMMYFUNCTION("MIN(INDEX(GOOGLEFINANCE(A796, ""low"", TODAY()-30, TODAY()), 0, 2))"),3784.9)</f>
        <v>3784.9</v>
      </c>
      <c r="J796" s="9">
        <f>IFERROR(__xludf.DUMMYFUNCTION("GOOGLEFINANCE(A796, ""high52"")"),5399.0)</f>
        <v>5399</v>
      </c>
      <c r="K796" s="9">
        <f>IFERROR(__xludf.DUMMYFUNCTION("GOOGLEFINANCE(A796, ""low52"")"),2852.5)</f>
        <v>2852.5</v>
      </c>
      <c r="L796" s="9">
        <f t="shared" si="1"/>
        <v>0.2865345434</v>
      </c>
      <c r="M796" s="9">
        <f t="shared" si="2"/>
        <v>0.3503943909</v>
      </c>
      <c r="N796" s="9">
        <f t="shared" si="3"/>
        <v>0.07506142831</v>
      </c>
      <c r="O796" s="9">
        <f t="shared" si="4"/>
        <v>0.06952647394</v>
      </c>
      <c r="P796" s="9">
        <f>IFERROR(__xludf.DUMMYFUNCTION("GOOGLEFINANCE(A796, ""pe"")"),27.86)</f>
        <v>27.86</v>
      </c>
      <c r="Q796" s="9">
        <f>IFERROR(__xludf.DUMMYFUNCTION("IFERROR(GOOGLEFINANCE(A796, ""volume"") / GOOGLEFINANCE(A796, ""volumeavg""), 0)"),0.0)</f>
        <v>0</v>
      </c>
      <c r="R796" s="9">
        <f>IFERROR(__xludf.DUMMYFUNCTION("AVERAGE(INDEX(GOOGLEFINANCE(A796, ""price"", TODAY()-30, TODAY()), 0, 2))"),4445.395652173913)</f>
        <v>4445.395652</v>
      </c>
      <c r="S796" s="9">
        <f>IFERROR(__xludf.DUMMYFUNCTION("AVERAGE(INDEX(GOOGLEFINANCE(A796, ""price"", TODAY()-75, TODAY()), 0, 2))"),4350.054716981133)</f>
        <v>4350.054717</v>
      </c>
      <c r="T796" s="9">
        <f>IFERROR(__xludf.DUMMYFUNCTION("AVERAGE(INDEX(GOOGLEFINANCE(A796, ""price"", TODAY()-300, TODAY()), 0, 2))"),4104.870056497175)</f>
        <v>4104.870056</v>
      </c>
      <c r="U796" s="9">
        <f t="shared" si="5"/>
        <v>-0.133485453</v>
      </c>
      <c r="V796" s="15">
        <f>IFERROR(__xludf.DUMMYFUNCTION("LET(hist, GOOGLEFINANCE(A796,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rs))))))"),42.88221217761234)</f>
        <v>42.88221218</v>
      </c>
      <c r="W796" s="16" t="str">
        <f>IFERROR(__xludf.DUMMYFUNCTION("IFERROR(GOOGLEFINANCE(A796, ""volume"") / GOOGLEFINANCE(A796, ""volumeavg""), )"),"")</f>
        <v/>
      </c>
      <c r="X796" s="9">
        <f>IFERROR(__xludf.DUMMYFUNCTION("B796 * GOOGLEFINANCE(A796, ""volume"")"),1.225136304E9)</f>
        <v>1225136304</v>
      </c>
      <c r="Y796" s="9">
        <f>IFERROR(__xludf.DUMMYFUNCTION("IFERROR(((B796 - GOOGLEFINANCE(A796, ""priceopen"")) / GOOGLEFINANCE(A796, ""priceopen"")) * GOOGLEFINANCE(A796, ""volume""), 0)"),-9608.821752265862)</f>
        <v>-9608.821752</v>
      </c>
    </row>
    <row r="797">
      <c r="A797" s="4" t="s">
        <v>2590</v>
      </c>
      <c r="B797" s="7">
        <f>IFERROR(__xludf.DUMMYFUNCTION("GOOGLEFINANCE(A797, ""price"")"),123.9)</f>
        <v>123.9</v>
      </c>
      <c r="C797" s="7">
        <f>IFERROR(__xludf.DUMMYFUNCTION("GOOGLEFINANCE(A797, ""changepct"")"),-1.28)</f>
        <v>-1.28</v>
      </c>
      <c r="D797" s="9">
        <f>IFERROR(__xludf.DUMMYFUNCTION("GOOGLEFINANCE(A797, ""priceopen"")"),125.4)</f>
        <v>125.4</v>
      </c>
      <c r="E797" s="9">
        <f>IFERROR(__xludf.DUMMYFUNCTION("GOOGLEFINANCE(A797, ""high"")"),127.62)</f>
        <v>127.62</v>
      </c>
      <c r="F797" s="9">
        <f>IFERROR(__xludf.DUMMYFUNCTION("GOOGLEFINANCE(A797, ""low"")"),123.3)</f>
        <v>123.3</v>
      </c>
      <c r="G797" s="9">
        <f>IFERROR(__xludf.DUMMYFUNCTION("GOOGLEFINANCE(A797, ""price"")"),123.9)</f>
        <v>123.9</v>
      </c>
      <c r="H797" s="9">
        <f>IFERROR(__xludf.DUMMYFUNCTION("MAX(INDEX(GOOGLEFINANCE(A797, ""high"", TODAY()-30, TODAY()), 0, 2))"),148.9)</f>
        <v>148.9</v>
      </c>
      <c r="I797" s="9">
        <f>IFERROR(__xludf.DUMMYFUNCTION("MIN(INDEX(GOOGLEFINANCE(A797, ""low"", TODAY()-30, TODAY()), 0, 2))"),121.48)</f>
        <v>121.48</v>
      </c>
      <c r="J797" s="9">
        <f>IFERROR(__xludf.DUMMYFUNCTION("GOOGLEFINANCE(A797, ""high52"")"),152.6)</f>
        <v>152.6</v>
      </c>
      <c r="K797" s="9">
        <f>IFERROR(__xludf.DUMMYFUNCTION("GOOGLEFINANCE(A797, ""low52"")"),89.01)</f>
        <v>89.01</v>
      </c>
      <c r="L797" s="9">
        <f t="shared" si="1"/>
        <v>0.1880733945</v>
      </c>
      <c r="M797" s="9">
        <f t="shared" si="2"/>
        <v>0.3919784294</v>
      </c>
      <c r="N797" s="9">
        <f t="shared" si="3"/>
        <v>0.03503649635</v>
      </c>
      <c r="O797" s="9">
        <f t="shared" si="4"/>
        <v>0.0882567469</v>
      </c>
      <c r="P797" s="9">
        <f>IFERROR(__xludf.DUMMYFUNCTION("GOOGLEFINANCE(A797, ""pe"")"),21.47)</f>
        <v>21.47</v>
      </c>
      <c r="Q797" s="9">
        <f>IFERROR(__xludf.DUMMYFUNCTION("IFERROR(GOOGLEFINANCE(A797, ""volume"") / GOOGLEFINANCE(A797, ""volumeavg""), 0)"),0.0)</f>
        <v>0</v>
      </c>
      <c r="R797" s="9">
        <f>IFERROR(__xludf.DUMMYFUNCTION("AVERAGE(INDEX(GOOGLEFINANCE(A797, ""price"", TODAY()-30, TODAY()), 0, 2))"),133.98869565217393)</f>
        <v>133.9886957</v>
      </c>
      <c r="S797" s="9">
        <f>IFERROR(__xludf.DUMMYFUNCTION("AVERAGE(INDEX(GOOGLEFINANCE(A797, ""price"", TODAY()-75, TODAY()), 0, 2))"),131.07490566037737)</f>
        <v>131.0749057</v>
      </c>
      <c r="T797" s="9">
        <f>IFERROR(__xludf.DUMMYFUNCTION("AVERAGE(INDEX(GOOGLEFINANCE(A797, ""price"", TODAY()-300, TODAY()), 0, 2))"),123.40297029702963)</f>
        <v>123.4029703</v>
      </c>
      <c r="U797" s="9">
        <f t="shared" si="5"/>
        <v>-0.07529512548</v>
      </c>
      <c r="V797" s="15">
        <f>IFERROR(__xludf.DUMMYFUNCTION("LET(hist, GOOGLEFINANCE(A797,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rs))))))"),42.08277103013944)</f>
        <v>42.08277103</v>
      </c>
      <c r="W797" s="16" t="str">
        <f>IFERROR(__xludf.DUMMYFUNCTION("IFERROR(GOOGLEFINANCE(A797, ""volume"") / GOOGLEFINANCE(A797, ""volumeavg""), )"),"")</f>
        <v/>
      </c>
      <c r="X797" s="9">
        <f>IFERROR(__xludf.DUMMYFUNCTION("B797 * GOOGLEFINANCE(A797, ""volume"")"),2.5752094620000002E8)</f>
        <v>257520946.2</v>
      </c>
      <c r="Y797" s="9">
        <f>IFERROR(__xludf.DUMMYFUNCTION("IFERROR(((B797 - GOOGLEFINANCE(A797, ""priceopen"")) / GOOGLEFINANCE(A797, ""priceopen"")) * GOOGLEFINANCE(A797, ""volume""), 0)"),-24861.937799043062)</f>
        <v>-24861.9378</v>
      </c>
    </row>
    <row r="798">
      <c r="A798" s="4" t="s">
        <v>2591</v>
      </c>
      <c r="B798" s="7">
        <f>IFERROR(__xludf.DUMMYFUNCTION("GOOGLEFINANCE(A798, ""price"")"),3780.1)</f>
        <v>3780.1</v>
      </c>
      <c r="C798" s="7">
        <f>IFERROR(__xludf.DUMMYFUNCTION("GOOGLEFINANCE(A798, ""changepct"")"),-1.08)</f>
        <v>-1.08</v>
      </c>
      <c r="D798" s="9">
        <f>IFERROR(__xludf.DUMMYFUNCTION("GOOGLEFINANCE(A798, ""priceopen"")"),3850.0)</f>
        <v>3850</v>
      </c>
      <c r="E798" s="9">
        <f>IFERROR(__xludf.DUMMYFUNCTION("GOOGLEFINANCE(A798, ""high"")"),3920.0)</f>
        <v>3920</v>
      </c>
      <c r="F798" s="9">
        <f>IFERROR(__xludf.DUMMYFUNCTION("GOOGLEFINANCE(A798, ""low"")"),3771.3)</f>
        <v>3771.3</v>
      </c>
      <c r="G798" s="9">
        <f>IFERROR(__xludf.DUMMYFUNCTION("GOOGLEFINANCE(A798, ""price"")"),3780.1)</f>
        <v>3780.1</v>
      </c>
      <c r="H798" s="9">
        <f>IFERROR(__xludf.DUMMYFUNCTION("MAX(INDEX(GOOGLEFINANCE(A798, ""high"", TODAY()-30, TODAY()), 0, 2))"),3968.8)</f>
        <v>3968.8</v>
      </c>
      <c r="I798" s="9">
        <f>IFERROR(__xludf.DUMMYFUNCTION("MIN(INDEX(GOOGLEFINANCE(A798, ""low"", TODAY()-30, TODAY()), 0, 2))"),3413.3)</f>
        <v>3413.3</v>
      </c>
      <c r="J798" s="9">
        <f>IFERROR(__xludf.DUMMYFUNCTION("GOOGLEFINANCE(A798, ""high52"")"),3968.8)</f>
        <v>3968.8</v>
      </c>
      <c r="K798" s="9">
        <f>IFERROR(__xludf.DUMMYFUNCTION("GOOGLEFINANCE(A798, ""low52"")"),2044.2)</f>
        <v>2044.2</v>
      </c>
      <c r="L798" s="9">
        <f t="shared" si="1"/>
        <v>0.04754585769</v>
      </c>
      <c r="M798" s="9">
        <f t="shared" si="2"/>
        <v>0.8491830545</v>
      </c>
      <c r="N798" s="9">
        <f t="shared" si="3"/>
        <v>0.03942937449</v>
      </c>
      <c r="O798" s="9">
        <f t="shared" si="4"/>
        <v>0.6603060306</v>
      </c>
      <c r="P798" s="9">
        <f>IFERROR(__xludf.DUMMYFUNCTION("GOOGLEFINANCE(A798, ""pe"")"),52.69)</f>
        <v>52.69</v>
      </c>
      <c r="Q798" s="9">
        <f>IFERROR(__xludf.DUMMYFUNCTION("IFERROR(GOOGLEFINANCE(A798, ""volume"") / GOOGLEFINANCE(A798, ""volumeavg""), 0)"),0.0)</f>
        <v>0</v>
      </c>
      <c r="R798" s="9">
        <f>IFERROR(__xludf.DUMMYFUNCTION("AVERAGE(INDEX(GOOGLEFINANCE(A798, ""price"", TODAY()-30, TODAY()), 0, 2))"),3672.378260869565)</f>
        <v>3672.378261</v>
      </c>
      <c r="S798" s="9">
        <f>IFERROR(__xludf.DUMMYFUNCTION("AVERAGE(INDEX(GOOGLEFINANCE(A798, ""price"", TODAY()-75, TODAY()), 0, 2))"),3611.390566037736)</f>
        <v>3611.390566</v>
      </c>
      <c r="T798" s="9">
        <f>IFERROR(__xludf.DUMMYFUNCTION("AVERAGE(INDEX(GOOGLEFINANCE(A798, ""price"", TODAY()-300, TODAY()), 0, 2))"),2843.516336633663)</f>
        <v>2843.516337</v>
      </c>
      <c r="U798" s="9">
        <f t="shared" si="5"/>
        <v>0.02933296395</v>
      </c>
      <c r="V798" s="15">
        <f>IFERROR(__xludf.DUMMYFUNCTION("LET(hist, GOOGLEFINANCE(A798,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rs))))))"),62.497210444097306)</f>
        <v>62.49721044</v>
      </c>
      <c r="W798" s="16" t="str">
        <f>IFERROR(__xludf.DUMMYFUNCTION("IFERROR(GOOGLEFINANCE(A798, ""volume"") / GOOGLEFINANCE(A798, ""volumeavg""), )"),"")</f>
        <v/>
      </c>
      <c r="X798" s="9">
        <f>IFERROR(__xludf.DUMMYFUNCTION("B798 * GOOGLEFINANCE(A798, ""volume"")"),1.556796384E8)</f>
        <v>155679638.4</v>
      </c>
      <c r="Y798" s="9">
        <f>IFERROR(__xludf.DUMMYFUNCTION("IFERROR(((B798 - GOOGLEFINANCE(A798, ""priceopen"")) / GOOGLEFINANCE(A798, ""priceopen"")) * GOOGLEFINANCE(A798, ""volume""), 0)"),-747.7302857142867)</f>
        <v>-747.7302857</v>
      </c>
    </row>
    <row r="799">
      <c r="A799" s="4" t="s">
        <v>2592</v>
      </c>
      <c r="B799" s="7">
        <f>IFERROR(__xludf.DUMMYFUNCTION("GOOGLEFINANCE(A799, ""price"")"),224.5)</f>
        <v>224.5</v>
      </c>
      <c r="C799" s="7">
        <f>IFERROR(__xludf.DUMMYFUNCTION("GOOGLEFINANCE(A799, ""changepct"")"),-4.8)</f>
        <v>-4.8</v>
      </c>
      <c r="D799" s="9">
        <f>IFERROR(__xludf.DUMMYFUNCTION("GOOGLEFINANCE(A799, ""priceopen"")"),239.5)</f>
        <v>239.5</v>
      </c>
      <c r="E799" s="9">
        <f>IFERROR(__xludf.DUMMYFUNCTION("GOOGLEFINANCE(A799, ""high"")"),239.5)</f>
        <v>239.5</v>
      </c>
      <c r="F799" s="9">
        <f>IFERROR(__xludf.DUMMYFUNCTION("GOOGLEFINANCE(A799, ""low"")"),222.15)</f>
        <v>222.15</v>
      </c>
      <c r="G799" s="9">
        <f>IFERROR(__xludf.DUMMYFUNCTION("GOOGLEFINANCE(A799, ""price"")"),224.5)</f>
        <v>224.5</v>
      </c>
      <c r="H799" s="9">
        <f>IFERROR(__xludf.DUMMYFUNCTION("MAX(INDEX(GOOGLEFINANCE(A799, ""high"", TODAY()-30, TODAY()), 0, 2))"),258.5)</f>
        <v>258.5</v>
      </c>
      <c r="I799" s="9">
        <f>IFERROR(__xludf.DUMMYFUNCTION("MIN(INDEX(GOOGLEFINANCE(A799, ""low"", TODAY()-30, TODAY()), 0, 2))"),222.15)</f>
        <v>222.15</v>
      </c>
      <c r="J799" s="9">
        <f>IFERROR(__xludf.DUMMYFUNCTION("GOOGLEFINANCE(A799, ""high52"")"),326.0)</f>
        <v>326</v>
      </c>
      <c r="K799" s="9">
        <f>IFERROR(__xludf.DUMMYFUNCTION("GOOGLEFINANCE(A799, ""low52"")"),187.35)</f>
        <v>187.35</v>
      </c>
      <c r="L799" s="9">
        <f t="shared" si="1"/>
        <v>0.3113496933</v>
      </c>
      <c r="M799" s="9">
        <f t="shared" si="2"/>
        <v>0.1982919669</v>
      </c>
      <c r="N799" s="9">
        <f t="shared" si="3"/>
        <v>0.07810038262</v>
      </c>
      <c r="O799" s="9">
        <f t="shared" si="4"/>
        <v>0.06464924347</v>
      </c>
      <c r="P799" s="9">
        <f>IFERROR(__xludf.DUMMYFUNCTION("GOOGLEFINANCE(A799, ""pe"")"),17.1)</f>
        <v>17.1</v>
      </c>
      <c r="Q799" s="9">
        <f>IFERROR(__xludf.DUMMYFUNCTION("IFERROR(GOOGLEFINANCE(A799, ""volume"") / GOOGLEFINANCE(A799, ""volumeavg""), 0)"),0.0)</f>
        <v>0</v>
      </c>
      <c r="R799" s="9">
        <f>IFERROR(__xludf.DUMMYFUNCTION("AVERAGE(INDEX(GOOGLEFINANCE(A799, ""price"", TODAY()-30, TODAY()), 0, 2))"),241.69347826086957)</f>
        <v>241.6934783</v>
      </c>
      <c r="S799" s="9">
        <f>IFERROR(__xludf.DUMMYFUNCTION("AVERAGE(INDEX(GOOGLEFINANCE(A799, ""price"", TODAY()-75, TODAY()), 0, 2))"),250.34452830188675)</f>
        <v>250.3445283</v>
      </c>
      <c r="T799" s="9">
        <f>IFERROR(__xludf.DUMMYFUNCTION("AVERAGE(INDEX(GOOGLEFINANCE(A799, ""price"", TODAY()-300, TODAY()), 0, 2))"),249.3728712871287)</f>
        <v>249.3728713</v>
      </c>
      <c r="U799" s="9">
        <f t="shared" si="5"/>
        <v>-0.07113753497</v>
      </c>
      <c r="V799" s="15">
        <f>IFERROR(__xludf.DUMMYFUNCTION("LET(hist, GOOGLEFINANCE(A799,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rs))))))"),38.896775501926605)</f>
        <v>38.8967755</v>
      </c>
      <c r="W799" s="16" t="str">
        <f>IFERROR(__xludf.DUMMYFUNCTION("IFERROR(GOOGLEFINANCE(A799, ""volume"") / GOOGLEFINANCE(A799, ""volumeavg""), )"),"")</f>
        <v/>
      </c>
      <c r="X799" s="9">
        <f>IFERROR(__xludf.DUMMYFUNCTION("B799 * GOOGLEFINANCE(A799, ""volume"")"),3.654121395E8)</f>
        <v>365412139.5</v>
      </c>
      <c r="Y799" s="9">
        <f>IFERROR(__xludf.DUMMYFUNCTION("IFERROR(((B799 - GOOGLEFINANCE(A799, ""priceopen"")) / GOOGLEFINANCE(A799, ""priceopen"")) * GOOGLEFINANCE(A799, ""volume""), 0)"),-101941.81628392484)</f>
        <v>-101941.8163</v>
      </c>
    </row>
    <row r="800">
      <c r="A800" s="4" t="s">
        <v>2593</v>
      </c>
      <c r="B800" s="7">
        <f>IFERROR(__xludf.DUMMYFUNCTION("GOOGLEFINANCE(A800, ""price"")"),257.8)</f>
        <v>257.8</v>
      </c>
      <c r="C800" s="7">
        <f>IFERROR(__xludf.DUMMYFUNCTION("GOOGLEFINANCE(A800, ""changepct"")"),0.45)</f>
        <v>0.45</v>
      </c>
      <c r="D800" s="9">
        <f>IFERROR(__xludf.DUMMYFUNCTION("GOOGLEFINANCE(A800, ""priceopen"")"),257.0)</f>
        <v>257</v>
      </c>
      <c r="E800" s="9">
        <f>IFERROR(__xludf.DUMMYFUNCTION("GOOGLEFINANCE(A800, ""high"")"),259.85)</f>
        <v>259.85</v>
      </c>
      <c r="F800" s="9">
        <f>IFERROR(__xludf.DUMMYFUNCTION("GOOGLEFINANCE(A800, ""low"")"),255.65)</f>
        <v>255.65</v>
      </c>
      <c r="G800" s="9">
        <f>IFERROR(__xludf.DUMMYFUNCTION("GOOGLEFINANCE(A800, ""price"")"),257.8)</f>
        <v>257.8</v>
      </c>
      <c r="H800" s="9">
        <f>IFERROR(__xludf.DUMMYFUNCTION("MAX(INDEX(GOOGLEFINANCE(A800, ""high"", TODAY()-30, TODAY()), 0, 2))"),294.0)</f>
        <v>294</v>
      </c>
      <c r="I800" s="9">
        <f>IFERROR(__xludf.DUMMYFUNCTION("MIN(INDEX(GOOGLEFINANCE(A800, ""low"", TODAY()-30, TODAY()), 0, 2))"),243.36)</f>
        <v>243.36</v>
      </c>
      <c r="J800" s="9">
        <f>IFERROR(__xludf.DUMMYFUNCTION("GOOGLEFINANCE(A800, ""high52"")"),353.4)</f>
        <v>353.4</v>
      </c>
      <c r="K800" s="9">
        <f>IFERROR(__xludf.DUMMYFUNCTION("GOOGLEFINANCE(A800, ""low52"")"),214.2)</f>
        <v>214.2</v>
      </c>
      <c r="L800" s="9">
        <f t="shared" si="1"/>
        <v>0.2705149972</v>
      </c>
      <c r="M800" s="9">
        <f t="shared" si="2"/>
        <v>0.2035480859</v>
      </c>
      <c r="N800" s="9">
        <f t="shared" si="3"/>
        <v>0.01642871113</v>
      </c>
      <c r="O800" s="9">
        <f t="shared" si="4"/>
        <v>0.285150079</v>
      </c>
      <c r="P800" s="9">
        <f>IFERROR(__xludf.DUMMYFUNCTION("GOOGLEFINANCE(A800, ""pe"")"),23.54)</f>
        <v>23.54</v>
      </c>
      <c r="Q800" s="9">
        <f>IFERROR(__xludf.DUMMYFUNCTION("IFERROR(GOOGLEFINANCE(A800, ""volume"") / GOOGLEFINANCE(A800, ""volumeavg""), 0)"),0.0)</f>
        <v>0</v>
      </c>
      <c r="R800" s="9">
        <f>IFERROR(__xludf.DUMMYFUNCTION("AVERAGE(INDEX(GOOGLEFINANCE(A800, ""price"", TODAY()-30, TODAY()), 0, 2))"),261.51130434782607)</f>
        <v>261.5113043</v>
      </c>
      <c r="S800" s="9">
        <f>IFERROR(__xludf.DUMMYFUNCTION("AVERAGE(INDEX(GOOGLEFINANCE(A800, ""price"", TODAY()-75, TODAY()), 0, 2))"),254.88679245283018)</f>
        <v>254.8867925</v>
      </c>
      <c r="T800" s="9">
        <f>IFERROR(__xludf.DUMMYFUNCTION("AVERAGE(INDEX(GOOGLEFINANCE(A800, ""price"", TODAY()-300, TODAY()), 0, 2))"),268.37034653465355)</f>
        <v>268.3703465</v>
      </c>
      <c r="U800" s="9">
        <f t="shared" si="5"/>
        <v>-0.01419175495</v>
      </c>
      <c r="V800" s="15">
        <f>IFERROR(__xludf.DUMMYFUNCTION("LET(hist, GOOGLEFINANCE(A800,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rs))))))"),37.45059288537549)</f>
        <v>37.45059289</v>
      </c>
      <c r="W800" s="16" t="str">
        <f>IFERROR(__xludf.DUMMYFUNCTION("IFERROR(GOOGLEFINANCE(A800, ""volume"") / GOOGLEFINANCE(A800, ""volumeavg""), )"),"")</f>
        <v/>
      </c>
      <c r="X800" s="9">
        <f>IFERROR(__xludf.DUMMYFUNCTION("B800 * GOOGLEFINANCE(A800, ""volume"")"),6.43994712E7)</f>
        <v>64399471.2</v>
      </c>
      <c r="Y800" s="9">
        <f>IFERROR(__xludf.DUMMYFUNCTION("IFERROR(((B800 - GOOGLEFINANCE(A800, ""priceopen"")) / GOOGLEFINANCE(A800, ""priceopen"")) * GOOGLEFINANCE(A800, ""volume""), 0)"),777.600000000011)</f>
        <v>777.6</v>
      </c>
    </row>
    <row r="801">
      <c r="A801" s="4" t="s">
        <v>2594</v>
      </c>
      <c r="B801" s="7">
        <f>IFERROR(__xludf.DUMMYFUNCTION("GOOGLEFINANCE(A801, ""price"")"),165.9)</f>
        <v>165.9</v>
      </c>
      <c r="C801" s="7">
        <f>IFERROR(__xludf.DUMMYFUNCTION("GOOGLEFINANCE(A801, ""changepct"")"),-3.52)</f>
        <v>-3.52</v>
      </c>
      <c r="D801" s="9">
        <f>IFERROR(__xludf.DUMMYFUNCTION("GOOGLEFINANCE(A801, ""priceopen"")"),172.03)</f>
        <v>172.03</v>
      </c>
      <c r="E801" s="9">
        <f>IFERROR(__xludf.DUMMYFUNCTION("GOOGLEFINANCE(A801, ""high"")"),172.07)</f>
        <v>172.07</v>
      </c>
      <c r="F801" s="9">
        <f>IFERROR(__xludf.DUMMYFUNCTION("GOOGLEFINANCE(A801, ""low"")"),165.05)</f>
        <v>165.05</v>
      </c>
      <c r="G801" s="9">
        <f>IFERROR(__xludf.DUMMYFUNCTION("GOOGLEFINANCE(A801, ""price"")"),165.9)</f>
        <v>165.9</v>
      </c>
      <c r="H801" s="9">
        <f>IFERROR(__xludf.DUMMYFUNCTION("MAX(INDEX(GOOGLEFINANCE(A801, ""high"", TODAY()-30, TODAY()), 0, 2))"),204.2)</f>
        <v>204.2</v>
      </c>
      <c r="I801" s="9">
        <f>IFERROR(__xludf.DUMMYFUNCTION("MIN(INDEX(GOOGLEFINANCE(A801, ""low"", TODAY()-30, TODAY()), 0, 2))"),163.8)</f>
        <v>163.8</v>
      </c>
      <c r="J801" s="9">
        <f>IFERROR(__xludf.DUMMYFUNCTION("GOOGLEFINANCE(A801, ""high52"")"),229.51)</f>
        <v>229.51</v>
      </c>
      <c r="K801" s="9">
        <f>IFERROR(__xludf.DUMMYFUNCTION("GOOGLEFINANCE(A801, ""low52"")"),149.59)</f>
        <v>149.59</v>
      </c>
      <c r="L801" s="9">
        <f t="shared" si="1"/>
        <v>0.2771556795</v>
      </c>
      <c r="M801" s="9">
        <f t="shared" si="2"/>
        <v>0.1090313524</v>
      </c>
      <c r="N801" s="9">
        <f t="shared" si="3"/>
        <v>0.04253256589</v>
      </c>
      <c r="O801" s="9">
        <f t="shared" si="4"/>
        <v>0.05198019802</v>
      </c>
      <c r="P801" s="9">
        <f>IFERROR(__xludf.DUMMYFUNCTION("GOOGLEFINANCE(A801, ""pe"")"),9.66)</f>
        <v>9.66</v>
      </c>
      <c r="Q801" s="9">
        <f>IFERROR(__xludf.DUMMYFUNCTION("IFERROR(GOOGLEFINANCE(A801, ""volume"") / GOOGLEFINANCE(A801, ""volumeavg""), 0)"),0.0)</f>
        <v>0</v>
      </c>
      <c r="R801" s="9">
        <f>IFERROR(__xludf.DUMMYFUNCTION("AVERAGE(INDEX(GOOGLEFINANCE(A801, ""price"", TODAY()-30, TODAY()), 0, 2))"),175.05826086956523)</f>
        <v>175.0582609</v>
      </c>
      <c r="S801" s="9">
        <f>IFERROR(__xludf.DUMMYFUNCTION("AVERAGE(INDEX(GOOGLEFINANCE(A801, ""price"", TODAY()-75, TODAY()), 0, 2))"),179.60547169811323)</f>
        <v>179.6054717</v>
      </c>
      <c r="T801" s="9">
        <f>IFERROR(__xludf.DUMMYFUNCTION("AVERAGE(INDEX(GOOGLEFINANCE(A801, ""price"", TODAY()-300, TODAY()), 0, 2))"),173.6660396039604)</f>
        <v>173.6660396</v>
      </c>
      <c r="U801" s="9">
        <f t="shared" si="5"/>
        <v>-0.05231550242</v>
      </c>
      <c r="V801" s="15">
        <f>IFERROR(__xludf.DUMMYFUNCTION("LET(hist, GOOGLEFINANCE(A801,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rs))))))"),48.18037005268962)</f>
        <v>48.18037005</v>
      </c>
      <c r="W801" s="16" t="str">
        <f>IFERROR(__xludf.DUMMYFUNCTION("IFERROR(GOOGLEFINANCE(A801, ""volume"") / GOOGLEFINANCE(A801, ""volumeavg""), )"),"")</f>
        <v/>
      </c>
      <c r="X801" s="9">
        <f>IFERROR(__xludf.DUMMYFUNCTION("B801 * GOOGLEFINANCE(A801, ""volume"")"),4.441911117E8)</f>
        <v>444191111.7</v>
      </c>
      <c r="Y801" s="9">
        <f>IFERROR(__xludf.DUMMYFUNCTION("IFERROR(((B801 - GOOGLEFINANCE(A801, ""priceopen"")) / GOOGLEFINANCE(A801, ""priceopen"")) * GOOGLEFINANCE(A801, ""volume""), 0)"),-95406.89525082828)</f>
        <v>-95406.89525</v>
      </c>
    </row>
    <row r="802">
      <c r="A802" s="4" t="s">
        <v>2595</v>
      </c>
      <c r="B802" s="7">
        <f>IFERROR(__xludf.DUMMYFUNCTION("GOOGLEFINANCE(A802, ""price"")"),7265.0)</f>
        <v>7265</v>
      </c>
      <c r="C802" s="7">
        <f>IFERROR(__xludf.DUMMYFUNCTION("GOOGLEFINANCE(A802, ""changepct"")"),-1.3)</f>
        <v>-1.3</v>
      </c>
      <c r="D802" s="9">
        <f>IFERROR(__xludf.DUMMYFUNCTION("GOOGLEFINANCE(A802, ""priceopen"")"),7362.0)</f>
        <v>7362</v>
      </c>
      <c r="E802" s="9">
        <f>IFERROR(__xludf.DUMMYFUNCTION("GOOGLEFINANCE(A802, ""high"")"),7362.0)</f>
        <v>7362</v>
      </c>
      <c r="F802" s="9">
        <f>IFERROR(__xludf.DUMMYFUNCTION("GOOGLEFINANCE(A802, ""low"")"),7200.0)</f>
        <v>7200</v>
      </c>
      <c r="G802" s="9">
        <f>IFERROR(__xludf.DUMMYFUNCTION("GOOGLEFINANCE(A802, ""price"")"),7265.0)</f>
        <v>7265</v>
      </c>
      <c r="H802" s="9">
        <f>IFERROR(__xludf.DUMMYFUNCTION("MAX(INDEX(GOOGLEFINANCE(A802, ""high"", TODAY()-30, TODAY()), 0, 2))"),7575.0)</f>
        <v>7575</v>
      </c>
      <c r="I802" s="9">
        <f>IFERROR(__xludf.DUMMYFUNCTION("MIN(INDEX(GOOGLEFINANCE(A802, ""low"", TODAY()-30, TODAY()), 0, 2))"),6309.5)</f>
        <v>6309.5</v>
      </c>
      <c r="J802" s="9">
        <f>IFERROR(__xludf.DUMMYFUNCTION("GOOGLEFINANCE(A802, ""high52"")"),7575.0)</f>
        <v>7575</v>
      </c>
      <c r="K802" s="9">
        <f>IFERROR(__xludf.DUMMYFUNCTION("GOOGLEFINANCE(A802, ""low52"")"),3996.0)</f>
        <v>3996</v>
      </c>
      <c r="L802" s="9">
        <f t="shared" si="1"/>
        <v>0.04092409241</v>
      </c>
      <c r="M802" s="9">
        <f t="shared" si="2"/>
        <v>0.8180680681</v>
      </c>
      <c r="N802" s="9">
        <f t="shared" si="3"/>
        <v>0.0225</v>
      </c>
      <c r="O802" s="9">
        <f t="shared" si="4"/>
        <v>0.7550375346</v>
      </c>
      <c r="P802" s="9">
        <f>IFERROR(__xludf.DUMMYFUNCTION("GOOGLEFINANCE(A802, ""pe"")"),33.67)</f>
        <v>33.67</v>
      </c>
      <c r="Q802" s="9">
        <f>IFERROR(__xludf.DUMMYFUNCTION("IFERROR(GOOGLEFINANCE(A802, ""volume"") / GOOGLEFINANCE(A802, ""volumeavg""), 0)"),0.0)</f>
        <v>0</v>
      </c>
      <c r="R802" s="9">
        <f>IFERROR(__xludf.DUMMYFUNCTION("AVERAGE(INDEX(GOOGLEFINANCE(A802, ""price"", TODAY()-30, TODAY()), 0, 2))"),6990.739130434783)</f>
        <v>6990.73913</v>
      </c>
      <c r="S802" s="9">
        <f>IFERROR(__xludf.DUMMYFUNCTION("AVERAGE(INDEX(GOOGLEFINANCE(A802, ""price"", TODAY()-75, TODAY()), 0, 2))"),6447.207547169812)</f>
        <v>6447.207547</v>
      </c>
      <c r="T802" s="9">
        <f>IFERROR(__xludf.DUMMYFUNCTION("AVERAGE(INDEX(GOOGLEFINANCE(A802, ""price"", TODAY()-300, TODAY()), 0, 2))"),5253.321782178219)</f>
        <v>5253.321782</v>
      </c>
      <c r="U802" s="9">
        <f t="shared" si="5"/>
        <v>0.03923202746</v>
      </c>
      <c r="V802" s="15">
        <f>IFERROR(__xludf.DUMMYFUNCTION("LET(hist, GOOGLEFINANCE(A802,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rs))))))"),65.34898085237802)</f>
        <v>65.34898085</v>
      </c>
      <c r="W802" s="16" t="str">
        <f>IFERROR(__xludf.DUMMYFUNCTION("IFERROR(GOOGLEFINANCE(A802, ""volume"") / GOOGLEFINANCE(A802, ""volumeavg""), )"),"")</f>
        <v/>
      </c>
      <c r="X802" s="9">
        <f>IFERROR(__xludf.DUMMYFUNCTION("B802 * GOOGLEFINANCE(A802, ""volume"")"),1.03606165E8)</f>
        <v>103606165</v>
      </c>
      <c r="Y802" s="9">
        <f>IFERROR(__xludf.DUMMYFUNCTION("IFERROR(((B802 - GOOGLEFINANCE(A802, ""priceopen"")) / GOOGLEFINANCE(A802, ""priceopen"")) * GOOGLEFINANCE(A802, ""volume""), 0)"),-187.8996196685683)</f>
        <v>-187.8996197</v>
      </c>
    </row>
    <row r="803">
      <c r="A803" s="4" t="s">
        <v>2596</v>
      </c>
      <c r="B803" s="7">
        <f>IFERROR(__xludf.DUMMYFUNCTION("GOOGLEFINANCE(A803, ""price"")"),1698.0)</f>
        <v>1698</v>
      </c>
      <c r="C803" s="7">
        <f>IFERROR(__xludf.DUMMYFUNCTION("GOOGLEFINANCE(A803, ""changepct"")"),0.56)</f>
        <v>0.56</v>
      </c>
      <c r="D803" s="9">
        <f>IFERROR(__xludf.DUMMYFUNCTION("GOOGLEFINANCE(A803, ""priceopen"")"),1675.8)</f>
        <v>1675.8</v>
      </c>
      <c r="E803" s="9">
        <f>IFERROR(__xludf.DUMMYFUNCTION("GOOGLEFINANCE(A803, ""high"")"),1723.3)</f>
        <v>1723.3</v>
      </c>
      <c r="F803" s="9">
        <f>IFERROR(__xludf.DUMMYFUNCTION("GOOGLEFINANCE(A803, ""low"")"),1675.3)</f>
        <v>1675.3</v>
      </c>
      <c r="G803" s="9">
        <f>IFERROR(__xludf.DUMMYFUNCTION("GOOGLEFINANCE(A803, ""price"")"),1698.0)</f>
        <v>1698</v>
      </c>
      <c r="H803" s="9">
        <f>IFERROR(__xludf.DUMMYFUNCTION("MAX(INDEX(GOOGLEFINANCE(A803, ""high"", TODAY()-30, TODAY()), 0, 2))"),1777.0)</f>
        <v>1777</v>
      </c>
      <c r="I803" s="9">
        <f>IFERROR(__xludf.DUMMYFUNCTION("MIN(INDEX(GOOGLEFINANCE(A803, ""low"", TODAY()-30, TODAY()), 0, 2))"),1633.3)</f>
        <v>1633.3</v>
      </c>
      <c r="J803" s="9">
        <f>IFERROR(__xludf.DUMMYFUNCTION("GOOGLEFINANCE(A803, ""high52"")"),1838.0)</f>
        <v>1838</v>
      </c>
      <c r="K803" s="9">
        <f>IFERROR(__xludf.DUMMYFUNCTION("GOOGLEFINANCE(A803, ""low52"")"),1392.7)</f>
        <v>1392.7</v>
      </c>
      <c r="L803" s="9">
        <f t="shared" si="1"/>
        <v>0.07616974973</v>
      </c>
      <c r="M803" s="9">
        <f t="shared" si="2"/>
        <v>0.2192144755</v>
      </c>
      <c r="N803" s="9">
        <f t="shared" si="3"/>
        <v>0.02865158479</v>
      </c>
      <c r="O803" s="9">
        <f t="shared" si="4"/>
        <v>0.450243563</v>
      </c>
      <c r="P803" s="9">
        <f>IFERROR(__xludf.DUMMYFUNCTION("GOOGLEFINANCE(A803, ""pe"")"),28.81)</f>
        <v>28.81</v>
      </c>
      <c r="Q803" s="9">
        <f>IFERROR(__xludf.DUMMYFUNCTION("IFERROR(GOOGLEFINANCE(A803, ""volume"") / GOOGLEFINANCE(A803, ""volumeavg""), 0)"),0.0)</f>
        <v>0</v>
      </c>
      <c r="R803" s="9">
        <f>IFERROR(__xludf.DUMMYFUNCTION("AVERAGE(INDEX(GOOGLEFINANCE(A803, ""price"", TODAY()-30, TODAY()), 0, 2))"),1696.9782608695648)</f>
        <v>1696.978261</v>
      </c>
      <c r="S803" s="9">
        <f>IFERROR(__xludf.DUMMYFUNCTION("AVERAGE(INDEX(GOOGLEFINANCE(A803, ""price"", TODAY()-75, TODAY()), 0, 2))"),1667.9415094339627)</f>
        <v>1667.941509</v>
      </c>
      <c r="T803" s="9">
        <f>IFERROR(__xludf.DUMMYFUNCTION("AVERAGE(INDEX(GOOGLEFINANCE(A803, ""price"", TODAY()-300, TODAY()), 0, 2))"),1613.3905940594057)</f>
        <v>1613.390594</v>
      </c>
      <c r="U803" s="9">
        <f t="shared" si="5"/>
        <v>0.0006020932348</v>
      </c>
      <c r="V803" s="15">
        <f>IFERROR(__xludf.DUMMYFUNCTION("LET(hist, GOOGLEFINANCE(A803,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rs))))))"),42.375366568914934)</f>
        <v>42.37536657</v>
      </c>
      <c r="W803" s="16" t="str">
        <f>IFERROR(__xludf.DUMMYFUNCTION("IFERROR(GOOGLEFINANCE(A803, ""volume"") / GOOGLEFINANCE(A803, ""volumeavg""), )"),"")</f>
        <v/>
      </c>
      <c r="X803" s="9">
        <f>IFERROR(__xludf.DUMMYFUNCTION("B803 * GOOGLEFINANCE(A803, ""volume"")"),7.4939532E7)</f>
        <v>74939532</v>
      </c>
      <c r="Y803" s="9">
        <f>IFERROR(__xludf.DUMMYFUNCTION("IFERROR(((B803 - GOOGLEFINANCE(A803, ""priceopen"")) / GOOGLEFINANCE(A803, ""priceopen"")) * GOOGLEFINANCE(A803, ""volume""), 0)"),584.6609380594356)</f>
        <v>584.6609381</v>
      </c>
    </row>
    <row r="804">
      <c r="A804" s="4" t="s">
        <v>2597</v>
      </c>
      <c r="B804" s="7">
        <f>IFERROR(__xludf.DUMMYFUNCTION("GOOGLEFINANCE(A804, ""price"")"),380.2)</f>
        <v>380.2</v>
      </c>
      <c r="C804" s="7">
        <f>IFERROR(__xludf.DUMMYFUNCTION("GOOGLEFINANCE(A804, ""changepct"")"),0.98)</f>
        <v>0.98</v>
      </c>
      <c r="D804" s="9">
        <f>IFERROR(__xludf.DUMMYFUNCTION("GOOGLEFINANCE(A804, ""priceopen"")"),378.8)</f>
        <v>378.8</v>
      </c>
      <c r="E804" s="9">
        <f>IFERROR(__xludf.DUMMYFUNCTION("GOOGLEFINANCE(A804, ""high"")"),381.95)</f>
        <v>381.95</v>
      </c>
      <c r="F804" s="9">
        <f>IFERROR(__xludf.DUMMYFUNCTION("GOOGLEFINANCE(A804, ""low"")"),366.6)</f>
        <v>366.6</v>
      </c>
      <c r="G804" s="9">
        <f>IFERROR(__xludf.DUMMYFUNCTION("GOOGLEFINANCE(A804, ""price"")"),380.2)</f>
        <v>380.2</v>
      </c>
      <c r="H804" s="9">
        <f>IFERROR(__xludf.DUMMYFUNCTION("MAX(INDEX(GOOGLEFINANCE(A804, ""high"", TODAY()-30, TODAY()), 0, 2))"),418.5)</f>
        <v>418.5</v>
      </c>
      <c r="I804" s="9">
        <f>IFERROR(__xludf.DUMMYFUNCTION("MIN(INDEX(GOOGLEFINANCE(A804, ""low"", TODAY()-30, TODAY()), 0, 2))"),340.35)</f>
        <v>340.35</v>
      </c>
      <c r="J804" s="9">
        <f>IFERROR(__xludf.DUMMYFUNCTION("GOOGLEFINANCE(A804, ""high52"")"),418.5)</f>
        <v>418.5</v>
      </c>
      <c r="K804" s="9">
        <f>IFERROR(__xludf.DUMMYFUNCTION("GOOGLEFINANCE(A804, ""low52"")"),246.05)</f>
        <v>246.05</v>
      </c>
      <c r="L804" s="9">
        <f t="shared" si="1"/>
        <v>0.09151732378</v>
      </c>
      <c r="M804" s="9">
        <f t="shared" si="2"/>
        <v>0.5452143873</v>
      </c>
      <c r="N804" s="9">
        <f t="shared" si="3"/>
        <v>0.04187124932</v>
      </c>
      <c r="O804" s="9">
        <f t="shared" si="4"/>
        <v>0.5099168266</v>
      </c>
      <c r="P804" s="9">
        <f>IFERROR(__xludf.DUMMYFUNCTION("GOOGLEFINANCE(A804, ""pe"")"),45.83)</f>
        <v>45.83</v>
      </c>
      <c r="Q804" s="9">
        <f>IFERROR(__xludf.DUMMYFUNCTION("IFERROR(GOOGLEFINANCE(A804, ""volume"") / GOOGLEFINANCE(A804, ""volumeavg""), 0)"),0.0)</f>
        <v>0</v>
      </c>
      <c r="R804" s="9">
        <f>IFERROR(__xludf.DUMMYFUNCTION("AVERAGE(INDEX(GOOGLEFINANCE(A804, ""price"", TODAY()-30, TODAY()), 0, 2))"),362.4108695652175)</f>
        <v>362.4108696</v>
      </c>
      <c r="S804" s="9">
        <f>IFERROR(__xludf.DUMMYFUNCTION("AVERAGE(INDEX(GOOGLEFINANCE(A804, ""price"", TODAY()-75, TODAY()), 0, 2))"),347.1330188679244)</f>
        <v>347.1330189</v>
      </c>
      <c r="T804" s="9">
        <f>IFERROR(__xludf.DUMMYFUNCTION("AVERAGE(INDEX(GOOGLEFINANCE(A804, ""price"", TODAY()-300, TODAY()), 0, 2))"),331.2396039603963)</f>
        <v>331.239604</v>
      </c>
      <c r="U804" s="9">
        <f t="shared" si="5"/>
        <v>0.04908553227</v>
      </c>
      <c r="V804" s="15">
        <f>IFERROR(__xludf.DUMMYFUNCTION("LET(hist, GOOGLEFINANCE(A804,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rs))))))"),62.51366120218578)</f>
        <v>62.5136612</v>
      </c>
      <c r="W804" s="16" t="str">
        <f>IFERROR(__xludf.DUMMYFUNCTION("IFERROR(GOOGLEFINANCE(A804, ""volume"") / GOOGLEFINANCE(A804, ""volumeavg""), )"),"")</f>
        <v/>
      </c>
      <c r="X804" s="9">
        <f>IFERROR(__xludf.DUMMYFUNCTION("B804 * GOOGLEFINANCE(A804, ""volume"")"),4.0989362E7)</f>
        <v>40989362</v>
      </c>
      <c r="Y804" s="9">
        <f>IFERROR(__xludf.DUMMYFUNCTION("IFERROR(((B804 - GOOGLEFINANCE(A804, ""priceopen"")) / GOOGLEFINANCE(A804, ""priceopen"")) * GOOGLEFINANCE(A804, ""volume""), 0)"),398.4530095036894)</f>
        <v>398.4530095</v>
      </c>
    </row>
    <row r="805">
      <c r="A805" s="4" t="s">
        <v>2598</v>
      </c>
      <c r="B805" s="7">
        <f>IFERROR(__xludf.DUMMYFUNCTION("GOOGLEFINANCE(A805, ""price"")"),638.0)</f>
        <v>638</v>
      </c>
      <c r="C805" s="7">
        <f>IFERROR(__xludf.DUMMYFUNCTION("GOOGLEFINANCE(A805, ""changepct"")"),2.37)</f>
        <v>2.37</v>
      </c>
      <c r="D805" s="9">
        <f>IFERROR(__xludf.DUMMYFUNCTION("GOOGLEFINANCE(A805, ""priceopen"")"),632.0)</f>
        <v>632</v>
      </c>
      <c r="E805" s="9">
        <f>IFERROR(__xludf.DUMMYFUNCTION("GOOGLEFINANCE(A805, ""high"")"),642.0)</f>
        <v>642</v>
      </c>
      <c r="F805" s="9">
        <f>IFERROR(__xludf.DUMMYFUNCTION("GOOGLEFINANCE(A805, ""low"")"),613.3)</f>
        <v>613.3</v>
      </c>
      <c r="G805" s="9">
        <f>IFERROR(__xludf.DUMMYFUNCTION("GOOGLEFINANCE(A805, ""price"")"),638.0)</f>
        <v>638</v>
      </c>
      <c r="H805" s="9">
        <f>IFERROR(__xludf.DUMMYFUNCTION("MAX(INDEX(GOOGLEFINANCE(A805, ""high"", TODAY()-30, TODAY()), 0, 2))"),726.15)</f>
        <v>726.15</v>
      </c>
      <c r="I805" s="9">
        <f>IFERROR(__xludf.DUMMYFUNCTION("MIN(INDEX(GOOGLEFINANCE(A805, ""low"", TODAY()-30, TODAY()), 0, 2))"),602.65)</f>
        <v>602.65</v>
      </c>
      <c r="J805" s="9">
        <f>IFERROR(__xludf.DUMMYFUNCTION("GOOGLEFINANCE(A805, ""high52"")"),760.0)</f>
        <v>760</v>
      </c>
      <c r="K805" s="9">
        <f>IFERROR(__xludf.DUMMYFUNCTION("GOOGLEFINANCE(A805, ""low52"")"),183.0)</f>
        <v>183</v>
      </c>
      <c r="L805" s="9">
        <f t="shared" si="1"/>
        <v>0.1605263158</v>
      </c>
      <c r="M805" s="9">
        <f t="shared" si="2"/>
        <v>2.486338798</v>
      </c>
      <c r="N805" s="9">
        <f t="shared" si="3"/>
        <v>0.04679602152</v>
      </c>
      <c r="O805" s="9">
        <f t="shared" si="4"/>
        <v>0.2862348178</v>
      </c>
      <c r="P805" s="9">
        <f>IFERROR(__xludf.DUMMYFUNCTION("GOOGLEFINANCE(A805, ""pe"")"),55.29)</f>
        <v>55.29</v>
      </c>
      <c r="Q805" s="9">
        <f>IFERROR(__xludf.DUMMYFUNCTION("IFERROR(GOOGLEFINANCE(A805, ""volume"") / GOOGLEFINANCE(A805, ""volumeavg""), 0)"),0.0)</f>
        <v>0</v>
      </c>
      <c r="R805" s="9">
        <f>IFERROR(__xludf.DUMMYFUNCTION("AVERAGE(INDEX(GOOGLEFINANCE(A805, ""price"", TODAY()-30, TODAY()), 0, 2))"),667.1891304347827)</f>
        <v>667.1891304</v>
      </c>
      <c r="S805" s="9">
        <f>IFERROR(__xludf.DUMMYFUNCTION("AVERAGE(INDEX(GOOGLEFINANCE(A805, ""price"", TODAY()-75, TODAY()), 0, 2))"),671.0764150943393)</f>
        <v>671.0764151</v>
      </c>
      <c r="T805" s="9">
        <f>IFERROR(__xludf.DUMMYFUNCTION("AVERAGE(INDEX(GOOGLEFINANCE(A805, ""price"", TODAY()-300, TODAY()), 0, 2))"),384.95851485148506)</f>
        <v>384.9585149</v>
      </c>
      <c r="U805" s="9">
        <f t="shared" si="5"/>
        <v>-0.04374940943</v>
      </c>
      <c r="V805" s="15">
        <f>IFERROR(__xludf.DUMMYFUNCTION("LET(hist, GOOGLEFINANCE(A805,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rs))))))"),47.90378006872853)</f>
        <v>47.90378007</v>
      </c>
      <c r="W805" s="16" t="str">
        <f>IFERROR(__xludf.DUMMYFUNCTION("IFERROR(GOOGLEFINANCE(A805, ""volume"") / GOOGLEFINANCE(A805, ""volumeavg""), )"),"")</f>
        <v/>
      </c>
      <c r="X805" s="9">
        <f>IFERROR(__xludf.DUMMYFUNCTION("B805 * GOOGLEFINANCE(A805, ""volume"")"),1.21708708E8)</f>
        <v>121708708</v>
      </c>
      <c r="Y805" s="9">
        <f>IFERROR(__xludf.DUMMYFUNCTION("IFERROR(((B805 - GOOGLEFINANCE(A805, ""priceopen"")) / GOOGLEFINANCE(A805, ""priceopen"")) * GOOGLEFINANCE(A805, ""volume""), 0)"),1811.0696202531647)</f>
        <v>1811.06962</v>
      </c>
    </row>
    <row r="806">
      <c r="A806" s="4" t="s">
        <v>2599</v>
      </c>
      <c r="B806" s="7">
        <f>IFERROR(__xludf.DUMMYFUNCTION("GOOGLEFINANCE(A806, ""price"")"),1609.0)</f>
        <v>1609</v>
      </c>
      <c r="C806" s="7">
        <f>IFERROR(__xludf.DUMMYFUNCTION("GOOGLEFINANCE(A806, ""changepct"")"),3.86)</f>
        <v>3.86</v>
      </c>
      <c r="D806" s="9">
        <f>IFERROR(__xludf.DUMMYFUNCTION("GOOGLEFINANCE(A806, ""priceopen"")"),1550.4)</f>
        <v>1550.4</v>
      </c>
      <c r="E806" s="9">
        <f>IFERROR(__xludf.DUMMYFUNCTION("GOOGLEFINANCE(A806, ""high"")"),1610.0)</f>
        <v>1610</v>
      </c>
      <c r="F806" s="9">
        <f>IFERROR(__xludf.DUMMYFUNCTION("GOOGLEFINANCE(A806, ""low"")"),1546.5)</f>
        <v>1546.5</v>
      </c>
      <c r="G806" s="9">
        <f>IFERROR(__xludf.DUMMYFUNCTION("GOOGLEFINANCE(A806, ""price"")"),1609.0)</f>
        <v>1609</v>
      </c>
      <c r="H806" s="9">
        <f>IFERROR(__xludf.DUMMYFUNCTION("MAX(INDEX(GOOGLEFINANCE(A806, ""high"", TODAY()-30, TODAY()), 0, 2))"),1620.0)</f>
        <v>1620</v>
      </c>
      <c r="I806" s="9">
        <f>IFERROR(__xludf.DUMMYFUNCTION("MIN(INDEX(GOOGLEFINANCE(A806, ""low"", TODAY()-30, TODAY()), 0, 2))"),1504.0)</f>
        <v>1504</v>
      </c>
      <c r="J806" s="9">
        <f>IFERROR(__xludf.DUMMYFUNCTION("GOOGLEFINANCE(A806, ""high52"")"),2048.0)</f>
        <v>2048</v>
      </c>
      <c r="K806" s="9">
        <f>IFERROR(__xludf.DUMMYFUNCTION("GOOGLEFINANCE(A806, ""low52"")"),1222.1)</f>
        <v>1222.1</v>
      </c>
      <c r="L806" s="9">
        <f t="shared" si="1"/>
        <v>0.2143554688</v>
      </c>
      <c r="M806" s="9">
        <f t="shared" si="2"/>
        <v>0.3165862041</v>
      </c>
      <c r="N806" s="9">
        <f t="shared" si="3"/>
        <v>0.0410604591</v>
      </c>
      <c r="O806" s="9">
        <f t="shared" si="4"/>
        <v>0.9051724138</v>
      </c>
      <c r="P806" s="9">
        <f>IFERROR(__xludf.DUMMYFUNCTION("GOOGLEFINANCE(A806, ""pe"")"),16.09)</f>
        <v>16.09</v>
      </c>
      <c r="Q806" s="9">
        <f>IFERROR(__xludf.DUMMYFUNCTION("IFERROR(GOOGLEFINANCE(A806, ""volume"") / GOOGLEFINANCE(A806, ""volumeavg""), 0)"),0.0)</f>
        <v>0</v>
      </c>
      <c r="R806" s="9">
        <f>IFERROR(__xludf.DUMMYFUNCTION("AVERAGE(INDEX(GOOGLEFINANCE(A806, ""price"", TODAY()-30, TODAY()), 0, 2))"),1552.6782608695655)</f>
        <v>1552.678261</v>
      </c>
      <c r="S806" s="9">
        <f>IFERROR(__xludf.DUMMYFUNCTION("AVERAGE(INDEX(GOOGLEFINANCE(A806, ""price"", TODAY()-75, TODAY()), 0, 2))"),1550.5018867924528)</f>
        <v>1550.501887</v>
      </c>
      <c r="T806" s="9">
        <f>IFERROR(__xludf.DUMMYFUNCTION("AVERAGE(INDEX(GOOGLEFINANCE(A806, ""price"", TODAY()-300, TODAY()), 0, 2))"),1704.8000000000004)</f>
        <v>1704.8</v>
      </c>
      <c r="U806" s="9">
        <f t="shared" si="5"/>
        <v>0.0362739278</v>
      </c>
      <c r="V806" s="15">
        <f>IFERROR(__xludf.DUMMYFUNCTION("LET(hist, GOOGLEFINANCE(A806,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rs))))))"),64.27247451343842)</f>
        <v>64.27247451</v>
      </c>
      <c r="W806" s="16" t="str">
        <f>IFERROR(__xludf.DUMMYFUNCTION("IFERROR(GOOGLEFINANCE(A806, ""volume"") / GOOGLEFINANCE(A806, ""volumeavg""), )"),"")</f>
        <v/>
      </c>
      <c r="X806" s="9">
        <f>IFERROR(__xludf.DUMMYFUNCTION("B806 * GOOGLEFINANCE(A806, ""volume"")"),6.6012443E7)</f>
        <v>66012443</v>
      </c>
      <c r="Y806" s="9">
        <f>IFERROR(__xludf.DUMMYFUNCTION("IFERROR(((B806 - GOOGLEFINANCE(A806, ""priceopen"")) / GOOGLEFINANCE(A806, ""priceopen"")) * GOOGLEFINANCE(A806, ""volume""), 0)"),1550.6851135190893)</f>
        <v>1550.685114</v>
      </c>
    </row>
    <row r="807">
      <c r="A807" s="4" t="s">
        <v>2600</v>
      </c>
      <c r="B807" s="7">
        <f>IFERROR(__xludf.DUMMYFUNCTION("GOOGLEFINANCE(A807, ""price"")"),374.1)</f>
        <v>374.1</v>
      </c>
      <c r="C807" s="7">
        <f>IFERROR(__xludf.DUMMYFUNCTION("GOOGLEFINANCE(A807, ""changepct"")"),1.11)</f>
        <v>1.11</v>
      </c>
      <c r="D807" s="9">
        <f>IFERROR(__xludf.DUMMYFUNCTION("GOOGLEFINANCE(A807, ""priceopen"")"),370.0)</f>
        <v>370</v>
      </c>
      <c r="E807" s="9">
        <f>IFERROR(__xludf.DUMMYFUNCTION("GOOGLEFINANCE(A807, ""high"")"),377.0)</f>
        <v>377</v>
      </c>
      <c r="F807" s="9">
        <f>IFERROR(__xludf.DUMMYFUNCTION("GOOGLEFINANCE(A807, ""low"")"),367.05)</f>
        <v>367.05</v>
      </c>
      <c r="G807" s="9">
        <f>IFERROR(__xludf.DUMMYFUNCTION("GOOGLEFINANCE(A807, ""price"")"),374.1)</f>
        <v>374.1</v>
      </c>
      <c r="H807" s="9">
        <f>IFERROR(__xludf.DUMMYFUNCTION("MAX(INDEX(GOOGLEFINANCE(A807, ""high"", TODAY()-30, TODAY()), 0, 2))"),433.2)</f>
        <v>433.2</v>
      </c>
      <c r="I807" s="9">
        <f>IFERROR(__xludf.DUMMYFUNCTION("MIN(INDEX(GOOGLEFINANCE(A807, ""low"", TODAY()-30, TODAY()), 0, 2))"),367.0)</f>
        <v>367</v>
      </c>
      <c r="J807" s="9">
        <f>IFERROR(__xludf.DUMMYFUNCTION("GOOGLEFINANCE(A807, ""high52"")"),668.0)</f>
        <v>668</v>
      </c>
      <c r="K807" s="9">
        <f>IFERROR(__xludf.DUMMYFUNCTION("GOOGLEFINANCE(A807, ""low52"")"),358.8)</f>
        <v>358.8</v>
      </c>
      <c r="L807" s="9">
        <f t="shared" si="1"/>
        <v>0.4399700599</v>
      </c>
      <c r="M807" s="9">
        <f t="shared" si="2"/>
        <v>0.04264214047</v>
      </c>
      <c r="N807" s="9">
        <f t="shared" si="3"/>
        <v>0.02710802343</v>
      </c>
      <c r="O807" s="9">
        <f t="shared" si="4"/>
        <v>0.1072507553</v>
      </c>
      <c r="P807" s="9">
        <f>IFERROR(__xludf.DUMMYFUNCTION("GOOGLEFINANCE(A807, ""pe"")"),40.49)</f>
        <v>40.49</v>
      </c>
      <c r="Q807" s="9">
        <f>IFERROR(__xludf.DUMMYFUNCTION("IFERROR(GOOGLEFINANCE(A807, ""volume"") / GOOGLEFINANCE(A807, ""volumeavg""), 0)"),0.0)</f>
        <v>0</v>
      </c>
      <c r="R807" s="9">
        <f>IFERROR(__xludf.DUMMYFUNCTION("AVERAGE(INDEX(GOOGLEFINANCE(A807, ""price"", TODAY()-30, TODAY()), 0, 2))"),400.995652173913)</f>
        <v>400.9956522</v>
      </c>
      <c r="S807" s="9">
        <f>IFERROR(__xludf.DUMMYFUNCTION("AVERAGE(INDEX(GOOGLEFINANCE(A807, ""price"", TODAY()-75, TODAY()), 0, 2))"),401.5962264150943)</f>
        <v>401.5962264</v>
      </c>
      <c r="T807" s="9">
        <f>IFERROR(__xludf.DUMMYFUNCTION("AVERAGE(INDEX(GOOGLEFINANCE(A807, ""price"", TODAY()-300, TODAY()), 0, 2))"),453.7049504950495)</f>
        <v>453.7049505</v>
      </c>
      <c r="U807" s="9">
        <f t="shared" si="5"/>
        <v>-0.06707217903</v>
      </c>
      <c r="V807" s="15">
        <f>IFERROR(__xludf.DUMMYFUNCTION("LET(hist, GOOGLEFINANCE(A807,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rs))))))"),34.16328894035904)</f>
        <v>34.16328894</v>
      </c>
      <c r="W807" s="16" t="str">
        <f>IFERROR(__xludf.DUMMYFUNCTION("IFERROR(GOOGLEFINANCE(A807, ""volume"") / GOOGLEFINANCE(A807, ""volumeavg""), )"),"")</f>
        <v/>
      </c>
      <c r="X807" s="9">
        <f>IFERROR(__xludf.DUMMYFUNCTION("B807 * GOOGLEFINANCE(A807, ""volume"")"),1.9219013400000002E7)</f>
        <v>19219013.4</v>
      </c>
      <c r="Y807" s="9">
        <f>IFERROR(__xludf.DUMMYFUNCTION("IFERROR(((B807 - GOOGLEFINANCE(A807, ""priceopen"")) / GOOGLEFINANCE(A807, ""priceopen"")) * GOOGLEFINANCE(A807, ""volume""), 0)"),569.2794594594626)</f>
        <v>569.2794595</v>
      </c>
    </row>
    <row r="808">
      <c r="A808" s="4" t="s">
        <v>2601</v>
      </c>
      <c r="B808" s="7">
        <f>IFERROR(__xludf.DUMMYFUNCTION("GOOGLEFINANCE(A808, ""price"")"),1304.0)</f>
        <v>1304</v>
      </c>
      <c r="C808" s="7">
        <f>IFERROR(__xludf.DUMMYFUNCTION("GOOGLEFINANCE(A808, ""changepct"")"),-1.99)</f>
        <v>-1.99</v>
      </c>
      <c r="D808" s="9">
        <f>IFERROR(__xludf.DUMMYFUNCTION("GOOGLEFINANCE(A808, ""priceopen"")"),1340.0)</f>
        <v>1340</v>
      </c>
      <c r="E808" s="9">
        <f>IFERROR(__xludf.DUMMYFUNCTION("GOOGLEFINANCE(A808, ""high"")"),1349.9)</f>
        <v>1349.9</v>
      </c>
      <c r="F808" s="9">
        <f>IFERROR(__xludf.DUMMYFUNCTION("GOOGLEFINANCE(A808, ""low"")"),1301.0)</f>
        <v>1301</v>
      </c>
      <c r="G808" s="9">
        <f>IFERROR(__xludf.DUMMYFUNCTION("GOOGLEFINANCE(A808, ""price"")"),1304.0)</f>
        <v>1304</v>
      </c>
      <c r="H808" s="9">
        <f>IFERROR(__xludf.DUMMYFUNCTION("MAX(INDEX(GOOGLEFINANCE(A808, ""high"", TODAY()-30, TODAY()), 0, 2))"),1672.1)</f>
        <v>1672.1</v>
      </c>
      <c r="I808" s="9">
        <f>IFERROR(__xludf.DUMMYFUNCTION("MIN(INDEX(GOOGLEFINANCE(A808, ""low"", TODAY()-30, TODAY()), 0, 2))"),1295.0)</f>
        <v>1295</v>
      </c>
      <c r="J808" s="9">
        <f>IFERROR(__xludf.DUMMYFUNCTION("GOOGLEFINANCE(A808, ""high52"")"),1672.1)</f>
        <v>1672.1</v>
      </c>
      <c r="K808" s="9">
        <f>IFERROR(__xludf.DUMMYFUNCTION("GOOGLEFINANCE(A808, ""low52"")"),915.0)</f>
        <v>915</v>
      </c>
      <c r="L808" s="9">
        <f t="shared" si="1"/>
        <v>0.220142336</v>
      </c>
      <c r="M808" s="9">
        <f t="shared" si="2"/>
        <v>0.425136612</v>
      </c>
      <c r="N808" s="9">
        <f t="shared" si="3"/>
        <v>0.03758647194</v>
      </c>
      <c r="O808" s="9">
        <f t="shared" si="4"/>
        <v>0.02386634845</v>
      </c>
      <c r="P808" s="9">
        <f>IFERROR(__xludf.DUMMYFUNCTION("GOOGLEFINANCE(A808, ""pe"")"),20.83)</f>
        <v>20.83</v>
      </c>
      <c r="Q808" s="9">
        <f>IFERROR(__xludf.DUMMYFUNCTION("IFERROR(GOOGLEFINANCE(A808, ""volume"") / GOOGLEFINANCE(A808, ""volumeavg""), 0)"),0.0)</f>
        <v>0</v>
      </c>
      <c r="R808" s="9">
        <f>IFERROR(__xludf.DUMMYFUNCTION("AVERAGE(INDEX(GOOGLEFINANCE(A808, ""price"", TODAY()-30, TODAY()), 0, 2))"),1515.4130434782605)</f>
        <v>1515.413043</v>
      </c>
      <c r="S808" s="9">
        <f>IFERROR(__xludf.DUMMYFUNCTION("AVERAGE(INDEX(GOOGLEFINANCE(A808, ""price"", TODAY()-75, TODAY()), 0, 2))"),1449.6245283018873)</f>
        <v>1449.624528</v>
      </c>
      <c r="T808" s="9">
        <f>IFERROR(__xludf.DUMMYFUNCTION("AVERAGE(INDEX(GOOGLEFINANCE(A808, ""price"", TODAY()-300, TODAY()), 0, 2))"),1233.374504950495)</f>
        <v>1233.374505</v>
      </c>
      <c r="U808" s="9">
        <f t="shared" si="5"/>
        <v>-0.1395085283</v>
      </c>
      <c r="V808" s="15">
        <f>IFERROR(__xludf.DUMMYFUNCTION("LET(hist, GOOGLEFINANCE(A808,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rs))))))"),22.704714640198503)</f>
        <v>22.70471464</v>
      </c>
      <c r="W808" s="16" t="str">
        <f>IFERROR(__xludf.DUMMYFUNCTION("IFERROR(GOOGLEFINANCE(A808, ""volume"") / GOOGLEFINANCE(A808, ""volumeavg""), )"),"")</f>
        <v/>
      </c>
      <c r="X808" s="9">
        <f>IFERROR(__xludf.DUMMYFUNCTION("B808 * GOOGLEFINANCE(A808, ""volume"")"),4.69776432E8)</f>
        <v>469776432</v>
      </c>
      <c r="Y808" s="9">
        <f>IFERROR(__xludf.DUMMYFUNCTION("IFERROR(((B808 - GOOGLEFINANCE(A808, ""priceopen"")) / GOOGLEFINANCE(A808, ""priceopen"")) * GOOGLEFINANCE(A808, ""volume""), 0)"),-9678.573134328359)</f>
        <v>-9678.573134</v>
      </c>
    </row>
    <row r="809">
      <c r="A809" s="4" t="s">
        <v>2602</v>
      </c>
      <c r="B809" s="7">
        <f>IFERROR(__xludf.DUMMYFUNCTION("GOOGLEFINANCE(A809, ""price"")"),193.0)</f>
        <v>193</v>
      </c>
      <c r="C809" s="7">
        <f>IFERROR(__xludf.DUMMYFUNCTION("GOOGLEFINANCE(A809, ""changepct"")"),4.47)</f>
        <v>4.47</v>
      </c>
      <c r="D809" s="9">
        <f>IFERROR(__xludf.DUMMYFUNCTION("GOOGLEFINANCE(A809, ""priceopen"")"),185.02)</f>
        <v>185.02</v>
      </c>
      <c r="E809" s="9">
        <f>IFERROR(__xludf.DUMMYFUNCTION("GOOGLEFINANCE(A809, ""high"")"),195.0)</f>
        <v>195</v>
      </c>
      <c r="F809" s="9">
        <f>IFERROR(__xludf.DUMMYFUNCTION("GOOGLEFINANCE(A809, ""low"")"),183.01)</f>
        <v>183.01</v>
      </c>
      <c r="G809" s="9">
        <f>IFERROR(__xludf.DUMMYFUNCTION("GOOGLEFINANCE(A809, ""price"")"),193.0)</f>
        <v>193</v>
      </c>
      <c r="H809" s="9">
        <f>IFERROR(__xludf.DUMMYFUNCTION("MAX(INDEX(GOOGLEFINANCE(A809, ""high"", TODAY()-30, TODAY()), 0, 2))"),195.0)</f>
        <v>195</v>
      </c>
      <c r="I809" s="9">
        <f>IFERROR(__xludf.DUMMYFUNCTION("MIN(INDEX(GOOGLEFINANCE(A809, ""low"", TODAY()-30, TODAY()), 0, 2))"),124.59)</f>
        <v>124.59</v>
      </c>
      <c r="J809" s="9">
        <f>IFERROR(__xludf.DUMMYFUNCTION("GOOGLEFINANCE(A809, ""high52"")"),195.0)</f>
        <v>195</v>
      </c>
      <c r="K809" s="9">
        <f>IFERROR(__xludf.DUMMYFUNCTION("GOOGLEFINANCE(A809, ""low52"")"),84.9)</f>
        <v>84.9</v>
      </c>
      <c r="L809" s="9">
        <f t="shared" si="1"/>
        <v>0.01025641026</v>
      </c>
      <c r="M809" s="9">
        <f t="shared" si="2"/>
        <v>1.273262662</v>
      </c>
      <c r="N809" s="9">
        <f t="shared" si="3"/>
        <v>0.0655155456</v>
      </c>
      <c r="O809" s="9">
        <f t="shared" si="4"/>
        <v>0.9715949439</v>
      </c>
      <c r="P809" s="9">
        <f>IFERROR(__xludf.DUMMYFUNCTION("GOOGLEFINANCE(A809, ""pe"")"),36.01)</f>
        <v>36.01</v>
      </c>
      <c r="Q809" s="9">
        <f>IFERROR(__xludf.DUMMYFUNCTION("IFERROR(GOOGLEFINANCE(A809, ""volume"") / GOOGLEFINANCE(A809, ""volumeavg""), 0)"),0.0)</f>
        <v>0</v>
      </c>
      <c r="R809" s="9">
        <f>IFERROR(__xludf.DUMMYFUNCTION("AVERAGE(INDEX(GOOGLEFINANCE(A809, ""price"", TODAY()-30, TODAY()), 0, 2))"),140.87782608695653)</f>
        <v>140.8778261</v>
      </c>
      <c r="S809" s="9">
        <f>IFERROR(__xludf.DUMMYFUNCTION("AVERAGE(INDEX(GOOGLEFINANCE(A809, ""price"", TODAY()-75, TODAY()), 0, 2))"),128.4843396226415)</f>
        <v>128.4843396</v>
      </c>
      <c r="T809" s="9">
        <f>IFERROR(__xludf.DUMMYFUNCTION("AVERAGE(INDEX(GOOGLEFINANCE(A809, ""price"", TODAY()-300, TODAY()), 0, 2))"),115.07707920792079)</f>
        <v>115.0770792</v>
      </c>
      <c r="U809" s="9">
        <f t="shared" si="5"/>
        <v>0.36998139</v>
      </c>
      <c r="V809" s="15">
        <f>IFERROR(__xludf.DUMMYFUNCTION("LET(hist, GOOGLEFINANCE(A809,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rs))))))"),91.68251553188793)</f>
        <v>91.68251553</v>
      </c>
      <c r="W809" s="16" t="str">
        <f>IFERROR(__xludf.DUMMYFUNCTION("IFERROR(GOOGLEFINANCE(A809, ""volume"") / GOOGLEFINANCE(A809, ""volumeavg""), )"),"")</f>
        <v/>
      </c>
      <c r="X809" s="9">
        <f>IFERROR(__xludf.DUMMYFUNCTION("B809 * GOOGLEFINANCE(A809, ""volume"")"),6.099761526E9)</f>
        <v>6099761526</v>
      </c>
      <c r="Y809" s="9">
        <f>IFERROR(__xludf.DUMMYFUNCTION("IFERROR(((B809 - GOOGLEFINANCE(A809, ""priceopen"")) / GOOGLEFINANCE(A809, ""priceopen"")) * GOOGLEFINANCE(A809, ""volume""), 0)"),1363137.8032645101)</f>
        <v>1363137.803</v>
      </c>
    </row>
    <row r="810">
      <c r="A810" s="4" t="s">
        <v>2603</v>
      </c>
      <c r="B810" s="7">
        <f>IFERROR(__xludf.DUMMYFUNCTION("GOOGLEFINANCE(A810, ""price"")"),1065.2)</f>
        <v>1065.2</v>
      </c>
      <c r="C810" s="7">
        <f>IFERROR(__xludf.DUMMYFUNCTION("GOOGLEFINANCE(A810, ""changepct"")"),-1.24)</f>
        <v>-1.24</v>
      </c>
      <c r="D810" s="9">
        <f>IFERROR(__xludf.DUMMYFUNCTION("GOOGLEFINANCE(A810, ""priceopen"")"),1084.0)</f>
        <v>1084</v>
      </c>
      <c r="E810" s="9">
        <f>IFERROR(__xludf.DUMMYFUNCTION("GOOGLEFINANCE(A810, ""high"")"),1089.0)</f>
        <v>1089</v>
      </c>
      <c r="F810" s="9">
        <f>IFERROR(__xludf.DUMMYFUNCTION("GOOGLEFINANCE(A810, ""low"")"),1053.1)</f>
        <v>1053.1</v>
      </c>
      <c r="G810" s="9">
        <f>IFERROR(__xludf.DUMMYFUNCTION("GOOGLEFINANCE(A810, ""price"")"),1065.2)</f>
        <v>1065.2</v>
      </c>
      <c r="H810" s="9">
        <f>IFERROR(__xludf.DUMMYFUNCTION("MAX(INDEX(GOOGLEFINANCE(A810, ""high"", TODAY()-30, TODAY()), 0, 2))"),1133.0)</f>
        <v>1133</v>
      </c>
      <c r="I810" s="9">
        <f>IFERROR(__xludf.DUMMYFUNCTION("MIN(INDEX(GOOGLEFINANCE(A810, ""low"", TODAY()-30, TODAY()), 0, 2))"),951.95)</f>
        <v>951.95</v>
      </c>
      <c r="J810" s="9">
        <f>IFERROR(__xludf.DUMMYFUNCTION("GOOGLEFINANCE(A810, ""high52"")"),1133.0)</f>
        <v>1133</v>
      </c>
      <c r="K810" s="9">
        <f>IFERROR(__xludf.DUMMYFUNCTION("GOOGLEFINANCE(A810, ""low52"")"),480.0)</f>
        <v>480</v>
      </c>
      <c r="L810" s="9">
        <f t="shared" si="1"/>
        <v>0.05984112974</v>
      </c>
      <c r="M810" s="9">
        <f t="shared" si="2"/>
        <v>1.219166667</v>
      </c>
      <c r="N810" s="9">
        <f t="shared" si="3"/>
        <v>0.03408983003</v>
      </c>
      <c r="O810" s="9">
        <f t="shared" si="4"/>
        <v>0.6255178128</v>
      </c>
      <c r="P810" s="9">
        <f>IFERROR(__xludf.DUMMYFUNCTION("GOOGLEFINANCE(A810, ""pe"")"),263.01)</f>
        <v>263.01</v>
      </c>
      <c r="Q810" s="9">
        <f>IFERROR(__xludf.DUMMYFUNCTION("IFERROR(GOOGLEFINANCE(A810, ""volume"") / GOOGLEFINANCE(A810, ""volumeavg""), 0)"),0.0)</f>
        <v>0</v>
      </c>
      <c r="R810" s="9">
        <f>IFERROR(__xludf.DUMMYFUNCTION("AVERAGE(INDEX(GOOGLEFINANCE(A810, ""price"", TODAY()-30, TODAY()), 0, 2))"),1020.5695652173912)</f>
        <v>1020.569565</v>
      </c>
      <c r="S810" s="9">
        <f>IFERROR(__xludf.DUMMYFUNCTION("AVERAGE(INDEX(GOOGLEFINANCE(A810, ""price"", TODAY()-75, TODAY()), 0, 2))"),969.7367924528303)</f>
        <v>969.7367925</v>
      </c>
      <c r="T810" s="9">
        <f>IFERROR(__xludf.DUMMYFUNCTION("AVERAGE(INDEX(GOOGLEFINANCE(A810, ""price"", TODAY()-300, TODAY()), 0, 2))"),766.5853960396046)</f>
        <v>766.585396</v>
      </c>
      <c r="U810" s="9">
        <f t="shared" si="5"/>
        <v>0.043730909</v>
      </c>
      <c r="V810" s="15">
        <f>IFERROR(__xludf.DUMMYFUNCTION("LET(hist, GOOGLEFINANCE(A810,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rs))))))"),75.08710801393724)</f>
        <v>75.08710801</v>
      </c>
      <c r="W810" s="16" t="str">
        <f>IFERROR(__xludf.DUMMYFUNCTION("IFERROR(GOOGLEFINANCE(A810, ""volume"") / GOOGLEFINANCE(A810, ""volumeavg""), )"),"")</f>
        <v/>
      </c>
      <c r="X810" s="9">
        <f>IFERROR(__xludf.DUMMYFUNCTION("B810 * GOOGLEFINANCE(A810, ""volume"")"),5.2409970400000006E7)</f>
        <v>52409970.4</v>
      </c>
      <c r="Y810" s="9">
        <f>IFERROR(__xludf.DUMMYFUNCTION("IFERROR(((B810 - GOOGLEFINANCE(A810, ""priceopen"")) / GOOGLEFINANCE(A810, ""priceopen"")) * GOOGLEFINANCE(A810, ""volume""), 0)"),-853.3188191881899)</f>
        <v>-853.3188192</v>
      </c>
    </row>
    <row r="811">
      <c r="A811" s="4" t="s">
        <v>2604</v>
      </c>
      <c r="B811" s="7">
        <f>IFERROR(__xludf.DUMMYFUNCTION("GOOGLEFINANCE(A811, ""price"")"),879.2)</f>
        <v>879.2</v>
      </c>
      <c r="C811" s="7">
        <f>IFERROR(__xludf.DUMMYFUNCTION("GOOGLEFINANCE(A811, ""changepct"")"),0.26)</f>
        <v>0.26</v>
      </c>
      <c r="D811" s="9">
        <f>IFERROR(__xludf.DUMMYFUNCTION("GOOGLEFINANCE(A811, ""priceopen"")"),883.9)</f>
        <v>883.9</v>
      </c>
      <c r="E811" s="9">
        <f>IFERROR(__xludf.DUMMYFUNCTION("GOOGLEFINANCE(A811, ""high"")"),897.95)</f>
        <v>897.95</v>
      </c>
      <c r="F811" s="9">
        <f>IFERROR(__xludf.DUMMYFUNCTION("GOOGLEFINANCE(A811, ""low"")"),877.35)</f>
        <v>877.35</v>
      </c>
      <c r="G811" s="9">
        <f>IFERROR(__xludf.DUMMYFUNCTION("GOOGLEFINANCE(A811, ""price"")"),879.2)</f>
        <v>879.2</v>
      </c>
      <c r="H811" s="9">
        <f>IFERROR(__xludf.DUMMYFUNCTION("MAX(INDEX(GOOGLEFINANCE(A811, ""high"", TODAY()-30, TODAY()), 0, 2))"),973.0)</f>
        <v>973</v>
      </c>
      <c r="I811" s="9">
        <f>IFERROR(__xludf.DUMMYFUNCTION("MIN(INDEX(GOOGLEFINANCE(A811, ""low"", TODAY()-30, TODAY()), 0, 2))"),816.45)</f>
        <v>816.45</v>
      </c>
      <c r="J811" s="9">
        <f>IFERROR(__xludf.DUMMYFUNCTION("GOOGLEFINANCE(A811, ""high52"")"),1189.9)</f>
        <v>1189.9</v>
      </c>
      <c r="K811" s="9">
        <f>IFERROR(__xludf.DUMMYFUNCTION("GOOGLEFINANCE(A811, ""low52"")"),700.0)</f>
        <v>700</v>
      </c>
      <c r="L811" s="9">
        <f t="shared" si="1"/>
        <v>0.2611143794</v>
      </c>
      <c r="M811" s="9">
        <f t="shared" si="2"/>
        <v>0.256</v>
      </c>
      <c r="N811" s="9">
        <f t="shared" si="3"/>
        <v>0.02347979712</v>
      </c>
      <c r="O811" s="9">
        <f t="shared" si="4"/>
        <v>0.4008304056</v>
      </c>
      <c r="P811" s="9">
        <f>IFERROR(__xludf.DUMMYFUNCTION("GOOGLEFINANCE(A811, ""pe"")"),14.61)</f>
        <v>14.61</v>
      </c>
      <c r="Q811" s="9">
        <f>IFERROR(__xludf.DUMMYFUNCTION("IFERROR(GOOGLEFINANCE(A811, ""volume"") / GOOGLEFINANCE(A811, ""volumeavg""), 0)"),0.0)</f>
        <v>0</v>
      </c>
      <c r="R811" s="9">
        <f>IFERROR(__xludf.DUMMYFUNCTION("AVERAGE(INDEX(GOOGLEFINANCE(A811, ""price"", TODAY()-30, TODAY()), 0, 2))"),871.2891304347825)</f>
        <v>871.2891304</v>
      </c>
      <c r="S811" s="9">
        <f>IFERROR(__xludf.DUMMYFUNCTION("AVERAGE(INDEX(GOOGLEFINANCE(A811, ""price"", TODAY()-75, TODAY()), 0, 2))"),851.4188679245284)</f>
        <v>851.4188679</v>
      </c>
      <c r="T811" s="9">
        <f>IFERROR(__xludf.DUMMYFUNCTION("AVERAGE(INDEX(GOOGLEFINANCE(A811, ""price"", TODAY()-300, TODAY()), 0, 2))"),895.3101485148508)</f>
        <v>895.3101485</v>
      </c>
      <c r="U811" s="9">
        <f t="shared" si="5"/>
        <v>0.009079499891</v>
      </c>
      <c r="V811" s="15">
        <f>IFERROR(__xludf.DUMMYFUNCTION("LET(hist, GOOGLEFINANCE(A811,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rs))))))"),59.30147058823528)</f>
        <v>59.30147059</v>
      </c>
      <c r="W811" s="16" t="str">
        <f>IFERROR(__xludf.DUMMYFUNCTION("IFERROR(GOOGLEFINANCE(A811, ""volume"") / GOOGLEFINANCE(A811, ""volumeavg""), )"),"")</f>
        <v/>
      </c>
      <c r="X811" s="9">
        <f>IFERROR(__xludf.DUMMYFUNCTION("B811 * GOOGLEFINANCE(A811, ""volume"")"),5.8158200800000004E7)</f>
        <v>58158200.8</v>
      </c>
      <c r="Y811" s="9">
        <f>IFERROR(__xludf.DUMMYFUNCTION("IFERROR(((B811 - GOOGLEFINANCE(A811, ""priceopen"")) / GOOGLEFINANCE(A811, ""priceopen"")) * GOOGLEFINANCE(A811, ""volume""), 0)"),-351.7369611947002)</f>
        <v>-351.7369612</v>
      </c>
    </row>
    <row r="812">
      <c r="A812" s="4" t="s">
        <v>2605</v>
      </c>
      <c r="B812" s="7">
        <f>IFERROR(__xludf.DUMMYFUNCTION("GOOGLEFINANCE(A812, ""price"")"),210.5)</f>
        <v>210.5</v>
      </c>
      <c r="C812" s="7">
        <f>IFERROR(__xludf.DUMMYFUNCTION("GOOGLEFINANCE(A812, ""changepct"")"),-0.85)</f>
        <v>-0.85</v>
      </c>
      <c r="D812" s="9">
        <f>IFERROR(__xludf.DUMMYFUNCTION("GOOGLEFINANCE(A812, ""priceopen"")"),211.5)</f>
        <v>211.5</v>
      </c>
      <c r="E812" s="9">
        <f>IFERROR(__xludf.DUMMYFUNCTION("GOOGLEFINANCE(A812, ""high"")"),214.6)</f>
        <v>214.6</v>
      </c>
      <c r="F812" s="9">
        <f>IFERROR(__xludf.DUMMYFUNCTION("GOOGLEFINANCE(A812, ""low"")"),209.6)</f>
        <v>209.6</v>
      </c>
      <c r="G812" s="9">
        <f>IFERROR(__xludf.DUMMYFUNCTION("GOOGLEFINANCE(A812, ""price"")"),210.5)</f>
        <v>210.5</v>
      </c>
      <c r="H812" s="9">
        <f>IFERROR(__xludf.DUMMYFUNCTION("MAX(INDEX(GOOGLEFINANCE(A812, ""high"", TODAY()-30, TODAY()), 0, 2))"),261.8)</f>
        <v>261.8</v>
      </c>
      <c r="I812" s="9">
        <f>IFERROR(__xludf.DUMMYFUNCTION("MIN(INDEX(GOOGLEFINANCE(A812, ""low"", TODAY()-30, TODAY()), 0, 2))"),206.5)</f>
        <v>206.5</v>
      </c>
      <c r="J812" s="9">
        <f>IFERROR(__xludf.DUMMYFUNCTION("GOOGLEFINANCE(A812, ""high52"")"),305.0)</f>
        <v>305</v>
      </c>
      <c r="K812" s="9">
        <f>IFERROR(__xludf.DUMMYFUNCTION("GOOGLEFINANCE(A812, ""low52"")"),160.69)</f>
        <v>160.69</v>
      </c>
      <c r="L812" s="9">
        <f t="shared" si="1"/>
        <v>0.3098360656</v>
      </c>
      <c r="M812" s="9">
        <f t="shared" si="2"/>
        <v>0.3099757297</v>
      </c>
      <c r="N812" s="9">
        <f t="shared" si="3"/>
        <v>0.02385496183</v>
      </c>
      <c r="O812" s="9">
        <f t="shared" si="4"/>
        <v>0.07233273056</v>
      </c>
      <c r="P812" s="9">
        <f>IFERROR(__xludf.DUMMYFUNCTION("GOOGLEFINANCE(A812, ""pe"")"),78.25)</f>
        <v>78.25</v>
      </c>
      <c r="Q812" s="9">
        <f>IFERROR(__xludf.DUMMYFUNCTION("IFERROR(GOOGLEFINANCE(A812, ""volume"") / GOOGLEFINANCE(A812, ""volumeavg""), 0)"),0.0)</f>
        <v>0</v>
      </c>
      <c r="R812" s="9">
        <f>IFERROR(__xludf.DUMMYFUNCTION("AVERAGE(INDEX(GOOGLEFINANCE(A812, ""price"", TODAY()-30, TODAY()), 0, 2))"),217.4891304347826)</f>
        <v>217.4891304</v>
      </c>
      <c r="S812" s="9">
        <f>IFERROR(__xludf.DUMMYFUNCTION("AVERAGE(INDEX(GOOGLEFINANCE(A812, ""price"", TODAY()-75, TODAY()), 0, 2))"),216.03924528301886)</f>
        <v>216.0392453</v>
      </c>
      <c r="T812" s="9">
        <f>IFERROR(__xludf.DUMMYFUNCTION("AVERAGE(INDEX(GOOGLEFINANCE(A812, ""price"", TODAY()-300, TODAY()), 0, 2))"),225.2347029702971)</f>
        <v>225.234703</v>
      </c>
      <c r="U812" s="9">
        <f t="shared" si="5"/>
        <v>-0.03213553901</v>
      </c>
      <c r="V812" s="15">
        <f>IFERROR(__xludf.DUMMYFUNCTION("LET(hist, GOOGLEFINANCE(A812,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rs))))))"),51.539297356030474)</f>
        <v>51.53929736</v>
      </c>
      <c r="W812" s="16" t="str">
        <f>IFERROR(__xludf.DUMMYFUNCTION("IFERROR(GOOGLEFINANCE(A812, ""volume"") / GOOGLEFINANCE(A812, ""volumeavg""), )"),"")</f>
        <v/>
      </c>
      <c r="X812" s="9">
        <f>IFERROR(__xludf.DUMMYFUNCTION("B812 * GOOGLEFINANCE(A812, ""volume"")"),1.34423195E7)</f>
        <v>13442319.5</v>
      </c>
      <c r="Y812" s="9">
        <f>IFERROR(__xludf.DUMMYFUNCTION("IFERROR(((B812 - GOOGLEFINANCE(A812, ""priceopen"")) / GOOGLEFINANCE(A812, ""priceopen"")) * GOOGLEFINANCE(A812, ""volume""), 0)"),-301.9338061465721)</f>
        <v>-301.9338061</v>
      </c>
    </row>
    <row r="813">
      <c r="A813" s="4" t="s">
        <v>2606</v>
      </c>
      <c r="B813" s="7">
        <f>IFERROR(__xludf.DUMMYFUNCTION("GOOGLEFINANCE(A813, ""price"")"),335.5)</f>
        <v>335.5</v>
      </c>
      <c r="C813" s="7">
        <f>IFERROR(__xludf.DUMMYFUNCTION("GOOGLEFINANCE(A813, ""changepct"")"),3.49)</f>
        <v>3.49</v>
      </c>
      <c r="D813" s="9">
        <f>IFERROR(__xludf.DUMMYFUNCTION("GOOGLEFINANCE(A813, ""priceopen"")"),324.0)</f>
        <v>324</v>
      </c>
      <c r="E813" s="9">
        <f>IFERROR(__xludf.DUMMYFUNCTION("GOOGLEFINANCE(A813, ""high"")"),335.5)</f>
        <v>335.5</v>
      </c>
      <c r="F813" s="9">
        <f>IFERROR(__xludf.DUMMYFUNCTION("GOOGLEFINANCE(A813, ""low"")"),323.35)</f>
        <v>323.35</v>
      </c>
      <c r="G813" s="9">
        <f>IFERROR(__xludf.DUMMYFUNCTION("GOOGLEFINANCE(A813, ""price"")"),335.5)</f>
        <v>335.5</v>
      </c>
      <c r="H813" s="9">
        <f>IFERROR(__xludf.DUMMYFUNCTION("MAX(INDEX(GOOGLEFINANCE(A813, ""high"", TODAY()-30, TODAY()), 0, 2))"),349.5)</f>
        <v>349.5</v>
      </c>
      <c r="I813" s="9">
        <f>IFERROR(__xludf.DUMMYFUNCTION("MIN(INDEX(GOOGLEFINANCE(A813, ""low"", TODAY()-30, TODAY()), 0, 2))"),284.35)</f>
        <v>284.35</v>
      </c>
      <c r="J813" s="9">
        <f>IFERROR(__xludf.DUMMYFUNCTION("GOOGLEFINANCE(A813, ""high52"")"),349.5)</f>
        <v>349.5</v>
      </c>
      <c r="K813" s="9">
        <f>IFERROR(__xludf.DUMMYFUNCTION("GOOGLEFINANCE(A813, ""low52"")"),166.3)</f>
        <v>166.3</v>
      </c>
      <c r="L813" s="9">
        <f t="shared" si="1"/>
        <v>0.04005722461</v>
      </c>
      <c r="M813" s="9">
        <f t="shared" si="2"/>
        <v>1.017438364</v>
      </c>
      <c r="N813" s="9">
        <f t="shared" si="3"/>
        <v>0.03757538271</v>
      </c>
      <c r="O813" s="9">
        <f t="shared" si="4"/>
        <v>0.7851112817</v>
      </c>
      <c r="P813" s="9">
        <f>IFERROR(__xludf.DUMMYFUNCTION("GOOGLEFINANCE(A813, ""pe"")"),19.9)</f>
        <v>19.9</v>
      </c>
      <c r="Q813" s="9">
        <f>IFERROR(__xludf.DUMMYFUNCTION("IFERROR(GOOGLEFINANCE(A813, ""volume"") / GOOGLEFINANCE(A813, ""volumeavg""), 0)"),0.0)</f>
        <v>0</v>
      </c>
      <c r="R813" s="9">
        <f>IFERROR(__xludf.DUMMYFUNCTION("AVERAGE(INDEX(GOOGLEFINANCE(A813, ""price"", TODAY()-30, TODAY()), 0, 2))"),308.308695652174)</f>
        <v>308.3086957</v>
      </c>
      <c r="S813" s="9">
        <f>IFERROR(__xludf.DUMMYFUNCTION("AVERAGE(INDEX(GOOGLEFINANCE(A813, ""price"", TODAY()-75, TODAY()), 0, 2))"),276.43471698113206)</f>
        <v>276.434717</v>
      </c>
      <c r="T813" s="9">
        <f>IFERROR(__xludf.DUMMYFUNCTION("AVERAGE(INDEX(GOOGLEFINANCE(A813, ""price"", TODAY()-300, TODAY()), 0, 2))"),224.85767326732685)</f>
        <v>224.8576733</v>
      </c>
      <c r="U813" s="9">
        <f t="shared" si="5"/>
        <v>0.08819506142</v>
      </c>
      <c r="V813" s="15">
        <f>IFERROR(__xludf.DUMMYFUNCTION("LET(hist, GOOGLEFINANCE(A813,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rs))))))"),66.5309814563546)</f>
        <v>66.53098146</v>
      </c>
      <c r="W813" s="16" t="str">
        <f>IFERROR(__xludf.DUMMYFUNCTION("IFERROR(GOOGLEFINANCE(A813, ""volume"") / GOOGLEFINANCE(A813, ""volumeavg""), )"),"")</f>
        <v/>
      </c>
      <c r="X813" s="9">
        <f>IFERROR(__xludf.DUMMYFUNCTION("B813 * GOOGLEFINANCE(A813, ""volume"")"),1.4813667E8)</f>
        <v>148136670</v>
      </c>
      <c r="Y813" s="9">
        <f>IFERROR(__xludf.DUMMYFUNCTION("IFERROR(((B813 - GOOGLEFINANCE(A813, ""priceopen"")) / GOOGLEFINANCE(A813, ""priceopen"")) * GOOGLEFINANCE(A813, ""volume""), 0)"),15671.944444444443)</f>
        <v>15671.94444</v>
      </c>
    </row>
    <row r="814">
      <c r="A814" s="4" t="s">
        <v>2607</v>
      </c>
      <c r="B814" s="7">
        <f>IFERROR(__xludf.DUMMYFUNCTION("GOOGLEFINANCE(A814, ""price"")"),173.3)</f>
        <v>173.3</v>
      </c>
      <c r="C814" s="7">
        <f>IFERROR(__xludf.DUMMYFUNCTION("GOOGLEFINANCE(A814, ""changepct"")"),-0.91)</f>
        <v>-0.91</v>
      </c>
      <c r="D814" s="9">
        <f>IFERROR(__xludf.DUMMYFUNCTION("GOOGLEFINANCE(A814, ""priceopen"")"),175.35)</f>
        <v>175.35</v>
      </c>
      <c r="E814" s="9">
        <f>IFERROR(__xludf.DUMMYFUNCTION("GOOGLEFINANCE(A814, ""high"")"),176.46)</f>
        <v>176.46</v>
      </c>
      <c r="F814" s="9">
        <f>IFERROR(__xludf.DUMMYFUNCTION("GOOGLEFINANCE(A814, ""low"")"),171.93)</f>
        <v>171.93</v>
      </c>
      <c r="G814" s="9">
        <f>IFERROR(__xludf.DUMMYFUNCTION("GOOGLEFINANCE(A814, ""price"")"),173.3)</f>
        <v>173.3</v>
      </c>
      <c r="H814" s="9">
        <f>IFERROR(__xludf.DUMMYFUNCTION("MAX(INDEX(GOOGLEFINANCE(A814, ""high"", TODAY()-30, TODAY()), 0, 2))"),203.8)</f>
        <v>203.8</v>
      </c>
      <c r="I814" s="9">
        <f>IFERROR(__xludf.DUMMYFUNCTION("MIN(INDEX(GOOGLEFINANCE(A814, ""low"", TODAY()-30, TODAY()), 0, 2))"),153.05)</f>
        <v>153.05</v>
      </c>
      <c r="J814" s="9">
        <f>IFERROR(__xludf.DUMMYFUNCTION("GOOGLEFINANCE(A814, ""high52"")"),241.0)</f>
        <v>241</v>
      </c>
      <c r="K814" s="9">
        <f>IFERROR(__xludf.DUMMYFUNCTION("GOOGLEFINANCE(A814, ""low52"")"),107.6)</f>
        <v>107.6</v>
      </c>
      <c r="L814" s="9">
        <f t="shared" si="1"/>
        <v>0.2809128631</v>
      </c>
      <c r="M814" s="9">
        <f t="shared" si="2"/>
        <v>0.6105947955</v>
      </c>
      <c r="N814" s="9">
        <f t="shared" si="3"/>
        <v>0.0263479323</v>
      </c>
      <c r="O814" s="9">
        <f t="shared" si="4"/>
        <v>0.3990147783</v>
      </c>
      <c r="P814" s="9">
        <f>IFERROR(__xludf.DUMMYFUNCTION("GOOGLEFINANCE(A814, ""pe"")"),38.19)</f>
        <v>38.19</v>
      </c>
      <c r="Q814" s="9">
        <f>IFERROR(__xludf.DUMMYFUNCTION("IFERROR(GOOGLEFINANCE(A814, ""volume"") / GOOGLEFINANCE(A814, ""volumeavg""), 0)"),0.0)</f>
        <v>0</v>
      </c>
      <c r="R814" s="9">
        <f>IFERROR(__xludf.DUMMYFUNCTION("AVERAGE(INDEX(GOOGLEFINANCE(A814, ""price"", TODAY()-30, TODAY()), 0, 2))"),179.03782608695653)</f>
        <v>179.0378261</v>
      </c>
      <c r="S814" s="9">
        <f>IFERROR(__xludf.DUMMYFUNCTION("AVERAGE(INDEX(GOOGLEFINANCE(A814, ""price"", TODAY()-75, TODAY()), 0, 2))"),165.59377358490562)</f>
        <v>165.5937736</v>
      </c>
      <c r="T814" s="9">
        <f>IFERROR(__xludf.DUMMYFUNCTION("AVERAGE(INDEX(GOOGLEFINANCE(A814, ""price"", TODAY()-300, TODAY()), 0, 2))"),157.98940594059405)</f>
        <v>157.9894059</v>
      </c>
      <c r="U814" s="9">
        <f t="shared" si="5"/>
        <v>-0.03204812197</v>
      </c>
      <c r="V814" s="15">
        <f>IFERROR(__xludf.DUMMYFUNCTION("LET(hist, GOOGLEFINANCE(A814,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rs))))))"),41.943693335454114)</f>
        <v>41.94369334</v>
      </c>
      <c r="W814" s="16" t="str">
        <f>IFERROR(__xludf.DUMMYFUNCTION("IFERROR(GOOGLEFINANCE(A814, ""volume"") / GOOGLEFINANCE(A814, ""volumeavg""), )"),"")</f>
        <v/>
      </c>
      <c r="X814" s="9">
        <f>IFERROR(__xludf.DUMMYFUNCTION("B814 * GOOGLEFINANCE(A814, ""volume"")"),8.50582395E7)</f>
        <v>85058239.5</v>
      </c>
      <c r="Y814" s="9">
        <f>IFERROR(__xludf.DUMMYFUNCTION("IFERROR(((B814 - GOOGLEFINANCE(A814, ""priceopen"")) / GOOGLEFINANCE(A814, ""priceopen"")) * GOOGLEFINANCE(A814, ""volume""), 0)"),-5738.071000855384)</f>
        <v>-5738.071001</v>
      </c>
    </row>
    <row r="815">
      <c r="A815" s="4" t="s">
        <v>2608</v>
      </c>
      <c r="B815" s="7">
        <f>IFERROR(__xludf.DUMMYFUNCTION("GOOGLEFINANCE(A815, ""price"")"),490.0)</f>
        <v>490</v>
      </c>
      <c r="C815" s="7">
        <f>IFERROR(__xludf.DUMMYFUNCTION("GOOGLEFINANCE(A815, ""changepct"")"),-0.82)</f>
        <v>-0.82</v>
      </c>
      <c r="D815" s="9">
        <f>IFERROR(__xludf.DUMMYFUNCTION("GOOGLEFINANCE(A815, ""priceopen"")"),491.1)</f>
        <v>491.1</v>
      </c>
      <c r="E815" s="9">
        <f>IFERROR(__xludf.DUMMYFUNCTION("GOOGLEFINANCE(A815, ""high"")"),505.95)</f>
        <v>505.95</v>
      </c>
      <c r="F815" s="9">
        <f>IFERROR(__xludf.DUMMYFUNCTION("GOOGLEFINANCE(A815, ""low"")"),477.05)</f>
        <v>477.05</v>
      </c>
      <c r="G815" s="9">
        <f>IFERROR(__xludf.DUMMYFUNCTION("GOOGLEFINANCE(A815, ""price"")"),490.0)</f>
        <v>490</v>
      </c>
      <c r="H815" s="9">
        <f>IFERROR(__xludf.DUMMYFUNCTION("MAX(INDEX(GOOGLEFINANCE(A815, ""high"", TODAY()-30, TODAY()), 0, 2))"),534.85)</f>
        <v>534.85</v>
      </c>
      <c r="I815" s="9">
        <f>IFERROR(__xludf.DUMMYFUNCTION("MIN(INDEX(GOOGLEFINANCE(A815, ""low"", TODAY()-30, TODAY()), 0, 2))"),443.0)</f>
        <v>443</v>
      </c>
      <c r="J815" s="9">
        <f>IFERROR(__xludf.DUMMYFUNCTION("GOOGLEFINANCE(A815, ""high52"")"),553.0)</f>
        <v>553</v>
      </c>
      <c r="K815" s="9">
        <f>IFERROR(__xludf.DUMMYFUNCTION("GOOGLEFINANCE(A815, ""low52"")"),118.0)</f>
        <v>118</v>
      </c>
      <c r="L815" s="9">
        <f t="shared" si="1"/>
        <v>0.1139240506</v>
      </c>
      <c r="M815" s="9">
        <f t="shared" si="2"/>
        <v>3.152542373</v>
      </c>
      <c r="N815" s="9">
        <f t="shared" si="3"/>
        <v>0.06058065192</v>
      </c>
      <c r="O815" s="9">
        <f t="shared" si="4"/>
        <v>0.511703865</v>
      </c>
      <c r="P815" s="9">
        <f>IFERROR(__xludf.DUMMYFUNCTION("GOOGLEFINANCE(A815, ""pe"")"),40.83)</f>
        <v>40.83</v>
      </c>
      <c r="Q815" s="9">
        <f>IFERROR(__xludf.DUMMYFUNCTION("IFERROR(GOOGLEFINANCE(A815, ""volume"") / GOOGLEFINANCE(A815, ""volumeavg""), 0)"),0.0)</f>
        <v>0</v>
      </c>
      <c r="R815" s="9">
        <f>IFERROR(__xludf.DUMMYFUNCTION("AVERAGE(INDEX(GOOGLEFINANCE(A815, ""price"", TODAY()-30, TODAY()), 0, 2))"),480.30869565217375)</f>
        <v>480.3086957</v>
      </c>
      <c r="S815" s="9">
        <f>IFERROR(__xludf.DUMMYFUNCTION("AVERAGE(INDEX(GOOGLEFINANCE(A815, ""price"", TODAY()-75, TODAY()), 0, 2))"),475.5537735849056)</f>
        <v>475.5537736</v>
      </c>
      <c r="T815" s="9">
        <f>IFERROR(__xludf.DUMMYFUNCTION("AVERAGE(INDEX(GOOGLEFINANCE(A815, ""price"", TODAY()-300, TODAY()), 0, 2))"),274.57881188118813)</f>
        <v>274.5788119</v>
      </c>
      <c r="U815" s="9">
        <f t="shared" si="5"/>
        <v>0.02017724109</v>
      </c>
      <c r="V815" s="15">
        <f>IFERROR(__xludf.DUMMYFUNCTION("LET(hist, GOOGLEFINANCE(A815,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rs))))))"),63.0291627469426)</f>
        <v>63.02916275</v>
      </c>
      <c r="W815" s="16" t="str">
        <f>IFERROR(__xludf.DUMMYFUNCTION("IFERROR(GOOGLEFINANCE(A815, ""volume"") / GOOGLEFINANCE(A815, ""volumeavg""), )"),"")</f>
        <v/>
      </c>
      <c r="X815" s="9">
        <f>IFERROR(__xludf.DUMMYFUNCTION("B815 * GOOGLEFINANCE(A815, ""volume"")"),1.3582947E8)</f>
        <v>135829470</v>
      </c>
      <c r="Y815" s="9">
        <f>IFERROR(__xludf.DUMMYFUNCTION("IFERROR(((B815 - GOOGLEFINANCE(A815, ""priceopen"")) / GOOGLEFINANCE(A815, ""priceopen"")) * GOOGLEFINANCE(A815, ""volume""), 0)"),-620.8985949908497)</f>
        <v>-620.898595</v>
      </c>
    </row>
    <row r="816">
      <c r="A816" s="4" t="s">
        <v>2609</v>
      </c>
      <c r="B816" s="7">
        <f>IFERROR(__xludf.DUMMYFUNCTION("GOOGLEFINANCE(A816, ""price"")"),5979.0)</f>
        <v>5979</v>
      </c>
      <c r="C816" s="7">
        <f>IFERROR(__xludf.DUMMYFUNCTION("GOOGLEFINANCE(A816, ""changepct"")"),-0.29)</f>
        <v>-0.29</v>
      </c>
      <c r="D816" s="9">
        <f>IFERROR(__xludf.DUMMYFUNCTION("GOOGLEFINANCE(A816, ""priceopen"")"),6069.5)</f>
        <v>6069.5</v>
      </c>
      <c r="E816" s="9">
        <f>IFERROR(__xludf.DUMMYFUNCTION("GOOGLEFINANCE(A816, ""high"")"),6189.0)</f>
        <v>6189</v>
      </c>
      <c r="F816" s="9">
        <f>IFERROR(__xludf.DUMMYFUNCTION("GOOGLEFINANCE(A816, ""low"")"),5880.5)</f>
        <v>5880.5</v>
      </c>
      <c r="G816" s="9">
        <f>IFERROR(__xludf.DUMMYFUNCTION("GOOGLEFINANCE(A816, ""price"")"),5979.0)</f>
        <v>5979</v>
      </c>
      <c r="H816" s="9">
        <f>IFERROR(__xludf.DUMMYFUNCTION("MAX(INDEX(GOOGLEFINANCE(A816, ""high"", TODAY()-30, TODAY()), 0, 2))"),6189.0)</f>
        <v>6189</v>
      </c>
      <c r="I816" s="9">
        <f>IFERROR(__xludf.DUMMYFUNCTION("MIN(INDEX(GOOGLEFINANCE(A816, ""low"", TODAY()-30, TODAY()), 0, 2))"),5020.5)</f>
        <v>5020.5</v>
      </c>
      <c r="J816" s="9">
        <f>IFERROR(__xludf.DUMMYFUNCTION("GOOGLEFINANCE(A816, ""high52"")"),6934.5)</f>
        <v>6934.5</v>
      </c>
      <c r="K816" s="9">
        <f>IFERROR(__xludf.DUMMYFUNCTION("GOOGLEFINANCE(A816, ""low52"")"),3274.0)</f>
        <v>3274</v>
      </c>
      <c r="L816" s="9">
        <f t="shared" si="1"/>
        <v>0.1377893143</v>
      </c>
      <c r="M816" s="9">
        <f t="shared" si="2"/>
        <v>0.8262064753</v>
      </c>
      <c r="N816" s="9">
        <f t="shared" si="3"/>
        <v>0.05246152538</v>
      </c>
      <c r="O816" s="9">
        <f t="shared" si="4"/>
        <v>0.8202824134</v>
      </c>
      <c r="P816" s="9">
        <f>IFERROR(__xludf.DUMMYFUNCTION("GOOGLEFINANCE(A816, ""pe"")"),29.83)</f>
        <v>29.83</v>
      </c>
      <c r="Q816" s="9">
        <f>IFERROR(__xludf.DUMMYFUNCTION("IFERROR(GOOGLEFINANCE(A816, ""volume"") / GOOGLEFINANCE(A816, ""volumeavg""), 0)"),0.0)</f>
        <v>0</v>
      </c>
      <c r="R816" s="9">
        <f>IFERROR(__xludf.DUMMYFUNCTION("AVERAGE(INDEX(GOOGLEFINANCE(A816, ""price"", TODAY()-30, TODAY()), 0, 2))"),5423.782608695652)</f>
        <v>5423.782609</v>
      </c>
      <c r="S816" s="9">
        <f>IFERROR(__xludf.DUMMYFUNCTION("AVERAGE(INDEX(GOOGLEFINANCE(A816, ""price"", TODAY()-75, TODAY()), 0, 2))"),5362.924528301887)</f>
        <v>5362.924528</v>
      </c>
      <c r="T816" s="9">
        <f>IFERROR(__xludf.DUMMYFUNCTION("AVERAGE(INDEX(GOOGLEFINANCE(A816, ""price"", TODAY()-300, TODAY()), 0, 2))"),5348.5990099009905)</f>
        <v>5348.59901</v>
      </c>
      <c r="U816" s="9">
        <f t="shared" si="5"/>
        <v>0.1023671912</v>
      </c>
      <c r="V816" s="15">
        <f>IFERROR(__xludf.DUMMYFUNCTION("LET(hist, GOOGLEFINANCE(A816,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rs))))))"),79.36721642544597)</f>
        <v>79.36721643</v>
      </c>
      <c r="W816" s="16" t="str">
        <f>IFERROR(__xludf.DUMMYFUNCTION("IFERROR(GOOGLEFINANCE(A816, ""volume"") / GOOGLEFINANCE(A816, ""volumeavg""), )"),"")</f>
        <v/>
      </c>
      <c r="X816" s="9">
        <f>IFERROR(__xludf.DUMMYFUNCTION("B816 * GOOGLEFINANCE(A816, ""volume"")"),2.33569635E8)</f>
        <v>233569635</v>
      </c>
      <c r="Y816" s="9">
        <f>IFERROR(__xludf.DUMMYFUNCTION("IFERROR(((B816 - GOOGLEFINANCE(A816, ""priceopen"")) / GOOGLEFINANCE(A816, ""priceopen"")) * GOOGLEFINANCE(A816, ""volume""), 0)"),-582.4833182304967)</f>
        <v>-582.4833182</v>
      </c>
    </row>
    <row r="817">
      <c r="A817" s="4" t="s">
        <v>2610</v>
      </c>
      <c r="B817" s="7">
        <f>IFERROR(__xludf.DUMMYFUNCTION("GOOGLEFINANCE(A817, ""price"")"),670.85)</f>
        <v>670.85</v>
      </c>
      <c r="C817" s="7">
        <f>IFERROR(__xludf.DUMMYFUNCTION("GOOGLEFINANCE(A817, ""changepct"")"),-0.96)</f>
        <v>-0.96</v>
      </c>
      <c r="D817" s="9">
        <f>IFERROR(__xludf.DUMMYFUNCTION("GOOGLEFINANCE(A817, ""priceopen"")"),670.05)</f>
        <v>670.05</v>
      </c>
      <c r="E817" s="9">
        <f>IFERROR(__xludf.DUMMYFUNCTION("GOOGLEFINANCE(A817, ""high"")"),677.55)</f>
        <v>677.55</v>
      </c>
      <c r="F817" s="9">
        <f>IFERROR(__xludf.DUMMYFUNCTION("GOOGLEFINANCE(A817, ""low"")"),666.05)</f>
        <v>666.05</v>
      </c>
      <c r="G817" s="9">
        <f>IFERROR(__xludf.DUMMYFUNCTION("GOOGLEFINANCE(A817, ""price"")"),670.85)</f>
        <v>670.85</v>
      </c>
      <c r="H817" s="9">
        <f>IFERROR(__xludf.DUMMYFUNCTION("MAX(INDEX(GOOGLEFINANCE(A817, ""high"", TODAY()-30, TODAY()), 0, 2))"),719.0)</f>
        <v>719</v>
      </c>
      <c r="I817" s="9">
        <f>IFERROR(__xludf.DUMMYFUNCTION("MIN(INDEX(GOOGLEFINANCE(A817, ""low"", TODAY()-30, TODAY()), 0, 2))"),578.05)</f>
        <v>578.05</v>
      </c>
      <c r="J817" s="9">
        <f>IFERROR(__xludf.DUMMYFUNCTION("GOOGLEFINANCE(A817, ""high52"")"),815.0)</f>
        <v>815</v>
      </c>
      <c r="K817" s="9">
        <f>IFERROR(__xludf.DUMMYFUNCTION("GOOGLEFINANCE(A817, ""low52"")"),409.15)</f>
        <v>409.15</v>
      </c>
      <c r="L817" s="9">
        <f t="shared" si="1"/>
        <v>0.1768711656</v>
      </c>
      <c r="M817" s="9">
        <f t="shared" si="2"/>
        <v>0.6396187217</v>
      </c>
      <c r="N817" s="9">
        <f t="shared" si="3"/>
        <v>0.01726597102</v>
      </c>
      <c r="O817" s="9">
        <f t="shared" si="4"/>
        <v>0.6583894998</v>
      </c>
      <c r="P817" s="9">
        <f>IFERROR(__xludf.DUMMYFUNCTION("GOOGLEFINANCE(A817, ""pe"")"),74.21)</f>
        <v>74.21</v>
      </c>
      <c r="Q817" s="9">
        <f>IFERROR(__xludf.DUMMYFUNCTION("IFERROR(GOOGLEFINANCE(A817, ""volume"") / GOOGLEFINANCE(A817, ""volumeavg""), 0)"),0.0)</f>
        <v>0</v>
      </c>
      <c r="R817" s="9">
        <f>IFERROR(__xludf.DUMMYFUNCTION("AVERAGE(INDEX(GOOGLEFINANCE(A817, ""price"", TODAY()-30, TODAY()), 0, 2))"),652.845652173913)</f>
        <v>652.8456522</v>
      </c>
      <c r="S817" s="9">
        <f>IFERROR(__xludf.DUMMYFUNCTION("AVERAGE(INDEX(GOOGLEFINANCE(A817, ""price"", TODAY()-75, TODAY()), 0, 2))"),640.3839622641509)</f>
        <v>640.3839623</v>
      </c>
      <c r="T817" s="9">
        <f>IFERROR(__xludf.DUMMYFUNCTION("AVERAGE(INDEX(GOOGLEFINANCE(A817, ""price"", TODAY()-300, TODAY()), 0, 2))"),577.5599502487562)</f>
        <v>577.5599502</v>
      </c>
      <c r="U817" s="9">
        <f t="shared" si="5"/>
        <v>0.02757826106</v>
      </c>
      <c r="V817" s="15">
        <f>IFERROR(__xludf.DUMMYFUNCTION("LET(hist, GOOGLEFINANCE(A817,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rs))))))"),58.59257022047722)</f>
        <v>58.59257022</v>
      </c>
      <c r="W817" s="16" t="str">
        <f>IFERROR(__xludf.DUMMYFUNCTION("IFERROR(GOOGLEFINANCE(A817, ""volume"") / GOOGLEFINANCE(A817, ""volumeavg""), )"),"")</f>
        <v/>
      </c>
      <c r="X817" s="9">
        <f>IFERROR(__xludf.DUMMYFUNCTION("B817 * GOOGLEFINANCE(A817, ""volume"")"),2.4019113400000002E7)</f>
        <v>24019113.4</v>
      </c>
      <c r="Y817" s="9">
        <f>IFERROR(__xludf.DUMMYFUNCTION("IFERROR(((B817 - GOOGLEFINANCE(A817, ""priceopen"")) / GOOGLEFINANCE(A817, ""priceopen"")) * GOOGLEFINANCE(A817, ""volume""), 0)"),42.74785463771725)</f>
        <v>42.74785464</v>
      </c>
    </row>
    <row r="818">
      <c r="A818" s="4" t="s">
        <v>2611</v>
      </c>
      <c r="B818" s="7">
        <f>IFERROR(__xludf.DUMMYFUNCTION("GOOGLEFINANCE(A818, ""price"")"),323.2)</f>
        <v>323.2</v>
      </c>
      <c r="C818" s="7">
        <f>IFERROR(__xludf.DUMMYFUNCTION("GOOGLEFINANCE(A818, ""changepct"")"),1.03)</f>
        <v>1.03</v>
      </c>
      <c r="D818" s="9">
        <f>IFERROR(__xludf.DUMMYFUNCTION("GOOGLEFINANCE(A818, ""priceopen"")"),326.9)</f>
        <v>326.9</v>
      </c>
      <c r="E818" s="9">
        <f>IFERROR(__xludf.DUMMYFUNCTION("GOOGLEFINANCE(A818, ""high"")"),333.0)</f>
        <v>333</v>
      </c>
      <c r="F818" s="9">
        <f>IFERROR(__xludf.DUMMYFUNCTION("GOOGLEFINANCE(A818, ""low"")"),319.9)</f>
        <v>319.9</v>
      </c>
      <c r="G818" s="9">
        <f>IFERROR(__xludf.DUMMYFUNCTION("GOOGLEFINANCE(A818, ""price"")"),323.2)</f>
        <v>323.2</v>
      </c>
      <c r="H818" s="9">
        <f>IFERROR(__xludf.DUMMYFUNCTION("MAX(INDEX(GOOGLEFINANCE(A818, ""high"", TODAY()-30, TODAY()), 0, 2))"),351.85)</f>
        <v>351.85</v>
      </c>
      <c r="I818" s="9">
        <f>IFERROR(__xludf.DUMMYFUNCTION("MIN(INDEX(GOOGLEFINANCE(A818, ""low"", TODAY()-30, TODAY()), 0, 2))"),302.0)</f>
        <v>302</v>
      </c>
      <c r="J818" s="9">
        <f>IFERROR(__xludf.DUMMYFUNCTION("GOOGLEFINANCE(A818, ""high52"")"),380.2)</f>
        <v>380.2</v>
      </c>
      <c r="K818" s="9">
        <f>IFERROR(__xludf.DUMMYFUNCTION("GOOGLEFINANCE(A818, ""low52"")"),222.5)</f>
        <v>222.5</v>
      </c>
      <c r="L818" s="9">
        <f t="shared" si="1"/>
        <v>0.1499210942</v>
      </c>
      <c r="M818" s="9">
        <f t="shared" si="2"/>
        <v>0.4525842697</v>
      </c>
      <c r="N818" s="9">
        <f t="shared" si="3"/>
        <v>0.04095029697</v>
      </c>
      <c r="O818" s="9">
        <f t="shared" si="4"/>
        <v>0.4252758275</v>
      </c>
      <c r="P818" s="9">
        <f>IFERROR(__xludf.DUMMYFUNCTION("GOOGLEFINANCE(A818, ""pe"")"),35.59)</f>
        <v>35.59</v>
      </c>
      <c r="Q818" s="9">
        <f>IFERROR(__xludf.DUMMYFUNCTION("IFERROR(GOOGLEFINANCE(A818, ""volume"") / GOOGLEFINANCE(A818, ""volumeavg""), 0)"),0.0)</f>
        <v>0</v>
      </c>
      <c r="R818" s="9">
        <f>IFERROR(__xludf.DUMMYFUNCTION("AVERAGE(INDEX(GOOGLEFINANCE(A818, ""price"", TODAY()-30, TODAY()), 0, 2))"),319.4260869565218)</f>
        <v>319.426087</v>
      </c>
      <c r="S818" s="9">
        <f>IFERROR(__xludf.DUMMYFUNCTION("AVERAGE(INDEX(GOOGLEFINANCE(A818, ""price"", TODAY()-75, TODAY()), 0, 2))"),319.33679245283025)</f>
        <v>319.3367925</v>
      </c>
      <c r="T818" s="9">
        <f>IFERROR(__xludf.DUMMYFUNCTION("AVERAGE(INDEX(GOOGLEFINANCE(A818, ""price"", TODAY()-300, TODAY()), 0, 2))"),300.1361881188119)</f>
        <v>300.1361881</v>
      </c>
      <c r="U818" s="9">
        <f t="shared" si="5"/>
        <v>0.01181466761</v>
      </c>
      <c r="V818" s="15">
        <f>IFERROR(__xludf.DUMMYFUNCTION("LET(hist, GOOGLEFINANCE(A818,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rs))))))"),59.25925925925924)</f>
        <v>59.25925926</v>
      </c>
      <c r="W818" s="16" t="str">
        <f>IFERROR(__xludf.DUMMYFUNCTION("IFERROR(GOOGLEFINANCE(A818, ""volume"") / GOOGLEFINANCE(A818, ""volumeavg""), )"),"")</f>
        <v/>
      </c>
      <c r="X818" s="9">
        <f>IFERROR(__xludf.DUMMYFUNCTION("B818 * GOOGLEFINANCE(A818, ""volume"")"),6.5613801599999994E7)</f>
        <v>65613801.6</v>
      </c>
      <c r="Y818" s="9">
        <f>IFERROR(__xludf.DUMMYFUNCTION("IFERROR(((B818 - GOOGLEFINANCE(A818, ""priceopen"")) / GOOGLEFINANCE(A818, ""priceopen"")) * GOOGLEFINANCE(A818, ""volume""), 0)"),-2297.7916794126577)</f>
        <v>-2297.791679</v>
      </c>
    </row>
    <row r="819">
      <c r="A819" s="4" t="s">
        <v>2612</v>
      </c>
      <c r="B819" s="7">
        <f>IFERROR(__xludf.DUMMYFUNCTION("GOOGLEFINANCE(A819, ""price"")"),857.7)</f>
        <v>857.7</v>
      </c>
      <c r="C819" s="7">
        <f>IFERROR(__xludf.DUMMYFUNCTION("GOOGLEFINANCE(A819, ""changepct"")"),-0.58)</f>
        <v>-0.58</v>
      </c>
      <c r="D819" s="9">
        <f>IFERROR(__xludf.DUMMYFUNCTION("GOOGLEFINANCE(A819, ""priceopen"")"),865.5)</f>
        <v>865.5</v>
      </c>
      <c r="E819" s="9">
        <f>IFERROR(__xludf.DUMMYFUNCTION("GOOGLEFINANCE(A819, ""high"")"),872.25)</f>
        <v>872.25</v>
      </c>
      <c r="F819" s="9">
        <f>IFERROR(__xludf.DUMMYFUNCTION("GOOGLEFINANCE(A819, ""low"")"),851.3)</f>
        <v>851.3</v>
      </c>
      <c r="G819" s="9">
        <f>IFERROR(__xludf.DUMMYFUNCTION("GOOGLEFINANCE(A819, ""price"")"),857.7)</f>
        <v>857.7</v>
      </c>
      <c r="H819" s="9">
        <f>IFERROR(__xludf.DUMMYFUNCTION("MAX(INDEX(GOOGLEFINANCE(A819, ""high"", TODAY()-30, TODAY()), 0, 2))"),918.0)</f>
        <v>918</v>
      </c>
      <c r="I819" s="9">
        <f>IFERROR(__xludf.DUMMYFUNCTION("MIN(INDEX(GOOGLEFINANCE(A819, ""low"", TODAY()-30, TODAY()), 0, 2))"),814.35)</f>
        <v>814.35</v>
      </c>
      <c r="J819" s="9">
        <f>IFERROR(__xludf.DUMMYFUNCTION("GOOGLEFINANCE(A819, ""high52"")"),1088.0)</f>
        <v>1088</v>
      </c>
      <c r="K819" s="9">
        <f>IFERROR(__xludf.DUMMYFUNCTION("GOOGLEFINANCE(A819, ""low52"")"),632.0)</f>
        <v>632</v>
      </c>
      <c r="L819" s="9">
        <f t="shared" si="1"/>
        <v>0.2116727941</v>
      </c>
      <c r="M819" s="9">
        <f t="shared" si="2"/>
        <v>0.3571202532</v>
      </c>
      <c r="N819" s="9">
        <f t="shared" si="3"/>
        <v>0.02460942089</v>
      </c>
      <c r="O819" s="9">
        <f t="shared" si="4"/>
        <v>0.4182344428</v>
      </c>
      <c r="P819" s="9">
        <f>IFERROR(__xludf.DUMMYFUNCTION("GOOGLEFINANCE(A819, ""pe"")"),23.45)</f>
        <v>23.45</v>
      </c>
      <c r="Q819" s="9">
        <f>IFERROR(__xludf.DUMMYFUNCTION("IFERROR(GOOGLEFINANCE(A819, ""volume"") / GOOGLEFINANCE(A819, ""volumeavg""), 0)"),0.0)</f>
        <v>0</v>
      </c>
      <c r="R819" s="9">
        <f>IFERROR(__xludf.DUMMYFUNCTION("AVERAGE(INDEX(GOOGLEFINANCE(A819, ""price"", TODAY()-30, TODAY()), 0, 2))"),847.704347826087)</f>
        <v>847.7043478</v>
      </c>
      <c r="S819" s="9">
        <f>IFERROR(__xludf.DUMMYFUNCTION("AVERAGE(INDEX(GOOGLEFINANCE(A819, ""price"", TODAY()-75, TODAY()), 0, 2))"),824.9764150943396)</f>
        <v>824.9764151</v>
      </c>
      <c r="T819" s="9">
        <f>IFERROR(__xludf.DUMMYFUNCTION("AVERAGE(INDEX(GOOGLEFINANCE(A819, ""price"", TODAY()-300, TODAY()), 0, 2))"),790.9366336633663)</f>
        <v>790.9366337</v>
      </c>
      <c r="U819" s="9">
        <f t="shared" si="5"/>
        <v>0.01179143672</v>
      </c>
      <c r="V819" s="15">
        <f>IFERROR(__xludf.DUMMYFUNCTION("LET(hist, GOOGLEFINANCE(A819,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rs))))))"),57.74460143961614)</f>
        <v>57.74460144</v>
      </c>
      <c r="W819" s="16" t="str">
        <f>IFERROR(__xludf.DUMMYFUNCTION("IFERROR(GOOGLEFINANCE(A819, ""volume"") / GOOGLEFINANCE(A819, ""volumeavg""), )"),"")</f>
        <v/>
      </c>
      <c r="X819" s="9">
        <f>IFERROR(__xludf.DUMMYFUNCTION("B819 * GOOGLEFINANCE(A819, ""volume"")"),1.9374242220000002E8)</f>
        <v>193742422.2</v>
      </c>
      <c r="Y819" s="9">
        <f>IFERROR(__xludf.DUMMYFUNCTION("IFERROR(((B819 - GOOGLEFINANCE(A819, ""priceopen"")) / GOOGLEFINANCE(A819, ""priceopen"")) * GOOGLEFINANCE(A819, ""volume""), 0)"),-2035.7143847486884)</f>
        <v>-2035.714385</v>
      </c>
    </row>
    <row r="820">
      <c r="A820" s="4" t="s">
        <v>2613</v>
      </c>
      <c r="B820" s="7">
        <f>IFERROR(__xludf.DUMMYFUNCTION("GOOGLEFINANCE(A820, ""price"")"),107.0)</f>
        <v>107</v>
      </c>
      <c r="C820" s="7">
        <f>IFERROR(__xludf.DUMMYFUNCTION("GOOGLEFINANCE(A820, ""changepct"")"),-2.22)</f>
        <v>-2.22</v>
      </c>
      <c r="D820" s="9">
        <f>IFERROR(__xludf.DUMMYFUNCTION("GOOGLEFINANCE(A820, ""priceopen"")"),110.35)</f>
        <v>110.35</v>
      </c>
      <c r="E820" s="9">
        <f>IFERROR(__xludf.DUMMYFUNCTION("GOOGLEFINANCE(A820, ""high"")"),110.35)</f>
        <v>110.35</v>
      </c>
      <c r="F820" s="9">
        <f>IFERROR(__xludf.DUMMYFUNCTION("GOOGLEFINANCE(A820, ""low"")"),106.49)</f>
        <v>106.49</v>
      </c>
      <c r="G820" s="9">
        <f>IFERROR(__xludf.DUMMYFUNCTION("GOOGLEFINANCE(A820, ""price"")"),107.0)</f>
        <v>107</v>
      </c>
      <c r="H820" s="9">
        <f>IFERROR(__xludf.DUMMYFUNCTION("MAX(INDEX(GOOGLEFINANCE(A820, ""high"", TODAY()-30, TODAY()), 0, 2))"),111.45)</f>
        <v>111.45</v>
      </c>
      <c r="I820" s="9">
        <f>IFERROR(__xludf.DUMMYFUNCTION("MIN(INDEX(GOOGLEFINANCE(A820, ""low"", TODAY()-30, TODAY()), 0, 2))"),97.08)</f>
        <v>97.08</v>
      </c>
      <c r="J820" s="9">
        <f>IFERROR(__xludf.DUMMYFUNCTION("GOOGLEFINANCE(A820, ""high52"")"),181.55)</f>
        <v>181.55</v>
      </c>
      <c r="K820" s="9">
        <f>IFERROR(__xludf.DUMMYFUNCTION("GOOGLEFINANCE(A820, ""low52"")"),86.35)</f>
        <v>86.35</v>
      </c>
      <c r="L820" s="9">
        <f t="shared" si="1"/>
        <v>0.4106306803</v>
      </c>
      <c r="M820" s="9">
        <f t="shared" si="2"/>
        <v>0.2391430226</v>
      </c>
      <c r="N820" s="9">
        <f t="shared" si="3"/>
        <v>0.03624753498</v>
      </c>
      <c r="O820" s="9">
        <f t="shared" si="4"/>
        <v>0.6903270703</v>
      </c>
      <c r="P820" s="9">
        <f>IFERROR(__xludf.DUMMYFUNCTION("GOOGLEFINANCE(A820, ""pe"")"),22.81)</f>
        <v>22.81</v>
      </c>
      <c r="Q820" s="9">
        <f>IFERROR(__xludf.DUMMYFUNCTION("IFERROR(GOOGLEFINANCE(A820, ""volume"") / GOOGLEFINANCE(A820, ""volumeavg""), 0)"),0.0)</f>
        <v>0</v>
      </c>
      <c r="R820" s="9">
        <f>IFERROR(__xludf.DUMMYFUNCTION("AVERAGE(INDEX(GOOGLEFINANCE(A820, ""price"", TODAY()-30, TODAY()), 0, 2))"),103.26478260869564)</f>
        <v>103.2647826</v>
      </c>
      <c r="S820" s="9">
        <f>IFERROR(__xludf.DUMMYFUNCTION("AVERAGE(INDEX(GOOGLEFINANCE(A820, ""price"", TODAY()-75, TODAY()), 0, 2))"),104.49509433962265)</f>
        <v>104.4950943</v>
      </c>
      <c r="T820" s="9">
        <f>IFERROR(__xludf.DUMMYFUNCTION("AVERAGE(INDEX(GOOGLEFINANCE(A820, ""price"", TODAY()-300, TODAY()), 0, 2))"),118.06054455445542)</f>
        <v>118.0605446</v>
      </c>
      <c r="U820" s="9">
        <f t="shared" si="5"/>
        <v>0.03617126088</v>
      </c>
      <c r="V820" s="15">
        <f>IFERROR(__xludf.DUMMYFUNCTION("LET(hist, GOOGLEFINANCE(A820,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rs))))))"),62.207838906867984)</f>
        <v>62.20783891</v>
      </c>
      <c r="W820" s="16" t="str">
        <f>IFERROR(__xludf.DUMMYFUNCTION("IFERROR(GOOGLEFINANCE(A820, ""volume"") / GOOGLEFINANCE(A820, ""volumeavg""), )"),"")</f>
        <v/>
      </c>
      <c r="X820" s="9">
        <f>IFERROR(__xludf.DUMMYFUNCTION("B820 * GOOGLEFINANCE(A820, ""volume"")"),1.35804507E8)</f>
        <v>135804507</v>
      </c>
      <c r="Y820" s="9">
        <f>IFERROR(__xludf.DUMMYFUNCTION("IFERROR(((B820 - GOOGLEFINANCE(A820, ""priceopen"")) / GOOGLEFINANCE(A820, ""priceopen"")) * GOOGLEFINANCE(A820, ""volume""), 0)"),-38530.34299954683)</f>
        <v>-38530.343</v>
      </c>
    </row>
    <row r="821">
      <c r="A821" s="4" t="s">
        <v>2614</v>
      </c>
      <c r="B821" s="7">
        <f>IFERROR(__xludf.DUMMYFUNCTION("GOOGLEFINANCE(A821, ""price"")"),243.8)</f>
        <v>243.8</v>
      </c>
      <c r="C821" s="7">
        <f>IFERROR(__xludf.DUMMYFUNCTION("GOOGLEFINANCE(A821, ""changepct"")"),2.27)</f>
        <v>2.27</v>
      </c>
      <c r="D821" s="9">
        <f>IFERROR(__xludf.DUMMYFUNCTION("GOOGLEFINANCE(A821, ""priceopen"")"),239.0)</f>
        <v>239</v>
      </c>
      <c r="E821" s="9">
        <f>IFERROR(__xludf.DUMMYFUNCTION("GOOGLEFINANCE(A821, ""high"")"),244.0)</f>
        <v>244</v>
      </c>
      <c r="F821" s="9">
        <f>IFERROR(__xludf.DUMMYFUNCTION("GOOGLEFINANCE(A821, ""low"")"),238.4)</f>
        <v>238.4</v>
      </c>
      <c r="G821" s="9">
        <f>IFERROR(__xludf.DUMMYFUNCTION("GOOGLEFINANCE(A821, ""price"")"),243.8)</f>
        <v>243.8</v>
      </c>
      <c r="H821" s="9">
        <f>IFERROR(__xludf.DUMMYFUNCTION("MAX(INDEX(GOOGLEFINANCE(A821, ""high"", TODAY()-30, TODAY()), 0, 2))"),490.1)</f>
        <v>490.1</v>
      </c>
      <c r="I821" s="9">
        <f>IFERROR(__xludf.DUMMYFUNCTION("MIN(INDEX(GOOGLEFINANCE(A821, ""low"", TODAY()-30, TODAY()), 0, 2))"),220.05)</f>
        <v>220.05</v>
      </c>
      <c r="J821" s="9">
        <f>IFERROR(__xludf.DUMMYFUNCTION("GOOGLEFINANCE(A821, ""high52"")"),289.95)</f>
        <v>289.95</v>
      </c>
      <c r="K821" s="9">
        <f>IFERROR(__xludf.DUMMYFUNCTION("GOOGLEFINANCE(A821, ""low52"")"),186.07)</f>
        <v>186.07</v>
      </c>
      <c r="L821" s="9">
        <f t="shared" si="1"/>
        <v>0.1591653733</v>
      </c>
      <c r="M821" s="9">
        <f t="shared" si="2"/>
        <v>0.3102595797</v>
      </c>
      <c r="N821" s="9">
        <f t="shared" si="3"/>
        <v>0.02348993289</v>
      </c>
      <c r="O821" s="9">
        <f t="shared" si="4"/>
        <v>0.08794667654</v>
      </c>
      <c r="P821" s="9">
        <f>IFERROR(__xludf.DUMMYFUNCTION("GOOGLEFINANCE(A821, ""pe"")"),19.06)</f>
        <v>19.06</v>
      </c>
      <c r="Q821" s="9">
        <f>IFERROR(__xludf.DUMMYFUNCTION("IFERROR(GOOGLEFINANCE(A821, ""volume"") / GOOGLEFINANCE(A821, ""volumeavg""), 0)"),0.0)</f>
        <v>0</v>
      </c>
      <c r="R821" s="9">
        <f>IFERROR(__xludf.DUMMYFUNCTION("AVERAGE(INDEX(GOOGLEFINANCE(A821, ""price"", TODAY()-30, TODAY()), 0, 2))"),310.0643478260869)</f>
        <v>310.0643478</v>
      </c>
      <c r="S821" s="9">
        <f>IFERROR(__xludf.DUMMYFUNCTION("AVERAGE(INDEX(GOOGLEFINANCE(A821, ""price"", TODAY()-75, TODAY()), 0, 2))"),366.1599999999999)</f>
        <v>366.16</v>
      </c>
      <c r="T821" s="9">
        <f>IFERROR(__xludf.DUMMYFUNCTION("AVERAGE(INDEX(GOOGLEFINANCE(A821, ""price"", TODAY()-300, TODAY()), 0, 2))"),371.292475247525)</f>
        <v>371.2924752</v>
      </c>
      <c r="U821" s="9">
        <f t="shared" si="5"/>
        <v>-0.2137115998</v>
      </c>
      <c r="V821" s="15">
        <f>IFERROR(__xludf.DUMMYFUNCTION("LET(hist, GOOGLEFINANCE(A821,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rs))))))"),40.901035351179935)</f>
        <v>40.90103535</v>
      </c>
      <c r="W821" s="16" t="str">
        <f>IFERROR(__xludf.DUMMYFUNCTION("IFERROR(GOOGLEFINANCE(A821, ""volume"") / GOOGLEFINANCE(A821, ""volumeavg""), )"),"")</f>
        <v/>
      </c>
      <c r="X821" s="9">
        <f>IFERROR(__xludf.DUMMYFUNCTION("B821 * GOOGLEFINANCE(A821, ""volume"")"),1.5208951020000002E8)</f>
        <v>152089510.2</v>
      </c>
      <c r="Y821" s="9">
        <f>IFERROR(__xludf.DUMMYFUNCTION("IFERROR(((B821 - GOOGLEFINANCE(A821, ""priceopen"")) / GOOGLEFINANCE(A821, ""priceopen"")) * GOOGLEFINANCE(A821, ""volume""), 0)"),12528.783263598356)</f>
        <v>12528.78326</v>
      </c>
    </row>
    <row r="822">
      <c r="A822" s="4" t="s">
        <v>2615</v>
      </c>
      <c r="B822" s="7">
        <f>IFERROR(__xludf.DUMMYFUNCTION("GOOGLEFINANCE(A822, ""price"")"),313.0)</f>
        <v>313</v>
      </c>
      <c r="C822" s="7">
        <f>IFERROR(__xludf.DUMMYFUNCTION("GOOGLEFINANCE(A822, ""changepct"")"),-1.39)</f>
        <v>-1.39</v>
      </c>
      <c r="D822" s="9">
        <f>IFERROR(__xludf.DUMMYFUNCTION("GOOGLEFINANCE(A822, ""priceopen"")"),318.3)</f>
        <v>318.3</v>
      </c>
      <c r="E822" s="9">
        <f>IFERROR(__xludf.DUMMYFUNCTION("GOOGLEFINANCE(A822, ""high"")"),320.0)</f>
        <v>320</v>
      </c>
      <c r="F822" s="9">
        <f>IFERROR(__xludf.DUMMYFUNCTION("GOOGLEFINANCE(A822, ""low"")"),311.5)</f>
        <v>311.5</v>
      </c>
      <c r="G822" s="9">
        <f>IFERROR(__xludf.DUMMYFUNCTION("GOOGLEFINANCE(A822, ""price"")"),313.0)</f>
        <v>313</v>
      </c>
      <c r="H822" s="9">
        <f>IFERROR(__xludf.DUMMYFUNCTION("MAX(INDEX(GOOGLEFINANCE(A822, ""high"", TODAY()-30, TODAY()), 0, 2))"),328.4)</f>
        <v>328.4</v>
      </c>
      <c r="I822" s="9">
        <f>IFERROR(__xludf.DUMMYFUNCTION("MIN(INDEX(GOOGLEFINANCE(A822, ""low"", TODAY()-30, TODAY()), 0, 2))"),243.34)</f>
        <v>243.34</v>
      </c>
      <c r="J822" s="9">
        <f>IFERROR(__xludf.DUMMYFUNCTION("GOOGLEFINANCE(A822, ""high52"")"),328.4)</f>
        <v>328.4</v>
      </c>
      <c r="K822" s="9">
        <f>IFERROR(__xludf.DUMMYFUNCTION("GOOGLEFINANCE(A822, ""low52"")"),169.0)</f>
        <v>169</v>
      </c>
      <c r="L822" s="9">
        <f t="shared" si="1"/>
        <v>0.04689403167</v>
      </c>
      <c r="M822" s="9">
        <f t="shared" si="2"/>
        <v>0.8520710059</v>
      </c>
      <c r="N822" s="9">
        <f t="shared" si="3"/>
        <v>0.02728731942</v>
      </c>
      <c r="O822" s="9">
        <f t="shared" si="4"/>
        <v>0.8189513285</v>
      </c>
      <c r="P822" s="9">
        <f>IFERROR(__xludf.DUMMYFUNCTION("GOOGLEFINANCE(A822, ""pe"")"),23.2)</f>
        <v>23.2</v>
      </c>
      <c r="Q822" s="9">
        <f>IFERROR(__xludf.DUMMYFUNCTION("IFERROR(GOOGLEFINANCE(A822, ""volume"") / GOOGLEFINANCE(A822, ""volumeavg""), 0)"),0.0)</f>
        <v>0</v>
      </c>
      <c r="R822" s="9">
        <f>IFERROR(__xludf.DUMMYFUNCTION("AVERAGE(INDEX(GOOGLEFINANCE(A822, ""price"", TODAY()-30, TODAY()), 0, 2))"),292.43347826086955)</f>
        <v>292.4334783</v>
      </c>
      <c r="S822" s="9">
        <f>IFERROR(__xludf.DUMMYFUNCTION("AVERAGE(INDEX(GOOGLEFINANCE(A822, ""price"", TODAY()-75, TODAY()), 0, 2))"),257.47320754716986)</f>
        <v>257.4732075</v>
      </c>
      <c r="T822" s="9">
        <f>IFERROR(__xludf.DUMMYFUNCTION("AVERAGE(INDEX(GOOGLEFINANCE(A822, ""price"", TODAY()-300, TODAY()), 0, 2))"),218.42371287128722)</f>
        <v>218.4237129</v>
      </c>
      <c r="U822" s="9">
        <f t="shared" si="5"/>
        <v>0.07032888936</v>
      </c>
      <c r="V822" s="15">
        <f>IFERROR(__xludf.DUMMYFUNCTION("LET(hist, GOOGLEFINANCE(A822,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rs))))))"),68.2120141342756)</f>
        <v>68.21201413</v>
      </c>
      <c r="W822" s="16" t="str">
        <f>IFERROR(__xludf.DUMMYFUNCTION("IFERROR(GOOGLEFINANCE(A822, ""volume"") / GOOGLEFINANCE(A822, ""volumeavg""), )"),"")</f>
        <v/>
      </c>
      <c r="X822" s="9">
        <f>IFERROR(__xludf.DUMMYFUNCTION("B822 * GOOGLEFINANCE(A822, ""volume"")"),1.15566799E8)</f>
        <v>115566799</v>
      </c>
      <c r="Y822" s="9">
        <f>IFERROR(__xludf.DUMMYFUNCTION("IFERROR(((B822 - GOOGLEFINANCE(A822, ""priceopen"")) / GOOGLEFINANCE(A822, ""priceopen"")) * GOOGLEFINANCE(A822, ""volume""), 0)"),-6147.916745208935)</f>
        <v>-6147.916745</v>
      </c>
    </row>
    <row r="823">
      <c r="A823" s="4" t="s">
        <v>2616</v>
      </c>
      <c r="B823" s="7">
        <f>IFERROR(__xludf.DUMMYFUNCTION("GOOGLEFINANCE(A823, ""price"")"),794.5)</f>
        <v>794.5</v>
      </c>
      <c r="C823" s="7">
        <f>IFERROR(__xludf.DUMMYFUNCTION("GOOGLEFINANCE(A823, ""changepct"")"),4.51)</f>
        <v>4.51</v>
      </c>
      <c r="D823" s="9">
        <f>IFERROR(__xludf.DUMMYFUNCTION("GOOGLEFINANCE(A823, ""priceopen"")"),766.15)</f>
        <v>766.15</v>
      </c>
      <c r="E823" s="9">
        <f>IFERROR(__xludf.DUMMYFUNCTION("GOOGLEFINANCE(A823, ""high"")"),798.25)</f>
        <v>798.25</v>
      </c>
      <c r="F823" s="9">
        <f>IFERROR(__xludf.DUMMYFUNCTION("GOOGLEFINANCE(A823, ""low"")"),766.15)</f>
        <v>766.15</v>
      </c>
      <c r="G823" s="9">
        <f>IFERROR(__xludf.DUMMYFUNCTION("GOOGLEFINANCE(A823, ""price"")"),794.5)</f>
        <v>794.5</v>
      </c>
      <c r="H823" s="9">
        <f>IFERROR(__xludf.DUMMYFUNCTION("MAX(INDEX(GOOGLEFINANCE(A823, ""high"", TODAY()-30, TODAY()), 0, 2))"),871.05)</f>
        <v>871.05</v>
      </c>
      <c r="I823" s="9">
        <f>IFERROR(__xludf.DUMMYFUNCTION("MIN(INDEX(GOOGLEFINANCE(A823, ""low"", TODAY()-30, TODAY()), 0, 2))"),700.0)</f>
        <v>700</v>
      </c>
      <c r="J823" s="9">
        <f>IFERROR(__xludf.DUMMYFUNCTION("GOOGLEFINANCE(A823, ""high52"")"),1084.0)</f>
        <v>1084</v>
      </c>
      <c r="K823" s="9">
        <f>IFERROR(__xludf.DUMMYFUNCTION("GOOGLEFINANCE(A823, ""low52"")"),270.9)</f>
        <v>270.9</v>
      </c>
      <c r="L823" s="9">
        <f t="shared" si="1"/>
        <v>0.2670664207</v>
      </c>
      <c r="M823" s="9">
        <f t="shared" si="2"/>
        <v>1.932816537</v>
      </c>
      <c r="N823" s="9">
        <f t="shared" si="3"/>
        <v>0.04189780069</v>
      </c>
      <c r="O823" s="9">
        <f t="shared" si="4"/>
        <v>0.552470038</v>
      </c>
      <c r="P823" s="9" t="str">
        <f>IFERROR(__xludf.DUMMYFUNCTION("GOOGLEFINANCE(A823, ""pe"")"),"#N/A")</f>
        <v>#N/A</v>
      </c>
      <c r="Q823" s="9">
        <f>IFERROR(__xludf.DUMMYFUNCTION("IFERROR(GOOGLEFINANCE(A823, ""volume"") / GOOGLEFINANCE(A823, ""volumeavg""), 0)"),0.0)</f>
        <v>0</v>
      </c>
      <c r="R823" s="9">
        <f>IFERROR(__xludf.DUMMYFUNCTION("AVERAGE(INDEX(GOOGLEFINANCE(A823, ""price"", TODAY()-30, TODAY()), 0, 2))"),776.5239130434783)</f>
        <v>776.523913</v>
      </c>
      <c r="S823" s="9">
        <f>IFERROR(__xludf.DUMMYFUNCTION("AVERAGE(INDEX(GOOGLEFINANCE(A823, ""price"", TODAY()-75, TODAY()), 0, 2))"),860.3320754716982)</f>
        <v>860.3320755</v>
      </c>
      <c r="T823" s="9">
        <f>IFERROR(__xludf.DUMMYFUNCTION("AVERAGE(INDEX(GOOGLEFINANCE(A823, ""price"", TODAY()-300, TODAY()), 0, 2))"),532.5529702970297)</f>
        <v>532.5529703</v>
      </c>
      <c r="U823" s="9">
        <f t="shared" si="5"/>
        <v>0.02314943127</v>
      </c>
      <c r="V823" s="15">
        <f>IFERROR(__xludf.DUMMYFUNCTION("LET(hist, GOOGLEFINANCE(A823,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rs))))))"),53.08820865785184)</f>
        <v>53.08820866</v>
      </c>
      <c r="W823" s="16" t="str">
        <f>IFERROR(__xludf.DUMMYFUNCTION("IFERROR(GOOGLEFINANCE(A823, ""volume"") / GOOGLEFINANCE(A823, ""volumeavg""), )"),"")</f>
        <v/>
      </c>
      <c r="X823" s="9">
        <f>IFERROR(__xludf.DUMMYFUNCTION("B823 * GOOGLEFINANCE(A823, ""volume"")"),3.491295185E8)</f>
        <v>349129518.5</v>
      </c>
      <c r="Y823" s="9">
        <f>IFERROR(__xludf.DUMMYFUNCTION("IFERROR(((B823 - GOOGLEFINANCE(A823, ""priceopen"")) / GOOGLEFINANCE(A823, ""priceopen"")) * GOOGLEFINANCE(A823, ""volume""), 0)"),16260.426222019201)</f>
        <v>16260.42622</v>
      </c>
    </row>
    <row r="824">
      <c r="A824" s="4" t="s">
        <v>2617</v>
      </c>
      <c r="B824" s="7">
        <f>IFERROR(__xludf.DUMMYFUNCTION("GOOGLEFINANCE(A824, ""price"")"),4359.0)</f>
        <v>4359</v>
      </c>
      <c r="C824" s="7">
        <f>IFERROR(__xludf.DUMMYFUNCTION("GOOGLEFINANCE(A824, ""changepct"")"),-0.71)</f>
        <v>-0.71</v>
      </c>
      <c r="D824" s="9">
        <f>IFERROR(__xludf.DUMMYFUNCTION("GOOGLEFINANCE(A824, ""priceopen"")"),4409.2)</f>
        <v>4409.2</v>
      </c>
      <c r="E824" s="9">
        <f>IFERROR(__xludf.DUMMYFUNCTION("GOOGLEFINANCE(A824, ""high"")"),4409.2)</f>
        <v>4409.2</v>
      </c>
      <c r="F824" s="9">
        <f>IFERROR(__xludf.DUMMYFUNCTION("GOOGLEFINANCE(A824, ""low"")"),4320.2)</f>
        <v>4320.2</v>
      </c>
      <c r="G824" s="9">
        <f>IFERROR(__xludf.DUMMYFUNCTION("GOOGLEFINANCE(A824, ""price"")"),4359.0)</f>
        <v>4359</v>
      </c>
      <c r="H824" s="9">
        <f>IFERROR(__xludf.DUMMYFUNCTION("MAX(INDEX(GOOGLEFINANCE(A824, ""high"", TODAY()-30, TODAY()), 0, 2))"),4510.0)</f>
        <v>4510</v>
      </c>
      <c r="I824" s="9">
        <f>IFERROR(__xludf.DUMMYFUNCTION("MIN(INDEX(GOOGLEFINANCE(A824, ""low"", TODAY()-30, TODAY()), 0, 2))"),4230.0)</f>
        <v>4230</v>
      </c>
      <c r="J824" s="9">
        <f>IFERROR(__xludf.DUMMYFUNCTION("GOOGLEFINANCE(A824, ""high52"")"),5980.0)</f>
        <v>5980</v>
      </c>
      <c r="K824" s="9">
        <f>IFERROR(__xludf.DUMMYFUNCTION("GOOGLEFINANCE(A824, ""low52"")"),4092.2)</f>
        <v>4092.2</v>
      </c>
      <c r="L824" s="9">
        <f t="shared" si="1"/>
        <v>0.2710702341</v>
      </c>
      <c r="M824" s="9">
        <f t="shared" si="2"/>
        <v>0.06519720444</v>
      </c>
      <c r="N824" s="9">
        <f t="shared" si="3"/>
        <v>0.02060089811</v>
      </c>
      <c r="O824" s="9">
        <f t="shared" si="4"/>
        <v>0.4607142857</v>
      </c>
      <c r="P824" s="9">
        <f>IFERROR(__xludf.DUMMYFUNCTION("GOOGLEFINANCE(A824, ""pe"")"),155.41)</f>
        <v>155.41</v>
      </c>
      <c r="Q824" s="9">
        <f>IFERROR(__xludf.DUMMYFUNCTION("IFERROR(GOOGLEFINANCE(A824, ""volume"") / GOOGLEFINANCE(A824, ""volumeavg""), 0)"),0.0)</f>
        <v>0</v>
      </c>
      <c r="R824" s="9">
        <f>IFERROR(__xludf.DUMMYFUNCTION("AVERAGE(INDEX(GOOGLEFINANCE(A824, ""price"", TODAY()-30, TODAY()), 0, 2))"),4352.304347826086)</f>
        <v>4352.304348</v>
      </c>
      <c r="S824" s="9">
        <f>IFERROR(__xludf.DUMMYFUNCTION("AVERAGE(INDEX(GOOGLEFINANCE(A824, ""price"", TODAY()-75, TODAY()), 0, 2))"),4354.509433962264)</f>
        <v>4354.509434</v>
      </c>
      <c r="T824" s="9">
        <f>IFERROR(__xludf.DUMMYFUNCTION("AVERAGE(INDEX(GOOGLEFINANCE(A824, ""price"", TODAY()-300, TODAY()), 0, 2))"),4733.979207920792)</f>
        <v>4733.979208</v>
      </c>
      <c r="U824" s="9">
        <f t="shared" si="5"/>
        <v>0.001538415432</v>
      </c>
      <c r="V824" s="15">
        <f>IFERROR(__xludf.DUMMYFUNCTION("LET(hist, GOOGLEFINANCE(A824,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rs))))))"),57.202797202797214)</f>
        <v>57.2027972</v>
      </c>
      <c r="W824" s="16" t="str">
        <f>IFERROR(__xludf.DUMMYFUNCTION("IFERROR(GOOGLEFINANCE(A824, ""volume"") / GOOGLEFINANCE(A824, ""volumeavg""), )"),"")</f>
        <v/>
      </c>
      <c r="X824" s="9">
        <f>IFERROR(__xludf.DUMMYFUNCTION("B824 * GOOGLEFINANCE(A824, ""volume"")"),4036434.0)</f>
        <v>4036434</v>
      </c>
      <c r="Y824" s="9">
        <f>IFERROR(__xludf.DUMMYFUNCTION("IFERROR(((B824 - GOOGLEFINANCE(A824, ""priceopen"")) / GOOGLEFINANCE(A824, ""priceopen"")) * GOOGLEFINANCE(A824, ""volume""), 0)"),-10.542774199401213)</f>
        <v>-10.5427742</v>
      </c>
    </row>
    <row r="825">
      <c r="A825" s="4" t="s">
        <v>2618</v>
      </c>
      <c r="B825" s="7">
        <f>IFERROR(__xludf.DUMMYFUNCTION("GOOGLEFINANCE(A825, ""price"")"),202.0)</f>
        <v>202</v>
      </c>
      <c r="C825" s="7">
        <f>IFERROR(__xludf.DUMMYFUNCTION("GOOGLEFINANCE(A825, ""changepct"")"),-0.48)</f>
        <v>-0.48</v>
      </c>
      <c r="D825" s="9">
        <f>IFERROR(__xludf.DUMMYFUNCTION("GOOGLEFINANCE(A825, ""priceopen"")"),203.58)</f>
        <v>203.58</v>
      </c>
      <c r="E825" s="9">
        <f>IFERROR(__xludf.DUMMYFUNCTION("GOOGLEFINANCE(A825, ""high"")"),203.99)</f>
        <v>203.99</v>
      </c>
      <c r="F825" s="9">
        <f>IFERROR(__xludf.DUMMYFUNCTION("GOOGLEFINANCE(A825, ""low"")"),200.05)</f>
        <v>200.05</v>
      </c>
      <c r="G825" s="9">
        <f>IFERROR(__xludf.DUMMYFUNCTION("GOOGLEFINANCE(A825, ""price"")"),202.0)</f>
        <v>202</v>
      </c>
      <c r="H825" s="9">
        <f>IFERROR(__xludf.DUMMYFUNCTION("MAX(INDEX(GOOGLEFINANCE(A825, ""high"", TODAY()-30, TODAY()), 0, 2))"),250.0)</f>
        <v>250</v>
      </c>
      <c r="I825" s="9">
        <f>IFERROR(__xludf.DUMMYFUNCTION("MIN(INDEX(GOOGLEFINANCE(A825, ""low"", TODAY()-30, TODAY()), 0, 2))"),200.05)</f>
        <v>200.05</v>
      </c>
      <c r="J825" s="9">
        <f>IFERROR(__xludf.DUMMYFUNCTION("GOOGLEFINANCE(A825, ""high52"")"),286.5)</f>
        <v>286.5</v>
      </c>
      <c r="K825" s="9">
        <f>IFERROR(__xludf.DUMMYFUNCTION("GOOGLEFINANCE(A825, ""low52"")"),148.0)</f>
        <v>148</v>
      </c>
      <c r="L825" s="9">
        <f t="shared" si="1"/>
        <v>0.294938918</v>
      </c>
      <c r="M825" s="9">
        <f t="shared" si="2"/>
        <v>0.3648648649</v>
      </c>
      <c r="N825" s="9">
        <f t="shared" si="3"/>
        <v>0.01969507623</v>
      </c>
      <c r="O825" s="9">
        <f t="shared" si="4"/>
        <v>0.03903903904</v>
      </c>
      <c r="P825" s="9" t="str">
        <f>IFERROR(__xludf.DUMMYFUNCTION("GOOGLEFINANCE(A825, ""pe"")"),"#N/A")</f>
        <v>#N/A</v>
      </c>
      <c r="Q825" s="9">
        <f>IFERROR(__xludf.DUMMYFUNCTION("IFERROR(GOOGLEFINANCE(A825, ""volume"") / GOOGLEFINANCE(A825, ""volumeavg""), 0)"),0.0)</f>
        <v>0</v>
      </c>
      <c r="R825" s="9">
        <f>IFERROR(__xludf.DUMMYFUNCTION("AVERAGE(INDEX(GOOGLEFINANCE(A825, ""price"", TODAY()-30, TODAY()), 0, 2))"),212.1565217391304)</f>
        <v>212.1565217</v>
      </c>
      <c r="S825" s="9">
        <f>IFERROR(__xludf.DUMMYFUNCTION("AVERAGE(INDEX(GOOGLEFINANCE(A825, ""price"", TODAY()-75, TODAY()), 0, 2))"),217.75226415094338)</f>
        <v>217.7522642</v>
      </c>
      <c r="T825" s="9">
        <f>IFERROR(__xludf.DUMMYFUNCTION("AVERAGE(INDEX(GOOGLEFINANCE(A825, ""price"", TODAY()-300, TODAY()), 0, 2))"),207.7457425742575)</f>
        <v>207.7457426</v>
      </c>
      <c r="U825" s="9">
        <f t="shared" si="5"/>
        <v>-0.04787277646</v>
      </c>
      <c r="V825" s="15">
        <f>IFERROR(__xludf.DUMMYFUNCTION("LET(hist, GOOGLEFINANCE(A825,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rs))))))"),43.39100346020759)</f>
        <v>43.39100346</v>
      </c>
      <c r="W825" s="16" t="str">
        <f>IFERROR(__xludf.DUMMYFUNCTION("IFERROR(GOOGLEFINANCE(A825, ""volume"") / GOOGLEFINANCE(A825, ""volumeavg""), )"),"")</f>
        <v/>
      </c>
      <c r="X825" s="9">
        <f>IFERROR(__xludf.DUMMYFUNCTION("B825 * GOOGLEFINANCE(A825, ""volume"")"),1.50213058E8)</f>
        <v>150213058</v>
      </c>
      <c r="Y825" s="9">
        <f>IFERROR(__xludf.DUMMYFUNCTION("IFERROR(((B825 - GOOGLEFINANCE(A825, ""priceopen"")) / GOOGLEFINANCE(A825, ""priceopen"")) * GOOGLEFINANCE(A825, ""volume""), 0)"),-5771.361725120391)</f>
        <v>-5771.361725</v>
      </c>
    </row>
    <row r="826">
      <c r="A826" s="4" t="s">
        <v>2619</v>
      </c>
      <c r="B826" s="7">
        <f>IFERROR(__xludf.DUMMYFUNCTION("GOOGLEFINANCE(A826, ""price"")"),215.88)</f>
        <v>215.88</v>
      </c>
      <c r="C826" s="7">
        <f>IFERROR(__xludf.DUMMYFUNCTION("GOOGLEFINANCE(A826, ""changepct"")"),-1.47)</f>
        <v>-1.47</v>
      </c>
      <c r="D826" s="9">
        <f>IFERROR(__xludf.DUMMYFUNCTION("GOOGLEFINANCE(A826, ""priceopen"")"),220.02)</f>
        <v>220.02</v>
      </c>
      <c r="E826" s="9">
        <f>IFERROR(__xludf.DUMMYFUNCTION("GOOGLEFINANCE(A826, ""high"")"),221.0)</f>
        <v>221</v>
      </c>
      <c r="F826" s="9">
        <f>IFERROR(__xludf.DUMMYFUNCTION("GOOGLEFINANCE(A826, ""low"")"),214.76)</f>
        <v>214.76</v>
      </c>
      <c r="G826" s="9">
        <f>IFERROR(__xludf.DUMMYFUNCTION("GOOGLEFINANCE(A826, ""price"")"),215.88)</f>
        <v>215.88</v>
      </c>
      <c r="H826" s="9">
        <f>IFERROR(__xludf.DUMMYFUNCTION("MAX(INDEX(GOOGLEFINANCE(A826, ""high"", TODAY()-30, TODAY()), 0, 2))"),237.0)</f>
        <v>237</v>
      </c>
      <c r="I826" s="9">
        <f>IFERROR(__xludf.DUMMYFUNCTION("MIN(INDEX(GOOGLEFINANCE(A826, ""low"", TODAY()-30, TODAY()), 0, 2))"),212.1)</f>
        <v>212.1</v>
      </c>
      <c r="J826" s="9">
        <f>IFERROR(__xludf.DUMMYFUNCTION("GOOGLEFINANCE(A826, ""high52"")"),268.96)</f>
        <v>268.96</v>
      </c>
      <c r="K826" s="9">
        <f>IFERROR(__xludf.DUMMYFUNCTION("GOOGLEFINANCE(A826, ""low52"")"),212.1)</f>
        <v>212.1</v>
      </c>
      <c r="L826" s="9">
        <f t="shared" si="1"/>
        <v>0.1973527662</v>
      </c>
      <c r="M826" s="9">
        <f t="shared" si="2"/>
        <v>0.01782178218</v>
      </c>
      <c r="N826" s="9">
        <f t="shared" si="3"/>
        <v>0.02905569007</v>
      </c>
      <c r="O826" s="9">
        <f t="shared" si="4"/>
        <v>0.1518072289</v>
      </c>
      <c r="P826" s="9">
        <f>IFERROR(__xludf.DUMMYFUNCTION("GOOGLEFINANCE(A826, ""pe"")"),22.28)</f>
        <v>22.28</v>
      </c>
      <c r="Q826" s="9">
        <f>IFERROR(__xludf.DUMMYFUNCTION("IFERROR(GOOGLEFINANCE(A826, ""volume"") / GOOGLEFINANCE(A826, ""volumeavg""), 0)"),0.0)</f>
        <v>0</v>
      </c>
      <c r="R826" s="9">
        <f>IFERROR(__xludf.DUMMYFUNCTION("AVERAGE(INDEX(GOOGLEFINANCE(A826, ""price"", TODAY()-30, TODAY()), 0, 2))"),220.79478260869567)</f>
        <v>220.7947826</v>
      </c>
      <c r="S826" s="9">
        <f>IFERROR(__xludf.DUMMYFUNCTION("AVERAGE(INDEX(GOOGLEFINANCE(A826, ""price"", TODAY()-75, TODAY()), 0, 2))"),231.66111111111115)</f>
        <v>231.6611111</v>
      </c>
      <c r="T826" s="9">
        <f>IFERROR(__xludf.DUMMYFUNCTION("AVERAGE(INDEX(GOOGLEFINANCE(A826, ""price"", TODAY()-300, TODAY()), 0, 2))"),231.66111111111115)</f>
        <v>231.6611111</v>
      </c>
      <c r="U826" s="9">
        <f t="shared" si="5"/>
        <v>-0.02225950519</v>
      </c>
      <c r="V826" s="15">
        <f>IFERROR(__xludf.DUMMYFUNCTION("LET(hist, GOOGLEFINANCE(A826,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rs))))))"),48.116868294909835)</f>
        <v>48.11686829</v>
      </c>
      <c r="W826" s="16" t="str">
        <f>IFERROR(__xludf.DUMMYFUNCTION("IFERROR(GOOGLEFINANCE(A826, ""volume"") / GOOGLEFINANCE(A826, ""volumeavg""), )"),"")</f>
        <v/>
      </c>
      <c r="X826" s="9">
        <f>IFERROR(__xludf.DUMMYFUNCTION("B826 * GOOGLEFINANCE(A826, ""volume"")"),1.3787543196E8)</f>
        <v>137875432</v>
      </c>
      <c r="Y826" s="9">
        <f>IFERROR(__xludf.DUMMYFUNCTION("IFERROR(((B826 - GOOGLEFINANCE(A826, ""priceopen"")) / GOOGLEFINANCE(A826, ""priceopen"")) * GOOGLEFINANCE(A826, ""volume""), 0)"),-12017.459230979044)</f>
        <v>-12017.45923</v>
      </c>
    </row>
    <row r="827">
      <c r="A827" s="4" t="s">
        <v>2620</v>
      </c>
      <c r="B827" s="7">
        <f>IFERROR(__xludf.DUMMYFUNCTION("GOOGLEFINANCE(A827, ""price"")"),93.64)</f>
        <v>93.64</v>
      </c>
      <c r="C827" s="7">
        <f>IFERROR(__xludf.DUMMYFUNCTION("GOOGLEFINANCE(A827, ""changepct"")"),1.07)</f>
        <v>1.07</v>
      </c>
      <c r="D827" s="9">
        <f>IFERROR(__xludf.DUMMYFUNCTION("GOOGLEFINANCE(A827, ""priceopen"")"),93.0)</f>
        <v>93</v>
      </c>
      <c r="E827" s="9">
        <f>IFERROR(__xludf.DUMMYFUNCTION("GOOGLEFINANCE(A827, ""high"")"),95.35)</f>
        <v>95.35</v>
      </c>
      <c r="F827" s="9">
        <f>IFERROR(__xludf.DUMMYFUNCTION("GOOGLEFINANCE(A827, ""low"")"),92.32)</f>
        <v>92.32</v>
      </c>
      <c r="G827" s="9">
        <f>IFERROR(__xludf.DUMMYFUNCTION("GOOGLEFINANCE(A827, ""price"")"),93.64)</f>
        <v>93.64</v>
      </c>
      <c r="H827" s="9">
        <f>IFERROR(__xludf.DUMMYFUNCTION("MAX(INDEX(GOOGLEFINANCE(A827, ""high"", TODAY()-30, TODAY()), 0, 2))"),96.45)</f>
        <v>96.45</v>
      </c>
      <c r="I827" s="9">
        <f>IFERROR(__xludf.DUMMYFUNCTION("MIN(INDEX(GOOGLEFINANCE(A827, ""low"", TODAY()-30, TODAY()), 0, 2))"),63.57)</f>
        <v>63.57</v>
      </c>
      <c r="J827" s="9">
        <f>IFERROR(__xludf.DUMMYFUNCTION("GOOGLEFINANCE(A827, ""high52"")"),96.45)</f>
        <v>96.45</v>
      </c>
      <c r="K827" s="9">
        <f>IFERROR(__xludf.DUMMYFUNCTION("GOOGLEFINANCE(A827, ""low52"")"),57.15)</f>
        <v>57.15</v>
      </c>
      <c r="L827" s="9">
        <f t="shared" si="1"/>
        <v>0.02913426646</v>
      </c>
      <c r="M827" s="9">
        <f t="shared" si="2"/>
        <v>0.6384951881</v>
      </c>
      <c r="N827" s="9">
        <f t="shared" si="3"/>
        <v>0.03282062392</v>
      </c>
      <c r="O827" s="9">
        <f t="shared" si="4"/>
        <v>0.9145377129</v>
      </c>
      <c r="P827" s="9" t="str">
        <f>IFERROR(__xludf.DUMMYFUNCTION("GOOGLEFINANCE(A827, ""pe"")"),"#N/A")</f>
        <v>#N/A</v>
      </c>
      <c r="Q827" s="9">
        <f>IFERROR(__xludf.DUMMYFUNCTION("IFERROR(GOOGLEFINANCE(A827, ""volume"") / GOOGLEFINANCE(A827, ""volumeavg""), 0)"),0.0)</f>
        <v>0</v>
      </c>
      <c r="R827" s="9">
        <f>IFERROR(__xludf.DUMMYFUNCTION("AVERAGE(INDEX(GOOGLEFINANCE(A827, ""price"", TODAY()-30, TODAY()), 0, 2))"),74.66913043478262)</f>
        <v>74.66913043</v>
      </c>
      <c r="S827" s="9">
        <f>IFERROR(__xludf.DUMMYFUNCTION("AVERAGE(INDEX(GOOGLEFINANCE(A827, ""price"", TODAY()-75, TODAY()), 0, 2))"),73.51301886792454)</f>
        <v>73.51301887</v>
      </c>
      <c r="T827" s="9">
        <f>IFERROR(__xludf.DUMMYFUNCTION("AVERAGE(INDEX(GOOGLEFINANCE(A827, ""price"", TODAY()-300, TODAY()), 0, 2))"),66.90742574257423)</f>
        <v>66.90742574</v>
      </c>
      <c r="U827" s="9">
        <f t="shared" si="5"/>
        <v>0.2540657626</v>
      </c>
      <c r="V827" s="15">
        <f>IFERROR(__xludf.DUMMYFUNCTION("LET(hist, GOOGLEFINANCE(A827,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rs))))))"),85.30273437500003)</f>
        <v>85.30273438</v>
      </c>
      <c r="W827" s="16" t="str">
        <f>IFERROR(__xludf.DUMMYFUNCTION("IFERROR(GOOGLEFINANCE(A827, ""volume"") / GOOGLEFINANCE(A827, ""volumeavg""), )"),"")</f>
        <v/>
      </c>
      <c r="X827" s="9">
        <f>IFERROR(__xludf.DUMMYFUNCTION("B827 * GOOGLEFINANCE(A827, ""volume"")"),5.3431293012E8)</f>
        <v>534312930.1</v>
      </c>
      <c r="Y827" s="9">
        <f>IFERROR(__xludf.DUMMYFUNCTION("IFERROR(((B827 - GOOGLEFINANCE(A827, ""priceopen"")) / GOOGLEFINANCE(A827, ""priceopen"")) * GOOGLEFINANCE(A827, ""volume""), 0)"),39267.323870967775)</f>
        <v>39267.32387</v>
      </c>
    </row>
    <row r="828">
      <c r="A828" s="4" t="s">
        <v>2621</v>
      </c>
      <c r="B828" s="7">
        <f>IFERROR(__xludf.DUMMYFUNCTION("GOOGLEFINANCE(A828, ""price"")"),5147.0)</f>
        <v>5147</v>
      </c>
      <c r="C828" s="7">
        <f>IFERROR(__xludf.DUMMYFUNCTION("GOOGLEFINANCE(A828, ""changepct"")"),1.53)</f>
        <v>1.53</v>
      </c>
      <c r="D828" s="9">
        <f>IFERROR(__xludf.DUMMYFUNCTION("GOOGLEFINANCE(A828, ""priceopen"")"),5079.5)</f>
        <v>5079.5</v>
      </c>
      <c r="E828" s="9">
        <f>IFERROR(__xludf.DUMMYFUNCTION("GOOGLEFINANCE(A828, ""high"")"),5160.0)</f>
        <v>5160</v>
      </c>
      <c r="F828" s="9">
        <f>IFERROR(__xludf.DUMMYFUNCTION("GOOGLEFINANCE(A828, ""low"")"),5019.6)</f>
        <v>5019.6</v>
      </c>
      <c r="G828" s="9">
        <f>IFERROR(__xludf.DUMMYFUNCTION("GOOGLEFINANCE(A828, ""price"")"),5147.0)</f>
        <v>5147</v>
      </c>
      <c r="H828" s="9">
        <f>IFERROR(__xludf.DUMMYFUNCTION("MAX(INDEX(GOOGLEFINANCE(A828, ""high"", TODAY()-30, TODAY()), 0, 2))"),5366.5)</f>
        <v>5366.5</v>
      </c>
      <c r="I828" s="9">
        <f>IFERROR(__xludf.DUMMYFUNCTION("MIN(INDEX(GOOGLEFINANCE(A828, ""low"", TODAY()-30, TODAY()), 0, 2))"),4692.0)</f>
        <v>4692</v>
      </c>
      <c r="J828" s="9">
        <f>IFERROR(__xludf.DUMMYFUNCTION("GOOGLEFINANCE(A828, ""high52"")"),6982.0)</f>
        <v>6982</v>
      </c>
      <c r="K828" s="9">
        <f>IFERROR(__xludf.DUMMYFUNCTION("GOOGLEFINANCE(A828, ""low52"")"),4692.0)</f>
        <v>4692</v>
      </c>
      <c r="L828" s="9">
        <f t="shared" si="1"/>
        <v>0.2628186766</v>
      </c>
      <c r="M828" s="9">
        <f t="shared" si="2"/>
        <v>0.09697357204</v>
      </c>
      <c r="N828" s="9">
        <f t="shared" si="3"/>
        <v>0.0279703562</v>
      </c>
      <c r="O828" s="9">
        <f t="shared" si="4"/>
        <v>0.6745737583</v>
      </c>
      <c r="P828" s="9">
        <f>IFERROR(__xludf.DUMMYFUNCTION("GOOGLEFINANCE(A828, ""pe"")"),25.41)</f>
        <v>25.41</v>
      </c>
      <c r="Q828" s="9">
        <f>IFERROR(__xludf.DUMMYFUNCTION("IFERROR(GOOGLEFINANCE(A828, ""volume"") / GOOGLEFINANCE(A828, ""volumeavg""), 0)"),0.0)</f>
        <v>0</v>
      </c>
      <c r="R828" s="9">
        <f>IFERROR(__xludf.DUMMYFUNCTION("AVERAGE(INDEX(GOOGLEFINANCE(A828, ""price"", TODAY()-30, TODAY()), 0, 2))"),5056.756521739129)</f>
        <v>5056.756522</v>
      </c>
      <c r="S828" s="9">
        <f>IFERROR(__xludf.DUMMYFUNCTION("AVERAGE(INDEX(GOOGLEFINANCE(A828, ""price"", TODAY()-75, TODAY()), 0, 2))"),5146.950943396227)</f>
        <v>5146.950943</v>
      </c>
      <c r="T828" s="9">
        <f>IFERROR(__xludf.DUMMYFUNCTION("AVERAGE(INDEX(GOOGLEFINANCE(A828, ""price"", TODAY()-300, TODAY()), 0, 2))"),5641.93514851485)</f>
        <v>5641.935149</v>
      </c>
      <c r="U828" s="9">
        <f t="shared" si="5"/>
        <v>0.01784611892</v>
      </c>
      <c r="V828" s="15">
        <f>IFERROR(__xludf.DUMMYFUNCTION("LET(hist, GOOGLEFINANCE(A828,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rs))))))"),71.07438016528921)</f>
        <v>71.07438017</v>
      </c>
      <c r="W828" s="16" t="str">
        <f>IFERROR(__xludf.DUMMYFUNCTION("IFERROR(GOOGLEFINANCE(A828, ""volume"") / GOOGLEFINANCE(A828, ""volumeavg""), )"),"")</f>
        <v/>
      </c>
      <c r="X828" s="9">
        <f>IFERROR(__xludf.DUMMYFUNCTION("B828 * GOOGLEFINANCE(A828, ""volume"")"),9.3253346E7)</f>
        <v>93253346</v>
      </c>
      <c r="Y828" s="9">
        <f>IFERROR(__xludf.DUMMYFUNCTION("IFERROR(((B828 - GOOGLEFINANCE(A828, ""priceopen"")) / GOOGLEFINANCE(A828, ""priceopen"")) * GOOGLEFINANCE(A828, ""volume""), 0)"),240.7648390589625)</f>
        <v>240.7648391</v>
      </c>
    </row>
    <row r="829">
      <c r="A829" s="4" t="s">
        <v>2622</v>
      </c>
      <c r="B829" s="7">
        <f>IFERROR(__xludf.DUMMYFUNCTION("GOOGLEFINANCE(A829, ""price"")"),630.5)</f>
        <v>630.5</v>
      </c>
      <c r="C829" s="7">
        <f>IFERROR(__xludf.DUMMYFUNCTION("GOOGLEFINANCE(A829, ""changepct"")"),-1.66)</f>
        <v>-1.66</v>
      </c>
      <c r="D829" s="9">
        <f>IFERROR(__xludf.DUMMYFUNCTION("GOOGLEFINANCE(A829, ""priceopen"")"),647.75)</f>
        <v>647.75</v>
      </c>
      <c r="E829" s="9">
        <f>IFERROR(__xludf.DUMMYFUNCTION("GOOGLEFINANCE(A829, ""high"")"),650.0)</f>
        <v>650</v>
      </c>
      <c r="F829" s="9">
        <f>IFERROR(__xludf.DUMMYFUNCTION("GOOGLEFINANCE(A829, ""low"")"),625.1)</f>
        <v>625.1</v>
      </c>
      <c r="G829" s="9">
        <f>IFERROR(__xludf.DUMMYFUNCTION("GOOGLEFINANCE(A829, ""price"")"),630.5)</f>
        <v>630.5</v>
      </c>
      <c r="H829" s="9">
        <f>IFERROR(__xludf.DUMMYFUNCTION("MAX(INDEX(GOOGLEFINANCE(A829, ""high"", TODAY()-30, TODAY()), 0, 2))"),735.0)</f>
        <v>735</v>
      </c>
      <c r="I829" s="9">
        <f>IFERROR(__xludf.DUMMYFUNCTION("MIN(INDEX(GOOGLEFINANCE(A829, ""low"", TODAY()-30, TODAY()), 0, 2))"),625.1)</f>
        <v>625.1</v>
      </c>
      <c r="J829" s="9">
        <f>IFERROR(__xludf.DUMMYFUNCTION("GOOGLEFINANCE(A829, ""high52"")"),991.5)</f>
        <v>991.5</v>
      </c>
      <c r="K829" s="9">
        <f>IFERROR(__xludf.DUMMYFUNCTION("GOOGLEFINANCE(A829, ""low52"")"),625.1)</f>
        <v>625.1</v>
      </c>
      <c r="L829" s="9">
        <f t="shared" si="1"/>
        <v>0.3640948058</v>
      </c>
      <c r="M829" s="9">
        <f t="shared" si="2"/>
        <v>0.008638617821</v>
      </c>
      <c r="N829" s="9">
        <f t="shared" si="3"/>
        <v>0.03983362662</v>
      </c>
      <c r="O829" s="9">
        <f t="shared" si="4"/>
        <v>0.0491355778</v>
      </c>
      <c r="P829" s="9" t="str">
        <f>IFERROR(__xludf.DUMMYFUNCTION("GOOGLEFINANCE(A829, ""pe"")"),"#N/A")</f>
        <v>#N/A</v>
      </c>
      <c r="Q829" s="9">
        <f>IFERROR(__xludf.DUMMYFUNCTION("IFERROR(GOOGLEFINANCE(A829, ""volume"") / GOOGLEFINANCE(A829, ""volumeavg""), 0)"),0.0)</f>
        <v>0</v>
      </c>
      <c r="R829" s="9">
        <f>IFERROR(__xludf.DUMMYFUNCTION("AVERAGE(INDEX(GOOGLEFINANCE(A829, ""price"", TODAY()-30, TODAY()), 0, 2))"),680.9021739130435)</f>
        <v>680.9021739</v>
      </c>
      <c r="S829" s="9">
        <f>IFERROR(__xludf.DUMMYFUNCTION("AVERAGE(INDEX(GOOGLEFINANCE(A829, ""price"", TODAY()-75, TODAY()), 0, 2))"),684.9471698113207)</f>
        <v>684.9471698</v>
      </c>
      <c r="T829" s="9">
        <f>IFERROR(__xludf.DUMMYFUNCTION("AVERAGE(INDEX(GOOGLEFINANCE(A829, ""price"", TODAY()-300, TODAY()), 0, 2))"),800.8584158415841)</f>
        <v>800.8584158</v>
      </c>
      <c r="U829" s="9">
        <f t="shared" si="5"/>
        <v>-0.07402263621</v>
      </c>
      <c r="V829" s="15">
        <f>IFERROR(__xludf.DUMMYFUNCTION("LET(hist, GOOGLEFINANCE(A829,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rs))))))"),28.01801801801804)</f>
        <v>28.01801802</v>
      </c>
      <c r="W829" s="16" t="str">
        <f>IFERROR(__xludf.DUMMYFUNCTION("IFERROR(GOOGLEFINANCE(A829, ""volume"") / GOOGLEFINANCE(A829, ""volumeavg""), )"),"")</f>
        <v/>
      </c>
      <c r="X829" s="9">
        <f>IFERROR(__xludf.DUMMYFUNCTION("B829 * GOOGLEFINANCE(A829, ""volume"")"),5.2811941E7)</f>
        <v>52811941</v>
      </c>
      <c r="Y829" s="9">
        <f>IFERROR(__xludf.DUMMYFUNCTION("IFERROR(((B829 - GOOGLEFINANCE(A829, ""priceopen"")) / GOOGLEFINANCE(A829, ""priceopen"")) * GOOGLEFINANCE(A829, ""volume""), 0)"),-2230.63604785797)</f>
        <v>-2230.636048</v>
      </c>
    </row>
    <row r="830">
      <c r="A830" s="4" t="s">
        <v>2623</v>
      </c>
      <c r="B830" s="7">
        <f>IFERROR(__xludf.DUMMYFUNCTION("GOOGLEFINANCE(A830, ""price"")"),321.5)</f>
        <v>321.5</v>
      </c>
      <c r="C830" s="7">
        <f>IFERROR(__xludf.DUMMYFUNCTION("GOOGLEFINANCE(A830, ""changepct"")"),2.62)</f>
        <v>2.62</v>
      </c>
      <c r="D830" s="9">
        <f>IFERROR(__xludf.DUMMYFUNCTION("GOOGLEFINANCE(A830, ""priceopen"")"),314.9)</f>
        <v>314.9</v>
      </c>
      <c r="E830" s="9">
        <f>IFERROR(__xludf.DUMMYFUNCTION("GOOGLEFINANCE(A830, ""high"")"),323.45)</f>
        <v>323.45</v>
      </c>
      <c r="F830" s="9">
        <f>IFERROR(__xludf.DUMMYFUNCTION("GOOGLEFINANCE(A830, ""low"")"),300.1)</f>
        <v>300.1</v>
      </c>
      <c r="G830" s="9">
        <f>IFERROR(__xludf.DUMMYFUNCTION("GOOGLEFINANCE(A830, ""price"")"),321.5)</f>
        <v>321.5</v>
      </c>
      <c r="H830" s="9">
        <f>IFERROR(__xludf.DUMMYFUNCTION("MAX(INDEX(GOOGLEFINANCE(A830, ""high"", TODAY()-30, TODAY()), 0, 2))"),325.9)</f>
        <v>325.9</v>
      </c>
      <c r="I830" s="9">
        <f>IFERROR(__xludf.DUMMYFUNCTION("MIN(INDEX(GOOGLEFINANCE(A830, ""low"", TODAY()-30, TODAY()), 0, 2))"),267.2)</f>
        <v>267.2</v>
      </c>
      <c r="J830" s="9">
        <f>IFERROR(__xludf.DUMMYFUNCTION("GOOGLEFINANCE(A830, ""high52"")"),325.9)</f>
        <v>325.9</v>
      </c>
      <c r="K830" s="9">
        <f>IFERROR(__xludf.DUMMYFUNCTION("GOOGLEFINANCE(A830, ""low52"")"),203.35)</f>
        <v>203.35</v>
      </c>
      <c r="L830" s="9">
        <f t="shared" si="1"/>
        <v>0.01350107395</v>
      </c>
      <c r="M830" s="9">
        <f t="shared" si="2"/>
        <v>0.5810179493</v>
      </c>
      <c r="N830" s="9">
        <f t="shared" si="3"/>
        <v>0.07780739753</v>
      </c>
      <c r="O830" s="9">
        <f t="shared" si="4"/>
        <v>0.9250425894</v>
      </c>
      <c r="P830" s="9">
        <f>IFERROR(__xludf.DUMMYFUNCTION("GOOGLEFINANCE(A830, ""pe"")"),44.8)</f>
        <v>44.8</v>
      </c>
      <c r="Q830" s="9">
        <f>IFERROR(__xludf.DUMMYFUNCTION("IFERROR(GOOGLEFINANCE(A830, ""volume"") / GOOGLEFINANCE(A830, ""volumeavg""), 0)"),0.0)</f>
        <v>0</v>
      </c>
      <c r="R830" s="9">
        <f>IFERROR(__xludf.DUMMYFUNCTION("AVERAGE(INDEX(GOOGLEFINANCE(A830, ""price"", TODAY()-30, TODAY()), 0, 2))"),290.99130434782603)</f>
        <v>290.9913043</v>
      </c>
      <c r="S830" s="9">
        <f>IFERROR(__xludf.DUMMYFUNCTION("AVERAGE(INDEX(GOOGLEFINANCE(A830, ""price"", TODAY()-75, TODAY()), 0, 2))"),276.2058490566038)</f>
        <v>276.2058491</v>
      </c>
      <c r="T830" s="9">
        <f>IFERROR(__xludf.DUMMYFUNCTION("AVERAGE(INDEX(GOOGLEFINANCE(A830, ""price"", TODAY()-300, TODAY()), 0, 2))"),257.6383663366336)</f>
        <v>257.6383663</v>
      </c>
      <c r="U830" s="9">
        <f t="shared" si="5"/>
        <v>0.1048440115</v>
      </c>
      <c r="V830" s="15">
        <f>IFERROR(__xludf.DUMMYFUNCTION("LET(hist, GOOGLEFINANCE(A830,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rs))))))"),77.05416920267805)</f>
        <v>77.0541692</v>
      </c>
      <c r="W830" s="16" t="str">
        <f>IFERROR(__xludf.DUMMYFUNCTION("IFERROR(GOOGLEFINANCE(A830, ""volume"") / GOOGLEFINANCE(A830, ""volumeavg""), )"),"")</f>
        <v/>
      </c>
      <c r="X830" s="9">
        <f>IFERROR(__xludf.DUMMYFUNCTION("B830 * GOOGLEFINANCE(A830, ""volume"")"),2.3288174E8)</f>
        <v>232881740</v>
      </c>
      <c r="Y830" s="9">
        <f>IFERROR(__xludf.DUMMYFUNCTION("IFERROR(((B830 - GOOGLEFINANCE(A830, ""priceopen"")) / GOOGLEFINANCE(A830, ""priceopen"")) * GOOGLEFINANCE(A830, ""volume""), 0)"),15181.886313115328)</f>
        <v>15181.88631</v>
      </c>
    </row>
    <row r="831">
      <c r="A831" s="4" t="s">
        <v>2624</v>
      </c>
      <c r="B831" s="7">
        <f>IFERROR(__xludf.DUMMYFUNCTION("GOOGLEFINANCE(A831, ""price"")"),115.18)</f>
        <v>115.18</v>
      </c>
      <c r="C831" s="7">
        <f>IFERROR(__xludf.DUMMYFUNCTION("GOOGLEFINANCE(A831, ""changepct"")"),-0.36)</f>
        <v>-0.36</v>
      </c>
      <c r="D831" s="9">
        <f>IFERROR(__xludf.DUMMYFUNCTION("GOOGLEFINANCE(A831, ""priceopen"")"),116.0)</f>
        <v>116</v>
      </c>
      <c r="E831" s="9">
        <f>IFERROR(__xludf.DUMMYFUNCTION("GOOGLEFINANCE(A831, ""high"")"),116.0)</f>
        <v>116</v>
      </c>
      <c r="F831" s="9">
        <f>IFERROR(__xludf.DUMMYFUNCTION("GOOGLEFINANCE(A831, ""low"")"),114.05)</f>
        <v>114.05</v>
      </c>
      <c r="G831" s="9">
        <f>IFERROR(__xludf.DUMMYFUNCTION("GOOGLEFINANCE(A831, ""price"")"),115.18)</f>
        <v>115.18</v>
      </c>
      <c r="H831" s="9">
        <f>IFERROR(__xludf.DUMMYFUNCTION("MAX(INDEX(GOOGLEFINANCE(A831, ""high"", TODAY()-30, TODAY()), 0, 2))"),118.0)</f>
        <v>118</v>
      </c>
      <c r="I831" s="9">
        <f>IFERROR(__xludf.DUMMYFUNCTION("MIN(INDEX(GOOGLEFINANCE(A831, ""low"", TODAY()-30, TODAY()), 0, 2))"),74.61)</f>
        <v>74.61</v>
      </c>
      <c r="J831" s="9">
        <f>IFERROR(__xludf.DUMMYFUNCTION("GOOGLEFINANCE(A831, ""high52"")"),118.0)</f>
        <v>118</v>
      </c>
      <c r="K831" s="9">
        <f>IFERROR(__xludf.DUMMYFUNCTION("GOOGLEFINANCE(A831, ""low52"")"),51.0)</f>
        <v>51</v>
      </c>
      <c r="L831" s="9">
        <f t="shared" si="1"/>
        <v>0.02389830508</v>
      </c>
      <c r="M831" s="9">
        <f t="shared" si="2"/>
        <v>1.258431373</v>
      </c>
      <c r="N831" s="9">
        <f t="shared" si="3"/>
        <v>0.01709776414</v>
      </c>
      <c r="O831" s="9">
        <f t="shared" si="4"/>
        <v>0.9350080664</v>
      </c>
      <c r="P831" s="9">
        <f>IFERROR(__xludf.DUMMYFUNCTION("GOOGLEFINANCE(A831, ""pe"")"),34.62)</f>
        <v>34.62</v>
      </c>
      <c r="Q831" s="9">
        <f>IFERROR(__xludf.DUMMYFUNCTION("IFERROR(GOOGLEFINANCE(A831, ""volume"") / GOOGLEFINANCE(A831, ""volumeavg""), 0)"),0.0)</f>
        <v>0</v>
      </c>
      <c r="R831" s="9">
        <f>IFERROR(__xludf.DUMMYFUNCTION("AVERAGE(INDEX(GOOGLEFINANCE(A831, ""price"", TODAY()-30, TODAY()), 0, 2))"),96.80173913043478)</f>
        <v>96.80173913</v>
      </c>
      <c r="S831" s="9">
        <f>IFERROR(__xludf.DUMMYFUNCTION("AVERAGE(INDEX(GOOGLEFINANCE(A831, ""price"", TODAY()-75, TODAY()), 0, 2))"),84.97716981132078)</f>
        <v>84.97716981</v>
      </c>
      <c r="T831" s="9">
        <f>IFERROR(__xludf.DUMMYFUNCTION("AVERAGE(INDEX(GOOGLEFINANCE(A831, ""price"", TODAY()-300, TODAY()), 0, 2))"),73.11534653465347)</f>
        <v>73.11534653</v>
      </c>
      <c r="U831" s="9">
        <f t="shared" si="5"/>
        <v>0.1898546559</v>
      </c>
      <c r="V831" s="15">
        <f>IFERROR(__xludf.DUMMYFUNCTION("LET(hist, GOOGLEFINANCE(A831,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rs))))))"),92.9090909090909)</f>
        <v>92.90909091</v>
      </c>
      <c r="W831" s="16" t="str">
        <f>IFERROR(__xludf.DUMMYFUNCTION("IFERROR(GOOGLEFINANCE(A831, ""volume"") / GOOGLEFINANCE(A831, ""volumeavg""), )"),"")</f>
        <v/>
      </c>
      <c r="X831" s="9">
        <f>IFERROR(__xludf.DUMMYFUNCTION("B831 * GOOGLEFINANCE(A831, ""volume"")"),1.0131892781400001E9)</f>
        <v>1013189278</v>
      </c>
      <c r="Y831" s="9">
        <f>IFERROR(__xludf.DUMMYFUNCTION("IFERROR(((B831 - GOOGLEFINANCE(A831, ""priceopen"")) / GOOGLEFINANCE(A831, ""priceopen"")) * GOOGLEFINANCE(A831, ""volume""), 0)"),-62182.67120689604)</f>
        <v>-62182.67121</v>
      </c>
    </row>
    <row r="832">
      <c r="A832" s="4" t="s">
        <v>2625</v>
      </c>
      <c r="B832" s="7">
        <f>IFERROR(__xludf.DUMMYFUNCTION("GOOGLEFINANCE(A832, ""price"")"),1700.2)</f>
        <v>1700.2</v>
      </c>
      <c r="C832" s="7">
        <f>IFERROR(__xludf.DUMMYFUNCTION("GOOGLEFINANCE(A832, ""changepct"")"),1.84)</f>
        <v>1.84</v>
      </c>
      <c r="D832" s="9">
        <f>IFERROR(__xludf.DUMMYFUNCTION("GOOGLEFINANCE(A832, ""priceopen"")"),1680.1)</f>
        <v>1680.1</v>
      </c>
      <c r="E832" s="9">
        <f>IFERROR(__xludf.DUMMYFUNCTION("GOOGLEFINANCE(A832, ""high"")"),1730.0)</f>
        <v>1730</v>
      </c>
      <c r="F832" s="9">
        <f>IFERROR(__xludf.DUMMYFUNCTION("GOOGLEFINANCE(A832, ""low"")"),1664.5)</f>
        <v>1664.5</v>
      </c>
      <c r="G832" s="9">
        <f>IFERROR(__xludf.DUMMYFUNCTION("GOOGLEFINANCE(A832, ""price"")"),1700.2)</f>
        <v>1700.2</v>
      </c>
      <c r="H832" s="9">
        <f>IFERROR(__xludf.DUMMYFUNCTION("MAX(INDEX(GOOGLEFINANCE(A832, ""high"", TODAY()-30, TODAY()), 0, 2))"),1774.9)</f>
        <v>1774.9</v>
      </c>
      <c r="I832" s="9">
        <f>IFERROR(__xludf.DUMMYFUNCTION("MIN(INDEX(GOOGLEFINANCE(A832, ""low"", TODAY()-30, TODAY()), 0, 2))"),1119.0)</f>
        <v>1119</v>
      </c>
      <c r="J832" s="9">
        <f>IFERROR(__xludf.DUMMYFUNCTION("GOOGLEFINANCE(A832, ""high52"")"),1774.9)</f>
        <v>1774.9</v>
      </c>
      <c r="K832" s="9">
        <f>IFERROR(__xludf.DUMMYFUNCTION("GOOGLEFINANCE(A832, ""low52"")"),576.0)</f>
        <v>576</v>
      </c>
      <c r="L832" s="9">
        <f t="shared" si="1"/>
        <v>0.04208687813</v>
      </c>
      <c r="M832" s="9">
        <f t="shared" si="2"/>
        <v>1.951736111</v>
      </c>
      <c r="N832" s="9">
        <f t="shared" si="3"/>
        <v>0.0393511565</v>
      </c>
      <c r="O832" s="9">
        <f t="shared" si="4"/>
        <v>0.8861106876</v>
      </c>
      <c r="P832" s="9">
        <f>IFERROR(__xludf.DUMMYFUNCTION("GOOGLEFINANCE(A832, ""pe"")"),29.42)</f>
        <v>29.42</v>
      </c>
      <c r="Q832" s="9">
        <f>IFERROR(__xludf.DUMMYFUNCTION("IFERROR(GOOGLEFINANCE(A832, ""volume"") / GOOGLEFINANCE(A832, ""volumeavg""), 0)"),0.0)</f>
        <v>0</v>
      </c>
      <c r="R832" s="9">
        <f>IFERROR(__xludf.DUMMYFUNCTION("AVERAGE(INDEX(GOOGLEFINANCE(A832, ""price"", TODAY()-30, TODAY()), 0, 2))"),1338.321739130435)</f>
        <v>1338.321739</v>
      </c>
      <c r="S832" s="9">
        <f>IFERROR(__xludf.DUMMYFUNCTION("AVERAGE(INDEX(GOOGLEFINANCE(A832, ""price"", TODAY()-75, TODAY()), 0, 2))"),1259.1028301886795)</f>
        <v>1259.10283</v>
      </c>
      <c r="T832" s="9">
        <f>IFERROR(__xludf.DUMMYFUNCTION("AVERAGE(INDEX(GOOGLEFINANCE(A832, ""price"", TODAY()-300, TODAY()), 0, 2))"),927.0183168316833)</f>
        <v>927.0183168</v>
      </c>
      <c r="U832" s="9">
        <f t="shared" si="5"/>
        <v>0.270397058</v>
      </c>
      <c r="V832" s="15">
        <f>IFERROR(__xludf.DUMMYFUNCTION("LET(hist, GOOGLEFINANCE(A832,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rs))))))"),90.31639501438161)</f>
        <v>90.31639501</v>
      </c>
      <c r="W832" s="16" t="str">
        <f>IFERROR(__xludf.DUMMYFUNCTION("IFERROR(GOOGLEFINANCE(A832, ""volume"") / GOOGLEFINANCE(A832, ""volumeavg""), )"),"")</f>
        <v/>
      </c>
      <c r="X832" s="9">
        <f>IFERROR(__xludf.DUMMYFUNCTION("B832 * GOOGLEFINANCE(A832, ""volume"")"),2.9439303040000004E8)</f>
        <v>294393030.4</v>
      </c>
      <c r="Y832" s="9">
        <f>IFERROR(__xludf.DUMMYFUNCTION("IFERROR(((B832 - GOOGLEFINANCE(A832, ""priceopen"")) / GOOGLEFINANCE(A832, ""priceopen"")) * GOOGLEFINANCE(A832, ""volume""), 0)"),2071.5166954348097)</f>
        <v>2071.516695</v>
      </c>
    </row>
    <row r="833">
      <c r="A833" s="4" t="s">
        <v>2626</v>
      </c>
      <c r="B833" s="7">
        <f>IFERROR(__xludf.DUMMYFUNCTION("GOOGLEFINANCE(A833, ""price"")"),1098.4)</f>
        <v>1098.4</v>
      </c>
      <c r="C833" s="7">
        <f>IFERROR(__xludf.DUMMYFUNCTION("GOOGLEFINANCE(A833, ""changepct"")"),-0.77)</f>
        <v>-0.77</v>
      </c>
      <c r="D833" s="9">
        <f>IFERROR(__xludf.DUMMYFUNCTION("GOOGLEFINANCE(A833, ""priceopen"")"),1112.0)</f>
        <v>1112</v>
      </c>
      <c r="E833" s="9">
        <f>IFERROR(__xludf.DUMMYFUNCTION("GOOGLEFINANCE(A833, ""high"")"),1120.0)</f>
        <v>1120</v>
      </c>
      <c r="F833" s="9">
        <f>IFERROR(__xludf.DUMMYFUNCTION("GOOGLEFINANCE(A833, ""low"")"),1097.3)</f>
        <v>1097.3</v>
      </c>
      <c r="G833" s="9">
        <f>IFERROR(__xludf.DUMMYFUNCTION("GOOGLEFINANCE(A833, ""price"")"),1098.4)</f>
        <v>1098.4</v>
      </c>
      <c r="H833" s="9">
        <f>IFERROR(__xludf.DUMMYFUNCTION("MAX(INDEX(GOOGLEFINANCE(A833, ""high"", TODAY()-30, TODAY()), 0, 2))"),1214.0)</f>
        <v>1214</v>
      </c>
      <c r="I833" s="9">
        <f>IFERROR(__xludf.DUMMYFUNCTION("MIN(INDEX(GOOGLEFINANCE(A833, ""low"", TODAY()-30, TODAY()), 0, 2))"),971.2)</f>
        <v>971.2</v>
      </c>
      <c r="J833" s="9">
        <f>IFERROR(__xludf.DUMMYFUNCTION("GOOGLEFINANCE(A833, ""high52"")"),1911.6)</f>
        <v>1911.6</v>
      </c>
      <c r="K833" s="9">
        <f>IFERROR(__xludf.DUMMYFUNCTION("GOOGLEFINANCE(A833, ""low52"")"),807.0)</f>
        <v>807</v>
      </c>
      <c r="L833" s="9">
        <f t="shared" si="1"/>
        <v>0.4254028039</v>
      </c>
      <c r="M833" s="9">
        <f t="shared" si="2"/>
        <v>0.3610904585</v>
      </c>
      <c r="N833" s="9">
        <f t="shared" si="3"/>
        <v>0.02068714116</v>
      </c>
      <c r="O833" s="9">
        <f t="shared" si="4"/>
        <v>0.5238879736</v>
      </c>
      <c r="P833" s="9">
        <f>IFERROR(__xludf.DUMMYFUNCTION("GOOGLEFINANCE(A833, ""pe"")"),17.49)</f>
        <v>17.49</v>
      </c>
      <c r="Q833" s="9">
        <f>IFERROR(__xludf.DUMMYFUNCTION("IFERROR(GOOGLEFINANCE(A833, ""volume"") / GOOGLEFINANCE(A833, ""volumeavg""), 0)"),0.0)</f>
        <v>0</v>
      </c>
      <c r="R833" s="9">
        <f>IFERROR(__xludf.DUMMYFUNCTION("AVERAGE(INDEX(GOOGLEFINANCE(A833, ""price"", TODAY()-30, TODAY()), 0, 2))"),1109.1260869565217)</f>
        <v>1109.126087</v>
      </c>
      <c r="S833" s="9">
        <f>IFERROR(__xludf.DUMMYFUNCTION("AVERAGE(INDEX(GOOGLEFINANCE(A833, ""price"", TODAY()-75, TODAY()), 0, 2))"),1103.0603773584905)</f>
        <v>1103.060377</v>
      </c>
      <c r="T833" s="9">
        <f>IFERROR(__xludf.DUMMYFUNCTION("AVERAGE(INDEX(GOOGLEFINANCE(A833, ""price"", TODAY()-300, TODAY()), 0, 2))"),1190.1039603960394)</f>
        <v>1190.10396</v>
      </c>
      <c r="U833" s="9">
        <f t="shared" si="5"/>
        <v>-0.009670755275</v>
      </c>
      <c r="V833" s="15">
        <f>IFERROR(__xludf.DUMMYFUNCTION("LET(hist, GOOGLEFINANCE(A833,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rs))))))"),40.267175572519086)</f>
        <v>40.26717557</v>
      </c>
      <c r="W833" s="16" t="str">
        <f>IFERROR(__xludf.DUMMYFUNCTION("IFERROR(GOOGLEFINANCE(A833, ""volume"") / GOOGLEFINANCE(A833, ""volumeavg""), )"),"")</f>
        <v/>
      </c>
      <c r="X833" s="9">
        <f>IFERROR(__xludf.DUMMYFUNCTION("B833 * GOOGLEFINANCE(A833, ""volume"")"),2.3379444000000004E7)</f>
        <v>23379444</v>
      </c>
      <c r="Y833" s="9">
        <f>IFERROR(__xludf.DUMMYFUNCTION("IFERROR(((B833 - GOOGLEFINANCE(A833, ""priceopen"")) / GOOGLEFINANCE(A833, ""priceopen"")) * GOOGLEFINANCE(A833, ""volume""), 0)"),-260.32014388489034)</f>
        <v>-260.3201439</v>
      </c>
    </row>
    <row r="834">
      <c r="A834" s="4" t="s">
        <v>2627</v>
      </c>
      <c r="B834" s="7">
        <f>IFERROR(__xludf.DUMMYFUNCTION("GOOGLEFINANCE(A834, ""price"")"),8.44)</f>
        <v>8.44</v>
      </c>
      <c r="C834" s="7">
        <f>IFERROR(__xludf.DUMMYFUNCTION("GOOGLEFINANCE(A834, ""changepct"")"),-1.17)</f>
        <v>-1.17</v>
      </c>
      <c r="D834" s="9">
        <f>IFERROR(__xludf.DUMMYFUNCTION("GOOGLEFINANCE(A834, ""priceopen"")"),8.54)</f>
        <v>8.54</v>
      </c>
      <c r="E834" s="9">
        <f>IFERROR(__xludf.DUMMYFUNCTION("GOOGLEFINANCE(A834, ""high"")"),8.58)</f>
        <v>8.58</v>
      </c>
      <c r="F834" s="9">
        <f>IFERROR(__xludf.DUMMYFUNCTION("GOOGLEFINANCE(A834, ""low"")"),8.43)</f>
        <v>8.43</v>
      </c>
      <c r="G834" s="9">
        <f>IFERROR(__xludf.DUMMYFUNCTION("GOOGLEFINANCE(A834, ""price"")"),8.44)</f>
        <v>8.44</v>
      </c>
      <c r="H834" s="9">
        <f>IFERROR(__xludf.DUMMYFUNCTION("MAX(INDEX(GOOGLEFINANCE(A834, ""high"", TODAY()-30, TODAY()), 0, 2))"),9.19)</f>
        <v>9.19</v>
      </c>
      <c r="I834" s="9">
        <f>IFERROR(__xludf.DUMMYFUNCTION("MIN(INDEX(GOOGLEFINANCE(A834, ""low"", TODAY()-30, TODAY()), 0, 2))"),8.36)</f>
        <v>8.36</v>
      </c>
      <c r="J834" s="9">
        <f>IFERROR(__xludf.DUMMYFUNCTION("GOOGLEFINANCE(A834, ""high52"")"),12.9)</f>
        <v>12.9</v>
      </c>
      <c r="K834" s="9">
        <f>IFERROR(__xludf.DUMMYFUNCTION("GOOGLEFINANCE(A834, ""low52"")"),7.52)</f>
        <v>7.52</v>
      </c>
      <c r="L834" s="9">
        <f t="shared" si="1"/>
        <v>0.3457364341</v>
      </c>
      <c r="M834" s="9">
        <f t="shared" si="2"/>
        <v>0.1223404255</v>
      </c>
      <c r="N834" s="9">
        <f t="shared" si="3"/>
        <v>0.01779359431</v>
      </c>
      <c r="O834" s="9">
        <f t="shared" si="4"/>
        <v>0.09638554217</v>
      </c>
      <c r="P834" s="9">
        <f>IFERROR(__xludf.DUMMYFUNCTION("GOOGLEFINANCE(A834, ""pe"")"),40.19)</f>
        <v>40.19</v>
      </c>
      <c r="Q834" s="9">
        <f>IFERROR(__xludf.DUMMYFUNCTION("IFERROR(GOOGLEFINANCE(A834, ""volume"") / GOOGLEFINANCE(A834, ""volumeavg""), 0)"),0.0)</f>
        <v>0</v>
      </c>
      <c r="R834" s="9">
        <f>IFERROR(__xludf.DUMMYFUNCTION("AVERAGE(INDEX(GOOGLEFINANCE(A834, ""price"", TODAY()-30, TODAY()), 0, 2))"),8.688695652173914)</f>
        <v>8.688695652</v>
      </c>
      <c r="S834" s="9">
        <f>IFERROR(__xludf.DUMMYFUNCTION("AVERAGE(INDEX(GOOGLEFINANCE(A834, ""price"", TODAY()-75, TODAY()), 0, 2))"),9.024716981132075)</f>
        <v>9.024716981</v>
      </c>
      <c r="T834" s="9">
        <f>IFERROR(__xludf.DUMMYFUNCTION("AVERAGE(INDEX(GOOGLEFINANCE(A834, ""price"", TODAY()-300, TODAY()), 0, 2))"),9.251633663366334)</f>
        <v>9.251633663</v>
      </c>
      <c r="U834" s="9">
        <f t="shared" si="5"/>
        <v>-0.02862289832</v>
      </c>
      <c r="V834" s="15">
        <f>IFERROR(__xludf.DUMMYFUNCTION("LET(hist, GOOGLEFINANCE(A834,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rs))))))"),46.08695652173914)</f>
        <v>46.08695652</v>
      </c>
      <c r="W834" s="16" t="str">
        <f>IFERROR(__xludf.DUMMYFUNCTION("IFERROR(GOOGLEFINANCE(A834, ""volume"") / GOOGLEFINANCE(A834, ""volumeavg""), )"),"")</f>
        <v/>
      </c>
      <c r="X834" s="9">
        <f>IFERROR(__xludf.DUMMYFUNCTION("B834 * GOOGLEFINANCE(A834, ""volume"")"),7.323499408E7)</f>
        <v>73234994.08</v>
      </c>
      <c r="Y834" s="9">
        <f>IFERROR(__xludf.DUMMYFUNCTION("IFERROR(((B834 - GOOGLEFINANCE(A834, ""priceopen"")) / GOOGLEFINANCE(A834, ""priceopen"")) * GOOGLEFINANCE(A834, ""volume""), 0)"),-101605.76112412143)</f>
        <v>-101605.7611</v>
      </c>
    </row>
    <row r="835">
      <c r="A835" s="4" t="s">
        <v>2628</v>
      </c>
      <c r="B835" s="7">
        <f>IFERROR(__xludf.DUMMYFUNCTION("GOOGLEFINANCE(A835, ""price"")"),21.97)</f>
        <v>21.97</v>
      </c>
      <c r="C835" s="7">
        <f>IFERROR(__xludf.DUMMYFUNCTION("GOOGLEFINANCE(A835, ""changepct"")"),-0.99)</f>
        <v>-0.99</v>
      </c>
      <c r="D835" s="9">
        <f>IFERROR(__xludf.DUMMYFUNCTION("GOOGLEFINANCE(A835, ""priceopen"")"),22.21)</f>
        <v>22.21</v>
      </c>
      <c r="E835" s="9">
        <f>IFERROR(__xludf.DUMMYFUNCTION("GOOGLEFINANCE(A835, ""high"")"),22.25)</f>
        <v>22.25</v>
      </c>
      <c r="F835" s="9">
        <f>IFERROR(__xludf.DUMMYFUNCTION("GOOGLEFINANCE(A835, ""low"")"),21.9)</f>
        <v>21.9</v>
      </c>
      <c r="G835" s="9">
        <f>IFERROR(__xludf.DUMMYFUNCTION("GOOGLEFINANCE(A835, ""price"")"),21.97)</f>
        <v>21.97</v>
      </c>
      <c r="H835" s="9">
        <f>IFERROR(__xludf.DUMMYFUNCTION("MAX(INDEX(GOOGLEFINANCE(A835, ""high"", TODAY()-30, TODAY()), 0, 2))"),23.32)</f>
        <v>23.32</v>
      </c>
      <c r="I835" s="9">
        <f>IFERROR(__xludf.DUMMYFUNCTION("MIN(INDEX(GOOGLEFINANCE(A835, ""low"", TODAY()-30, TODAY()), 0, 2))"),21.5)</f>
        <v>21.5</v>
      </c>
      <c r="J835" s="9">
        <f>IFERROR(__xludf.DUMMYFUNCTION("GOOGLEFINANCE(A835, ""high52"")"),33.5)</f>
        <v>33.5</v>
      </c>
      <c r="K835" s="9">
        <f>IFERROR(__xludf.DUMMYFUNCTION("GOOGLEFINANCE(A835, ""low52"")"),21.05)</f>
        <v>21.05</v>
      </c>
      <c r="L835" s="9">
        <f t="shared" si="1"/>
        <v>0.3441791045</v>
      </c>
      <c r="M835" s="9">
        <f t="shared" si="2"/>
        <v>0.04370546318</v>
      </c>
      <c r="N835" s="9">
        <f t="shared" si="3"/>
        <v>0.01598173516</v>
      </c>
      <c r="O835" s="9">
        <f t="shared" si="4"/>
        <v>0.2582417582</v>
      </c>
      <c r="P835" s="9" t="str">
        <f>IFERROR(__xludf.DUMMYFUNCTION("GOOGLEFINANCE(A835, ""pe"")"),"#N/A")</f>
        <v>#N/A</v>
      </c>
      <c r="Q835" s="9">
        <f>IFERROR(__xludf.DUMMYFUNCTION("IFERROR(GOOGLEFINANCE(A835, ""volume"") / GOOGLEFINANCE(A835, ""volumeavg""), 0)"),0.0)</f>
        <v>0</v>
      </c>
      <c r="R835" s="9">
        <f>IFERROR(__xludf.DUMMYFUNCTION("AVERAGE(INDEX(GOOGLEFINANCE(A835, ""price"", TODAY()-30, TODAY()), 0, 2))"),22.190434782608694)</f>
        <v>22.19043478</v>
      </c>
      <c r="S835" s="9">
        <f>IFERROR(__xludf.DUMMYFUNCTION("AVERAGE(INDEX(GOOGLEFINANCE(A835, ""price"", TODAY()-75, TODAY()), 0, 2))"),22.457547169811317)</f>
        <v>22.45754717</v>
      </c>
      <c r="T835" s="9">
        <f>IFERROR(__xludf.DUMMYFUNCTION("AVERAGE(INDEX(GOOGLEFINANCE(A835, ""price"", TODAY()-300, TODAY()), 0, 2))"),25.259405940594043)</f>
        <v>25.25940594</v>
      </c>
      <c r="U835" s="9">
        <f t="shared" si="5"/>
        <v>-0.009933774834</v>
      </c>
      <c r="V835" s="15">
        <f>IFERROR(__xludf.DUMMYFUNCTION("LET(hist, GOOGLEFINANCE(A835,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rs))))))"),54.682779456193344)</f>
        <v>54.68277946</v>
      </c>
      <c r="W835" s="16" t="str">
        <f>IFERROR(__xludf.DUMMYFUNCTION("IFERROR(GOOGLEFINANCE(A835, ""volume"") / GOOGLEFINANCE(A835, ""volumeavg""), )"),"")</f>
        <v/>
      </c>
      <c r="X835" s="9">
        <f>IFERROR(__xludf.DUMMYFUNCTION("B835 * GOOGLEFINANCE(A835, ""volume"")"),6.0418840169999994E7)</f>
        <v>60418840.17</v>
      </c>
      <c r="Y835" s="9">
        <f>IFERROR(__xludf.DUMMYFUNCTION("IFERROR(((B835 - GOOGLEFINANCE(A835, ""priceopen"")) / GOOGLEFINANCE(A835, ""priceopen"")) * GOOGLEFINANCE(A835, ""volume""), 0)"),-29717.0031517337)</f>
        <v>-29717.00315</v>
      </c>
    </row>
    <row r="836">
      <c r="A836" s="4" t="s">
        <v>2629</v>
      </c>
      <c r="B836" s="7">
        <f>IFERROR(__xludf.DUMMYFUNCTION("GOOGLEFINANCE(A836, ""price"")"),4210.0)</f>
        <v>4210</v>
      </c>
      <c r="C836" s="7">
        <f>IFERROR(__xludf.DUMMYFUNCTION("GOOGLEFINANCE(A836, ""changepct"")"),-2.24)</f>
        <v>-2.24</v>
      </c>
      <c r="D836" s="9">
        <f>IFERROR(__xludf.DUMMYFUNCTION("GOOGLEFINANCE(A836, ""priceopen"")"),4390.0)</f>
        <v>4390</v>
      </c>
      <c r="E836" s="9">
        <f>IFERROR(__xludf.DUMMYFUNCTION("GOOGLEFINANCE(A836, ""high"")"),4390.0)</f>
        <v>4390</v>
      </c>
      <c r="F836" s="9">
        <f>IFERROR(__xludf.DUMMYFUNCTION("GOOGLEFINANCE(A836, ""low"")"),4207.0)</f>
        <v>4207</v>
      </c>
      <c r="G836" s="9">
        <f>IFERROR(__xludf.DUMMYFUNCTION("GOOGLEFINANCE(A836, ""price"")"),4210.0)</f>
        <v>4210</v>
      </c>
      <c r="H836" s="9">
        <f>IFERROR(__xludf.DUMMYFUNCTION("MAX(INDEX(GOOGLEFINANCE(A836, ""high"", TODAY()-30, TODAY()), 0, 2))"),4490.0)</f>
        <v>4490</v>
      </c>
      <c r="I836" s="9">
        <f>IFERROR(__xludf.DUMMYFUNCTION("MIN(INDEX(GOOGLEFINANCE(A836, ""low"", TODAY()-30, TODAY()), 0, 2))"),2945.5)</f>
        <v>2945.5</v>
      </c>
      <c r="J836" s="9">
        <f>IFERROR(__xludf.DUMMYFUNCTION("GOOGLEFINANCE(A836, ""high52"")"),4490.0)</f>
        <v>4490</v>
      </c>
      <c r="K836" s="9">
        <f>IFERROR(__xludf.DUMMYFUNCTION("GOOGLEFINANCE(A836, ""low52"")"),1130.0)</f>
        <v>1130</v>
      </c>
      <c r="L836" s="9">
        <f t="shared" si="1"/>
        <v>0.06236080178</v>
      </c>
      <c r="M836" s="9">
        <f t="shared" si="2"/>
        <v>2.725663717</v>
      </c>
      <c r="N836" s="9">
        <f t="shared" si="3"/>
        <v>0.04349893035</v>
      </c>
      <c r="O836" s="9">
        <f t="shared" si="4"/>
        <v>0.8187115571</v>
      </c>
      <c r="P836" s="9">
        <f>IFERROR(__xludf.DUMMYFUNCTION("GOOGLEFINANCE(A836, ""pe"")"),88.02)</f>
        <v>88.02</v>
      </c>
      <c r="Q836" s="9">
        <f>IFERROR(__xludf.DUMMYFUNCTION("IFERROR(GOOGLEFINANCE(A836, ""volume"") / GOOGLEFINANCE(A836, ""volumeavg""), 0)"),0.0)</f>
        <v>0</v>
      </c>
      <c r="R836" s="9">
        <f>IFERROR(__xludf.DUMMYFUNCTION("AVERAGE(INDEX(GOOGLEFINANCE(A836, ""price"", TODAY()-30, TODAY()), 0, 2))"),3503.669565217391)</f>
        <v>3503.669565</v>
      </c>
      <c r="S836" s="9">
        <f>IFERROR(__xludf.DUMMYFUNCTION("AVERAGE(INDEX(GOOGLEFINANCE(A836, ""price"", TODAY()-75, TODAY()), 0, 2))"),3058.507547169811)</f>
        <v>3058.507547</v>
      </c>
      <c r="T836" s="9">
        <f>IFERROR(__xludf.DUMMYFUNCTION("AVERAGE(INDEX(GOOGLEFINANCE(A836, ""price"", TODAY()-300, TODAY()), 0, 2))"),1917.3653465346545)</f>
        <v>1917.365347</v>
      </c>
      <c r="U836" s="9">
        <f t="shared" si="5"/>
        <v>0.2015973315</v>
      </c>
      <c r="V836" s="15">
        <f>IFERROR(__xludf.DUMMYFUNCTION("LET(hist, GOOGLEFINANCE(A836,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rs))))))"),79.61144767077501)</f>
        <v>79.61144767</v>
      </c>
      <c r="W836" s="16" t="str">
        <f>IFERROR(__xludf.DUMMYFUNCTION("IFERROR(GOOGLEFINANCE(A836, ""volume"") / GOOGLEFINANCE(A836, ""volumeavg""), )"),"")</f>
        <v/>
      </c>
      <c r="X836" s="9">
        <f>IFERROR(__xludf.DUMMYFUNCTION("B836 * GOOGLEFINANCE(A836, ""volume"")"),8.625869E7)</f>
        <v>86258690</v>
      </c>
      <c r="Y836" s="9">
        <f>IFERROR(__xludf.DUMMYFUNCTION("IFERROR(((B836 - GOOGLEFINANCE(A836, ""priceopen"")) / GOOGLEFINANCE(A836, ""priceopen"")) * GOOGLEFINANCE(A836, ""volume""), 0)"),-840.0956719817768)</f>
        <v>-840.095672</v>
      </c>
    </row>
    <row r="837">
      <c r="A837" s="4" t="s">
        <v>2630</v>
      </c>
      <c r="B837" s="7">
        <f>IFERROR(__xludf.DUMMYFUNCTION("GOOGLEFINANCE(A837, ""price"")"),300.15)</f>
        <v>300.15</v>
      </c>
      <c r="C837" s="7">
        <f>IFERROR(__xludf.DUMMYFUNCTION("GOOGLEFINANCE(A837, ""changepct"")"),-1.67)</f>
        <v>-1.67</v>
      </c>
      <c r="D837" s="9">
        <f>IFERROR(__xludf.DUMMYFUNCTION("GOOGLEFINANCE(A837, ""priceopen"")"),305.25)</f>
        <v>305.25</v>
      </c>
      <c r="E837" s="9">
        <f>IFERROR(__xludf.DUMMYFUNCTION("GOOGLEFINANCE(A837, ""high"")"),310.2)</f>
        <v>310.2</v>
      </c>
      <c r="F837" s="9">
        <f>IFERROR(__xludf.DUMMYFUNCTION("GOOGLEFINANCE(A837, ""low"")"),298.15)</f>
        <v>298.15</v>
      </c>
      <c r="G837" s="9">
        <f>IFERROR(__xludf.DUMMYFUNCTION("GOOGLEFINANCE(A837, ""price"")"),300.15)</f>
        <v>300.15</v>
      </c>
      <c r="H837" s="9">
        <f>IFERROR(__xludf.DUMMYFUNCTION("MAX(INDEX(GOOGLEFINANCE(A837, ""high"", TODAY()-30, TODAY()), 0, 2))"),310.2)</f>
        <v>310.2</v>
      </c>
      <c r="I837" s="9">
        <f>IFERROR(__xludf.DUMMYFUNCTION("MIN(INDEX(GOOGLEFINANCE(A837, ""low"", TODAY()-30, TODAY()), 0, 2))"),227.38)</f>
        <v>227.38</v>
      </c>
      <c r="J837" s="9">
        <f>IFERROR(__xludf.DUMMYFUNCTION("GOOGLEFINANCE(A837, ""high52"")"),310.2)</f>
        <v>310.2</v>
      </c>
      <c r="K837" s="9">
        <f>IFERROR(__xludf.DUMMYFUNCTION("GOOGLEFINANCE(A837, ""low52"")"),225.0)</f>
        <v>225</v>
      </c>
      <c r="L837" s="9">
        <f t="shared" si="1"/>
        <v>0.03239845261</v>
      </c>
      <c r="M837" s="9">
        <f t="shared" si="2"/>
        <v>0.334</v>
      </c>
      <c r="N837" s="9">
        <f t="shared" si="3"/>
        <v>0.04041589804</v>
      </c>
      <c r="O837" s="9">
        <f t="shared" si="4"/>
        <v>0.8786524994</v>
      </c>
      <c r="P837" s="9">
        <f>IFERROR(__xludf.DUMMYFUNCTION("GOOGLEFINANCE(A837, ""pe"")"),19.64)</f>
        <v>19.64</v>
      </c>
      <c r="Q837" s="9">
        <f>IFERROR(__xludf.DUMMYFUNCTION("IFERROR(GOOGLEFINANCE(A837, ""volume"") / GOOGLEFINANCE(A837, ""volumeavg""), 0)"),0.0)</f>
        <v>0</v>
      </c>
      <c r="R837" s="9">
        <f>IFERROR(__xludf.DUMMYFUNCTION("AVERAGE(INDEX(GOOGLEFINANCE(A837, ""price"", TODAY()-30, TODAY()), 0, 2))"),258.79521739130433)</f>
        <v>258.7952174</v>
      </c>
      <c r="S837" s="9">
        <f>IFERROR(__xludf.DUMMYFUNCTION("AVERAGE(INDEX(GOOGLEFINANCE(A837, ""price"", TODAY()-75, TODAY()), 0, 2))"),246.04339622641513)</f>
        <v>246.0433962</v>
      </c>
      <c r="T837" s="9">
        <f>IFERROR(__xludf.DUMMYFUNCTION("AVERAGE(INDEX(GOOGLEFINANCE(A837, ""price"", TODAY()-300, TODAY()), 0, 2))"),259.45212871287134)</f>
        <v>259.4521287</v>
      </c>
      <c r="U837" s="9">
        <f t="shared" si="5"/>
        <v>0.1597973217</v>
      </c>
      <c r="V837" s="15">
        <f>IFERROR(__xludf.DUMMYFUNCTION("LET(hist, GOOGLEFINANCE(A837,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rs))))))"),83.29230080572967)</f>
        <v>83.29230081</v>
      </c>
      <c r="W837" s="16" t="str">
        <f>IFERROR(__xludf.DUMMYFUNCTION("IFERROR(GOOGLEFINANCE(A837, ""volume"") / GOOGLEFINANCE(A837, ""volumeavg""), )"),"")</f>
        <v/>
      </c>
      <c r="X837" s="9">
        <f>IFERROR(__xludf.DUMMYFUNCTION("B837 * GOOGLEFINANCE(A837, ""volume"")"),1.745696412E8)</f>
        <v>174569641.2</v>
      </c>
      <c r="Y837" s="9">
        <f>IFERROR(__xludf.DUMMYFUNCTION("IFERROR(((B837 - GOOGLEFINANCE(A837, ""priceopen"")) / GOOGLEFINANCE(A837, ""priceopen"")) * GOOGLEFINANCE(A837, ""volume""), 0)"),-9717.283538083582)</f>
        <v>-9717.283538</v>
      </c>
    </row>
    <row r="838">
      <c r="A838" s="4" t="s">
        <v>2631</v>
      </c>
      <c r="B838" s="7">
        <f>IFERROR(__xludf.DUMMYFUNCTION("GOOGLEFINANCE(A838, ""price"")"),286.0)</f>
        <v>286</v>
      </c>
      <c r="C838" s="7">
        <f>IFERROR(__xludf.DUMMYFUNCTION("GOOGLEFINANCE(A838, ""changepct"")"),1.31)</f>
        <v>1.31</v>
      </c>
      <c r="D838" s="9">
        <f>IFERROR(__xludf.DUMMYFUNCTION("GOOGLEFINANCE(A838, ""priceopen"")"),283.2)</f>
        <v>283.2</v>
      </c>
      <c r="E838" s="9">
        <f>IFERROR(__xludf.DUMMYFUNCTION("GOOGLEFINANCE(A838, ""high"")"),287.45)</f>
        <v>287.45</v>
      </c>
      <c r="F838" s="9">
        <f>IFERROR(__xludf.DUMMYFUNCTION("GOOGLEFINANCE(A838, ""low"")"),280.8)</f>
        <v>280.8</v>
      </c>
      <c r="G838" s="9">
        <f>IFERROR(__xludf.DUMMYFUNCTION("GOOGLEFINANCE(A838, ""price"")"),286.0)</f>
        <v>286</v>
      </c>
      <c r="H838" s="9">
        <f>IFERROR(__xludf.DUMMYFUNCTION("MAX(INDEX(GOOGLEFINANCE(A838, ""high"", TODAY()-30, TODAY()), 0, 2))"),334.0)</f>
        <v>334</v>
      </c>
      <c r="I838" s="9">
        <f>IFERROR(__xludf.DUMMYFUNCTION("MIN(INDEX(GOOGLEFINANCE(A838, ""low"", TODAY()-30, TODAY()), 0, 2))"),273.15)</f>
        <v>273.15</v>
      </c>
      <c r="J838" s="9">
        <f>IFERROR(__xludf.DUMMYFUNCTION("GOOGLEFINANCE(A838, ""high52"")"),334.0)</f>
        <v>334</v>
      </c>
      <c r="K838" s="9">
        <f>IFERROR(__xludf.DUMMYFUNCTION("GOOGLEFINANCE(A838, ""low52"")"),206.0)</f>
        <v>206</v>
      </c>
      <c r="L838" s="9">
        <f t="shared" si="1"/>
        <v>0.1437125749</v>
      </c>
      <c r="M838" s="9">
        <f t="shared" si="2"/>
        <v>0.3883495146</v>
      </c>
      <c r="N838" s="9">
        <f t="shared" si="3"/>
        <v>0.02368233618</v>
      </c>
      <c r="O838" s="9">
        <f t="shared" si="4"/>
        <v>0.2111750205</v>
      </c>
      <c r="P838" s="9">
        <f>IFERROR(__xludf.DUMMYFUNCTION("GOOGLEFINANCE(A838, ""pe"")"),10.64)</f>
        <v>10.64</v>
      </c>
      <c r="Q838" s="9">
        <f>IFERROR(__xludf.DUMMYFUNCTION("IFERROR(GOOGLEFINANCE(A838, ""volume"") / GOOGLEFINANCE(A838, ""volumeavg""), 0)"),0.0)</f>
        <v>0</v>
      </c>
      <c r="R838" s="9">
        <f>IFERROR(__xludf.DUMMYFUNCTION("AVERAGE(INDEX(GOOGLEFINANCE(A838, ""price"", TODAY()-30, TODAY()), 0, 2))"),295.41086956521735)</f>
        <v>295.4108696</v>
      </c>
      <c r="S838" s="9">
        <f>IFERROR(__xludf.DUMMYFUNCTION("AVERAGE(INDEX(GOOGLEFINANCE(A838, ""price"", TODAY()-75, TODAY()), 0, 2))"),295.64245283018863)</f>
        <v>295.6424528</v>
      </c>
      <c r="T838" s="9">
        <f>IFERROR(__xludf.DUMMYFUNCTION("AVERAGE(INDEX(GOOGLEFINANCE(A838, ""price"", TODAY()-300, TODAY()), 0, 2))"),267.1073762376238)</f>
        <v>267.1073762</v>
      </c>
      <c r="U838" s="9">
        <f t="shared" si="5"/>
        <v>-0.03185688319</v>
      </c>
      <c r="V838" s="15">
        <f>IFERROR(__xludf.DUMMYFUNCTION("LET(hist, GOOGLEFINANCE(A838,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rs))))))"),37.536656891495625)</f>
        <v>37.53665689</v>
      </c>
      <c r="W838" s="16" t="str">
        <f>IFERROR(__xludf.DUMMYFUNCTION("IFERROR(GOOGLEFINANCE(A838, ""volume"") / GOOGLEFINANCE(A838, ""volumeavg""), )"),"")</f>
        <v/>
      </c>
      <c r="X838" s="9">
        <f>IFERROR(__xludf.DUMMYFUNCTION("B838 * GOOGLEFINANCE(A838, ""volume"")"),1.1604307E8)</f>
        <v>116043070</v>
      </c>
      <c r="Y838" s="9">
        <f>IFERROR(__xludf.DUMMYFUNCTION("IFERROR(((B838 - GOOGLEFINANCE(A838, ""priceopen"")) / GOOGLEFINANCE(A838, ""priceopen"")) * GOOGLEFINANCE(A838, ""volume""), 0)"),4011.6031073446493)</f>
        <v>4011.603107</v>
      </c>
    </row>
    <row r="839">
      <c r="A839" s="4" t="s">
        <v>2632</v>
      </c>
      <c r="B839" s="7">
        <f>IFERROR(__xludf.DUMMYFUNCTION("GOOGLEFINANCE(A839, ""price"")"),2843.0)</f>
        <v>2843</v>
      </c>
      <c r="C839" s="7">
        <f>IFERROR(__xludf.DUMMYFUNCTION("GOOGLEFINANCE(A839, ""changepct"")"),-0.22)</f>
        <v>-0.22</v>
      </c>
      <c r="D839" s="9">
        <f>IFERROR(__xludf.DUMMYFUNCTION("GOOGLEFINANCE(A839, ""priceopen"")"),2831.0)</f>
        <v>2831</v>
      </c>
      <c r="E839" s="9">
        <f>IFERROR(__xludf.DUMMYFUNCTION("GOOGLEFINANCE(A839, ""high"")"),2887.9)</f>
        <v>2887.9</v>
      </c>
      <c r="F839" s="9">
        <f>IFERROR(__xludf.DUMMYFUNCTION("GOOGLEFINANCE(A839, ""low"")"),2811.0)</f>
        <v>2811</v>
      </c>
      <c r="G839" s="9">
        <f>IFERROR(__xludf.DUMMYFUNCTION("GOOGLEFINANCE(A839, ""price"")"),2843.0)</f>
        <v>2843</v>
      </c>
      <c r="H839" s="9">
        <f>IFERROR(__xludf.DUMMYFUNCTION("MAX(INDEX(GOOGLEFINANCE(A839, ""high"", TODAY()-30, TODAY()), 0, 2))"),2979.0)</f>
        <v>2979</v>
      </c>
      <c r="I839" s="9">
        <f>IFERROR(__xludf.DUMMYFUNCTION("MIN(INDEX(GOOGLEFINANCE(A839, ""low"", TODAY()-30, TODAY()), 0, 2))"),1984.9)</f>
        <v>1984.9</v>
      </c>
      <c r="J839" s="9">
        <f>IFERROR(__xludf.DUMMYFUNCTION("GOOGLEFINANCE(A839, ""high52"")"),2979.0)</f>
        <v>2979</v>
      </c>
      <c r="K839" s="9">
        <f>IFERROR(__xludf.DUMMYFUNCTION("GOOGLEFINANCE(A839, ""low52"")"),1336.1)</f>
        <v>1336.1</v>
      </c>
      <c r="L839" s="9">
        <f t="shared" si="1"/>
        <v>0.04565290366</v>
      </c>
      <c r="M839" s="9">
        <f t="shared" si="2"/>
        <v>1.127834743</v>
      </c>
      <c r="N839" s="9">
        <f t="shared" si="3"/>
        <v>0.02735681252</v>
      </c>
      <c r="O839" s="9">
        <f t="shared" si="4"/>
        <v>0.8631928377</v>
      </c>
      <c r="P839" s="9">
        <f>IFERROR(__xludf.DUMMYFUNCTION("GOOGLEFINANCE(A839, ""pe"")"),25.62)</f>
        <v>25.62</v>
      </c>
      <c r="Q839" s="9">
        <f>IFERROR(__xludf.DUMMYFUNCTION("IFERROR(GOOGLEFINANCE(A839, ""volume"") / GOOGLEFINANCE(A839, ""volumeavg""), 0)"),0.0)</f>
        <v>0</v>
      </c>
      <c r="R839" s="9">
        <f>IFERROR(__xludf.DUMMYFUNCTION("AVERAGE(INDEX(GOOGLEFINANCE(A839, ""price"", TODAY()-30, TODAY()), 0, 2))"),2536.773913043478)</f>
        <v>2536.773913</v>
      </c>
      <c r="S839" s="9">
        <f>IFERROR(__xludf.DUMMYFUNCTION("AVERAGE(INDEX(GOOGLEFINANCE(A839, ""price"", TODAY()-75, TODAY()), 0, 2))"),2152.8415094339616)</f>
        <v>2152.841509</v>
      </c>
      <c r="T839" s="9">
        <f>IFERROR(__xludf.DUMMYFUNCTION("AVERAGE(INDEX(GOOGLEFINANCE(A839, ""price"", TODAY()-300, TODAY()), 0, 2))"),1925.4475247524763)</f>
        <v>1925.447525</v>
      </c>
      <c r="U839" s="9">
        <f t="shared" si="5"/>
        <v>0.120714773</v>
      </c>
      <c r="V839" s="15">
        <f>IFERROR(__xludf.DUMMYFUNCTION("LET(hist, GOOGLEFINANCE(A839,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rs))))))"),60.53333333333333)</f>
        <v>60.53333333</v>
      </c>
      <c r="W839" s="16" t="str">
        <f>IFERROR(__xludf.DUMMYFUNCTION("IFERROR(GOOGLEFINANCE(A839, ""volume"") / GOOGLEFINANCE(A839, ""volumeavg""), )"),"")</f>
        <v/>
      </c>
      <c r="X839" s="9">
        <f>IFERROR(__xludf.DUMMYFUNCTION("B839 * GOOGLEFINANCE(A839, ""volume"")"),7.9586942E7)</f>
        <v>79586942</v>
      </c>
      <c r="Y839" s="9">
        <f>IFERROR(__xludf.DUMMYFUNCTION("IFERROR(((B839 - GOOGLEFINANCE(A839, ""priceopen"")) / GOOGLEFINANCE(A839, ""priceopen"")) * GOOGLEFINANCE(A839, ""volume""), 0)"),118.66054397739315)</f>
        <v>118.660544</v>
      </c>
    </row>
    <row r="840">
      <c r="A840" s="4" t="s">
        <v>2633</v>
      </c>
      <c r="B840" s="7">
        <f>IFERROR(__xludf.DUMMYFUNCTION("GOOGLEFINANCE(A840, ""price"")"),1028.8)</f>
        <v>1028.8</v>
      </c>
      <c r="C840" s="7">
        <f>IFERROR(__xludf.DUMMYFUNCTION("GOOGLEFINANCE(A840, ""changepct"")"),-1.11)</f>
        <v>-1.11</v>
      </c>
      <c r="D840" s="9">
        <f>IFERROR(__xludf.DUMMYFUNCTION("GOOGLEFINANCE(A840, ""priceopen"")"),1040.4)</f>
        <v>1040.4</v>
      </c>
      <c r="E840" s="9">
        <f>IFERROR(__xludf.DUMMYFUNCTION("GOOGLEFINANCE(A840, ""high"")"),1040.4)</f>
        <v>1040.4</v>
      </c>
      <c r="F840" s="9">
        <f>IFERROR(__xludf.DUMMYFUNCTION("GOOGLEFINANCE(A840, ""low"")"),1018.1)</f>
        <v>1018.1</v>
      </c>
      <c r="G840" s="9">
        <f>IFERROR(__xludf.DUMMYFUNCTION("GOOGLEFINANCE(A840, ""price"")"),1028.8)</f>
        <v>1028.8</v>
      </c>
      <c r="H840" s="9">
        <f>IFERROR(__xludf.DUMMYFUNCTION("MAX(INDEX(GOOGLEFINANCE(A840, ""high"", TODAY()-30, TODAY()), 0, 2))"),1053.6)</f>
        <v>1053.6</v>
      </c>
      <c r="I840" s="9">
        <f>IFERROR(__xludf.DUMMYFUNCTION("MIN(INDEX(GOOGLEFINANCE(A840, ""low"", TODAY()-30, TODAY()), 0, 2))"),943.3)</f>
        <v>943.3</v>
      </c>
      <c r="J840" s="9">
        <f>IFERROR(__xludf.DUMMYFUNCTION("GOOGLEFINANCE(A840, ""high52"")"),1665.0)</f>
        <v>1665</v>
      </c>
      <c r="K840" s="9">
        <f>IFERROR(__xludf.DUMMYFUNCTION("GOOGLEFINANCE(A840, ""low52"")"),889.6)</f>
        <v>889.6</v>
      </c>
      <c r="L840" s="9">
        <f t="shared" si="1"/>
        <v>0.3821021021</v>
      </c>
      <c r="M840" s="9">
        <f t="shared" si="2"/>
        <v>0.1564748201</v>
      </c>
      <c r="N840" s="9">
        <f t="shared" si="3"/>
        <v>0.02190354582</v>
      </c>
      <c r="O840" s="9">
        <f t="shared" si="4"/>
        <v>0.7751586582</v>
      </c>
      <c r="P840" s="9">
        <f>IFERROR(__xludf.DUMMYFUNCTION("GOOGLEFINANCE(A840, ""pe"")"),17.3)</f>
        <v>17.3</v>
      </c>
      <c r="Q840" s="9">
        <f>IFERROR(__xludf.DUMMYFUNCTION("IFERROR(GOOGLEFINANCE(A840, ""volume"") / GOOGLEFINANCE(A840, ""volumeavg""), 0)"),0.0)</f>
        <v>0</v>
      </c>
      <c r="R840" s="9">
        <f>IFERROR(__xludf.DUMMYFUNCTION("AVERAGE(INDEX(GOOGLEFINANCE(A840, ""price"", TODAY()-30, TODAY()), 0, 2))"),1019.8304347826084)</f>
        <v>1019.830435</v>
      </c>
      <c r="S840" s="9">
        <f>IFERROR(__xludf.DUMMYFUNCTION("AVERAGE(INDEX(GOOGLEFINANCE(A840, ""price"", TODAY()-75, TODAY()), 0, 2))"),1050.3905660377359)</f>
        <v>1050.390566</v>
      </c>
      <c r="T840" s="9">
        <f>IFERROR(__xludf.DUMMYFUNCTION("AVERAGE(INDEX(GOOGLEFINANCE(A840, ""price"", TODAY()-300, TODAY()), 0, 2))"),1113.4121287128717)</f>
        <v>1113.412129</v>
      </c>
      <c r="U840" s="9">
        <f t="shared" si="5"/>
        <v>0.0087951535</v>
      </c>
      <c r="V840" s="15">
        <f>IFERROR(__xludf.DUMMYFUNCTION("LET(hist, GOOGLEFINANCE(A840,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rs))))))"),55.038265306122476)</f>
        <v>55.03826531</v>
      </c>
      <c r="W840" s="16" t="str">
        <f>IFERROR(__xludf.DUMMYFUNCTION("IFERROR(GOOGLEFINANCE(A840, ""volume"") / GOOGLEFINANCE(A840, ""volumeavg""), )"),"")</f>
        <v/>
      </c>
      <c r="X840" s="9">
        <f>IFERROR(__xludf.DUMMYFUNCTION("B840 * GOOGLEFINANCE(A840, ""volume"")"),1.97179808E7)</f>
        <v>19717980.8</v>
      </c>
      <c r="Y840" s="9">
        <f>IFERROR(__xludf.DUMMYFUNCTION("IFERROR(((B840 - GOOGLEFINANCE(A840, ""priceopen"")) / GOOGLEFINANCE(A840, ""priceopen"")) * GOOGLEFINANCE(A840, ""volume""), 0)"),-213.69242599000634)</f>
        <v>-213.692426</v>
      </c>
    </row>
    <row r="841">
      <c r="A841" s="4" t="s">
        <v>2634</v>
      </c>
      <c r="B841" s="7">
        <f>IFERROR(__xludf.DUMMYFUNCTION("GOOGLEFINANCE(A841, ""price"")"),1258.0)</f>
        <v>1258</v>
      </c>
      <c r="C841" s="7">
        <f>IFERROR(__xludf.DUMMYFUNCTION("GOOGLEFINANCE(A841, ""changepct"")"),2.92)</f>
        <v>2.92</v>
      </c>
      <c r="D841" s="9">
        <f>IFERROR(__xludf.DUMMYFUNCTION("GOOGLEFINANCE(A841, ""priceopen"")"),1222.2)</f>
        <v>1222.2</v>
      </c>
      <c r="E841" s="9">
        <f>IFERROR(__xludf.DUMMYFUNCTION("GOOGLEFINANCE(A841, ""high"")"),1269.9)</f>
        <v>1269.9</v>
      </c>
      <c r="F841" s="9">
        <f>IFERROR(__xludf.DUMMYFUNCTION("GOOGLEFINANCE(A841, ""low"")"),1186.4)</f>
        <v>1186.4</v>
      </c>
      <c r="G841" s="9">
        <f>IFERROR(__xludf.DUMMYFUNCTION("GOOGLEFINANCE(A841, ""price"")"),1258.0)</f>
        <v>1258</v>
      </c>
      <c r="H841" s="9">
        <f>IFERROR(__xludf.DUMMYFUNCTION("MAX(INDEX(GOOGLEFINANCE(A841, ""high"", TODAY()-30, TODAY()), 0, 2))"),1399.0)</f>
        <v>1399</v>
      </c>
      <c r="I841" s="9">
        <f>IFERROR(__xludf.DUMMYFUNCTION("MIN(INDEX(GOOGLEFINANCE(A841, ""low"", TODAY()-30, TODAY()), 0, 2))"),1029.1)</f>
        <v>1029.1</v>
      </c>
      <c r="J841" s="9">
        <f>IFERROR(__xludf.DUMMYFUNCTION("GOOGLEFINANCE(A841, ""high52"")"),1399.0)</f>
        <v>1399</v>
      </c>
      <c r="K841" s="9">
        <f>IFERROR(__xludf.DUMMYFUNCTION("GOOGLEFINANCE(A841, ""low52"")"),565.2)</f>
        <v>565.2</v>
      </c>
      <c r="L841" s="9">
        <f t="shared" si="1"/>
        <v>0.1007862759</v>
      </c>
      <c r="M841" s="9">
        <f t="shared" si="2"/>
        <v>1.225760793</v>
      </c>
      <c r="N841" s="9">
        <f t="shared" si="3"/>
        <v>0.07038098449</v>
      </c>
      <c r="O841" s="9">
        <f t="shared" si="4"/>
        <v>0.6188158962</v>
      </c>
      <c r="P841" s="9">
        <f>IFERROR(__xludf.DUMMYFUNCTION("GOOGLEFINANCE(A841, ""pe"")"),112.43)</f>
        <v>112.43</v>
      </c>
      <c r="Q841" s="9">
        <f>IFERROR(__xludf.DUMMYFUNCTION("IFERROR(GOOGLEFINANCE(A841, ""volume"") / GOOGLEFINANCE(A841, ""volumeavg""), 0)"),0.0)</f>
        <v>0</v>
      </c>
      <c r="R841" s="9">
        <f>IFERROR(__xludf.DUMMYFUNCTION("AVERAGE(INDEX(GOOGLEFINANCE(A841, ""price"", TODAY()-30, TODAY()), 0, 2))"),1274.2782608695654)</f>
        <v>1274.278261</v>
      </c>
      <c r="S841" s="9">
        <f>IFERROR(__xludf.DUMMYFUNCTION("AVERAGE(INDEX(GOOGLEFINANCE(A841, ""price"", TODAY()-75, TODAY()), 0, 2))"),1184.0933962264153)</f>
        <v>1184.093396</v>
      </c>
      <c r="T841" s="9">
        <f>IFERROR(__xludf.DUMMYFUNCTION("AVERAGE(INDEX(GOOGLEFINANCE(A841, ""price"", TODAY()-300, TODAY()), 0, 2))"),881.2158415841583)</f>
        <v>881.2158416</v>
      </c>
      <c r="U841" s="9">
        <f t="shared" si="5"/>
        <v>-0.01277449468</v>
      </c>
      <c r="V841" s="15">
        <f>IFERROR(__xludf.DUMMYFUNCTION("LET(hist, GOOGLEFINANCE(A841,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rs))))))"),43.4380776340111)</f>
        <v>43.43807763</v>
      </c>
      <c r="W841" s="16" t="str">
        <f>IFERROR(__xludf.DUMMYFUNCTION("IFERROR(GOOGLEFINANCE(A841, ""volume"") / GOOGLEFINANCE(A841, ""volumeavg""), )"),"")</f>
        <v/>
      </c>
      <c r="X841" s="9">
        <f>IFERROR(__xludf.DUMMYFUNCTION("B841 * GOOGLEFINANCE(A841, ""volume"")"),1.69863966E8)</f>
        <v>169863966</v>
      </c>
      <c r="Y841" s="9">
        <f>IFERROR(__xludf.DUMMYFUNCTION("IFERROR(((B841 - GOOGLEFINANCE(A841, ""priceopen"")) / GOOGLEFINANCE(A841, ""priceopen"")) * GOOGLEFINANCE(A841, ""volume""), 0)"),3955.1354933726016)</f>
        <v>3955.135493</v>
      </c>
    </row>
    <row r="842">
      <c r="A842" s="4" t="s">
        <v>2635</v>
      </c>
      <c r="B842" s="7">
        <f>IFERROR(__xludf.DUMMYFUNCTION("GOOGLEFINANCE(A842, ""price"")"),708.0)</f>
        <v>708</v>
      </c>
      <c r="C842" s="7">
        <f>IFERROR(__xludf.DUMMYFUNCTION("GOOGLEFINANCE(A842, ""changepct"")"),-1.28)</f>
        <v>-1.28</v>
      </c>
      <c r="D842" s="9">
        <f>IFERROR(__xludf.DUMMYFUNCTION("GOOGLEFINANCE(A842, ""priceopen"")"),716.9)</f>
        <v>716.9</v>
      </c>
      <c r="E842" s="9">
        <f>IFERROR(__xludf.DUMMYFUNCTION("GOOGLEFINANCE(A842, ""high"")"),721.2)</f>
        <v>721.2</v>
      </c>
      <c r="F842" s="9">
        <f>IFERROR(__xludf.DUMMYFUNCTION("GOOGLEFINANCE(A842, ""low"")"),698.0)</f>
        <v>698</v>
      </c>
      <c r="G842" s="9">
        <f>IFERROR(__xludf.DUMMYFUNCTION("GOOGLEFINANCE(A842, ""price"")"),708.0)</f>
        <v>708</v>
      </c>
      <c r="H842" s="9">
        <f>IFERROR(__xludf.DUMMYFUNCTION("MAX(INDEX(GOOGLEFINANCE(A842, ""high"", TODAY()-30, TODAY()), 0, 2))"),743.95)</f>
        <v>743.95</v>
      </c>
      <c r="I842" s="9">
        <f>IFERROR(__xludf.DUMMYFUNCTION("MIN(INDEX(GOOGLEFINANCE(A842, ""low"", TODAY()-30, TODAY()), 0, 2))"),657.5)</f>
        <v>657.5</v>
      </c>
      <c r="J842" s="9">
        <f>IFERROR(__xludf.DUMMYFUNCTION("GOOGLEFINANCE(A842, ""high52"")"),967.0)</f>
        <v>967</v>
      </c>
      <c r="K842" s="9">
        <f>IFERROR(__xludf.DUMMYFUNCTION("GOOGLEFINANCE(A842, ""low52"")"),465.0)</f>
        <v>465</v>
      </c>
      <c r="L842" s="9">
        <f t="shared" si="1"/>
        <v>0.2678386763</v>
      </c>
      <c r="M842" s="9">
        <f t="shared" si="2"/>
        <v>0.5225806452</v>
      </c>
      <c r="N842" s="9">
        <f t="shared" si="3"/>
        <v>0.03323782235</v>
      </c>
      <c r="O842" s="9">
        <f t="shared" si="4"/>
        <v>0.5841526894</v>
      </c>
      <c r="P842" s="9">
        <f>IFERROR(__xludf.DUMMYFUNCTION("GOOGLEFINANCE(A842, ""pe"")"),12.65)</f>
        <v>12.65</v>
      </c>
      <c r="Q842" s="9">
        <f>IFERROR(__xludf.DUMMYFUNCTION("IFERROR(GOOGLEFINANCE(A842, ""volume"") / GOOGLEFINANCE(A842, ""volumeavg""), 0)"),0.0)</f>
        <v>0</v>
      </c>
      <c r="R842" s="9">
        <f>IFERROR(__xludf.DUMMYFUNCTION("AVERAGE(INDEX(GOOGLEFINANCE(A842, ""price"", TODAY()-30, TODAY()), 0, 2))"),699.7260869565217)</f>
        <v>699.726087</v>
      </c>
      <c r="S842" s="9">
        <f>IFERROR(__xludf.DUMMYFUNCTION("AVERAGE(INDEX(GOOGLEFINANCE(A842, ""price"", TODAY()-75, TODAY()), 0, 2))"),682.8283018867925)</f>
        <v>682.8283019</v>
      </c>
      <c r="T842" s="9">
        <f>IFERROR(__xludf.DUMMYFUNCTION("AVERAGE(INDEX(GOOGLEFINANCE(A842, ""price"", TODAY()-300, TODAY()), 0, 2))"),661.7829207920793)</f>
        <v>661.7829208</v>
      </c>
      <c r="U842" s="9">
        <f t="shared" si="5"/>
        <v>0.01182450276</v>
      </c>
      <c r="V842" s="15">
        <f>IFERROR(__xludf.DUMMYFUNCTION("LET(hist, GOOGLEFINANCE(A842,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rs))))))"),65.3536637018212)</f>
        <v>65.3536637</v>
      </c>
      <c r="W842" s="16" t="str">
        <f>IFERROR(__xludf.DUMMYFUNCTION("IFERROR(GOOGLEFINANCE(A842, ""volume"") / GOOGLEFINANCE(A842, ""volumeavg""), )"),"")</f>
        <v/>
      </c>
      <c r="X842" s="9">
        <f>IFERROR(__xludf.DUMMYFUNCTION("B842 * GOOGLEFINANCE(A842, ""volume"")"),6.912204E7)</f>
        <v>69122040</v>
      </c>
      <c r="Y842" s="9">
        <f>IFERROR(__xludf.DUMMYFUNCTION("IFERROR(((B842 - GOOGLEFINANCE(A842, ""priceopen"")) / GOOGLEFINANCE(A842, ""priceopen"")) * GOOGLEFINANCE(A842, ""volume""), 0)"),-1212.0337564513848)</f>
        <v>-1212.033756</v>
      </c>
    </row>
    <row r="843">
      <c r="A843" s="4" t="s">
        <v>2636</v>
      </c>
      <c r="B843" s="7">
        <f>IFERROR(__xludf.DUMMYFUNCTION("GOOGLEFINANCE(A843, ""price"")"),43.1)</f>
        <v>43.1</v>
      </c>
      <c r="C843" s="7">
        <f>IFERROR(__xludf.DUMMYFUNCTION("GOOGLEFINANCE(A843, ""changepct"")"),0.26)</f>
        <v>0.26</v>
      </c>
      <c r="D843" s="9">
        <f>IFERROR(__xludf.DUMMYFUNCTION("GOOGLEFINANCE(A843, ""priceopen"")"),43.0)</f>
        <v>43</v>
      </c>
      <c r="E843" s="9">
        <f>IFERROR(__xludf.DUMMYFUNCTION("GOOGLEFINANCE(A843, ""high"")"),44.95)</f>
        <v>44.95</v>
      </c>
      <c r="F843" s="9">
        <f>IFERROR(__xludf.DUMMYFUNCTION("GOOGLEFINANCE(A843, ""low"")"),41.7)</f>
        <v>41.7</v>
      </c>
      <c r="G843" s="9">
        <f>IFERROR(__xludf.DUMMYFUNCTION("GOOGLEFINANCE(A843, ""price"")"),43.1)</f>
        <v>43.1</v>
      </c>
      <c r="H843" s="9">
        <f>IFERROR(__xludf.DUMMYFUNCTION("MAX(INDEX(GOOGLEFINANCE(A843, ""high"", TODAY()-30, TODAY()), 0, 2))"),44.95)</f>
        <v>44.95</v>
      </c>
      <c r="I843" s="9">
        <f>IFERROR(__xludf.DUMMYFUNCTION("MIN(INDEX(GOOGLEFINANCE(A843, ""low"", TODAY()-30, TODAY()), 0, 2))"),35.13)</f>
        <v>35.13</v>
      </c>
      <c r="J843" s="9">
        <f>IFERROR(__xludf.DUMMYFUNCTION("GOOGLEFINANCE(A843, ""high52"")"),47.18)</f>
        <v>47.18</v>
      </c>
      <c r="K843" s="9">
        <f>IFERROR(__xludf.DUMMYFUNCTION("GOOGLEFINANCE(A843, ""low52"")"),19.1)</f>
        <v>19.1</v>
      </c>
      <c r="L843" s="9">
        <f t="shared" si="1"/>
        <v>0.0864773209</v>
      </c>
      <c r="M843" s="9">
        <f t="shared" si="2"/>
        <v>1.256544503</v>
      </c>
      <c r="N843" s="9">
        <f t="shared" si="3"/>
        <v>0.07793764988</v>
      </c>
      <c r="O843" s="9">
        <f t="shared" si="4"/>
        <v>0.8116089613</v>
      </c>
      <c r="P843" s="9">
        <f>IFERROR(__xludf.DUMMYFUNCTION("GOOGLEFINANCE(A843, ""pe"")"),36.89)</f>
        <v>36.89</v>
      </c>
      <c r="Q843" s="9">
        <f>IFERROR(__xludf.DUMMYFUNCTION("IFERROR(GOOGLEFINANCE(A843, ""volume"") / GOOGLEFINANCE(A843, ""volumeavg""), 0)"),0.0)</f>
        <v>0</v>
      </c>
      <c r="R843" s="9">
        <f>IFERROR(__xludf.DUMMYFUNCTION("AVERAGE(INDEX(GOOGLEFINANCE(A843, ""price"", TODAY()-30, TODAY()), 0, 2))"),39.73869565217392)</f>
        <v>39.73869565</v>
      </c>
      <c r="S843" s="9">
        <f>IFERROR(__xludf.DUMMYFUNCTION("AVERAGE(INDEX(GOOGLEFINANCE(A843, ""price"", TODAY()-75, TODAY()), 0, 2))"),40.069056603773596)</f>
        <v>40.0690566</v>
      </c>
      <c r="T843" s="9">
        <f>IFERROR(__xludf.DUMMYFUNCTION("AVERAGE(INDEX(GOOGLEFINANCE(A843, ""price"", TODAY()-300, TODAY()), 0, 2))"),29.86572139303483)</f>
        <v>29.86572139</v>
      </c>
      <c r="U843" s="9">
        <f t="shared" si="5"/>
        <v>0.08458517052</v>
      </c>
      <c r="V843" s="15">
        <f>IFERROR(__xludf.DUMMYFUNCTION("LET(hist, GOOGLEFINANCE(A843,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rs))))))"),52.63157894736843)</f>
        <v>52.63157895</v>
      </c>
      <c r="W843" s="16" t="str">
        <f>IFERROR(__xludf.DUMMYFUNCTION("IFERROR(GOOGLEFINANCE(A843, ""volume"") / GOOGLEFINANCE(A843, ""volumeavg""), )"),"")</f>
        <v/>
      </c>
      <c r="X843" s="9">
        <f>IFERROR(__xludf.DUMMYFUNCTION("B843 * GOOGLEFINANCE(A843, ""volume"")"),8.632394698000001E8)</f>
        <v>863239469.8</v>
      </c>
      <c r="Y843" s="9">
        <f>IFERROR(__xludf.DUMMYFUNCTION("IFERROR(((B843 - GOOGLEFINANCE(A843, ""priceopen"")) / GOOGLEFINANCE(A843, ""priceopen"")) * GOOGLEFINANCE(A843, ""volume""), 0)"),46578.506976744844)</f>
        <v>46578.50698</v>
      </c>
    </row>
    <row r="844">
      <c r="A844" s="4" t="s">
        <v>2637</v>
      </c>
      <c r="B844" s="7">
        <f>IFERROR(__xludf.DUMMYFUNCTION("GOOGLEFINANCE(A844, ""price"")"),2605.5)</f>
        <v>2605.5</v>
      </c>
      <c r="C844" s="7">
        <f>IFERROR(__xludf.DUMMYFUNCTION("GOOGLEFINANCE(A844, ""changepct"")"),-1.06)</f>
        <v>-1.06</v>
      </c>
      <c r="D844" s="9">
        <f>IFERROR(__xludf.DUMMYFUNCTION("GOOGLEFINANCE(A844, ""priceopen"")"),2625.0)</f>
        <v>2625</v>
      </c>
      <c r="E844" s="9">
        <f>IFERROR(__xludf.DUMMYFUNCTION("GOOGLEFINANCE(A844, ""high"")"),2645.8)</f>
        <v>2645.8</v>
      </c>
      <c r="F844" s="9">
        <f>IFERROR(__xludf.DUMMYFUNCTION("GOOGLEFINANCE(A844, ""low"")"),2604.0)</f>
        <v>2604</v>
      </c>
      <c r="G844" s="9">
        <f>IFERROR(__xludf.DUMMYFUNCTION("GOOGLEFINANCE(A844, ""price"")"),2605.5)</f>
        <v>2605.5</v>
      </c>
      <c r="H844" s="9">
        <f>IFERROR(__xludf.DUMMYFUNCTION("MAX(INDEX(GOOGLEFINANCE(A844, ""high"", TODAY()-30, TODAY()), 0, 2))"),3082.0)</f>
        <v>3082</v>
      </c>
      <c r="I844" s="9">
        <f>IFERROR(__xludf.DUMMYFUNCTION("MIN(INDEX(GOOGLEFINANCE(A844, ""low"", TODAY()-30, TODAY()), 0, 2))"),2604.0)</f>
        <v>2604</v>
      </c>
      <c r="J844" s="9">
        <f>IFERROR(__xludf.DUMMYFUNCTION("GOOGLEFINANCE(A844, ""high52"")"),3082.0)</f>
        <v>3082</v>
      </c>
      <c r="K844" s="9">
        <f>IFERROR(__xludf.DUMMYFUNCTION("GOOGLEFINANCE(A844, ""low52"")"),1733.0)</f>
        <v>1733</v>
      </c>
      <c r="L844" s="9">
        <f t="shared" si="1"/>
        <v>0.1546073978</v>
      </c>
      <c r="M844" s="9">
        <f t="shared" si="2"/>
        <v>0.5034622043</v>
      </c>
      <c r="N844" s="9">
        <f t="shared" si="3"/>
        <v>0.01605222734</v>
      </c>
      <c r="O844" s="9">
        <f t="shared" si="4"/>
        <v>0.003138075314</v>
      </c>
      <c r="P844" s="9">
        <f>IFERROR(__xludf.DUMMYFUNCTION("GOOGLEFINANCE(A844, ""pe"")"),36.02)</f>
        <v>36.02</v>
      </c>
      <c r="Q844" s="9">
        <f>IFERROR(__xludf.DUMMYFUNCTION("IFERROR(GOOGLEFINANCE(A844, ""volume"") / GOOGLEFINANCE(A844, ""volumeavg""), 0)"),0.0)</f>
        <v>0</v>
      </c>
      <c r="R844" s="9">
        <f>IFERROR(__xludf.DUMMYFUNCTION("AVERAGE(INDEX(GOOGLEFINANCE(A844, ""price"", TODAY()-30, TODAY()), 0, 2))"),2819.1391304347826)</f>
        <v>2819.13913</v>
      </c>
      <c r="S844" s="9">
        <f>IFERROR(__xludf.DUMMYFUNCTION("AVERAGE(INDEX(GOOGLEFINANCE(A844, ""price"", TODAY()-75, TODAY()), 0, 2))"),2526.1584905660375)</f>
        <v>2526.158491</v>
      </c>
      <c r="T844" s="9">
        <f>IFERROR(__xludf.DUMMYFUNCTION("AVERAGE(INDEX(GOOGLEFINANCE(A844, ""price"", TODAY()-300, TODAY()), 0, 2))"),2253.6396039603965)</f>
        <v>2253.639604</v>
      </c>
      <c r="U844" s="9">
        <f t="shared" si="5"/>
        <v>-0.07578169099</v>
      </c>
      <c r="V844" s="15">
        <f>IFERROR(__xludf.DUMMYFUNCTION("LET(hist, GOOGLEFINANCE(A844,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rs))))))"),9.615384615384613)</f>
        <v>9.615384615</v>
      </c>
      <c r="W844" s="16" t="str">
        <f>IFERROR(__xludf.DUMMYFUNCTION("IFERROR(GOOGLEFINANCE(A844, ""volume"") / GOOGLEFINANCE(A844, ""volumeavg""), )"),"")</f>
        <v/>
      </c>
      <c r="X844" s="9">
        <f>IFERROR(__xludf.DUMMYFUNCTION("B844 * GOOGLEFINANCE(A844, ""volume"")"),1.7008704E7)</f>
        <v>17008704</v>
      </c>
      <c r="Y844" s="9">
        <f>IFERROR(__xludf.DUMMYFUNCTION("IFERROR(((B844 - GOOGLEFINANCE(A844, ""priceopen"")) / GOOGLEFINANCE(A844, ""priceopen"")) * GOOGLEFINANCE(A844, ""volume""), 0)"),-48.49371428571428)</f>
        <v>-48.49371429</v>
      </c>
    </row>
    <row r="845">
      <c r="A845" s="4" t="s">
        <v>2638</v>
      </c>
      <c r="B845" s="7">
        <f>IFERROR(__xludf.DUMMYFUNCTION("GOOGLEFINANCE(A845, ""price"")"),166.55)</f>
        <v>166.55</v>
      </c>
      <c r="C845" s="7">
        <f>IFERROR(__xludf.DUMMYFUNCTION("GOOGLEFINANCE(A845, ""changepct"")"),-0.23)</f>
        <v>-0.23</v>
      </c>
      <c r="D845" s="9">
        <f>IFERROR(__xludf.DUMMYFUNCTION("GOOGLEFINANCE(A845, ""priceopen"")"),166.0)</f>
        <v>166</v>
      </c>
      <c r="E845" s="9">
        <f>IFERROR(__xludf.DUMMYFUNCTION("GOOGLEFINANCE(A845, ""high"")"),173.39)</f>
        <v>173.39</v>
      </c>
      <c r="F845" s="9">
        <f>IFERROR(__xludf.DUMMYFUNCTION("GOOGLEFINANCE(A845, ""low"")"),166.0)</f>
        <v>166</v>
      </c>
      <c r="G845" s="9">
        <f>IFERROR(__xludf.DUMMYFUNCTION("GOOGLEFINANCE(A845, ""price"")"),166.55)</f>
        <v>166.55</v>
      </c>
      <c r="H845" s="9">
        <f>IFERROR(__xludf.DUMMYFUNCTION("MAX(INDEX(GOOGLEFINANCE(A845, ""high"", TODAY()-30, TODAY()), 0, 2))"),240.9)</f>
        <v>240.9</v>
      </c>
      <c r="I845" s="9">
        <f>IFERROR(__xludf.DUMMYFUNCTION("MIN(INDEX(GOOGLEFINANCE(A845, ""low"", TODAY()-30, TODAY()), 0, 2))"),166.0)</f>
        <v>166</v>
      </c>
      <c r="J845" s="9">
        <f>IFERROR(__xludf.DUMMYFUNCTION("GOOGLEFINANCE(A845, ""high52"")"),240.9)</f>
        <v>240.9</v>
      </c>
      <c r="K845" s="9">
        <f>IFERROR(__xludf.DUMMYFUNCTION("GOOGLEFINANCE(A845, ""low52"")"),117.25)</f>
        <v>117.25</v>
      </c>
      <c r="L845" s="9">
        <f t="shared" si="1"/>
        <v>0.3086342881</v>
      </c>
      <c r="M845" s="9">
        <f t="shared" si="2"/>
        <v>0.4204690832</v>
      </c>
      <c r="N845" s="9">
        <f t="shared" si="3"/>
        <v>0.04451807229</v>
      </c>
      <c r="O845" s="9">
        <f t="shared" si="4"/>
        <v>0.007343124166</v>
      </c>
      <c r="P845" s="9">
        <f>IFERROR(__xludf.DUMMYFUNCTION("GOOGLEFINANCE(A845, ""pe"")"),29.92)</f>
        <v>29.92</v>
      </c>
      <c r="Q845" s="9">
        <f>IFERROR(__xludf.DUMMYFUNCTION("IFERROR(GOOGLEFINANCE(A845, ""volume"") / GOOGLEFINANCE(A845, ""volumeavg""), 0)"),0.0)</f>
        <v>0</v>
      </c>
      <c r="R845" s="9">
        <f>IFERROR(__xludf.DUMMYFUNCTION("AVERAGE(INDEX(GOOGLEFINANCE(A845, ""price"", TODAY()-30, TODAY()), 0, 2))"),178.7586956521739)</f>
        <v>178.7586957</v>
      </c>
      <c r="S845" s="9">
        <f>IFERROR(__xludf.DUMMYFUNCTION("AVERAGE(INDEX(GOOGLEFINANCE(A845, ""price"", TODAY()-75, TODAY()), 0, 2))"),184.88132075471702)</f>
        <v>184.8813208</v>
      </c>
      <c r="T845" s="9">
        <f>IFERROR(__xludf.DUMMYFUNCTION("AVERAGE(INDEX(GOOGLEFINANCE(A845, ""price"", TODAY()-300, TODAY()), 0, 2))"),180.45133663366332)</f>
        <v>180.4513366</v>
      </c>
      <c r="U845" s="9">
        <f t="shared" si="5"/>
        <v>-0.06829707281</v>
      </c>
      <c r="V845" s="15">
        <f>IFERROR(__xludf.DUMMYFUNCTION("LET(hist, GOOGLEFINANCE(A845,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rs))))))"),27.752502274795262)</f>
        <v>27.75250227</v>
      </c>
      <c r="W845" s="16" t="str">
        <f>IFERROR(__xludf.DUMMYFUNCTION("IFERROR(GOOGLEFINANCE(A845, ""volume"") / GOOGLEFINANCE(A845, ""volumeavg""), )"),"")</f>
        <v/>
      </c>
      <c r="X845" s="9">
        <f>IFERROR(__xludf.DUMMYFUNCTION("B845 * GOOGLEFINANCE(A845, ""volume"")"),2.344640935E7)</f>
        <v>23446409.35</v>
      </c>
      <c r="Y845" s="9">
        <f>IFERROR(__xludf.DUMMYFUNCTION("IFERROR(((B845 - GOOGLEFINANCE(A845, ""priceopen"")) / GOOGLEFINANCE(A845, ""priceopen"")) * GOOGLEFINANCE(A845, ""volume""), 0)"),466.42981927711804)</f>
        <v>466.4298193</v>
      </c>
    </row>
    <row r="846">
      <c r="A846" s="4" t="s">
        <v>2639</v>
      </c>
      <c r="B846" s="7">
        <f>IFERROR(__xludf.DUMMYFUNCTION("GOOGLEFINANCE(A846, ""price"")"),651.05)</f>
        <v>651.05</v>
      </c>
      <c r="C846" s="7">
        <f>IFERROR(__xludf.DUMMYFUNCTION("GOOGLEFINANCE(A846, ""changepct"")"),-1.39)</f>
        <v>-1.39</v>
      </c>
      <c r="D846" s="9">
        <f>IFERROR(__xludf.DUMMYFUNCTION("GOOGLEFINANCE(A846, ""priceopen"")"),665.2)</f>
        <v>665.2</v>
      </c>
      <c r="E846" s="9">
        <f>IFERROR(__xludf.DUMMYFUNCTION("GOOGLEFINANCE(A846, ""high"")"),665.2)</f>
        <v>665.2</v>
      </c>
      <c r="F846" s="9">
        <f>IFERROR(__xludf.DUMMYFUNCTION("GOOGLEFINANCE(A846, ""low"")"),639.9)</f>
        <v>639.9</v>
      </c>
      <c r="G846" s="9">
        <f>IFERROR(__xludf.DUMMYFUNCTION("GOOGLEFINANCE(A846, ""price"")"),651.05)</f>
        <v>651.05</v>
      </c>
      <c r="H846" s="9">
        <f>IFERROR(__xludf.DUMMYFUNCTION("MAX(INDEX(GOOGLEFINANCE(A846, ""high"", TODAY()-30, TODAY()), 0, 2))"),727.45)</f>
        <v>727.45</v>
      </c>
      <c r="I846" s="9">
        <f>IFERROR(__xludf.DUMMYFUNCTION("MIN(INDEX(GOOGLEFINANCE(A846, ""low"", TODAY()-30, TODAY()), 0, 2))"),584.15)</f>
        <v>584.15</v>
      </c>
      <c r="J846" s="9">
        <f>IFERROR(__xludf.DUMMYFUNCTION("GOOGLEFINANCE(A846, ""high52"")"),727.45)</f>
        <v>727.45</v>
      </c>
      <c r="K846" s="9">
        <f>IFERROR(__xludf.DUMMYFUNCTION("GOOGLEFINANCE(A846, ""low52"")"),323.0)</f>
        <v>323</v>
      </c>
      <c r="L846" s="9">
        <f t="shared" si="1"/>
        <v>0.1050244003</v>
      </c>
      <c r="M846" s="9">
        <f t="shared" si="2"/>
        <v>1.015634675</v>
      </c>
      <c r="N846" s="9">
        <f t="shared" si="3"/>
        <v>0.03953742772</v>
      </c>
      <c r="O846" s="9">
        <f t="shared" si="4"/>
        <v>0.4668527565</v>
      </c>
      <c r="P846" s="9">
        <f>IFERROR(__xludf.DUMMYFUNCTION("GOOGLEFINANCE(A846, ""pe"")"),26.43)</f>
        <v>26.43</v>
      </c>
      <c r="Q846" s="9">
        <f>IFERROR(__xludf.DUMMYFUNCTION("IFERROR(GOOGLEFINANCE(A846, ""volume"") / GOOGLEFINANCE(A846, ""volumeavg""), 0)"),0.0)</f>
        <v>0</v>
      </c>
      <c r="R846" s="9">
        <f>IFERROR(__xludf.DUMMYFUNCTION("AVERAGE(INDEX(GOOGLEFINANCE(A846, ""price"", TODAY()-30, TODAY()), 0, 2))"),668.2239130434784)</f>
        <v>668.223913</v>
      </c>
      <c r="S846" s="9">
        <f>IFERROR(__xludf.DUMMYFUNCTION("AVERAGE(INDEX(GOOGLEFINANCE(A846, ""price"", TODAY()-75, TODAY()), 0, 2))"),633.2018867924528)</f>
        <v>633.2018868</v>
      </c>
      <c r="T846" s="9">
        <f>IFERROR(__xludf.DUMMYFUNCTION("AVERAGE(INDEX(GOOGLEFINANCE(A846, ""price"", TODAY()-300, TODAY()), 0, 2))"),483.1061881188119)</f>
        <v>483.1061881</v>
      </c>
      <c r="U846" s="9">
        <f t="shared" si="5"/>
        <v>-0.02570083577</v>
      </c>
      <c r="V846" s="15">
        <f>IFERROR(__xludf.DUMMYFUNCTION("LET(hist, GOOGLEFINANCE(A846,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rs))))))"),47.26680623400791)</f>
        <v>47.26680623</v>
      </c>
      <c r="W846" s="16" t="str">
        <f>IFERROR(__xludf.DUMMYFUNCTION("IFERROR(GOOGLEFINANCE(A846, ""volume"") / GOOGLEFINANCE(A846, ""volumeavg""), )"),"")</f>
        <v/>
      </c>
      <c r="X846" s="9">
        <f>IFERROR(__xludf.DUMMYFUNCTION("B846 * GOOGLEFINANCE(A846, ""volume"")"),2.1391094114999998E8)</f>
        <v>213910941.2</v>
      </c>
      <c r="Y846" s="9">
        <f>IFERROR(__xludf.DUMMYFUNCTION("IFERROR(((B846 - GOOGLEFINANCE(A846, ""priceopen"")) / GOOGLEFINANCE(A846, ""priceopen"")) * GOOGLEFINANCE(A846, ""volume""), 0)"),-6989.125751653682)</f>
        <v>-6989.125752</v>
      </c>
    </row>
    <row r="847">
      <c r="A847" s="4" t="s">
        <v>2640</v>
      </c>
      <c r="B847" s="7">
        <f>IFERROR(__xludf.DUMMYFUNCTION("GOOGLEFINANCE(A847, ""price"")"),28.73)</f>
        <v>28.73</v>
      </c>
      <c r="C847" s="7">
        <f>IFERROR(__xludf.DUMMYFUNCTION("GOOGLEFINANCE(A847, ""changepct"")"),-1.41)</f>
        <v>-1.41</v>
      </c>
      <c r="D847" s="9">
        <f>IFERROR(__xludf.DUMMYFUNCTION("GOOGLEFINANCE(A847, ""priceopen"")"),29.09)</f>
        <v>29.09</v>
      </c>
      <c r="E847" s="9">
        <f>IFERROR(__xludf.DUMMYFUNCTION("GOOGLEFINANCE(A847, ""high"")"),29.12)</f>
        <v>29.12</v>
      </c>
      <c r="F847" s="9">
        <f>IFERROR(__xludf.DUMMYFUNCTION("GOOGLEFINANCE(A847, ""low"")"),28.57)</f>
        <v>28.57</v>
      </c>
      <c r="G847" s="9">
        <f>IFERROR(__xludf.DUMMYFUNCTION("GOOGLEFINANCE(A847, ""price"")"),28.73)</f>
        <v>28.73</v>
      </c>
      <c r="H847" s="9">
        <f>IFERROR(__xludf.DUMMYFUNCTION("MAX(INDEX(GOOGLEFINANCE(A847, ""high"", TODAY()-30, TODAY()), 0, 2))"),32.72)</f>
        <v>32.72</v>
      </c>
      <c r="I847" s="9">
        <f>IFERROR(__xludf.DUMMYFUNCTION("MIN(INDEX(GOOGLEFINANCE(A847, ""low"", TODAY()-30, TODAY()), 0, 2))"),27.78)</f>
        <v>27.78</v>
      </c>
      <c r="J847" s="9">
        <f>IFERROR(__xludf.DUMMYFUNCTION("GOOGLEFINANCE(A847, ""high52"")"),58.55)</f>
        <v>58.55</v>
      </c>
      <c r="K847" s="9">
        <f>IFERROR(__xludf.DUMMYFUNCTION("GOOGLEFINANCE(A847, ""low52"")"),27.38)</f>
        <v>27.38</v>
      </c>
      <c r="L847" s="9">
        <f t="shared" si="1"/>
        <v>0.5093082835</v>
      </c>
      <c r="M847" s="9">
        <f t="shared" si="2"/>
        <v>0.04930606282</v>
      </c>
      <c r="N847" s="9">
        <f t="shared" si="3"/>
        <v>0.01925096255</v>
      </c>
      <c r="O847" s="9">
        <f t="shared" si="4"/>
        <v>0.1923076923</v>
      </c>
      <c r="P847" s="9" t="str">
        <f>IFERROR(__xludf.DUMMYFUNCTION("GOOGLEFINANCE(A847, ""pe"")"),"#N/A")</f>
        <v>#N/A</v>
      </c>
      <c r="Q847" s="9">
        <f>IFERROR(__xludf.DUMMYFUNCTION("IFERROR(GOOGLEFINANCE(A847, ""volume"") / GOOGLEFINANCE(A847, ""volumeavg""), 0)"),0.0)</f>
        <v>0</v>
      </c>
      <c r="R847" s="9">
        <f>IFERROR(__xludf.DUMMYFUNCTION("AVERAGE(INDEX(GOOGLEFINANCE(A847, ""price"", TODAY()-30, TODAY()), 0, 2))"),29.65826086956522)</f>
        <v>29.65826087</v>
      </c>
      <c r="S847" s="9">
        <f>IFERROR(__xludf.DUMMYFUNCTION("AVERAGE(INDEX(GOOGLEFINANCE(A847, ""price"", TODAY()-75, TODAY()), 0, 2))"),31.00830188679245)</f>
        <v>31.00830189</v>
      </c>
      <c r="T847" s="9">
        <f>IFERROR(__xludf.DUMMYFUNCTION("AVERAGE(INDEX(GOOGLEFINANCE(A847, ""price"", TODAY()-300, TODAY()), 0, 2))"),36.67752475247524)</f>
        <v>36.67752475</v>
      </c>
      <c r="U847" s="9">
        <f t="shared" si="5"/>
        <v>-0.03129856041</v>
      </c>
      <c r="V847" s="15">
        <f>IFERROR(__xludf.DUMMYFUNCTION("LET(hist, GOOGLEFINANCE(A847,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rs))))))"),57.213930348258735)</f>
        <v>57.21393035</v>
      </c>
      <c r="W847" s="16" t="str">
        <f>IFERROR(__xludf.DUMMYFUNCTION("IFERROR(GOOGLEFINANCE(A847, ""volume"") / GOOGLEFINANCE(A847, ""volumeavg""), )"),"")</f>
        <v/>
      </c>
      <c r="X847" s="9">
        <f>IFERROR(__xludf.DUMMYFUNCTION("B847 * GOOGLEFINANCE(A847, ""volume"")"),6.996223299E7)</f>
        <v>69962232.99</v>
      </c>
      <c r="Y847" s="9">
        <f>IFERROR(__xludf.DUMMYFUNCTION("IFERROR(((B847 - GOOGLEFINANCE(A847, ""priceopen"")) / GOOGLEFINANCE(A847, ""priceopen"")) * GOOGLEFINANCE(A847, ""volume""), 0)"),-30136.08387762113)</f>
        <v>-30136.08388</v>
      </c>
    </row>
    <row r="848">
      <c r="A848" s="4" t="s">
        <v>2641</v>
      </c>
      <c r="B848" s="7">
        <f>IFERROR(__xludf.DUMMYFUNCTION("GOOGLEFINANCE(A848, ""price"")"),428.0)</f>
        <v>428</v>
      </c>
      <c r="C848" s="7">
        <f>IFERROR(__xludf.DUMMYFUNCTION("GOOGLEFINANCE(A848, ""changepct"")"),-0.52)</f>
        <v>-0.52</v>
      </c>
      <c r="D848" s="9">
        <f>IFERROR(__xludf.DUMMYFUNCTION("GOOGLEFINANCE(A848, ""priceopen"")"),438.35)</f>
        <v>438.35</v>
      </c>
      <c r="E848" s="9">
        <f>IFERROR(__xludf.DUMMYFUNCTION("GOOGLEFINANCE(A848, ""high"")"),440.8)</f>
        <v>440.8</v>
      </c>
      <c r="F848" s="9">
        <f>IFERROR(__xludf.DUMMYFUNCTION("GOOGLEFINANCE(A848, ""low"")"),425.0)</f>
        <v>425</v>
      </c>
      <c r="G848" s="9">
        <f>IFERROR(__xludf.DUMMYFUNCTION("GOOGLEFINANCE(A848, ""price"")"),428.0)</f>
        <v>428</v>
      </c>
      <c r="H848" s="9">
        <f>IFERROR(__xludf.DUMMYFUNCTION("MAX(INDEX(GOOGLEFINANCE(A848, ""high"", TODAY()-30, TODAY()), 0, 2))"),507.9)</f>
        <v>507.9</v>
      </c>
      <c r="I848" s="9">
        <f>IFERROR(__xludf.DUMMYFUNCTION("MIN(INDEX(GOOGLEFINANCE(A848, ""low"", TODAY()-30, TODAY()), 0, 2))"),425.0)</f>
        <v>425</v>
      </c>
      <c r="J848" s="9">
        <f>IFERROR(__xludf.DUMMYFUNCTION("GOOGLEFINANCE(A848, ""high52"")"),510.35)</f>
        <v>510.35</v>
      </c>
      <c r="K848" s="9">
        <f>IFERROR(__xludf.DUMMYFUNCTION("GOOGLEFINANCE(A848, ""low52"")"),383.55)</f>
        <v>383.55</v>
      </c>
      <c r="L848" s="9">
        <f t="shared" si="1"/>
        <v>0.1613598511</v>
      </c>
      <c r="M848" s="9">
        <f t="shared" si="2"/>
        <v>0.1158910181</v>
      </c>
      <c r="N848" s="9">
        <f t="shared" si="3"/>
        <v>0.03717647059</v>
      </c>
      <c r="O848" s="9">
        <f t="shared" si="4"/>
        <v>0.03618817853</v>
      </c>
      <c r="P848" s="9">
        <f>IFERROR(__xludf.DUMMYFUNCTION("GOOGLEFINANCE(A848, ""pe"")"),24.64)</f>
        <v>24.64</v>
      </c>
      <c r="Q848" s="9">
        <f>IFERROR(__xludf.DUMMYFUNCTION("IFERROR(GOOGLEFINANCE(A848, ""volume"") / GOOGLEFINANCE(A848, ""volumeavg""), 0)"),0.0)</f>
        <v>0</v>
      </c>
      <c r="R848" s="9">
        <f>IFERROR(__xludf.DUMMYFUNCTION("AVERAGE(INDEX(GOOGLEFINANCE(A848, ""price"", TODAY()-30, TODAY()), 0, 2))"),446.3739130434782)</f>
        <v>446.373913</v>
      </c>
      <c r="S848" s="9">
        <f>IFERROR(__xludf.DUMMYFUNCTION("AVERAGE(INDEX(GOOGLEFINANCE(A848, ""price"", TODAY()-75, TODAY()), 0, 2))"),454.47264150943386)</f>
        <v>454.4726415</v>
      </c>
      <c r="T848" s="9">
        <f>IFERROR(__xludf.DUMMYFUNCTION("AVERAGE(INDEX(GOOGLEFINANCE(A848, ""price"", TODAY()-300, TODAY()), 0, 2))"),447.4937500000001)</f>
        <v>447.49375</v>
      </c>
      <c r="U848" s="9">
        <f t="shared" si="5"/>
        <v>-0.04116260495</v>
      </c>
      <c r="V848" s="15">
        <f>IFERROR(__xludf.DUMMYFUNCTION("LET(hist, GOOGLEFINANCE(A848,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rs))))))"),42.822384428223835)</f>
        <v>42.82238443</v>
      </c>
      <c r="W848" s="16" t="str">
        <f>IFERROR(__xludf.DUMMYFUNCTION("IFERROR(GOOGLEFINANCE(A848, ""volume"") / GOOGLEFINANCE(A848, ""volumeavg""), )"),"")</f>
        <v/>
      </c>
      <c r="X848" s="9">
        <f>IFERROR(__xludf.DUMMYFUNCTION("B848 * GOOGLEFINANCE(A848, ""volume"")"),1.0453044E7)</f>
        <v>10453044</v>
      </c>
      <c r="Y848" s="9">
        <f>IFERROR(__xludf.DUMMYFUNCTION("IFERROR(((B848 - GOOGLEFINANCE(A848, ""priceopen"")) / GOOGLEFINANCE(A848, ""priceopen"")) * GOOGLEFINANCE(A848, ""volume""), 0)"),-576.65803581613)</f>
        <v>-576.6580358</v>
      </c>
    </row>
    <row r="849">
      <c r="A849" s="4" t="s">
        <v>2642</v>
      </c>
      <c r="B849" s="7">
        <f>IFERROR(__xludf.DUMMYFUNCTION("GOOGLEFINANCE(A849, ""price"")"),108.25)</f>
        <v>108.25</v>
      </c>
      <c r="C849" s="7">
        <f>IFERROR(__xludf.DUMMYFUNCTION("GOOGLEFINANCE(A849, ""changepct"")"),0.85)</f>
        <v>0.85</v>
      </c>
      <c r="D849" s="9">
        <f>IFERROR(__xludf.DUMMYFUNCTION("GOOGLEFINANCE(A849, ""priceopen"")"),107.34)</f>
        <v>107.34</v>
      </c>
      <c r="E849" s="9">
        <f>IFERROR(__xludf.DUMMYFUNCTION("GOOGLEFINANCE(A849, ""high"")"),108.25)</f>
        <v>108.25</v>
      </c>
      <c r="F849" s="9">
        <f>IFERROR(__xludf.DUMMYFUNCTION("GOOGLEFINANCE(A849, ""low"")"),106.61)</f>
        <v>106.61</v>
      </c>
      <c r="G849" s="9">
        <f>IFERROR(__xludf.DUMMYFUNCTION("GOOGLEFINANCE(A849, ""price"")"),108.25)</f>
        <v>108.25</v>
      </c>
      <c r="H849" s="9">
        <f>IFERROR(__xludf.DUMMYFUNCTION("MAX(INDEX(GOOGLEFINANCE(A849, ""high"", TODAY()-30, TODAY()), 0, 2))"),120.9)</f>
        <v>120.9</v>
      </c>
      <c r="I849" s="9">
        <f>IFERROR(__xludf.DUMMYFUNCTION("MIN(INDEX(GOOGLEFINANCE(A849, ""low"", TODAY()-30, TODAY()), 0, 2))"),106.61)</f>
        <v>106.61</v>
      </c>
      <c r="J849" s="9">
        <f>IFERROR(__xludf.DUMMYFUNCTION("GOOGLEFINANCE(A849, ""high52"")"),153.0)</f>
        <v>153</v>
      </c>
      <c r="K849" s="9">
        <f>IFERROR(__xludf.DUMMYFUNCTION("GOOGLEFINANCE(A849, ""low52"")"),78.05)</f>
        <v>78.05</v>
      </c>
      <c r="L849" s="9">
        <f t="shared" si="1"/>
        <v>0.2924836601</v>
      </c>
      <c r="M849" s="9">
        <f t="shared" si="2"/>
        <v>0.3869314542</v>
      </c>
      <c r="N849" s="9">
        <f t="shared" si="3"/>
        <v>0.01538317231</v>
      </c>
      <c r="O849" s="9">
        <f t="shared" si="4"/>
        <v>0.1147655703</v>
      </c>
      <c r="P849" s="9">
        <f>IFERROR(__xludf.DUMMYFUNCTION("GOOGLEFINANCE(A849, ""pe"")"),20.31)</f>
        <v>20.31</v>
      </c>
      <c r="Q849" s="9">
        <f>IFERROR(__xludf.DUMMYFUNCTION("IFERROR(GOOGLEFINANCE(A849, ""volume"") / GOOGLEFINANCE(A849, ""volumeavg""), 0)"),0.0)</f>
        <v>0</v>
      </c>
      <c r="R849" s="9">
        <f>IFERROR(__xludf.DUMMYFUNCTION("AVERAGE(INDEX(GOOGLEFINANCE(A849, ""price"", TODAY()-30, TODAY()), 0, 2))"),111.64782608695654)</f>
        <v>111.6478261</v>
      </c>
      <c r="S849" s="9">
        <f>IFERROR(__xludf.DUMMYFUNCTION("AVERAGE(INDEX(GOOGLEFINANCE(A849, ""price"", TODAY()-75, TODAY()), 0, 2))"),110.01924528301889)</f>
        <v>110.0192453</v>
      </c>
      <c r="T849" s="9">
        <f>IFERROR(__xludf.DUMMYFUNCTION("AVERAGE(INDEX(GOOGLEFINANCE(A849, ""price"", TODAY()-300, TODAY()), 0, 2))"),115.19861386138601)</f>
        <v>115.1986139</v>
      </c>
      <c r="U849" s="9">
        <f t="shared" si="5"/>
        <v>-0.03043342809</v>
      </c>
      <c r="V849" s="15">
        <f>IFERROR(__xludf.DUMMYFUNCTION("LET(hist, GOOGLEFINANCE(A849,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rs))))))"),47.02486678507995)</f>
        <v>47.02486679</v>
      </c>
      <c r="W849" s="16" t="str">
        <f>IFERROR(__xludf.DUMMYFUNCTION("IFERROR(GOOGLEFINANCE(A849, ""volume"") / GOOGLEFINANCE(A849, ""volumeavg""), )"),"")</f>
        <v/>
      </c>
      <c r="X849" s="9">
        <f>IFERROR(__xludf.DUMMYFUNCTION("B849 * GOOGLEFINANCE(A849, ""volume"")"),8.372801925E7)</f>
        <v>83728019.25</v>
      </c>
      <c r="Y849" s="9">
        <f>IFERROR(__xludf.DUMMYFUNCTION("IFERROR(((B849 - GOOGLEFINANCE(A849, ""priceopen"")) / GOOGLEFINANCE(A849, ""priceopen"")) * GOOGLEFINANCE(A849, ""volume""), 0)"),6557.264673001653)</f>
        <v>6557.264673</v>
      </c>
    </row>
    <row r="850">
      <c r="A850" s="4" t="s">
        <v>2643</v>
      </c>
      <c r="B850" s="7">
        <f>IFERROR(__xludf.DUMMYFUNCTION("GOOGLEFINANCE(A850, ""price"")"),8210.0)</f>
        <v>8210</v>
      </c>
      <c r="C850" s="7">
        <f>IFERROR(__xludf.DUMMYFUNCTION("GOOGLEFINANCE(A850, ""changepct"")"),0.21)</f>
        <v>0.21</v>
      </c>
      <c r="D850" s="9">
        <f>IFERROR(__xludf.DUMMYFUNCTION("GOOGLEFINANCE(A850, ""priceopen"")"),8190.5)</f>
        <v>8190.5</v>
      </c>
      <c r="E850" s="9">
        <f>IFERROR(__xludf.DUMMYFUNCTION("GOOGLEFINANCE(A850, ""high"")"),8286.5)</f>
        <v>8286.5</v>
      </c>
      <c r="F850" s="9">
        <f>IFERROR(__xludf.DUMMYFUNCTION("GOOGLEFINANCE(A850, ""low"")"),8105.5)</f>
        <v>8105.5</v>
      </c>
      <c r="G850" s="9">
        <f>IFERROR(__xludf.DUMMYFUNCTION("GOOGLEFINANCE(A850, ""price"")"),8210.0)</f>
        <v>8210</v>
      </c>
      <c r="H850" s="9">
        <f>IFERROR(__xludf.DUMMYFUNCTION("MAX(INDEX(GOOGLEFINANCE(A850, ""high"", TODAY()-30, TODAY()), 0, 2))"),9600.0)</f>
        <v>9600</v>
      </c>
      <c r="I850" s="9">
        <f>IFERROR(__xludf.DUMMYFUNCTION("MIN(INDEX(GOOGLEFINANCE(A850, ""low"", TODAY()-30, TODAY()), 0, 2))"),8013.5)</f>
        <v>8013.5</v>
      </c>
      <c r="J850" s="9">
        <f>IFERROR(__xludf.DUMMYFUNCTION("GOOGLEFINANCE(A850, ""high52"")"),9600.0)</f>
        <v>9600</v>
      </c>
      <c r="K850" s="9">
        <f>IFERROR(__xludf.DUMMYFUNCTION("GOOGLEFINANCE(A850, ""low52"")"),7109.0)</f>
        <v>7109</v>
      </c>
      <c r="L850" s="9">
        <f t="shared" si="1"/>
        <v>0.1447916667</v>
      </c>
      <c r="M850" s="9">
        <f t="shared" si="2"/>
        <v>0.1548741032</v>
      </c>
      <c r="N850" s="9">
        <f t="shared" si="3"/>
        <v>0.02233051632</v>
      </c>
      <c r="O850" s="9">
        <f t="shared" si="4"/>
        <v>0.1238575481</v>
      </c>
      <c r="P850" s="9">
        <f>IFERROR(__xludf.DUMMYFUNCTION("GOOGLEFINANCE(A850, ""pe"")"),32.01)</f>
        <v>32.01</v>
      </c>
      <c r="Q850" s="9">
        <f>IFERROR(__xludf.DUMMYFUNCTION("IFERROR(GOOGLEFINANCE(A850, ""volume"") / GOOGLEFINANCE(A850, ""volumeavg""), 0)"),0.0)</f>
        <v>0</v>
      </c>
      <c r="R850" s="9">
        <f>IFERROR(__xludf.DUMMYFUNCTION("AVERAGE(INDEX(GOOGLEFINANCE(A850, ""price"", TODAY()-30, TODAY()), 0, 2))"),8675.195652173914)</f>
        <v>8675.195652</v>
      </c>
      <c r="S850" s="9">
        <f>IFERROR(__xludf.DUMMYFUNCTION("AVERAGE(INDEX(GOOGLEFINANCE(A850, ""price"", TODAY()-75, TODAY()), 0, 2))"),8319.462264150943)</f>
        <v>8319.462264</v>
      </c>
      <c r="T850" s="9">
        <f>IFERROR(__xludf.DUMMYFUNCTION("AVERAGE(INDEX(GOOGLEFINANCE(A850, ""price"", TODAY()-300, TODAY()), 0, 2))"),7994.5705)</f>
        <v>7994.5705</v>
      </c>
      <c r="U850" s="9">
        <f t="shared" si="5"/>
        <v>-0.05362364964</v>
      </c>
      <c r="V850" s="15">
        <f>IFERROR(__xludf.DUMMYFUNCTION("LET(hist, GOOGLEFINANCE(A850,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rs))))))"),39.904200442151804)</f>
        <v>39.90420044</v>
      </c>
      <c r="W850" s="16" t="str">
        <f>IFERROR(__xludf.DUMMYFUNCTION("IFERROR(GOOGLEFINANCE(A850, ""volume"") / GOOGLEFINANCE(A850, ""volumeavg""), )"),"")</f>
        <v/>
      </c>
      <c r="X850" s="9">
        <f>IFERROR(__xludf.DUMMYFUNCTION("B850 * GOOGLEFINANCE(A850, ""volume"")"),4884950.0)</f>
        <v>4884950</v>
      </c>
      <c r="Y850" s="9">
        <f>IFERROR(__xludf.DUMMYFUNCTION("IFERROR(((B850 - GOOGLEFINANCE(A850, ""priceopen"")) / GOOGLEFINANCE(A850, ""priceopen"")) * GOOGLEFINANCE(A850, ""volume""), 0)"),1.416580184359929)</f>
        <v>1.416580184</v>
      </c>
    </row>
    <row r="851">
      <c r="A851" s="4" t="s">
        <v>2644</v>
      </c>
      <c r="B851" s="7">
        <f>IFERROR(__xludf.DUMMYFUNCTION("GOOGLEFINANCE(A851, ""price"")"),232.95)</f>
        <v>232.95</v>
      </c>
      <c r="C851" s="7">
        <f>IFERROR(__xludf.DUMMYFUNCTION("GOOGLEFINANCE(A851, ""changepct"")"),-1.98)</f>
        <v>-1.98</v>
      </c>
      <c r="D851" s="9">
        <f>IFERROR(__xludf.DUMMYFUNCTION("GOOGLEFINANCE(A851, ""priceopen"")"),236.2)</f>
        <v>236.2</v>
      </c>
      <c r="E851" s="9">
        <f>IFERROR(__xludf.DUMMYFUNCTION("GOOGLEFINANCE(A851, ""high"")"),238.4)</f>
        <v>238.4</v>
      </c>
      <c r="F851" s="9">
        <f>IFERROR(__xludf.DUMMYFUNCTION("GOOGLEFINANCE(A851, ""low"")"),231.25)</f>
        <v>231.25</v>
      </c>
      <c r="G851" s="9">
        <f>IFERROR(__xludf.DUMMYFUNCTION("GOOGLEFINANCE(A851, ""price"")"),232.95)</f>
        <v>232.95</v>
      </c>
      <c r="H851" s="9">
        <f>IFERROR(__xludf.DUMMYFUNCTION("MAX(INDEX(GOOGLEFINANCE(A851, ""high"", TODAY()-30, TODAY()), 0, 2))"),282.3)</f>
        <v>282.3</v>
      </c>
      <c r="I851" s="9">
        <f>IFERROR(__xludf.DUMMYFUNCTION("MIN(INDEX(GOOGLEFINANCE(A851, ""low"", TODAY()-30, TODAY()), 0, 2))"),231.25)</f>
        <v>231.25</v>
      </c>
      <c r="J851" s="9">
        <f>IFERROR(__xludf.DUMMYFUNCTION("GOOGLEFINANCE(A851, ""high52"")"),293.25)</f>
        <v>293.25</v>
      </c>
      <c r="K851" s="9">
        <f>IFERROR(__xludf.DUMMYFUNCTION("GOOGLEFINANCE(A851, ""low52"")"),174.13)</f>
        <v>174.13</v>
      </c>
      <c r="L851" s="9">
        <f t="shared" si="1"/>
        <v>0.2056265985</v>
      </c>
      <c r="M851" s="9">
        <f t="shared" si="2"/>
        <v>0.3377936025</v>
      </c>
      <c r="N851" s="9">
        <f t="shared" si="3"/>
        <v>0.03091891892</v>
      </c>
      <c r="O851" s="9">
        <f t="shared" si="4"/>
        <v>0.0333006856</v>
      </c>
      <c r="P851" s="9">
        <f>IFERROR(__xludf.DUMMYFUNCTION("GOOGLEFINANCE(A851, ""pe"")"),13.94)</f>
        <v>13.94</v>
      </c>
      <c r="Q851" s="9">
        <f>IFERROR(__xludf.DUMMYFUNCTION("IFERROR(GOOGLEFINANCE(A851, ""volume"") / GOOGLEFINANCE(A851, ""volumeavg""), 0)"),0.0)</f>
        <v>0</v>
      </c>
      <c r="R851" s="9">
        <f>IFERROR(__xludf.DUMMYFUNCTION("AVERAGE(INDEX(GOOGLEFINANCE(A851, ""price"", TODAY()-30, TODAY()), 0, 2))"),255.0069565217391)</f>
        <v>255.0069565</v>
      </c>
      <c r="S851" s="9">
        <f>IFERROR(__xludf.DUMMYFUNCTION("AVERAGE(INDEX(GOOGLEFINANCE(A851, ""price"", TODAY()-75, TODAY()), 0, 2))"),244.30603773584915)</f>
        <v>244.3060377</v>
      </c>
      <c r="T851" s="9">
        <f>IFERROR(__xludf.DUMMYFUNCTION("AVERAGE(INDEX(GOOGLEFINANCE(A851, ""price"", TODAY()-300, TODAY()), 0, 2))"),233.12836633663355)</f>
        <v>233.1283663</v>
      </c>
      <c r="U851" s="9">
        <f t="shared" si="5"/>
        <v>-0.08649550907</v>
      </c>
      <c r="V851" s="15">
        <f>IFERROR(__xludf.DUMMYFUNCTION("LET(hist, GOOGLEFINANCE(A851,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rs))))))"),35.37262156448202)</f>
        <v>35.37262156</v>
      </c>
      <c r="W851" s="16" t="str">
        <f>IFERROR(__xludf.DUMMYFUNCTION("IFERROR(GOOGLEFINANCE(A851, ""volume"") / GOOGLEFINANCE(A851, ""volumeavg""), )"),"")</f>
        <v/>
      </c>
      <c r="X851" s="9">
        <f>IFERROR(__xludf.DUMMYFUNCTION("B851 * GOOGLEFINANCE(A851, ""volume"")"),9.559149839999999E7)</f>
        <v>95591498.4</v>
      </c>
      <c r="Y851" s="9">
        <f>IFERROR(__xludf.DUMMYFUNCTION("IFERROR(((B851 - GOOGLEFINANCE(A851, ""priceopen"")) / GOOGLEFINANCE(A851, ""priceopen"")) * GOOGLEFINANCE(A851, ""volume""), 0)"),-5646.248941574937)</f>
        <v>-5646.248942</v>
      </c>
    </row>
    <row r="852">
      <c r="A852" s="4" t="s">
        <v>2645</v>
      </c>
      <c r="B852" s="7">
        <f>IFERROR(__xludf.DUMMYFUNCTION("GOOGLEFINANCE(A852, ""price"")"),292.0)</f>
        <v>292</v>
      </c>
      <c r="C852" s="7">
        <f>IFERROR(__xludf.DUMMYFUNCTION("GOOGLEFINANCE(A852, ""changepct"")"),-1.53)</f>
        <v>-1.53</v>
      </c>
      <c r="D852" s="9">
        <f>IFERROR(__xludf.DUMMYFUNCTION("GOOGLEFINANCE(A852, ""priceopen"")"),296.55)</f>
        <v>296.55</v>
      </c>
      <c r="E852" s="9">
        <f>IFERROR(__xludf.DUMMYFUNCTION("GOOGLEFINANCE(A852, ""high"")"),296.55)</f>
        <v>296.55</v>
      </c>
      <c r="F852" s="9">
        <f>IFERROR(__xludf.DUMMYFUNCTION("GOOGLEFINANCE(A852, ""low"")"),290.45)</f>
        <v>290.45</v>
      </c>
      <c r="G852" s="9">
        <f>IFERROR(__xludf.DUMMYFUNCTION("GOOGLEFINANCE(A852, ""price"")"),292.0)</f>
        <v>292</v>
      </c>
      <c r="H852" s="9">
        <f>IFERROR(__xludf.DUMMYFUNCTION("MAX(INDEX(GOOGLEFINANCE(A852, ""high"", TODAY()-30, TODAY()), 0, 2))"),329.0)</f>
        <v>329</v>
      </c>
      <c r="I852" s="9">
        <f>IFERROR(__xludf.DUMMYFUNCTION("MIN(INDEX(GOOGLEFINANCE(A852, ""low"", TODAY()-30, TODAY()), 0, 2))"),289.25)</f>
        <v>289.25</v>
      </c>
      <c r="J852" s="9">
        <f>IFERROR(__xludf.DUMMYFUNCTION("GOOGLEFINANCE(A852, ""high52"")"),473.0)</f>
        <v>473</v>
      </c>
      <c r="K852" s="9">
        <f>IFERROR(__xludf.DUMMYFUNCTION("GOOGLEFINANCE(A852, ""low52"")"),270.75)</f>
        <v>270.75</v>
      </c>
      <c r="L852" s="9">
        <f t="shared" si="1"/>
        <v>0.3826638478</v>
      </c>
      <c r="M852" s="9">
        <f t="shared" si="2"/>
        <v>0.0784856879</v>
      </c>
      <c r="N852" s="9">
        <f t="shared" si="3"/>
        <v>0.02100189361</v>
      </c>
      <c r="O852" s="9">
        <f t="shared" si="4"/>
        <v>0.06918238994</v>
      </c>
      <c r="P852" s="9">
        <f>IFERROR(__xludf.DUMMYFUNCTION("GOOGLEFINANCE(A852, ""pe"")"),20.1)</f>
        <v>20.1</v>
      </c>
      <c r="Q852" s="9">
        <f>IFERROR(__xludf.DUMMYFUNCTION("IFERROR(GOOGLEFINANCE(A852, ""volume"") / GOOGLEFINANCE(A852, ""volumeavg""), 0)"),0.0)</f>
        <v>0</v>
      </c>
      <c r="R852" s="9">
        <f>IFERROR(__xludf.DUMMYFUNCTION("AVERAGE(INDEX(GOOGLEFINANCE(A852, ""price"", TODAY()-30, TODAY()), 0, 2))"),306.1782608695652)</f>
        <v>306.1782609</v>
      </c>
      <c r="S852" s="9">
        <f>IFERROR(__xludf.DUMMYFUNCTION("AVERAGE(INDEX(GOOGLEFINANCE(A852, ""price"", TODAY()-75, TODAY()), 0, 2))"),306.48490566037736)</f>
        <v>306.4849057</v>
      </c>
      <c r="T852" s="9">
        <f>IFERROR(__xludf.DUMMYFUNCTION("AVERAGE(INDEX(GOOGLEFINANCE(A852, ""price"", TODAY()-300, TODAY()), 0, 2))"),361.4898514851483)</f>
        <v>361.4898515</v>
      </c>
      <c r="U852" s="9">
        <f t="shared" si="5"/>
        <v>-0.0463072095</v>
      </c>
      <c r="V852" s="15">
        <f>IFERROR(__xludf.DUMMYFUNCTION("LET(hist, GOOGLEFINANCE(A852,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rs))))))"),38.18615751789973)</f>
        <v>38.18615752</v>
      </c>
      <c r="W852" s="16" t="str">
        <f>IFERROR(__xludf.DUMMYFUNCTION("IFERROR(GOOGLEFINANCE(A852, ""volume"") / GOOGLEFINANCE(A852, ""volumeavg""), )"),"")</f>
        <v/>
      </c>
      <c r="X852" s="9">
        <f>IFERROR(__xludf.DUMMYFUNCTION("B852 * GOOGLEFINANCE(A852, ""volume"")"),4.5613028E7)</f>
        <v>45613028</v>
      </c>
      <c r="Y852" s="9">
        <f>IFERROR(__xludf.DUMMYFUNCTION("IFERROR(((B852 - GOOGLEFINANCE(A852, ""priceopen"")) / GOOGLEFINANCE(A852, ""priceopen"")) * GOOGLEFINANCE(A852, ""volume""), 0)"),-2396.7322542572983)</f>
        <v>-2396.732254</v>
      </c>
    </row>
    <row r="853">
      <c r="A853" s="4" t="s">
        <v>2646</v>
      </c>
      <c r="B853" s="7">
        <f>IFERROR(__xludf.DUMMYFUNCTION("GOOGLEFINANCE(A853, ""price"")"),183.5)</f>
        <v>183.5</v>
      </c>
      <c r="C853" s="7">
        <f>IFERROR(__xludf.DUMMYFUNCTION("GOOGLEFINANCE(A853, ""changepct"")"),-0.03)</f>
        <v>-0.03</v>
      </c>
      <c r="D853" s="9">
        <f>IFERROR(__xludf.DUMMYFUNCTION("GOOGLEFINANCE(A853, ""priceopen"")"),182.5)</f>
        <v>182.5</v>
      </c>
      <c r="E853" s="9">
        <f>IFERROR(__xludf.DUMMYFUNCTION("GOOGLEFINANCE(A853, ""high"")"),184.39)</f>
        <v>184.39</v>
      </c>
      <c r="F853" s="9">
        <f>IFERROR(__xludf.DUMMYFUNCTION("GOOGLEFINANCE(A853, ""low"")"),180.71)</f>
        <v>180.71</v>
      </c>
      <c r="G853" s="9">
        <f>IFERROR(__xludf.DUMMYFUNCTION("GOOGLEFINANCE(A853, ""price"")"),183.5)</f>
        <v>183.5</v>
      </c>
      <c r="H853" s="9">
        <f>IFERROR(__xludf.DUMMYFUNCTION("MAX(INDEX(GOOGLEFINANCE(A853, ""high"", TODAY()-30, TODAY()), 0, 2))"),219.94)</f>
        <v>219.94</v>
      </c>
      <c r="I853" s="9">
        <f>IFERROR(__xludf.DUMMYFUNCTION("MIN(INDEX(GOOGLEFINANCE(A853, ""low"", TODAY()-30, TODAY()), 0, 2))"),176.31)</f>
        <v>176.31</v>
      </c>
      <c r="J853" s="9">
        <f>IFERROR(__xludf.DUMMYFUNCTION("GOOGLEFINANCE(A853, ""high52"")"),231.95)</f>
        <v>231.95</v>
      </c>
      <c r="K853" s="9">
        <f>IFERROR(__xludf.DUMMYFUNCTION("GOOGLEFINANCE(A853, ""low52"")"),139.81)</f>
        <v>139.81</v>
      </c>
      <c r="L853" s="9">
        <f t="shared" si="1"/>
        <v>0.2088812244</v>
      </c>
      <c r="M853" s="9">
        <f t="shared" si="2"/>
        <v>0.3124955296</v>
      </c>
      <c r="N853" s="9">
        <f t="shared" si="3"/>
        <v>0.02036411931</v>
      </c>
      <c r="O853" s="9">
        <f t="shared" si="4"/>
        <v>0.1647948659</v>
      </c>
      <c r="P853" s="9">
        <f>IFERROR(__xludf.DUMMYFUNCTION("GOOGLEFINANCE(A853, ""pe"")"),13.19)</f>
        <v>13.19</v>
      </c>
      <c r="Q853" s="9">
        <f>IFERROR(__xludf.DUMMYFUNCTION("IFERROR(GOOGLEFINANCE(A853, ""volume"") / GOOGLEFINANCE(A853, ""volumeavg""), 0)"),0.0)</f>
        <v>0</v>
      </c>
      <c r="R853" s="9">
        <f>IFERROR(__xludf.DUMMYFUNCTION("AVERAGE(INDEX(GOOGLEFINANCE(A853, ""price"", TODAY()-30, TODAY()), 0, 2))"),197.54000000000005)</f>
        <v>197.54</v>
      </c>
      <c r="S853" s="9">
        <f>IFERROR(__xludf.DUMMYFUNCTION("AVERAGE(INDEX(GOOGLEFINANCE(A853, ""price"", TODAY()-75, TODAY()), 0, 2))"),196.5771698113207)</f>
        <v>196.5771698</v>
      </c>
      <c r="T853" s="9">
        <f>IFERROR(__xludf.DUMMYFUNCTION("AVERAGE(INDEX(GOOGLEFINANCE(A853, ""price"", TODAY()-300, TODAY()), 0, 2))"),189.16316831683162)</f>
        <v>189.1631683</v>
      </c>
      <c r="U853" s="9">
        <f t="shared" si="5"/>
        <v>-0.07107421282</v>
      </c>
      <c r="V853" s="15">
        <f>IFERROR(__xludf.DUMMYFUNCTION("LET(hist, GOOGLEFINANCE(A853,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rs))))))"),37.715289982425325)</f>
        <v>37.71528998</v>
      </c>
      <c r="W853" s="16" t="str">
        <f>IFERROR(__xludf.DUMMYFUNCTION("IFERROR(GOOGLEFINANCE(A853, ""volume"") / GOOGLEFINANCE(A853, ""volumeavg""), )"),"")</f>
        <v/>
      </c>
      <c r="X853" s="9">
        <f>IFERROR(__xludf.DUMMYFUNCTION("B853 * GOOGLEFINANCE(A853, ""volume"")"),1.15717302E8)</f>
        <v>115717302</v>
      </c>
      <c r="Y853" s="9">
        <f>IFERROR(__xludf.DUMMYFUNCTION("IFERROR(((B853 - GOOGLEFINANCE(A853, ""priceopen"")) / GOOGLEFINANCE(A853, ""priceopen"")) * GOOGLEFINANCE(A853, ""volume""), 0)"),3455.408219178082)</f>
        <v>3455.408219</v>
      </c>
    </row>
    <row r="854">
      <c r="A854" s="4" t="s">
        <v>2647</v>
      </c>
      <c r="B854" s="7">
        <f>IFERROR(__xludf.DUMMYFUNCTION("GOOGLEFINANCE(A854, ""price"")"),1246.0)</f>
        <v>1246</v>
      </c>
      <c r="C854" s="7">
        <f>IFERROR(__xludf.DUMMYFUNCTION("GOOGLEFINANCE(A854, ""changepct"")"),-0.92)</f>
        <v>-0.92</v>
      </c>
      <c r="D854" s="9">
        <f>IFERROR(__xludf.DUMMYFUNCTION("GOOGLEFINANCE(A854, ""priceopen"")"),1266.8)</f>
        <v>1266.8</v>
      </c>
      <c r="E854" s="9">
        <f>IFERROR(__xludf.DUMMYFUNCTION("GOOGLEFINANCE(A854, ""high"")"),1274.9)</f>
        <v>1274.9</v>
      </c>
      <c r="F854" s="9">
        <f>IFERROR(__xludf.DUMMYFUNCTION("GOOGLEFINANCE(A854, ""low"")"),1236.1)</f>
        <v>1236.1</v>
      </c>
      <c r="G854" s="9">
        <f>IFERROR(__xludf.DUMMYFUNCTION("GOOGLEFINANCE(A854, ""price"")"),1246.0)</f>
        <v>1246</v>
      </c>
      <c r="H854" s="9">
        <f>IFERROR(__xludf.DUMMYFUNCTION("MAX(INDEX(GOOGLEFINANCE(A854, ""high"", TODAY()-30, TODAY()), 0, 2))"),1475.0)</f>
        <v>1475</v>
      </c>
      <c r="I854" s="9">
        <f>IFERROR(__xludf.DUMMYFUNCTION("MIN(INDEX(GOOGLEFINANCE(A854, ""low"", TODAY()-30, TODAY()), 0, 2))"),1213.0)</f>
        <v>1213</v>
      </c>
      <c r="J854" s="9">
        <f>IFERROR(__xludf.DUMMYFUNCTION("GOOGLEFINANCE(A854, ""high52"")"),1740.0)</f>
        <v>1740</v>
      </c>
      <c r="K854" s="9">
        <f>IFERROR(__xludf.DUMMYFUNCTION("GOOGLEFINANCE(A854, ""low52"")"),1026.2)</f>
        <v>1026.2</v>
      </c>
      <c r="L854" s="9">
        <f t="shared" si="1"/>
        <v>0.283908046</v>
      </c>
      <c r="M854" s="9">
        <f t="shared" si="2"/>
        <v>0.2141882674</v>
      </c>
      <c r="N854" s="9">
        <f t="shared" si="3"/>
        <v>0.03138904619</v>
      </c>
      <c r="O854" s="9">
        <f t="shared" si="4"/>
        <v>0.1259541985</v>
      </c>
      <c r="P854" s="9" t="str">
        <f>IFERROR(__xludf.DUMMYFUNCTION("GOOGLEFINANCE(A854, ""pe"")"),"#N/A")</f>
        <v>#N/A</v>
      </c>
      <c r="Q854" s="9">
        <f>IFERROR(__xludf.DUMMYFUNCTION("IFERROR(GOOGLEFINANCE(A854, ""volume"") / GOOGLEFINANCE(A854, ""volumeavg""), 0)"),0.0)</f>
        <v>0</v>
      </c>
      <c r="R854" s="9">
        <f>IFERROR(__xludf.DUMMYFUNCTION("AVERAGE(INDEX(GOOGLEFINANCE(A854, ""price"", TODAY()-30, TODAY()), 0, 2))"),1294.673913043478)</f>
        <v>1294.673913</v>
      </c>
      <c r="S854" s="9">
        <f>IFERROR(__xludf.DUMMYFUNCTION("AVERAGE(INDEX(GOOGLEFINANCE(A854, ""price"", TODAY()-75, TODAY()), 0, 2))"),1299.767924528302)</f>
        <v>1299.767925</v>
      </c>
      <c r="T854" s="9">
        <f>IFERROR(__xludf.DUMMYFUNCTION("AVERAGE(INDEX(GOOGLEFINANCE(A854, ""price"", TODAY()-300, TODAY()), 0, 2))"),1354.6381188118812)</f>
        <v>1354.638119</v>
      </c>
      <c r="U854" s="9">
        <f t="shared" si="5"/>
        <v>-0.03759549996</v>
      </c>
      <c r="V854" s="15">
        <f>IFERROR(__xludf.DUMMYFUNCTION("LET(hist, GOOGLEFINANCE(A854,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rs))))))"),41.02072141212581)</f>
        <v>41.02072141</v>
      </c>
      <c r="W854" s="16" t="str">
        <f>IFERROR(__xludf.DUMMYFUNCTION("IFERROR(GOOGLEFINANCE(A854, ""volume"") / GOOGLEFINANCE(A854, ""volumeavg""), )"),"")</f>
        <v/>
      </c>
      <c r="X854" s="9">
        <f>IFERROR(__xludf.DUMMYFUNCTION("B854 * GOOGLEFINANCE(A854, ""volume"")"),2.61182782E8)</f>
        <v>261182782</v>
      </c>
      <c r="Y854" s="9">
        <f>IFERROR(__xludf.DUMMYFUNCTION("IFERROR(((B854 - GOOGLEFINANCE(A854, ""priceopen"")) / GOOGLEFINANCE(A854, ""priceopen"")) * GOOGLEFINANCE(A854, ""volume""), 0)"),-3441.7694979475773)</f>
        <v>-3441.769498</v>
      </c>
    </row>
    <row r="855">
      <c r="A855" s="4" t="s">
        <v>2648</v>
      </c>
      <c r="B855" s="7">
        <f>IFERROR(__xludf.DUMMYFUNCTION("GOOGLEFINANCE(A855, ""price"")"),170.77)</f>
        <v>170.77</v>
      </c>
      <c r="C855" s="7">
        <f>IFERROR(__xludf.DUMMYFUNCTION("GOOGLEFINANCE(A855, ""changepct"")"),-3.3)</f>
        <v>-3.3</v>
      </c>
      <c r="D855" s="9">
        <f>IFERROR(__xludf.DUMMYFUNCTION("GOOGLEFINANCE(A855, ""priceopen"")"),177.48)</f>
        <v>177.48</v>
      </c>
      <c r="E855" s="9">
        <f>IFERROR(__xludf.DUMMYFUNCTION("GOOGLEFINANCE(A855, ""high"")"),177.48)</f>
        <v>177.48</v>
      </c>
      <c r="F855" s="9">
        <f>IFERROR(__xludf.DUMMYFUNCTION("GOOGLEFINANCE(A855, ""low"")"),170.5)</f>
        <v>170.5</v>
      </c>
      <c r="G855" s="9">
        <f>IFERROR(__xludf.DUMMYFUNCTION("GOOGLEFINANCE(A855, ""price"")"),170.77)</f>
        <v>170.77</v>
      </c>
      <c r="H855" s="9">
        <f>IFERROR(__xludf.DUMMYFUNCTION("MAX(INDEX(GOOGLEFINANCE(A855, ""high"", TODAY()-30, TODAY()), 0, 2))"),245.0)</f>
        <v>245</v>
      </c>
      <c r="I855" s="9">
        <f>IFERROR(__xludf.DUMMYFUNCTION("MIN(INDEX(GOOGLEFINANCE(A855, ""low"", TODAY()-30, TODAY()), 0, 2))"),170.5)</f>
        <v>170.5</v>
      </c>
      <c r="J855" s="9">
        <f>IFERROR(__xludf.DUMMYFUNCTION("GOOGLEFINANCE(A855, ""high52"")"),274.81)</f>
        <v>274.81</v>
      </c>
      <c r="K855" s="9">
        <f>IFERROR(__xludf.DUMMYFUNCTION("GOOGLEFINANCE(A855, ""low52"")"),112.62)</f>
        <v>112.62</v>
      </c>
      <c r="L855" s="9">
        <f t="shared" si="1"/>
        <v>0.3785888432</v>
      </c>
      <c r="M855" s="9">
        <f t="shared" si="2"/>
        <v>0.5163381282</v>
      </c>
      <c r="N855" s="9">
        <f t="shared" si="3"/>
        <v>0.04093841642</v>
      </c>
      <c r="O855" s="9">
        <f t="shared" si="4"/>
        <v>0.003624161074</v>
      </c>
      <c r="P855" s="9">
        <f>IFERROR(__xludf.DUMMYFUNCTION("GOOGLEFINANCE(A855, ""pe"")"),341.49)</f>
        <v>341.49</v>
      </c>
      <c r="Q855" s="9">
        <f>IFERROR(__xludf.DUMMYFUNCTION("IFERROR(GOOGLEFINANCE(A855, ""volume"") / GOOGLEFINANCE(A855, ""volumeavg""), 0)"),0.0)</f>
        <v>0</v>
      </c>
      <c r="R855" s="9">
        <f>IFERROR(__xludf.DUMMYFUNCTION("AVERAGE(INDEX(GOOGLEFINANCE(A855, ""price"", TODAY()-30, TODAY()), 0, 2))"),195.6417391304348)</f>
        <v>195.6417391</v>
      </c>
      <c r="S855" s="9">
        <f>IFERROR(__xludf.DUMMYFUNCTION("AVERAGE(INDEX(GOOGLEFINANCE(A855, ""price"", TODAY()-75, TODAY()), 0, 2))"),191.84660377358492)</f>
        <v>191.8466038</v>
      </c>
      <c r="T855" s="9">
        <f>IFERROR(__xludf.DUMMYFUNCTION("AVERAGE(INDEX(GOOGLEFINANCE(A855, ""price"", TODAY()-300, TODAY()), 0, 2))"),167.46103960396036)</f>
        <v>167.4610396</v>
      </c>
      <c r="U855" s="9">
        <f t="shared" si="5"/>
        <v>-0.1271290024</v>
      </c>
      <c r="V855" s="15">
        <f>IFERROR(__xludf.DUMMYFUNCTION("LET(hist, GOOGLEFINANCE(A855,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rs))))))"),31.364922206506364)</f>
        <v>31.36492221</v>
      </c>
      <c r="W855" s="16" t="str">
        <f>IFERROR(__xludf.DUMMYFUNCTION("IFERROR(GOOGLEFINANCE(A855, ""volume"") / GOOGLEFINANCE(A855, ""volumeavg""), )"),"")</f>
        <v/>
      </c>
      <c r="X855" s="9">
        <f>IFERROR(__xludf.DUMMYFUNCTION("B855 * GOOGLEFINANCE(A855, ""volume"")"),8.599157504E7)</f>
        <v>85991575.04</v>
      </c>
      <c r="Y855" s="9">
        <f>IFERROR(__xludf.DUMMYFUNCTION("IFERROR(((B855 - GOOGLEFINANCE(A855, ""priceopen"")) / GOOGLEFINANCE(A855, ""priceopen"")) * GOOGLEFINANCE(A855, ""volume""), 0)"),-19037.829163849394)</f>
        <v>-19037.82916</v>
      </c>
    </row>
    <row r="856">
      <c r="A856" s="4" t="s">
        <v>2649</v>
      </c>
      <c r="B856" s="7">
        <f>IFERROR(__xludf.DUMMYFUNCTION("GOOGLEFINANCE(A856, ""price"")"),226.52)</f>
        <v>226.52</v>
      </c>
      <c r="C856" s="7">
        <f>IFERROR(__xludf.DUMMYFUNCTION("GOOGLEFINANCE(A856, ""changepct"")"),0.42)</f>
        <v>0.42</v>
      </c>
      <c r="D856" s="9">
        <f>IFERROR(__xludf.DUMMYFUNCTION("GOOGLEFINANCE(A856, ""priceopen"")"),225.57)</f>
        <v>225.57</v>
      </c>
      <c r="E856" s="9">
        <f>IFERROR(__xludf.DUMMYFUNCTION("GOOGLEFINANCE(A856, ""high"")"),227.0)</f>
        <v>227</v>
      </c>
      <c r="F856" s="9">
        <f>IFERROR(__xludf.DUMMYFUNCTION("GOOGLEFINANCE(A856, ""low"")"),223.22)</f>
        <v>223.22</v>
      </c>
      <c r="G856" s="9">
        <f>IFERROR(__xludf.DUMMYFUNCTION("GOOGLEFINANCE(A856, ""price"")"),226.52)</f>
        <v>226.52</v>
      </c>
      <c r="H856" s="9">
        <f>IFERROR(__xludf.DUMMYFUNCTION("MAX(INDEX(GOOGLEFINANCE(A856, ""high"", TODAY()-30, TODAY()), 0, 2))"),236.73)</f>
        <v>236.73</v>
      </c>
      <c r="I856" s="9">
        <f>IFERROR(__xludf.DUMMYFUNCTION("MIN(INDEX(GOOGLEFINANCE(A856, ""low"", TODAY()-30, TODAY()), 0, 2))"),207.9)</f>
        <v>207.9</v>
      </c>
      <c r="J856" s="9">
        <f>IFERROR(__xludf.DUMMYFUNCTION("GOOGLEFINANCE(A856, ""high52"")"),368.9)</f>
        <v>368.9</v>
      </c>
      <c r="K856" s="9">
        <f>IFERROR(__xludf.DUMMYFUNCTION("GOOGLEFINANCE(A856, ""low52"")"),207.9)</f>
        <v>207.9</v>
      </c>
      <c r="L856" s="9">
        <f t="shared" si="1"/>
        <v>0.3859582543</v>
      </c>
      <c r="M856" s="9">
        <f t="shared" si="2"/>
        <v>0.08956228956</v>
      </c>
      <c r="N856" s="9">
        <f t="shared" si="3"/>
        <v>0.01693396649</v>
      </c>
      <c r="O856" s="9">
        <f t="shared" si="4"/>
        <v>0.6458550121</v>
      </c>
      <c r="P856" s="9">
        <f>IFERROR(__xludf.DUMMYFUNCTION("GOOGLEFINANCE(A856, ""pe"")"),86.86)</f>
        <v>86.86</v>
      </c>
      <c r="Q856" s="9">
        <f>IFERROR(__xludf.DUMMYFUNCTION("IFERROR(GOOGLEFINANCE(A856, ""volume"") / GOOGLEFINANCE(A856, ""volumeavg""), 0)"),0.0)</f>
        <v>0</v>
      </c>
      <c r="R856" s="9">
        <f>IFERROR(__xludf.DUMMYFUNCTION("AVERAGE(INDEX(GOOGLEFINANCE(A856, ""price"", TODAY()-30, TODAY()), 0, 2))"),224.06434782608693)</f>
        <v>224.0643478</v>
      </c>
      <c r="S856" s="9">
        <f>IFERROR(__xludf.DUMMYFUNCTION("AVERAGE(INDEX(GOOGLEFINANCE(A856, ""price"", TODAY()-75, TODAY()), 0, 2))"),227.7649056603773)</f>
        <v>227.7649057</v>
      </c>
      <c r="T856" s="9">
        <f>IFERROR(__xludf.DUMMYFUNCTION("AVERAGE(INDEX(GOOGLEFINANCE(A856, ""price"", TODAY()-300, TODAY()), 0, 2))"),271.22014851485153)</f>
        <v>271.2201485</v>
      </c>
      <c r="U856" s="9">
        <f t="shared" si="5"/>
        <v>0.01095958459</v>
      </c>
      <c r="V856" s="15">
        <f>IFERROR(__xludf.DUMMYFUNCTION("LET(hist, GOOGLEFINANCE(A856,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rs))))))"),57.98733286418014)</f>
        <v>57.98733286</v>
      </c>
      <c r="W856" s="16" t="str">
        <f>IFERROR(__xludf.DUMMYFUNCTION("IFERROR(GOOGLEFINANCE(A856, ""volume"") / GOOGLEFINANCE(A856, ""volumeavg""), )"),"")</f>
        <v/>
      </c>
      <c r="X856" s="9">
        <f>IFERROR(__xludf.DUMMYFUNCTION("B856 * GOOGLEFINANCE(A856, ""volume"")"),1.294267324E7)</f>
        <v>12942673.24</v>
      </c>
      <c r="Y856" s="9">
        <f>IFERROR(__xludf.DUMMYFUNCTION("IFERROR(((B856 - GOOGLEFINANCE(A856, ""priceopen"")) / GOOGLEFINANCE(A856, ""priceopen"")) * GOOGLEFINANCE(A856, ""volume""), 0)"),240.63550117480594)</f>
        <v>240.6355012</v>
      </c>
    </row>
    <row r="857">
      <c r="A857" s="4" t="s">
        <v>2650</v>
      </c>
      <c r="B857" s="7">
        <f>IFERROR(__xludf.DUMMYFUNCTION("GOOGLEFINANCE(A857, ""price"")"),3617.0)</f>
        <v>3617</v>
      </c>
      <c r="C857" s="7">
        <f>IFERROR(__xludf.DUMMYFUNCTION("GOOGLEFINANCE(A857, ""changepct"")"),0.53)</f>
        <v>0.53</v>
      </c>
      <c r="D857" s="9">
        <f>IFERROR(__xludf.DUMMYFUNCTION("GOOGLEFINANCE(A857, ""priceopen"")"),3597.9)</f>
        <v>3597.9</v>
      </c>
      <c r="E857" s="9">
        <f>IFERROR(__xludf.DUMMYFUNCTION("GOOGLEFINANCE(A857, ""high"")"),3629.9)</f>
        <v>3629.9</v>
      </c>
      <c r="F857" s="9">
        <f>IFERROR(__xludf.DUMMYFUNCTION("GOOGLEFINANCE(A857, ""low"")"),3597.9)</f>
        <v>3597.9</v>
      </c>
      <c r="G857" s="9">
        <f>IFERROR(__xludf.DUMMYFUNCTION("GOOGLEFINANCE(A857, ""price"")"),3617.0)</f>
        <v>3617</v>
      </c>
      <c r="H857" s="9">
        <f>IFERROR(__xludf.DUMMYFUNCTION("MAX(INDEX(GOOGLEFINANCE(A857, ""high"", TODAY()-30, TODAY()), 0, 2))"),3881.0)</f>
        <v>3881</v>
      </c>
      <c r="I857" s="9">
        <f>IFERROR(__xludf.DUMMYFUNCTION("MIN(INDEX(GOOGLEFINANCE(A857, ""low"", TODAY()-30, TODAY()), 0, 2))"),3525.0)</f>
        <v>3525</v>
      </c>
      <c r="J857" s="9">
        <f>IFERROR(__xludf.DUMMYFUNCTION("GOOGLEFINANCE(A857, ""high52"")"),4545.0)</f>
        <v>4545</v>
      </c>
      <c r="K857" s="9">
        <f>IFERROR(__xludf.DUMMYFUNCTION("GOOGLEFINANCE(A857, ""low52"")"),3301.3)</f>
        <v>3301.3</v>
      </c>
      <c r="L857" s="9">
        <f t="shared" si="1"/>
        <v>0.204180418</v>
      </c>
      <c r="M857" s="9">
        <f t="shared" si="2"/>
        <v>0.09562899464</v>
      </c>
      <c r="N857" s="9">
        <f t="shared" si="3"/>
        <v>0.008894077101</v>
      </c>
      <c r="O857" s="9">
        <f t="shared" si="4"/>
        <v>0.2584269663</v>
      </c>
      <c r="P857" s="9">
        <f>IFERROR(__xludf.DUMMYFUNCTION("GOOGLEFINANCE(A857, ""pe"")"),21.77)</f>
        <v>21.77</v>
      </c>
      <c r="Q857" s="9">
        <f>IFERROR(__xludf.DUMMYFUNCTION("IFERROR(GOOGLEFINANCE(A857, ""volume"") / GOOGLEFINANCE(A857, ""volumeavg""), 0)"),0.0)</f>
        <v>0</v>
      </c>
      <c r="R857" s="9">
        <f>IFERROR(__xludf.DUMMYFUNCTION("AVERAGE(INDEX(GOOGLEFINANCE(A857, ""price"", TODAY()-30, TODAY()), 0, 2))"),3634.0608695652163)</f>
        <v>3634.06087</v>
      </c>
      <c r="S857" s="9">
        <f>IFERROR(__xludf.DUMMYFUNCTION("AVERAGE(INDEX(GOOGLEFINANCE(A857, ""price"", TODAY()-75, TODAY()), 0, 2))"),3754.4660377358487)</f>
        <v>3754.466038</v>
      </c>
      <c r="T857" s="9">
        <f>IFERROR(__xludf.DUMMYFUNCTION("AVERAGE(INDEX(GOOGLEFINANCE(A857, ""price"", TODAY()-300, TODAY()), 0, 2))"),3728.523267326734)</f>
        <v>3728.523267</v>
      </c>
      <c r="U857" s="9">
        <f t="shared" si="5"/>
        <v>-0.004694712108</v>
      </c>
      <c r="V857" s="15">
        <f>IFERROR(__xludf.DUMMYFUNCTION("LET(hist, GOOGLEFINANCE(A857,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rs))))))"),56.71517671517675)</f>
        <v>56.71517672</v>
      </c>
      <c r="W857" s="16" t="str">
        <f>IFERROR(__xludf.DUMMYFUNCTION("IFERROR(GOOGLEFINANCE(A857, ""volume"") / GOOGLEFINANCE(A857, ""volumeavg""), )"),"")</f>
        <v/>
      </c>
      <c r="X857" s="9">
        <f>IFERROR(__xludf.DUMMYFUNCTION("B857 * GOOGLEFINANCE(A857, ""volume"")"),2.6013464E7)</f>
        <v>26013464</v>
      </c>
      <c r="Y857" s="9">
        <f>IFERROR(__xludf.DUMMYFUNCTION("IFERROR(((B857 - GOOGLEFINANCE(A857, ""priceopen"")) / GOOGLEFINANCE(A857, ""priceopen"")) * GOOGLEFINANCE(A857, ""volume""), 0)"),38.17982712137617)</f>
        <v>38.17982712</v>
      </c>
    </row>
    <row r="858">
      <c r="A858" s="4" t="s">
        <v>2651</v>
      </c>
      <c r="B858" s="7">
        <f>IFERROR(__xludf.DUMMYFUNCTION("GOOGLEFINANCE(A858, ""price"")"),73.97)</f>
        <v>73.97</v>
      </c>
      <c r="C858" s="7">
        <f>IFERROR(__xludf.DUMMYFUNCTION("GOOGLEFINANCE(A858, ""changepct"")"),0.56)</f>
        <v>0.56</v>
      </c>
      <c r="D858" s="9">
        <f>IFERROR(__xludf.DUMMYFUNCTION("GOOGLEFINANCE(A858, ""priceopen"")"),73.6)</f>
        <v>73.6</v>
      </c>
      <c r="E858" s="9">
        <f>IFERROR(__xludf.DUMMYFUNCTION("GOOGLEFINANCE(A858, ""high"")"),74.3)</f>
        <v>74.3</v>
      </c>
      <c r="F858" s="9">
        <f>IFERROR(__xludf.DUMMYFUNCTION("GOOGLEFINANCE(A858, ""low"")"),71.92)</f>
        <v>71.92</v>
      </c>
      <c r="G858" s="9">
        <f>IFERROR(__xludf.DUMMYFUNCTION("GOOGLEFINANCE(A858, ""price"")"),73.97)</f>
        <v>73.97</v>
      </c>
      <c r="H858" s="9">
        <f>IFERROR(__xludf.DUMMYFUNCTION("MAX(INDEX(GOOGLEFINANCE(A858, ""high"", TODAY()-30, TODAY()), 0, 2))"),78.02)</f>
        <v>78.02</v>
      </c>
      <c r="I858" s="9">
        <f>IFERROR(__xludf.DUMMYFUNCTION("MIN(INDEX(GOOGLEFINANCE(A858, ""low"", TODAY()-30, TODAY()), 0, 2))"),69.52)</f>
        <v>69.52</v>
      </c>
      <c r="J858" s="9">
        <f>IFERROR(__xludf.DUMMYFUNCTION("GOOGLEFINANCE(A858, ""high52"")"),108.71)</f>
        <v>108.71</v>
      </c>
      <c r="K858" s="9">
        <f>IFERROR(__xludf.DUMMYFUNCTION("GOOGLEFINANCE(A858, ""low52"")"),60.15)</f>
        <v>60.15</v>
      </c>
      <c r="L858" s="9">
        <f t="shared" si="1"/>
        <v>0.3195658173</v>
      </c>
      <c r="M858" s="9">
        <f t="shared" si="2"/>
        <v>0.229758936</v>
      </c>
      <c r="N858" s="9">
        <f t="shared" si="3"/>
        <v>0.03309232481</v>
      </c>
      <c r="O858" s="9">
        <f t="shared" si="4"/>
        <v>0.5235294118</v>
      </c>
      <c r="P858" s="9">
        <f>IFERROR(__xludf.DUMMYFUNCTION("GOOGLEFINANCE(A858, ""pe"")"),37.74)</f>
        <v>37.74</v>
      </c>
      <c r="Q858" s="9">
        <f>IFERROR(__xludf.DUMMYFUNCTION("IFERROR(GOOGLEFINANCE(A858, ""volume"") / GOOGLEFINANCE(A858, ""volumeavg""), 0)"),0.0)</f>
        <v>0</v>
      </c>
      <c r="R858" s="9">
        <f>IFERROR(__xludf.DUMMYFUNCTION("AVERAGE(INDEX(GOOGLEFINANCE(A858, ""price"", TODAY()-30, TODAY()), 0, 2))"),72.98565217391304)</f>
        <v>72.98565217</v>
      </c>
      <c r="S858" s="9">
        <f>IFERROR(__xludf.DUMMYFUNCTION("AVERAGE(INDEX(GOOGLEFINANCE(A858, ""price"", TODAY()-75, TODAY()), 0, 2))"),75.18792452830188)</f>
        <v>75.18792453</v>
      </c>
      <c r="T858" s="9">
        <f>IFERROR(__xludf.DUMMYFUNCTION("AVERAGE(INDEX(GOOGLEFINANCE(A858, ""price"", TODAY()-300, TODAY()), 0, 2))"),77.03237623762375)</f>
        <v>77.03237624</v>
      </c>
      <c r="U858" s="9">
        <f t="shared" si="5"/>
        <v>0.01348686758</v>
      </c>
      <c r="V858" s="15">
        <f>IFERROR(__xludf.DUMMYFUNCTION("LET(hist, GOOGLEFINANCE(A858,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rs))))))"),66.42182581322143)</f>
        <v>66.42182581</v>
      </c>
      <c r="W858" s="16" t="str">
        <f>IFERROR(__xludf.DUMMYFUNCTION("IFERROR(GOOGLEFINANCE(A858, ""volume"") / GOOGLEFINANCE(A858, ""volumeavg""), )"),"")</f>
        <v/>
      </c>
      <c r="X858" s="9">
        <f>IFERROR(__xludf.DUMMYFUNCTION("B858 * GOOGLEFINANCE(A858, ""volume"")"),1.1389042548E8)</f>
        <v>113890425.5</v>
      </c>
      <c r="Y858" s="9">
        <f>IFERROR(__xludf.DUMMYFUNCTION("IFERROR(((B858 - GOOGLEFINANCE(A858, ""priceopen"")) / GOOGLEFINANCE(A858, ""priceopen"")) * GOOGLEFINANCE(A858, ""volume""), 0)"),7740.259239130531)</f>
        <v>7740.259239</v>
      </c>
    </row>
    <row r="859">
      <c r="A859" s="4" t="s">
        <v>2652</v>
      </c>
      <c r="B859" s="7">
        <f>IFERROR(__xludf.DUMMYFUNCTION("GOOGLEFINANCE(A859, ""price"")"),3465.0)</f>
        <v>3465</v>
      </c>
      <c r="C859" s="7">
        <f>IFERROR(__xludf.DUMMYFUNCTION("GOOGLEFINANCE(A859, ""changepct"")"),-0.55)</f>
        <v>-0.55</v>
      </c>
      <c r="D859" s="9">
        <f>IFERROR(__xludf.DUMMYFUNCTION("GOOGLEFINANCE(A859, ""priceopen"")"),3460.0)</f>
        <v>3460</v>
      </c>
      <c r="E859" s="9">
        <f>IFERROR(__xludf.DUMMYFUNCTION("GOOGLEFINANCE(A859, ""high"")"),3474.9)</f>
        <v>3474.9</v>
      </c>
      <c r="F859" s="9">
        <f>IFERROR(__xludf.DUMMYFUNCTION("GOOGLEFINANCE(A859, ""low"")"),3410.0)</f>
        <v>3410</v>
      </c>
      <c r="G859" s="9">
        <f>IFERROR(__xludf.DUMMYFUNCTION("GOOGLEFINANCE(A859, ""price"")"),3465.0)</f>
        <v>3465</v>
      </c>
      <c r="H859" s="9">
        <f>IFERROR(__xludf.DUMMYFUNCTION("MAX(INDEX(GOOGLEFINANCE(A859, ""high"", TODAY()-30, TODAY()), 0, 2))"),3543.1)</f>
        <v>3543.1</v>
      </c>
      <c r="I859" s="9">
        <f>IFERROR(__xludf.DUMMYFUNCTION("MIN(INDEX(GOOGLEFINANCE(A859, ""low"", TODAY()-30, TODAY()), 0, 2))"),3410.0)</f>
        <v>3410</v>
      </c>
      <c r="J859" s="9">
        <f>IFERROR(__xludf.DUMMYFUNCTION("GOOGLEFINANCE(A859, ""high52"")"),3849.0)</f>
        <v>3849</v>
      </c>
      <c r="K859" s="9">
        <f>IFERROR(__xludf.DUMMYFUNCTION("GOOGLEFINANCE(A859, ""low52"")"),3105.2)</f>
        <v>3105.2</v>
      </c>
      <c r="L859" s="9">
        <f t="shared" si="1"/>
        <v>0.09976617303</v>
      </c>
      <c r="M859" s="9">
        <f t="shared" si="2"/>
        <v>0.1158701533</v>
      </c>
      <c r="N859" s="9">
        <f t="shared" si="3"/>
        <v>0.01903225806</v>
      </c>
      <c r="O859" s="9">
        <f t="shared" si="4"/>
        <v>0.4132231405</v>
      </c>
      <c r="P859" s="9">
        <f>IFERROR(__xludf.DUMMYFUNCTION("GOOGLEFINANCE(A859, ""pe"")"),29.37)</f>
        <v>29.37</v>
      </c>
      <c r="Q859" s="9">
        <f>IFERROR(__xludf.DUMMYFUNCTION("IFERROR(GOOGLEFINANCE(A859, ""volume"") / GOOGLEFINANCE(A859, ""volumeavg""), 0)"),0.0)</f>
        <v>0</v>
      </c>
      <c r="R859" s="9">
        <f>IFERROR(__xludf.DUMMYFUNCTION("AVERAGE(INDEX(GOOGLEFINANCE(A859, ""price"", TODAY()-30, TODAY()), 0, 2))"),3483.095652173913)</f>
        <v>3483.095652</v>
      </c>
      <c r="S859" s="9">
        <f>IFERROR(__xludf.DUMMYFUNCTION("AVERAGE(INDEX(GOOGLEFINANCE(A859, ""price"", TODAY()-75, TODAY()), 0, 2))"),3516.298113207548)</f>
        <v>3516.298113</v>
      </c>
      <c r="T859" s="9">
        <f>IFERROR(__xludf.DUMMYFUNCTION("AVERAGE(INDEX(GOOGLEFINANCE(A859, ""price"", TODAY()-300, TODAY()), 0, 2))"),3580.807425742572)</f>
        <v>3580.807426</v>
      </c>
      <c r="U859" s="9">
        <f t="shared" si="5"/>
        <v>-0.005195278563</v>
      </c>
      <c r="V859" s="15">
        <f>IFERROR(__xludf.DUMMYFUNCTION("LET(hist, GOOGLEFINANCE(A859,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rs))))))"),43.78780828292232)</f>
        <v>43.78780828</v>
      </c>
      <c r="W859" s="16" t="str">
        <f>IFERROR(__xludf.DUMMYFUNCTION("IFERROR(GOOGLEFINANCE(A859, ""volume"") / GOOGLEFINANCE(A859, ""volumeavg""), )"),"")</f>
        <v/>
      </c>
      <c r="X859" s="9">
        <f>IFERROR(__xludf.DUMMYFUNCTION("B859 * GOOGLEFINANCE(A859, ""volume"")"),1683990.0)</f>
        <v>1683990</v>
      </c>
      <c r="Y859" s="9">
        <f>IFERROR(__xludf.DUMMYFUNCTION("IFERROR(((B859 - GOOGLEFINANCE(A859, ""priceopen"")) / GOOGLEFINANCE(A859, ""priceopen"")) * GOOGLEFINANCE(A859, ""volume""), 0)"),0.7023121387283237)</f>
        <v>0.7023121387</v>
      </c>
    </row>
    <row r="860">
      <c r="A860" s="4" t="s">
        <v>2653</v>
      </c>
      <c r="B860" s="7">
        <f>IFERROR(__xludf.DUMMYFUNCTION("GOOGLEFINANCE(A860, ""price"")"),2216.9)</f>
        <v>2216.9</v>
      </c>
      <c r="C860" s="7">
        <f>IFERROR(__xludf.DUMMYFUNCTION("GOOGLEFINANCE(A860, ""changepct"")"),-0.61)</f>
        <v>-0.61</v>
      </c>
      <c r="D860" s="9">
        <f>IFERROR(__xludf.DUMMYFUNCTION("GOOGLEFINANCE(A860, ""priceopen"")"),2260.0)</f>
        <v>2260</v>
      </c>
      <c r="E860" s="9">
        <f>IFERROR(__xludf.DUMMYFUNCTION("GOOGLEFINANCE(A860, ""high"")"),2260.0)</f>
        <v>2260</v>
      </c>
      <c r="F860" s="9">
        <f>IFERROR(__xludf.DUMMYFUNCTION("GOOGLEFINANCE(A860, ""low"")"),2203.1)</f>
        <v>2203.1</v>
      </c>
      <c r="G860" s="9">
        <f>IFERROR(__xludf.DUMMYFUNCTION("GOOGLEFINANCE(A860, ""price"")"),2216.9)</f>
        <v>2216.9</v>
      </c>
      <c r="H860" s="9">
        <f>IFERROR(__xludf.DUMMYFUNCTION("MAX(INDEX(GOOGLEFINANCE(A860, ""high"", TODAY()-30, TODAY()), 0, 2))"),2653.0)</f>
        <v>2653</v>
      </c>
      <c r="I860" s="9">
        <f>IFERROR(__xludf.DUMMYFUNCTION("MIN(INDEX(GOOGLEFINANCE(A860, ""low"", TODAY()-30, TODAY()), 0, 2))"),2188.9)</f>
        <v>2188.9</v>
      </c>
      <c r="J860" s="9">
        <f>IFERROR(__xludf.DUMMYFUNCTION("GOOGLEFINANCE(A860, ""high52"")"),2784.0)</f>
        <v>2784</v>
      </c>
      <c r="K860" s="9">
        <f>IFERROR(__xludf.DUMMYFUNCTION("GOOGLEFINANCE(A860, ""low52"")"),1780.0)</f>
        <v>1780</v>
      </c>
      <c r="L860" s="9">
        <f t="shared" si="1"/>
        <v>0.2036997126</v>
      </c>
      <c r="M860" s="9">
        <f t="shared" si="2"/>
        <v>0.2454494382</v>
      </c>
      <c r="N860" s="9">
        <f t="shared" si="3"/>
        <v>0.02582724343</v>
      </c>
      <c r="O860" s="9">
        <f t="shared" si="4"/>
        <v>0.06033182504</v>
      </c>
      <c r="P860" s="9" t="str">
        <f>IFERROR(__xludf.DUMMYFUNCTION("GOOGLEFINANCE(A860, ""pe"")"),"#N/A")</f>
        <v>#N/A</v>
      </c>
      <c r="Q860" s="9">
        <f>IFERROR(__xludf.DUMMYFUNCTION("IFERROR(GOOGLEFINANCE(A860, ""volume"") / GOOGLEFINANCE(A860, ""volumeavg""), 0)"),0.0)</f>
        <v>0</v>
      </c>
      <c r="R860" s="9">
        <f>IFERROR(__xludf.DUMMYFUNCTION("AVERAGE(INDEX(GOOGLEFINANCE(A860, ""price"", TODAY()-30, TODAY()), 0, 2))"),2368.008695652174)</f>
        <v>2368.008696</v>
      </c>
      <c r="S860" s="9">
        <f>IFERROR(__xludf.DUMMYFUNCTION("AVERAGE(INDEX(GOOGLEFINANCE(A860, ""price"", TODAY()-75, TODAY()), 0, 2))"),2302.9547169811326)</f>
        <v>2302.954717</v>
      </c>
      <c r="T860" s="9">
        <f>IFERROR(__xludf.DUMMYFUNCTION("AVERAGE(INDEX(GOOGLEFINANCE(A860, ""price"", TODAY()-300, TODAY()), 0, 2))"),2143.824752475247)</f>
        <v>2143.824752</v>
      </c>
      <c r="U860" s="9">
        <f t="shared" si="5"/>
        <v>-0.06381255944</v>
      </c>
      <c r="V860" s="15">
        <f>IFERROR(__xludf.DUMMYFUNCTION("LET(hist, GOOGLEFINANCE(A860,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rs))))))"),26.518262373027895)</f>
        <v>26.51826237</v>
      </c>
      <c r="W860" s="16" t="str">
        <f>IFERROR(__xludf.DUMMYFUNCTION("IFERROR(GOOGLEFINANCE(A860, ""volume"") / GOOGLEFINANCE(A860, ""volumeavg""), )"),"")</f>
        <v/>
      </c>
      <c r="X860" s="9">
        <f>IFERROR(__xludf.DUMMYFUNCTION("B860 * GOOGLEFINANCE(A860, ""volume"")"),7.068363960000001E7)</f>
        <v>70683639.6</v>
      </c>
      <c r="Y860" s="9">
        <f>IFERROR(__xludf.DUMMYFUNCTION("IFERROR(((B860 - GOOGLEFINANCE(A860, ""priceopen"")) / GOOGLEFINANCE(A860, ""priceopen"")) * GOOGLEFINANCE(A860, ""volume""), 0)"),-608.0532743362819)</f>
        <v>-608.0532743</v>
      </c>
    </row>
    <row r="861">
      <c r="A861" s="4" t="s">
        <v>2654</v>
      </c>
      <c r="B861" s="7">
        <f>IFERROR(__xludf.DUMMYFUNCTION("GOOGLEFINANCE(A861, ""price"")"),1867.0)</f>
        <v>1867</v>
      </c>
      <c r="C861" s="7">
        <f>IFERROR(__xludf.DUMMYFUNCTION("GOOGLEFINANCE(A861, ""changepct"")"),-2.14)</f>
        <v>-2.14</v>
      </c>
      <c r="D861" s="9">
        <f>IFERROR(__xludf.DUMMYFUNCTION("GOOGLEFINANCE(A861, ""priceopen"")"),1925.0)</f>
        <v>1925</v>
      </c>
      <c r="E861" s="9">
        <f>IFERROR(__xludf.DUMMYFUNCTION("GOOGLEFINANCE(A861, ""high"")"),1925.0)</f>
        <v>1925</v>
      </c>
      <c r="F861" s="9">
        <f>IFERROR(__xludf.DUMMYFUNCTION("GOOGLEFINANCE(A861, ""low"")"),1864.3)</f>
        <v>1864.3</v>
      </c>
      <c r="G861" s="9">
        <f>IFERROR(__xludf.DUMMYFUNCTION("GOOGLEFINANCE(A861, ""price"")"),1867.0)</f>
        <v>1867</v>
      </c>
      <c r="H861" s="9">
        <f>IFERROR(__xludf.DUMMYFUNCTION("MAX(INDEX(GOOGLEFINANCE(A861, ""high"", TODAY()-30, TODAY()), 0, 2))"),2296.4)</f>
        <v>2296.4</v>
      </c>
      <c r="I861" s="9">
        <f>IFERROR(__xludf.DUMMYFUNCTION("MIN(INDEX(GOOGLEFINANCE(A861, ""low"", TODAY()-30, TODAY()), 0, 2))"),1841.0)</f>
        <v>1841</v>
      </c>
      <c r="J861" s="9">
        <f>IFERROR(__xludf.DUMMYFUNCTION("GOOGLEFINANCE(A861, ""high52"")"),2576.0)</f>
        <v>2576</v>
      </c>
      <c r="K861" s="9">
        <f>IFERROR(__xludf.DUMMYFUNCTION("GOOGLEFINANCE(A861, ""low52"")"),1422.3)</f>
        <v>1422.3</v>
      </c>
      <c r="L861" s="9">
        <f t="shared" si="1"/>
        <v>0.2752329193</v>
      </c>
      <c r="M861" s="9">
        <f t="shared" si="2"/>
        <v>0.3126625888</v>
      </c>
      <c r="N861" s="9">
        <f t="shared" si="3"/>
        <v>0.03255913748</v>
      </c>
      <c r="O861" s="9">
        <f t="shared" si="4"/>
        <v>0.05709266579</v>
      </c>
      <c r="P861" s="9">
        <f>IFERROR(__xludf.DUMMYFUNCTION("GOOGLEFINANCE(A861, ""pe"")"),44.24)</f>
        <v>44.24</v>
      </c>
      <c r="Q861" s="9">
        <f>IFERROR(__xludf.DUMMYFUNCTION("IFERROR(GOOGLEFINANCE(A861, ""volume"") / GOOGLEFINANCE(A861, ""volumeavg""), 0)"),0.0)</f>
        <v>0</v>
      </c>
      <c r="R861" s="9">
        <f>IFERROR(__xludf.DUMMYFUNCTION("AVERAGE(INDEX(GOOGLEFINANCE(A861, ""price"", TODAY()-30, TODAY()), 0, 2))"),2098.5913043478263)</f>
        <v>2098.591304</v>
      </c>
      <c r="S861" s="9">
        <f>IFERROR(__xludf.DUMMYFUNCTION("AVERAGE(INDEX(GOOGLEFINANCE(A861, ""price"", TODAY()-75, TODAY()), 0, 2))"),2098.507547169811)</f>
        <v>2098.507547</v>
      </c>
      <c r="T861" s="9">
        <f>IFERROR(__xludf.DUMMYFUNCTION("AVERAGE(INDEX(GOOGLEFINANCE(A861, ""price"", TODAY()-300, TODAY()), 0, 2))"),2044.0123762376238)</f>
        <v>2044.012376</v>
      </c>
      <c r="U861" s="9">
        <f t="shared" si="5"/>
        <v>-0.1103556009</v>
      </c>
      <c r="V861" s="15">
        <f>IFERROR(__xludf.DUMMYFUNCTION("LET(hist, GOOGLEFINANCE(A861,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rs))))))"),31.512408303418155)</f>
        <v>31.5124083</v>
      </c>
      <c r="W861" s="16" t="str">
        <f>IFERROR(__xludf.DUMMYFUNCTION("IFERROR(GOOGLEFINANCE(A861, ""volume"") / GOOGLEFINANCE(A861, ""volumeavg""), )"),"")</f>
        <v/>
      </c>
      <c r="X861" s="9">
        <f>IFERROR(__xludf.DUMMYFUNCTION("B861 * GOOGLEFINANCE(A861, ""volume"")"),3.3109378E7)</f>
        <v>33109378</v>
      </c>
      <c r="Y861" s="9">
        <f>IFERROR(__xludf.DUMMYFUNCTION("IFERROR(((B861 - GOOGLEFINANCE(A861, ""priceopen"")) / GOOGLEFINANCE(A861, ""priceopen"")) * GOOGLEFINANCE(A861, ""volume""), 0)"),-534.3231168831169)</f>
        <v>-534.3231169</v>
      </c>
    </row>
    <row r="862">
      <c r="A862" s="4" t="s">
        <v>2655</v>
      </c>
      <c r="B862" s="7">
        <f>IFERROR(__xludf.DUMMYFUNCTION("GOOGLEFINANCE(A862, ""price"")"),590.0)</f>
        <v>590</v>
      </c>
      <c r="C862" s="7">
        <f>IFERROR(__xludf.DUMMYFUNCTION("GOOGLEFINANCE(A862, ""changepct"")"),3.33)</f>
        <v>3.33</v>
      </c>
      <c r="D862" s="9">
        <f>IFERROR(__xludf.DUMMYFUNCTION("GOOGLEFINANCE(A862, ""priceopen"")"),573.2)</f>
        <v>573.2</v>
      </c>
      <c r="E862" s="9">
        <f>IFERROR(__xludf.DUMMYFUNCTION("GOOGLEFINANCE(A862, ""high"")"),599.0)</f>
        <v>599</v>
      </c>
      <c r="F862" s="9">
        <f>IFERROR(__xludf.DUMMYFUNCTION("GOOGLEFINANCE(A862, ""low"")"),573.0)</f>
        <v>573</v>
      </c>
      <c r="G862" s="9">
        <f>IFERROR(__xludf.DUMMYFUNCTION("GOOGLEFINANCE(A862, ""price"")"),590.0)</f>
        <v>590</v>
      </c>
      <c r="H862" s="9">
        <f>IFERROR(__xludf.DUMMYFUNCTION("MAX(INDEX(GOOGLEFINANCE(A862, ""high"", TODAY()-30, TODAY()), 0, 2))"),688.8)</f>
        <v>688.8</v>
      </c>
      <c r="I862" s="9">
        <f>IFERROR(__xludf.DUMMYFUNCTION("MIN(INDEX(GOOGLEFINANCE(A862, ""low"", TODAY()-30, TODAY()), 0, 2))"),570.0)</f>
        <v>570</v>
      </c>
      <c r="J862" s="9">
        <f>IFERROR(__xludf.DUMMYFUNCTION("GOOGLEFINANCE(A862, ""high52"")"),743.9)</f>
        <v>743.9</v>
      </c>
      <c r="K862" s="9">
        <f>IFERROR(__xludf.DUMMYFUNCTION("GOOGLEFINANCE(A862, ""low52"")"),362.15)</f>
        <v>362.15</v>
      </c>
      <c r="L862" s="9">
        <f t="shared" si="1"/>
        <v>0.2068826455</v>
      </c>
      <c r="M862" s="9">
        <f t="shared" si="2"/>
        <v>0.6291591882</v>
      </c>
      <c r="N862" s="9">
        <f t="shared" si="3"/>
        <v>0.04537521815</v>
      </c>
      <c r="O862" s="9">
        <f t="shared" si="4"/>
        <v>0.1683501684</v>
      </c>
      <c r="P862" s="9">
        <f>IFERROR(__xludf.DUMMYFUNCTION("GOOGLEFINANCE(A862, ""pe"")"),19.01)</f>
        <v>19.01</v>
      </c>
      <c r="Q862" s="9">
        <f>IFERROR(__xludf.DUMMYFUNCTION("IFERROR(GOOGLEFINANCE(A862, ""volume"") / GOOGLEFINANCE(A862, ""volumeavg""), 0)"),0.0)</f>
        <v>0</v>
      </c>
      <c r="R862" s="9">
        <f>IFERROR(__xludf.DUMMYFUNCTION("AVERAGE(INDEX(GOOGLEFINANCE(A862, ""price"", TODAY()-30, TODAY()), 0, 2))"),608.0130434782608)</f>
        <v>608.0130435</v>
      </c>
      <c r="S862" s="9">
        <f>IFERROR(__xludf.DUMMYFUNCTION("AVERAGE(INDEX(GOOGLEFINANCE(A862, ""price"", TODAY()-75, TODAY()), 0, 2))"),614.0066037735849)</f>
        <v>614.0066038</v>
      </c>
      <c r="T862" s="9">
        <f>IFERROR(__xludf.DUMMYFUNCTION("AVERAGE(INDEX(GOOGLEFINANCE(A862, ""price"", TODAY()-300, TODAY()), 0, 2))"),506.3831683168321)</f>
        <v>506.3831683</v>
      </c>
      <c r="U862" s="9">
        <f t="shared" si="5"/>
        <v>-0.02962608068</v>
      </c>
      <c r="V862" s="15">
        <f>IFERROR(__xludf.DUMMYFUNCTION("LET(hist, GOOGLEFINANCE(A862,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rs))))))"),46.612665684830674)</f>
        <v>46.61266568</v>
      </c>
      <c r="W862" s="16" t="str">
        <f>IFERROR(__xludf.DUMMYFUNCTION("IFERROR(GOOGLEFINANCE(A862, ""volume"") / GOOGLEFINANCE(A862, ""volumeavg""), )"),"")</f>
        <v/>
      </c>
      <c r="X862" s="9">
        <f>IFERROR(__xludf.DUMMYFUNCTION("B862 * GOOGLEFINANCE(A862, ""volume"")"),1.3719624E8)</f>
        <v>137196240</v>
      </c>
      <c r="Y862" s="9">
        <f>IFERROR(__xludf.DUMMYFUNCTION("IFERROR(((B862 - GOOGLEFINANCE(A862, ""priceopen"")) / GOOGLEFINANCE(A862, ""priceopen"")) * GOOGLEFINANCE(A862, ""volume""), 0)"),6815.430565247713)</f>
        <v>6815.430565</v>
      </c>
    </row>
    <row r="863">
      <c r="A863" s="4" t="s">
        <v>2656</v>
      </c>
      <c r="B863" s="7">
        <f>IFERROR(__xludf.DUMMYFUNCTION("GOOGLEFINANCE(A863, ""price"")"),810.3)</f>
        <v>810.3</v>
      </c>
      <c r="C863" s="7">
        <f>IFERROR(__xludf.DUMMYFUNCTION("GOOGLEFINANCE(A863, ""changepct"")"),-4.99)</f>
        <v>-4.99</v>
      </c>
      <c r="D863" s="9">
        <f>IFERROR(__xludf.DUMMYFUNCTION("GOOGLEFINANCE(A863, ""priceopen"")"),810.3)</f>
        <v>810.3</v>
      </c>
      <c r="E863" s="9">
        <f>IFERROR(__xludf.DUMMYFUNCTION("GOOGLEFINANCE(A863, ""high"")"),824.4)</f>
        <v>824.4</v>
      </c>
      <c r="F863" s="9">
        <f>IFERROR(__xludf.DUMMYFUNCTION("GOOGLEFINANCE(A863, ""low"")"),810.3)</f>
        <v>810.3</v>
      </c>
      <c r="G863" s="9">
        <f>IFERROR(__xludf.DUMMYFUNCTION("GOOGLEFINANCE(A863, ""price"")"),810.3)</f>
        <v>810.3</v>
      </c>
      <c r="H863" s="9">
        <f>IFERROR(__xludf.DUMMYFUNCTION("MAX(INDEX(GOOGLEFINANCE(A863, ""high"", TODAY()-30, TODAY()), 0, 2))"),946.95)</f>
        <v>946.95</v>
      </c>
      <c r="I863" s="9">
        <f>IFERROR(__xludf.DUMMYFUNCTION("MIN(INDEX(GOOGLEFINANCE(A863, ""low"", TODAY()-30, TODAY()), 0, 2))"),810.3)</f>
        <v>810.3</v>
      </c>
      <c r="J863" s="9">
        <f>IFERROR(__xludf.DUMMYFUNCTION("GOOGLEFINANCE(A863, ""high52"")"),992.25)</f>
        <v>992.25</v>
      </c>
      <c r="K863" s="9">
        <f>IFERROR(__xludf.DUMMYFUNCTION("GOOGLEFINANCE(A863, ""low52"")"),366.0)</f>
        <v>366</v>
      </c>
      <c r="L863" s="9">
        <f t="shared" si="1"/>
        <v>0.1833711262</v>
      </c>
      <c r="M863" s="9">
        <f t="shared" si="2"/>
        <v>1.213934426</v>
      </c>
      <c r="N863" s="9">
        <f t="shared" si="3"/>
        <v>0.01740096261</v>
      </c>
      <c r="O863" s="9">
        <f t="shared" si="4"/>
        <v>0</v>
      </c>
      <c r="P863" s="9" t="str">
        <f>IFERROR(__xludf.DUMMYFUNCTION("GOOGLEFINANCE(A863, ""pe"")"),"#N/A")</f>
        <v>#N/A</v>
      </c>
      <c r="Q863" s="9">
        <f>IFERROR(__xludf.DUMMYFUNCTION("IFERROR(GOOGLEFINANCE(A863, ""volume"") / GOOGLEFINANCE(A863, ""volumeavg""), 0)"),0.0)</f>
        <v>0</v>
      </c>
      <c r="R863" s="9">
        <f>IFERROR(__xludf.DUMMYFUNCTION("AVERAGE(INDEX(GOOGLEFINANCE(A863, ""price"", TODAY()-30, TODAY()), 0, 2))"),869.5456521739131)</f>
        <v>869.5456522</v>
      </c>
      <c r="S863" s="9">
        <f>IFERROR(__xludf.DUMMYFUNCTION("AVERAGE(INDEX(GOOGLEFINANCE(A863, ""price"", TODAY()-75, TODAY()), 0, 2))"),870.8122641509436)</f>
        <v>870.8122642</v>
      </c>
      <c r="T863" s="9">
        <f>IFERROR(__xludf.DUMMYFUNCTION("AVERAGE(INDEX(GOOGLEFINANCE(A863, ""price"", TODAY()-300, TODAY()), 0, 2))"),591.8554455445543)</f>
        <v>591.8554455</v>
      </c>
      <c r="U863" s="9">
        <f t="shared" si="5"/>
        <v>-0.06813403302</v>
      </c>
      <c r="V863" s="15">
        <f>IFERROR(__xludf.DUMMYFUNCTION("LET(hist, GOOGLEFINANCE(A863,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rs))))))"),39.222764918241666)</f>
        <v>39.22276492</v>
      </c>
      <c r="W863" s="16" t="str">
        <f>IFERROR(__xludf.DUMMYFUNCTION("IFERROR(GOOGLEFINANCE(A863, ""volume"") / GOOGLEFINANCE(A863, ""volumeavg""), )"),"")</f>
        <v/>
      </c>
      <c r="X863" s="9">
        <f>IFERROR(__xludf.DUMMYFUNCTION("B863 * GOOGLEFINANCE(A863, ""volume"")"),7.929069105E8)</f>
        <v>792906910.5</v>
      </c>
      <c r="Y863" s="9">
        <f>IFERROR(__xludf.DUMMYFUNCTION("IFERROR(((B863 - GOOGLEFINANCE(A863, ""priceopen"")) / GOOGLEFINANCE(A863, ""priceopen"")) * GOOGLEFINANCE(A863, ""volume""), 0)"),0.0)</f>
        <v>0</v>
      </c>
    </row>
    <row r="864">
      <c r="A864" s="4" t="s">
        <v>2657</v>
      </c>
      <c r="B864" s="7">
        <f>IFERROR(__xludf.DUMMYFUNCTION("GOOGLEFINANCE(A864, ""price"")"),199.4)</f>
        <v>199.4</v>
      </c>
      <c r="C864" s="7">
        <f>IFERROR(__xludf.DUMMYFUNCTION("GOOGLEFINANCE(A864, ""changepct"")"),2.66)</f>
        <v>2.66</v>
      </c>
      <c r="D864" s="9">
        <f>IFERROR(__xludf.DUMMYFUNCTION("GOOGLEFINANCE(A864, ""priceopen"")"),195.5)</f>
        <v>195.5</v>
      </c>
      <c r="E864" s="9">
        <f>IFERROR(__xludf.DUMMYFUNCTION("GOOGLEFINANCE(A864, ""high"")"),203.0)</f>
        <v>203</v>
      </c>
      <c r="F864" s="9">
        <f>IFERROR(__xludf.DUMMYFUNCTION("GOOGLEFINANCE(A864, ""low"")"),195.5)</f>
        <v>195.5</v>
      </c>
      <c r="G864" s="9">
        <f>IFERROR(__xludf.DUMMYFUNCTION("GOOGLEFINANCE(A864, ""price"")"),199.4)</f>
        <v>199.4</v>
      </c>
      <c r="H864" s="9">
        <f>IFERROR(__xludf.DUMMYFUNCTION("MAX(INDEX(GOOGLEFINANCE(A864, ""high"", TODAY()-30, TODAY()), 0, 2))"),219.01)</f>
        <v>219.01</v>
      </c>
      <c r="I864" s="9">
        <f>IFERROR(__xludf.DUMMYFUNCTION("MIN(INDEX(GOOGLEFINANCE(A864, ""low"", TODAY()-30, TODAY()), 0, 2))"),190.8)</f>
        <v>190.8</v>
      </c>
      <c r="J864" s="9">
        <f>IFERROR(__xludf.DUMMYFUNCTION("GOOGLEFINANCE(A864, ""high52"")"),312.5)</f>
        <v>312.5</v>
      </c>
      <c r="K864" s="9">
        <f>IFERROR(__xludf.DUMMYFUNCTION("GOOGLEFINANCE(A864, ""low52"")"),188.5)</f>
        <v>188.5</v>
      </c>
      <c r="L864" s="9">
        <f t="shared" si="1"/>
        <v>0.36192</v>
      </c>
      <c r="M864" s="9">
        <f t="shared" si="2"/>
        <v>0.05782493369</v>
      </c>
      <c r="N864" s="9">
        <f t="shared" si="3"/>
        <v>0.03836317136</v>
      </c>
      <c r="O864" s="9">
        <f t="shared" si="4"/>
        <v>0.3048564339</v>
      </c>
      <c r="P864" s="9">
        <f>IFERROR(__xludf.DUMMYFUNCTION("GOOGLEFINANCE(A864, ""pe"")"),31.33)</f>
        <v>31.33</v>
      </c>
      <c r="Q864" s="9">
        <f>IFERROR(__xludf.DUMMYFUNCTION("IFERROR(GOOGLEFINANCE(A864, ""volume"") / GOOGLEFINANCE(A864, ""volumeavg""), 0)"),0.0)</f>
        <v>0</v>
      </c>
      <c r="R864" s="9">
        <f>IFERROR(__xludf.DUMMYFUNCTION("AVERAGE(INDEX(GOOGLEFINANCE(A864, ""price"", TODAY()-30, TODAY()), 0, 2))"),196.2252173913043)</f>
        <v>196.2252174</v>
      </c>
      <c r="S864" s="9">
        <f>IFERROR(__xludf.DUMMYFUNCTION("AVERAGE(INDEX(GOOGLEFINANCE(A864, ""price"", TODAY()-75, TODAY()), 0, 2))"),197.04094339622634)</f>
        <v>197.0409434</v>
      </c>
      <c r="T864" s="9">
        <f>IFERROR(__xludf.DUMMYFUNCTION("AVERAGE(INDEX(GOOGLEFINANCE(A864, ""price"", TODAY()-300, TODAY()), 0, 2))"),221.97164179104476)</f>
        <v>221.9716418</v>
      </c>
      <c r="U864" s="9">
        <f t="shared" si="5"/>
        <v>0.01617927936</v>
      </c>
      <c r="V864" s="15">
        <f>IFERROR(__xludf.DUMMYFUNCTION("LET(hist, GOOGLEFINANCE(A864,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rs))))))"),56.271379703534734)</f>
        <v>56.2713797</v>
      </c>
      <c r="W864" s="16" t="str">
        <f>IFERROR(__xludf.DUMMYFUNCTION("IFERROR(GOOGLEFINANCE(A864, ""volume"") / GOOGLEFINANCE(A864, ""volumeavg""), )"),"")</f>
        <v/>
      </c>
      <c r="X864" s="9">
        <f>IFERROR(__xludf.DUMMYFUNCTION("B864 * GOOGLEFINANCE(A864, ""volume"")"),6.97323734E7)</f>
        <v>69732373.4</v>
      </c>
      <c r="Y864" s="9">
        <f>IFERROR(__xludf.DUMMYFUNCTION("IFERROR(((B864 - GOOGLEFINANCE(A864, ""priceopen"")) / GOOGLEFINANCE(A864, ""priceopen"")) * GOOGLEFINANCE(A864, ""volume""), 0)"),6976.331969309474)</f>
        <v>6976.331969</v>
      </c>
    </row>
    <row r="865">
      <c r="A865" s="4" t="s">
        <v>2658</v>
      </c>
      <c r="B865" s="7">
        <f>IFERROR(__xludf.DUMMYFUNCTION("GOOGLEFINANCE(A865, ""price"")"),30.14)</f>
        <v>30.14</v>
      </c>
      <c r="C865" s="7">
        <f>IFERROR(__xludf.DUMMYFUNCTION("GOOGLEFINANCE(A865, ""changepct"")"),-1.76)</f>
        <v>-1.76</v>
      </c>
      <c r="D865" s="9">
        <f>IFERROR(__xludf.DUMMYFUNCTION("GOOGLEFINANCE(A865, ""priceopen"")"),30.68)</f>
        <v>30.68</v>
      </c>
      <c r="E865" s="9">
        <f>IFERROR(__xludf.DUMMYFUNCTION("GOOGLEFINANCE(A865, ""high"")"),31.02)</f>
        <v>31.02</v>
      </c>
      <c r="F865" s="9">
        <f>IFERROR(__xludf.DUMMYFUNCTION("GOOGLEFINANCE(A865, ""low"")"),30.02)</f>
        <v>30.02</v>
      </c>
      <c r="G865" s="9">
        <f>IFERROR(__xludf.DUMMYFUNCTION("GOOGLEFINANCE(A865, ""price"")"),30.14)</f>
        <v>30.14</v>
      </c>
      <c r="H865" s="9">
        <f>IFERROR(__xludf.DUMMYFUNCTION("MAX(INDEX(GOOGLEFINANCE(A865, ""high"", TODAY()-30, TODAY()), 0, 2))"),33.98)</f>
        <v>33.98</v>
      </c>
      <c r="I865" s="9">
        <f>IFERROR(__xludf.DUMMYFUNCTION("MIN(INDEX(GOOGLEFINANCE(A865, ""low"", TODAY()-30, TODAY()), 0, 2))"),30.02)</f>
        <v>30.02</v>
      </c>
      <c r="J865" s="9">
        <f>IFERROR(__xludf.DUMMYFUNCTION("GOOGLEFINANCE(A865, ""high52"")"),64.0)</f>
        <v>64</v>
      </c>
      <c r="K865" s="9">
        <f>IFERROR(__xludf.DUMMYFUNCTION("GOOGLEFINANCE(A865, ""low52"")"),24.4)</f>
        <v>24.4</v>
      </c>
      <c r="L865" s="9">
        <f t="shared" si="1"/>
        <v>0.5290625</v>
      </c>
      <c r="M865" s="9">
        <f t="shared" si="2"/>
        <v>0.2352459016</v>
      </c>
      <c r="N865" s="9">
        <f t="shared" si="3"/>
        <v>0.03331112592</v>
      </c>
      <c r="O865" s="9">
        <f t="shared" si="4"/>
        <v>0.0303030303</v>
      </c>
      <c r="P865" s="9" t="str">
        <f>IFERROR(__xludf.DUMMYFUNCTION("GOOGLEFINANCE(A865, ""pe"")"),"#N/A")</f>
        <v>#N/A</v>
      </c>
      <c r="Q865" s="9">
        <f>IFERROR(__xludf.DUMMYFUNCTION("IFERROR(GOOGLEFINANCE(A865, ""volume"") / GOOGLEFINANCE(A865, ""volumeavg""), 0)"),0.0)</f>
        <v>0</v>
      </c>
      <c r="R865" s="9">
        <f>IFERROR(__xludf.DUMMYFUNCTION("AVERAGE(INDEX(GOOGLEFINANCE(A865, ""price"", TODAY()-30, TODAY()), 0, 2))"),31.887391304347815)</f>
        <v>31.8873913</v>
      </c>
      <c r="S865" s="9">
        <f>IFERROR(__xludf.DUMMYFUNCTION("AVERAGE(INDEX(GOOGLEFINANCE(A865, ""price"", TODAY()-75, TODAY()), 0, 2))"),33.54811320754715)</f>
        <v>33.54811321</v>
      </c>
      <c r="T865" s="9">
        <f>IFERROR(__xludf.DUMMYFUNCTION("AVERAGE(INDEX(GOOGLEFINANCE(A865, ""price"", TODAY()-300, TODAY()), 0, 2))"),36.58905940594059)</f>
        <v>36.58905941</v>
      </c>
      <c r="U865" s="9">
        <f t="shared" si="5"/>
        <v>-0.05479881649</v>
      </c>
      <c r="V865" s="15">
        <f>IFERROR(__xludf.DUMMYFUNCTION("LET(hist, GOOGLEFINANCE(A865,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rs))))))"),41.05113636363636)</f>
        <v>41.05113636</v>
      </c>
      <c r="W865" s="16" t="str">
        <f>IFERROR(__xludf.DUMMYFUNCTION("IFERROR(GOOGLEFINANCE(A865, ""volume"") / GOOGLEFINANCE(A865, ""volumeavg""), )"),"")</f>
        <v/>
      </c>
      <c r="X865" s="9">
        <f>IFERROR(__xludf.DUMMYFUNCTION("B865 * GOOGLEFINANCE(A865, ""volume"")"),7.96221943E7)</f>
        <v>79622194.3</v>
      </c>
      <c r="Y865" s="9">
        <f>IFERROR(__xludf.DUMMYFUNCTION("IFERROR(((B865 - GOOGLEFINANCE(A865, ""priceopen"")) / GOOGLEFINANCE(A865, ""priceopen"")) * GOOGLEFINANCE(A865, ""volume""), 0)"),-46497.46740547581)</f>
        <v>-46497.46741</v>
      </c>
    </row>
    <row r="866">
      <c r="A866" s="4" t="s">
        <v>2659</v>
      </c>
      <c r="B866" s="7">
        <f>IFERROR(__xludf.DUMMYFUNCTION("GOOGLEFINANCE(A866, ""price"")"),719.0)</f>
        <v>719</v>
      </c>
      <c r="C866" s="7">
        <f>IFERROR(__xludf.DUMMYFUNCTION("GOOGLEFINANCE(A866, ""changepct"")"),-0.94)</f>
        <v>-0.94</v>
      </c>
      <c r="D866" s="9">
        <f>IFERROR(__xludf.DUMMYFUNCTION("GOOGLEFINANCE(A866, ""priceopen"")"),729.0)</f>
        <v>729</v>
      </c>
      <c r="E866" s="9">
        <f>IFERROR(__xludf.DUMMYFUNCTION("GOOGLEFINANCE(A866, ""high"")"),729.6)</f>
        <v>729.6</v>
      </c>
      <c r="F866" s="9">
        <f>IFERROR(__xludf.DUMMYFUNCTION("GOOGLEFINANCE(A866, ""low"")"),712.8)</f>
        <v>712.8</v>
      </c>
      <c r="G866" s="9">
        <f>IFERROR(__xludf.DUMMYFUNCTION("GOOGLEFINANCE(A866, ""price"")"),719.0)</f>
        <v>719</v>
      </c>
      <c r="H866" s="9">
        <f>IFERROR(__xludf.DUMMYFUNCTION("MAX(INDEX(GOOGLEFINANCE(A866, ""high"", TODAY()-30, TODAY()), 0, 2))"),769.0)</f>
        <v>769</v>
      </c>
      <c r="I866" s="9">
        <f>IFERROR(__xludf.DUMMYFUNCTION("MIN(INDEX(GOOGLEFINANCE(A866, ""low"", TODAY()-30, TODAY()), 0, 2))"),677.0)</f>
        <v>677</v>
      </c>
      <c r="J866" s="9">
        <f>IFERROR(__xludf.DUMMYFUNCTION("GOOGLEFINANCE(A866, ""high52"")"),1350.0)</f>
        <v>1350</v>
      </c>
      <c r="K866" s="9">
        <f>IFERROR(__xludf.DUMMYFUNCTION("GOOGLEFINANCE(A866, ""low52"")"),677.0)</f>
        <v>677</v>
      </c>
      <c r="L866" s="9">
        <f t="shared" si="1"/>
        <v>0.4674074074</v>
      </c>
      <c r="M866" s="9">
        <f t="shared" si="2"/>
        <v>0.06203840473</v>
      </c>
      <c r="N866" s="9">
        <f t="shared" si="3"/>
        <v>0.02356902357</v>
      </c>
      <c r="O866" s="9">
        <f t="shared" si="4"/>
        <v>0.4565217391</v>
      </c>
      <c r="P866" s="9">
        <f>IFERROR(__xludf.DUMMYFUNCTION("GOOGLEFINANCE(A866, ""pe"")"),100.99)</f>
        <v>100.99</v>
      </c>
      <c r="Q866" s="9">
        <f>IFERROR(__xludf.DUMMYFUNCTION("IFERROR(GOOGLEFINANCE(A866, ""volume"") / GOOGLEFINANCE(A866, ""volumeavg""), 0)"),0.0)</f>
        <v>0</v>
      </c>
      <c r="R866" s="9">
        <f>IFERROR(__xludf.DUMMYFUNCTION("AVERAGE(INDEX(GOOGLEFINANCE(A866, ""price"", TODAY()-30, TODAY()), 0, 2))"),725.5391304347824)</f>
        <v>725.5391304</v>
      </c>
      <c r="S866" s="9">
        <f>IFERROR(__xludf.DUMMYFUNCTION("AVERAGE(INDEX(GOOGLEFINANCE(A866, ""price"", TODAY()-75, TODAY()), 0, 2))"),753.1971698113208)</f>
        <v>753.1971698</v>
      </c>
      <c r="T866" s="9">
        <f>IFERROR(__xludf.DUMMYFUNCTION("AVERAGE(INDEX(GOOGLEFINANCE(A866, ""price"", TODAY()-300, TODAY()), 0, 2))"),898.2012376237615)</f>
        <v>898.2012376</v>
      </c>
      <c r="U866" s="9">
        <f t="shared" si="5"/>
        <v>-0.009012788092</v>
      </c>
      <c r="V866" s="15">
        <f>IFERROR(__xludf.DUMMYFUNCTION("LET(hist, GOOGLEFINANCE(A866,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rs))))))"),50.18181818181818)</f>
        <v>50.18181818</v>
      </c>
      <c r="W866" s="16" t="str">
        <f>IFERROR(__xludf.DUMMYFUNCTION("IFERROR(GOOGLEFINANCE(A866, ""volume"") / GOOGLEFINANCE(A866, ""volumeavg""), )"),"")</f>
        <v/>
      </c>
      <c r="X866" s="9">
        <f>IFERROR(__xludf.DUMMYFUNCTION("B866 * GOOGLEFINANCE(A866, ""volume"")"),8.1619442E7)</f>
        <v>81619442</v>
      </c>
      <c r="Y866" s="9">
        <f>IFERROR(__xludf.DUMMYFUNCTION("IFERROR(((B866 - GOOGLEFINANCE(A866, ""priceopen"")) / GOOGLEFINANCE(A866, ""priceopen"")) * GOOGLEFINANCE(A866, ""volume""), 0)"),-1557.1742112482852)</f>
        <v>-1557.174211</v>
      </c>
    </row>
    <row r="867">
      <c r="A867" s="4" t="s">
        <v>2660</v>
      </c>
      <c r="B867" s="7">
        <f>IFERROR(__xludf.DUMMYFUNCTION("GOOGLEFINANCE(A867, ""price"")"),1120.0)</f>
        <v>1120</v>
      </c>
      <c r="C867" s="7">
        <f>IFERROR(__xludf.DUMMYFUNCTION("GOOGLEFINANCE(A867, ""changepct"")"),-4.61)</f>
        <v>-4.61</v>
      </c>
      <c r="D867" s="9">
        <f>IFERROR(__xludf.DUMMYFUNCTION("GOOGLEFINANCE(A867, ""priceopen"")"),1180.0)</f>
        <v>1180</v>
      </c>
      <c r="E867" s="9">
        <f>IFERROR(__xludf.DUMMYFUNCTION("GOOGLEFINANCE(A867, ""high"")"),1215.9)</f>
        <v>1215.9</v>
      </c>
      <c r="F867" s="9">
        <f>IFERROR(__xludf.DUMMYFUNCTION("GOOGLEFINANCE(A867, ""low"")"),1094.3)</f>
        <v>1094.3</v>
      </c>
      <c r="G867" s="9">
        <f>IFERROR(__xludf.DUMMYFUNCTION("GOOGLEFINANCE(A867, ""price"")"),1120.0)</f>
        <v>1120</v>
      </c>
      <c r="H867" s="9">
        <f>IFERROR(__xludf.DUMMYFUNCTION("MAX(INDEX(GOOGLEFINANCE(A867, ""high"", TODAY()-30, TODAY()), 0, 2))"),1352.9)</f>
        <v>1352.9</v>
      </c>
      <c r="I867" s="9">
        <f>IFERROR(__xludf.DUMMYFUNCTION("MIN(INDEX(GOOGLEFINANCE(A867, ""low"", TODAY()-30, TODAY()), 0, 2))"),1094.3)</f>
        <v>1094.3</v>
      </c>
      <c r="J867" s="9">
        <f>IFERROR(__xludf.DUMMYFUNCTION("GOOGLEFINANCE(A867, ""high52"")"),1859.9)</f>
        <v>1859.9</v>
      </c>
      <c r="K867" s="9">
        <f>IFERROR(__xludf.DUMMYFUNCTION("GOOGLEFINANCE(A867, ""low52"")"),1048.5)</f>
        <v>1048.5</v>
      </c>
      <c r="L867" s="9">
        <f t="shared" si="1"/>
        <v>0.3978170869</v>
      </c>
      <c r="M867" s="9">
        <f t="shared" si="2"/>
        <v>0.06819265618</v>
      </c>
      <c r="N867" s="9">
        <f t="shared" si="3"/>
        <v>0.1111212647</v>
      </c>
      <c r="O867" s="9">
        <f t="shared" si="4"/>
        <v>0.09938128384</v>
      </c>
      <c r="P867" s="9">
        <f>IFERROR(__xludf.DUMMYFUNCTION("GOOGLEFINANCE(A867, ""pe"")"),38.03)</f>
        <v>38.03</v>
      </c>
      <c r="Q867" s="9">
        <f>IFERROR(__xludf.DUMMYFUNCTION("IFERROR(GOOGLEFINANCE(A867, ""volume"") / GOOGLEFINANCE(A867, ""volumeavg""), 0)"),0.0)</f>
        <v>0</v>
      </c>
      <c r="R867" s="9">
        <f>IFERROR(__xludf.DUMMYFUNCTION("AVERAGE(INDEX(GOOGLEFINANCE(A867, ""price"", TODAY()-30, TODAY()), 0, 2))"),1232.6521739130435)</f>
        <v>1232.652174</v>
      </c>
      <c r="S867" s="9">
        <f>IFERROR(__xludf.DUMMYFUNCTION("AVERAGE(INDEX(GOOGLEFINANCE(A867, ""price"", TODAY()-75, TODAY()), 0, 2))"),1257.5471698113208)</f>
        <v>1257.54717</v>
      </c>
      <c r="T867" s="9">
        <f>IFERROR(__xludf.DUMMYFUNCTION("AVERAGE(INDEX(GOOGLEFINANCE(A867, ""price"", TODAY()-300, TODAY()), 0, 2))"),1317.9426395939088)</f>
        <v>1317.94264</v>
      </c>
      <c r="U867" s="9">
        <f t="shared" si="5"/>
        <v>-0.09139007442</v>
      </c>
      <c r="V867" s="15">
        <f>IFERROR(__xludf.DUMMYFUNCTION("LET(hist, GOOGLEFINANCE(A867,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rs))))))"),16.404981050351907)</f>
        <v>16.40498105</v>
      </c>
      <c r="W867" s="16" t="str">
        <f>IFERROR(__xludf.DUMMYFUNCTION("IFERROR(GOOGLEFINANCE(A867, ""volume"") / GOOGLEFINANCE(A867, ""volumeavg""), )"),"")</f>
        <v/>
      </c>
      <c r="X867" s="9">
        <f>IFERROR(__xludf.DUMMYFUNCTION("B867 * GOOGLEFINANCE(A867, ""volume"")"),1.0281376E8)</f>
        <v>102813760</v>
      </c>
      <c r="Y867" s="9">
        <f>IFERROR(__xludf.DUMMYFUNCTION("IFERROR(((B867 - GOOGLEFINANCE(A867, ""priceopen"")) / GOOGLEFINANCE(A867, ""priceopen"")) * GOOGLEFINANCE(A867, ""volume""), 0)"),-4667.6949152542375)</f>
        <v>-4667.694915</v>
      </c>
    </row>
    <row r="868">
      <c r="A868" s="4" t="s">
        <v>2661</v>
      </c>
      <c r="B868" s="7">
        <f>IFERROR(__xludf.DUMMYFUNCTION("GOOGLEFINANCE(A868, ""price"")"),1027.05)</f>
        <v>1027.05</v>
      </c>
      <c r="C868" s="7">
        <f>IFERROR(__xludf.DUMMYFUNCTION("GOOGLEFINANCE(A868, ""changepct"")"),-1.17)</f>
        <v>-1.17</v>
      </c>
      <c r="D868" s="9">
        <f>IFERROR(__xludf.DUMMYFUNCTION("GOOGLEFINANCE(A868, ""priceopen"")"),1060.0)</f>
        <v>1060</v>
      </c>
      <c r="E868" s="9">
        <f>IFERROR(__xludf.DUMMYFUNCTION("GOOGLEFINANCE(A868, ""high"")"),1060.0)</f>
        <v>1060</v>
      </c>
      <c r="F868" s="9">
        <f>IFERROR(__xludf.DUMMYFUNCTION("GOOGLEFINANCE(A868, ""low"")"),1017.0)</f>
        <v>1017</v>
      </c>
      <c r="G868" s="9">
        <f>IFERROR(__xludf.DUMMYFUNCTION("GOOGLEFINANCE(A868, ""price"")"),1027.05)</f>
        <v>1027.05</v>
      </c>
      <c r="H868" s="9">
        <f>IFERROR(__xludf.DUMMYFUNCTION("MAX(INDEX(GOOGLEFINANCE(A868, ""high"", TODAY()-30, TODAY()), 0, 2))"),1105.05)</f>
        <v>1105.05</v>
      </c>
      <c r="I868" s="9">
        <f>IFERROR(__xludf.DUMMYFUNCTION("MIN(INDEX(GOOGLEFINANCE(A868, ""low"", TODAY()-30, TODAY()), 0, 2))"),710.55)</f>
        <v>710.55</v>
      </c>
      <c r="J868" s="9">
        <f>IFERROR(__xludf.DUMMYFUNCTION("GOOGLEFINANCE(A868, ""high52"")"),1105.05)</f>
        <v>1105.05</v>
      </c>
      <c r="K868" s="9">
        <f>IFERROR(__xludf.DUMMYFUNCTION("GOOGLEFINANCE(A868, ""low52"")"),368.6)</f>
        <v>368.6</v>
      </c>
      <c r="L868" s="9">
        <f t="shared" si="1"/>
        <v>0.0705850414</v>
      </c>
      <c r="M868" s="9">
        <f t="shared" si="2"/>
        <v>1.786353771</v>
      </c>
      <c r="N868" s="9">
        <f t="shared" si="3"/>
        <v>0.04228121927</v>
      </c>
      <c r="O868" s="9">
        <f t="shared" si="4"/>
        <v>0.8022813688</v>
      </c>
      <c r="P868" s="9">
        <f>IFERROR(__xludf.DUMMYFUNCTION("GOOGLEFINANCE(A868, ""pe"")"),55.76)</f>
        <v>55.76</v>
      </c>
      <c r="Q868" s="9">
        <f>IFERROR(__xludf.DUMMYFUNCTION("IFERROR(GOOGLEFINANCE(A868, ""volume"") / GOOGLEFINANCE(A868, ""volumeavg""), 0)"),0.0)</f>
        <v>0</v>
      </c>
      <c r="R868" s="9">
        <f>IFERROR(__xludf.DUMMYFUNCTION("AVERAGE(INDEX(GOOGLEFINANCE(A868, ""price"", TODAY()-30, TODAY()), 0, 2))"),794.3478260869567)</f>
        <v>794.3478261</v>
      </c>
      <c r="S868" s="9">
        <f>IFERROR(__xludf.DUMMYFUNCTION("AVERAGE(INDEX(GOOGLEFINANCE(A868, ""price"", TODAY()-75, TODAY()), 0, 2))"),761.1311320754717)</f>
        <v>761.1311321</v>
      </c>
      <c r="T868" s="9">
        <f>IFERROR(__xludf.DUMMYFUNCTION("AVERAGE(INDEX(GOOGLEFINANCE(A868, ""price"", TODAY()-300, TODAY()), 0, 2))"),554.6730198019802)</f>
        <v>554.6730198</v>
      </c>
      <c r="U868" s="9">
        <f t="shared" si="5"/>
        <v>0.2929474548</v>
      </c>
      <c r="V868" s="15">
        <f>IFERROR(__xludf.DUMMYFUNCTION("LET(hist, GOOGLEFINANCE(A868,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rs))))))"),76.82950755346285)</f>
        <v>76.82950755</v>
      </c>
      <c r="W868" s="16" t="str">
        <f>IFERROR(__xludf.DUMMYFUNCTION("IFERROR(GOOGLEFINANCE(A868, ""volume"") / GOOGLEFINANCE(A868, ""volumeavg""), )"),"")</f>
        <v/>
      </c>
      <c r="X868" s="9">
        <f>IFERROR(__xludf.DUMMYFUNCTION("B868 * GOOGLEFINANCE(A868, ""volume"")"),4.82425926E8)</f>
        <v>482425926</v>
      </c>
      <c r="Y868" s="9">
        <f>IFERROR(__xludf.DUMMYFUNCTION("IFERROR(((B868 - GOOGLEFINANCE(A868, ""priceopen"")) / GOOGLEFINANCE(A868, ""priceopen"")) * GOOGLEFINANCE(A868, ""volume""), 0)"),-14601.201886792473)</f>
        <v>-14601.20189</v>
      </c>
    </row>
    <row r="869">
      <c r="A869" s="4" t="s">
        <v>2662</v>
      </c>
      <c r="B869" s="7">
        <f>IFERROR(__xludf.DUMMYFUNCTION("GOOGLEFINANCE(A869, ""price"")"),158.55)</f>
        <v>158.55</v>
      </c>
      <c r="C869" s="7">
        <f>IFERROR(__xludf.DUMMYFUNCTION("GOOGLEFINANCE(A869, ""changepct"")"),-1.07)</f>
        <v>-1.07</v>
      </c>
      <c r="D869" s="9">
        <f>IFERROR(__xludf.DUMMYFUNCTION("GOOGLEFINANCE(A869, ""priceopen"")"),160.24)</f>
        <v>160.24</v>
      </c>
      <c r="E869" s="9">
        <f>IFERROR(__xludf.DUMMYFUNCTION("GOOGLEFINANCE(A869, ""high"")"),161.24)</f>
        <v>161.24</v>
      </c>
      <c r="F869" s="9">
        <f>IFERROR(__xludf.DUMMYFUNCTION("GOOGLEFINANCE(A869, ""low"")"),157.28)</f>
        <v>157.28</v>
      </c>
      <c r="G869" s="9">
        <f>IFERROR(__xludf.DUMMYFUNCTION("GOOGLEFINANCE(A869, ""price"")"),158.55)</f>
        <v>158.55</v>
      </c>
      <c r="H869" s="9">
        <f>IFERROR(__xludf.DUMMYFUNCTION("MAX(INDEX(GOOGLEFINANCE(A869, ""high"", TODAY()-30, TODAY()), 0, 2))"),197.77)</f>
        <v>197.77</v>
      </c>
      <c r="I869" s="9">
        <f>IFERROR(__xludf.DUMMYFUNCTION("MIN(INDEX(GOOGLEFINANCE(A869, ""low"", TODAY()-30, TODAY()), 0, 2))"),157.28)</f>
        <v>157.28</v>
      </c>
      <c r="J869" s="9">
        <f>IFERROR(__xludf.DUMMYFUNCTION("GOOGLEFINANCE(A869, ""high52"")"),215.0)</f>
        <v>215</v>
      </c>
      <c r="K869" s="9">
        <f>IFERROR(__xludf.DUMMYFUNCTION("GOOGLEFINANCE(A869, ""low52"")"),117.05)</f>
        <v>117.05</v>
      </c>
      <c r="L869" s="9">
        <f t="shared" si="1"/>
        <v>0.2625581395</v>
      </c>
      <c r="M869" s="9">
        <f t="shared" si="2"/>
        <v>0.3545493379</v>
      </c>
      <c r="N869" s="9">
        <f t="shared" si="3"/>
        <v>0.02517802645</v>
      </c>
      <c r="O869" s="9">
        <f t="shared" si="4"/>
        <v>0.03136576933</v>
      </c>
      <c r="P869" s="9">
        <f>IFERROR(__xludf.DUMMYFUNCTION("GOOGLEFINANCE(A869, ""pe"")"),253.83)</f>
        <v>253.83</v>
      </c>
      <c r="Q869" s="9">
        <f>IFERROR(__xludf.DUMMYFUNCTION("IFERROR(GOOGLEFINANCE(A869, ""volume"") / GOOGLEFINANCE(A869, ""volumeavg""), 0)"),0.0)</f>
        <v>0</v>
      </c>
      <c r="R869" s="9">
        <f>IFERROR(__xludf.DUMMYFUNCTION("AVERAGE(INDEX(GOOGLEFINANCE(A869, ""price"", TODAY()-30, TODAY()), 0, 2))"),166.50173913043477)</f>
        <v>166.5017391</v>
      </c>
      <c r="S869" s="9">
        <f>IFERROR(__xludf.DUMMYFUNCTION("AVERAGE(INDEX(GOOGLEFINANCE(A869, ""price"", TODAY()-75, TODAY()), 0, 2))"),170.64528301886799)</f>
        <v>170.645283</v>
      </c>
      <c r="T869" s="9">
        <f>IFERROR(__xludf.DUMMYFUNCTION("AVERAGE(INDEX(GOOGLEFINANCE(A869, ""price"", TODAY()-300, TODAY()), 0, 2))"),157.4636633663366)</f>
        <v>157.4636634</v>
      </c>
      <c r="U869" s="9">
        <f t="shared" si="5"/>
        <v>-0.04775769414</v>
      </c>
      <c r="V869" s="15">
        <f>IFERROR(__xludf.DUMMYFUNCTION("LET(hist, GOOGLEFINANCE(A869,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rs))))))"),36.25550660792952)</f>
        <v>36.25550661</v>
      </c>
      <c r="W869" s="16" t="str">
        <f>IFERROR(__xludf.DUMMYFUNCTION("IFERROR(GOOGLEFINANCE(A869, ""volume"") / GOOGLEFINANCE(A869, ""volumeavg""), )"),"")</f>
        <v/>
      </c>
      <c r="X869" s="9">
        <f>IFERROR(__xludf.DUMMYFUNCTION("B869 * GOOGLEFINANCE(A869, ""volume"")"),9.791604060000001E7)</f>
        <v>97916040.6</v>
      </c>
      <c r="Y869" s="9">
        <f>IFERROR(__xludf.DUMMYFUNCTION("IFERROR(((B869 - GOOGLEFINANCE(A869, ""priceopen"")) / GOOGLEFINANCE(A869, ""priceopen"")) * GOOGLEFINANCE(A869, ""volume""), 0)"),-6513.33424862705)</f>
        <v>-6513.334249</v>
      </c>
    </row>
    <row r="870">
      <c r="A870" s="4" t="s">
        <v>2663</v>
      </c>
      <c r="B870" s="7">
        <f>IFERROR(__xludf.DUMMYFUNCTION("GOOGLEFINANCE(A870, ""price"")"),158.52)</f>
        <v>158.52</v>
      </c>
      <c r="C870" s="7">
        <f>IFERROR(__xludf.DUMMYFUNCTION("GOOGLEFINANCE(A870, ""changepct"")"),-3.42)</f>
        <v>-3.42</v>
      </c>
      <c r="D870" s="9">
        <f>IFERROR(__xludf.DUMMYFUNCTION("GOOGLEFINANCE(A870, ""priceopen"")"),163.99)</f>
        <v>163.99</v>
      </c>
      <c r="E870" s="9">
        <f>IFERROR(__xludf.DUMMYFUNCTION("GOOGLEFINANCE(A870, ""high"")"),164.14)</f>
        <v>164.14</v>
      </c>
      <c r="F870" s="9">
        <f>IFERROR(__xludf.DUMMYFUNCTION("GOOGLEFINANCE(A870, ""low"")"),157.27)</f>
        <v>157.27</v>
      </c>
      <c r="G870" s="9">
        <f>IFERROR(__xludf.DUMMYFUNCTION("GOOGLEFINANCE(A870, ""price"")"),158.52)</f>
        <v>158.52</v>
      </c>
      <c r="H870" s="9">
        <f>IFERROR(__xludf.DUMMYFUNCTION("MAX(INDEX(GOOGLEFINANCE(A870, ""high"", TODAY()-30, TODAY()), 0, 2))"),179.6)</f>
        <v>179.6</v>
      </c>
      <c r="I870" s="9">
        <f>IFERROR(__xludf.DUMMYFUNCTION("MIN(INDEX(GOOGLEFINANCE(A870, ""low"", TODAY()-30, TODAY()), 0, 2))"),143.55)</f>
        <v>143.55</v>
      </c>
      <c r="J870" s="9">
        <f>IFERROR(__xludf.DUMMYFUNCTION("GOOGLEFINANCE(A870, ""high52"")"),179.6)</f>
        <v>179.6</v>
      </c>
      <c r="K870" s="9">
        <f>IFERROR(__xludf.DUMMYFUNCTION("GOOGLEFINANCE(A870, ""low52"")"),67.19)</f>
        <v>67.19</v>
      </c>
      <c r="L870" s="9">
        <f t="shared" si="1"/>
        <v>0.1173719376</v>
      </c>
      <c r="M870" s="9">
        <f t="shared" si="2"/>
        <v>1.359279655</v>
      </c>
      <c r="N870" s="9">
        <f t="shared" si="3"/>
        <v>0.04368283843</v>
      </c>
      <c r="O870" s="9">
        <f t="shared" si="4"/>
        <v>0.4152565881</v>
      </c>
      <c r="P870" s="9">
        <f>IFERROR(__xludf.DUMMYFUNCTION("GOOGLEFINANCE(A870, ""pe"")"),33.8)</f>
        <v>33.8</v>
      </c>
      <c r="Q870" s="9">
        <f>IFERROR(__xludf.DUMMYFUNCTION("IFERROR(GOOGLEFINANCE(A870, ""volume"") / GOOGLEFINANCE(A870, ""volumeavg""), 0)"),0.0)</f>
        <v>0</v>
      </c>
      <c r="R870" s="9">
        <f>IFERROR(__xludf.DUMMYFUNCTION("AVERAGE(INDEX(GOOGLEFINANCE(A870, ""price"", TODAY()-30, TODAY()), 0, 2))"),156.34260869565216)</f>
        <v>156.3426087</v>
      </c>
      <c r="S870" s="9">
        <f>IFERROR(__xludf.DUMMYFUNCTION("AVERAGE(INDEX(GOOGLEFINANCE(A870, ""price"", TODAY()-75, TODAY()), 0, 2))"),146.1866037735849)</f>
        <v>146.1866038</v>
      </c>
      <c r="T870" s="9">
        <f>IFERROR(__xludf.DUMMYFUNCTION("AVERAGE(INDEX(GOOGLEFINANCE(A870, ""price"", TODAY()-300, TODAY()), 0, 2))"),101.42801980198021)</f>
        <v>101.4280198</v>
      </c>
      <c r="U870" s="9">
        <f t="shared" si="5"/>
        <v>0.01392704985</v>
      </c>
      <c r="V870" s="15">
        <f>IFERROR(__xludf.DUMMYFUNCTION("LET(hist, GOOGLEFINANCE(A870,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rs))))))"),62.765244583426394)</f>
        <v>62.76524458</v>
      </c>
      <c r="W870" s="16" t="str">
        <f>IFERROR(__xludf.DUMMYFUNCTION("IFERROR(GOOGLEFINANCE(A870, ""volume"") / GOOGLEFINANCE(A870, ""volumeavg""), )"),"")</f>
        <v/>
      </c>
      <c r="X870" s="9">
        <f>IFERROR(__xludf.DUMMYFUNCTION("B870 * GOOGLEFINANCE(A870, ""volume"")"),3.1707994704E8)</f>
        <v>317079947</v>
      </c>
      <c r="Y870" s="9">
        <f>IFERROR(__xludf.DUMMYFUNCTION("IFERROR(((B870 - GOOGLEFINANCE(A870, ""priceopen"")) / GOOGLEFINANCE(A870, ""priceopen"")) * GOOGLEFINANCE(A870, ""volume""), 0)"),-66719.79047502895)</f>
        <v>-66719.79048</v>
      </c>
    </row>
    <row r="871">
      <c r="A871" s="4" t="s">
        <v>2664</v>
      </c>
      <c r="B871" s="7">
        <f>IFERROR(__xludf.DUMMYFUNCTION("GOOGLEFINANCE(A871, ""price"")"),418.0)</f>
        <v>418</v>
      </c>
      <c r="C871" s="7">
        <f>IFERROR(__xludf.DUMMYFUNCTION("GOOGLEFINANCE(A871, ""changepct"")"),-2.27)</f>
        <v>-2.27</v>
      </c>
      <c r="D871" s="9">
        <f>IFERROR(__xludf.DUMMYFUNCTION("GOOGLEFINANCE(A871, ""priceopen"")"),429.85)</f>
        <v>429.85</v>
      </c>
      <c r="E871" s="9">
        <f>IFERROR(__xludf.DUMMYFUNCTION("GOOGLEFINANCE(A871, ""high"")"),431.95)</f>
        <v>431.95</v>
      </c>
      <c r="F871" s="9">
        <f>IFERROR(__xludf.DUMMYFUNCTION("GOOGLEFINANCE(A871, ""low"")"),418.0)</f>
        <v>418</v>
      </c>
      <c r="G871" s="9">
        <f>IFERROR(__xludf.DUMMYFUNCTION("GOOGLEFINANCE(A871, ""price"")"),418.0)</f>
        <v>418</v>
      </c>
      <c r="H871" s="9">
        <f>IFERROR(__xludf.DUMMYFUNCTION("MAX(INDEX(GOOGLEFINANCE(A871, ""high"", TODAY()-30, TODAY()), 0, 2))"),431.95)</f>
        <v>431.95</v>
      </c>
      <c r="I871" s="9">
        <f>IFERROR(__xludf.DUMMYFUNCTION("MIN(INDEX(GOOGLEFINANCE(A871, ""low"", TODAY()-30, TODAY()), 0, 2))"),352.65)</f>
        <v>352.65</v>
      </c>
      <c r="J871" s="9">
        <f>IFERROR(__xludf.DUMMYFUNCTION("GOOGLEFINANCE(A871, ""high52"")"),572.0)</f>
        <v>572</v>
      </c>
      <c r="K871" s="9">
        <f>IFERROR(__xludf.DUMMYFUNCTION("GOOGLEFINANCE(A871, ""low52"")"),275.95)</f>
        <v>275.95</v>
      </c>
      <c r="L871" s="9">
        <f t="shared" si="1"/>
        <v>0.2692307692</v>
      </c>
      <c r="M871" s="9">
        <f t="shared" si="2"/>
        <v>0.514767168</v>
      </c>
      <c r="N871" s="9">
        <f t="shared" si="3"/>
        <v>0.03337320574</v>
      </c>
      <c r="O871" s="9">
        <f t="shared" si="4"/>
        <v>0.8240857503</v>
      </c>
      <c r="P871" s="9" t="str">
        <f>IFERROR(__xludf.DUMMYFUNCTION("GOOGLEFINANCE(A871, ""pe"")"),"#N/A")</f>
        <v>#N/A</v>
      </c>
      <c r="Q871" s="9">
        <f>IFERROR(__xludf.DUMMYFUNCTION("IFERROR(GOOGLEFINANCE(A871, ""volume"") / GOOGLEFINANCE(A871, ""volumeavg""), 0)"),0.0)</f>
        <v>0</v>
      </c>
      <c r="R871" s="9">
        <f>IFERROR(__xludf.DUMMYFUNCTION("AVERAGE(INDEX(GOOGLEFINANCE(A871, ""price"", TODAY()-30, TODAY()), 0, 2))"),396.5739130434784)</f>
        <v>396.573913</v>
      </c>
      <c r="S871" s="9">
        <f>IFERROR(__xludf.DUMMYFUNCTION("AVERAGE(INDEX(GOOGLEFINANCE(A871, ""price"", TODAY()-75, TODAY()), 0, 2))"),375.077358490566)</f>
        <v>375.0773585</v>
      </c>
      <c r="T871" s="9">
        <f>IFERROR(__xludf.DUMMYFUNCTION("AVERAGE(INDEX(GOOGLEFINANCE(A871, ""price"", TODAY()-300, TODAY()), 0, 2))"),375.12945544554486)</f>
        <v>375.1294554</v>
      </c>
      <c r="U871" s="9">
        <f t="shared" si="5"/>
        <v>0.05402797877</v>
      </c>
      <c r="V871" s="15">
        <f>IFERROR(__xludf.DUMMYFUNCTION("LET(hist, GOOGLEFINANCE(A871,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rs))))))"),82.05510052122106)</f>
        <v>82.05510052</v>
      </c>
      <c r="W871" s="16" t="str">
        <f>IFERROR(__xludf.DUMMYFUNCTION("IFERROR(GOOGLEFINANCE(A871, ""volume"") / GOOGLEFINANCE(A871, ""volumeavg""), )"),"")</f>
        <v/>
      </c>
      <c r="X871" s="9">
        <f>IFERROR(__xludf.DUMMYFUNCTION("B871 * GOOGLEFINANCE(A871, ""volume"")"),1.60512E7)</f>
        <v>16051200</v>
      </c>
      <c r="Y871" s="9">
        <f>IFERROR(__xludf.DUMMYFUNCTION("IFERROR(((B871 - GOOGLEFINANCE(A871, ""priceopen"")) / GOOGLEFINANCE(A871, ""priceopen"")) * GOOGLEFINANCE(A871, ""volume""), 0)"),-1058.601837850415)</f>
        <v>-1058.601838</v>
      </c>
    </row>
    <row r="872">
      <c r="A872" s="4" t="s">
        <v>2665</v>
      </c>
      <c r="B872" s="7">
        <f>IFERROR(__xludf.DUMMYFUNCTION("GOOGLEFINANCE(A872, ""price"")"),879.8)</f>
        <v>879.8</v>
      </c>
      <c r="C872" s="7">
        <f>IFERROR(__xludf.DUMMYFUNCTION("GOOGLEFINANCE(A872, ""changepct"")"),2.46)</f>
        <v>2.46</v>
      </c>
      <c r="D872" s="9">
        <f>IFERROR(__xludf.DUMMYFUNCTION("GOOGLEFINANCE(A872, ""priceopen"")"),858.0)</f>
        <v>858</v>
      </c>
      <c r="E872" s="9">
        <f>IFERROR(__xludf.DUMMYFUNCTION("GOOGLEFINANCE(A872, ""high"")"),880.0)</f>
        <v>880</v>
      </c>
      <c r="F872" s="9">
        <f>IFERROR(__xludf.DUMMYFUNCTION("GOOGLEFINANCE(A872, ""low"")"),826.0)</f>
        <v>826</v>
      </c>
      <c r="G872" s="9">
        <f>IFERROR(__xludf.DUMMYFUNCTION("GOOGLEFINANCE(A872, ""price"")"),879.8)</f>
        <v>879.8</v>
      </c>
      <c r="H872" s="9">
        <f>IFERROR(__xludf.DUMMYFUNCTION("MAX(INDEX(GOOGLEFINANCE(A872, ""high"", TODAY()-30, TODAY()), 0, 2))"),957.95)</f>
        <v>957.95</v>
      </c>
      <c r="I872" s="9">
        <f>IFERROR(__xludf.DUMMYFUNCTION("MIN(INDEX(GOOGLEFINANCE(A872, ""low"", TODAY()-30, TODAY()), 0, 2))"),677.0)</f>
        <v>677</v>
      </c>
      <c r="J872" s="9">
        <f>IFERROR(__xludf.DUMMYFUNCTION("GOOGLEFINANCE(A872, ""high52"")"),1029.9)</f>
        <v>1029.9</v>
      </c>
      <c r="K872" s="9">
        <f>IFERROR(__xludf.DUMMYFUNCTION("GOOGLEFINANCE(A872, ""low52"")"),467.0)</f>
        <v>467</v>
      </c>
      <c r="L872" s="9">
        <f t="shared" si="1"/>
        <v>0.1457423051</v>
      </c>
      <c r="M872" s="9">
        <f t="shared" si="2"/>
        <v>0.8839400428</v>
      </c>
      <c r="N872" s="9">
        <f t="shared" si="3"/>
        <v>0.06537530266</v>
      </c>
      <c r="O872" s="9">
        <f t="shared" si="4"/>
        <v>0.7218366257</v>
      </c>
      <c r="P872" s="9" t="str">
        <f>IFERROR(__xludf.DUMMYFUNCTION("GOOGLEFINANCE(A872, ""pe"")"),"#N/A")</f>
        <v>#N/A</v>
      </c>
      <c r="Q872" s="9">
        <f>IFERROR(__xludf.DUMMYFUNCTION("IFERROR(GOOGLEFINANCE(A872, ""volume"") / GOOGLEFINANCE(A872, ""volumeavg""), 0)"),0.0)</f>
        <v>0</v>
      </c>
      <c r="R872" s="9">
        <f>IFERROR(__xludf.DUMMYFUNCTION("AVERAGE(INDEX(GOOGLEFINANCE(A872, ""price"", TODAY()-30, TODAY()), 0, 2))"),788.8326086956524)</f>
        <v>788.8326087</v>
      </c>
      <c r="S872" s="9">
        <f>IFERROR(__xludf.DUMMYFUNCTION("AVERAGE(INDEX(GOOGLEFINANCE(A872, ""price"", TODAY()-75, TODAY()), 0, 2))"),714.4141509433962)</f>
        <v>714.4141509</v>
      </c>
      <c r="T872" s="9">
        <f>IFERROR(__xludf.DUMMYFUNCTION("AVERAGE(INDEX(GOOGLEFINANCE(A872, ""price"", TODAY()-300, TODAY()), 0, 2))"),690.5576732673263)</f>
        <v>690.5576733</v>
      </c>
      <c r="U872" s="9">
        <f t="shared" si="5"/>
        <v>0.1153190047</v>
      </c>
      <c r="V872" s="15">
        <f>IFERROR(__xludf.DUMMYFUNCTION("LET(hist, GOOGLEFINANCE(A872,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rs))))))"),75.8871989860583)</f>
        <v>75.88719899</v>
      </c>
      <c r="W872" s="16" t="str">
        <f>IFERROR(__xludf.DUMMYFUNCTION("IFERROR(GOOGLEFINANCE(A872, ""volume"") / GOOGLEFINANCE(A872, ""volumeavg""), )"),"")</f>
        <v/>
      </c>
      <c r="X872" s="9">
        <f>IFERROR(__xludf.DUMMYFUNCTION("B872 * GOOGLEFINANCE(A872, ""volume"")"),3.3680679559999996E8)</f>
        <v>336806795.6</v>
      </c>
      <c r="Y872" s="9">
        <f>IFERROR(__xludf.DUMMYFUNCTION("IFERROR(((B872 - GOOGLEFINANCE(A872, ""priceopen"")) / GOOGLEFINANCE(A872, ""priceopen"")) * GOOGLEFINANCE(A872, ""volume""), 0)"),9726.7128205128)</f>
        <v>9726.712821</v>
      </c>
    </row>
    <row r="873">
      <c r="A873" s="4" t="s">
        <v>2666</v>
      </c>
      <c r="B873" s="7">
        <f>IFERROR(__xludf.DUMMYFUNCTION("GOOGLEFINANCE(A873, ""price"")"),580.0)</f>
        <v>580</v>
      </c>
      <c r="C873" s="7">
        <f>IFERROR(__xludf.DUMMYFUNCTION("GOOGLEFINANCE(A873, ""changepct"")"),-4.81)</f>
        <v>-4.81</v>
      </c>
      <c r="D873" s="9">
        <f>IFERROR(__xludf.DUMMYFUNCTION("GOOGLEFINANCE(A873, ""priceopen"")"),611.0)</f>
        <v>611</v>
      </c>
      <c r="E873" s="9">
        <f>IFERROR(__xludf.DUMMYFUNCTION("GOOGLEFINANCE(A873, ""high"")"),611.0)</f>
        <v>611</v>
      </c>
      <c r="F873" s="9">
        <f>IFERROR(__xludf.DUMMYFUNCTION("GOOGLEFINANCE(A873, ""low"")"),576.0)</f>
        <v>576</v>
      </c>
      <c r="G873" s="9">
        <f>IFERROR(__xludf.DUMMYFUNCTION("GOOGLEFINANCE(A873, ""price"")"),580.0)</f>
        <v>580</v>
      </c>
      <c r="H873" s="9">
        <f>IFERROR(__xludf.DUMMYFUNCTION("MAX(INDEX(GOOGLEFINANCE(A873, ""high"", TODAY()-30, TODAY()), 0, 2))"),734.9)</f>
        <v>734.9</v>
      </c>
      <c r="I873" s="9">
        <f>IFERROR(__xludf.DUMMYFUNCTION("MIN(INDEX(GOOGLEFINANCE(A873, ""low"", TODAY()-30, TODAY()), 0, 2))"),576.0)</f>
        <v>576</v>
      </c>
      <c r="J873" s="9">
        <f>IFERROR(__xludf.DUMMYFUNCTION("GOOGLEFINANCE(A873, ""high52"")"),734.9)</f>
        <v>734.9</v>
      </c>
      <c r="K873" s="9">
        <f>IFERROR(__xludf.DUMMYFUNCTION("GOOGLEFINANCE(A873, ""low52"")"),349.0)</f>
        <v>349</v>
      </c>
      <c r="L873" s="9">
        <f t="shared" si="1"/>
        <v>0.2107769765</v>
      </c>
      <c r="M873" s="9">
        <f t="shared" si="2"/>
        <v>0.6618911175</v>
      </c>
      <c r="N873" s="9">
        <f t="shared" si="3"/>
        <v>0.06076388889</v>
      </c>
      <c r="O873" s="9">
        <f t="shared" si="4"/>
        <v>0.02517306482</v>
      </c>
      <c r="P873" s="9">
        <f>IFERROR(__xludf.DUMMYFUNCTION("GOOGLEFINANCE(A873, ""pe"")"),12.81)</f>
        <v>12.81</v>
      </c>
      <c r="Q873" s="9">
        <f>IFERROR(__xludf.DUMMYFUNCTION("IFERROR(GOOGLEFINANCE(A873, ""volume"") / GOOGLEFINANCE(A873, ""volumeavg""), 0)"),0.0)</f>
        <v>0</v>
      </c>
      <c r="R873" s="9">
        <f>IFERROR(__xludf.DUMMYFUNCTION("AVERAGE(INDEX(GOOGLEFINANCE(A873, ""price"", TODAY()-30, TODAY()), 0, 2))"),668.1760869565217)</f>
        <v>668.176087</v>
      </c>
      <c r="S873" s="9">
        <f>IFERROR(__xludf.DUMMYFUNCTION("AVERAGE(INDEX(GOOGLEFINANCE(A873, ""price"", TODAY()-75, TODAY()), 0, 2))"),642.772641509434)</f>
        <v>642.7726415</v>
      </c>
      <c r="T873" s="9">
        <f>IFERROR(__xludf.DUMMYFUNCTION("AVERAGE(INDEX(GOOGLEFINANCE(A873, ""price"", TODAY()-300, TODAY()), 0, 2))"),530.0165841584159)</f>
        <v>530.0165842</v>
      </c>
      <c r="U873" s="9">
        <f t="shared" si="5"/>
        <v>-0.1319653437</v>
      </c>
      <c r="V873" s="15">
        <f>IFERROR(__xludf.DUMMYFUNCTION("LET(hist, GOOGLEFINANCE(A873,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rs))))))"),35.28037383177568)</f>
        <v>35.28037383</v>
      </c>
      <c r="W873" s="16" t="str">
        <f>IFERROR(__xludf.DUMMYFUNCTION("IFERROR(GOOGLEFINANCE(A873, ""volume"") / GOOGLEFINANCE(A873, ""volumeavg""), )"),"")</f>
        <v/>
      </c>
      <c r="X873" s="9">
        <f>IFERROR(__xludf.DUMMYFUNCTION("B873 * GOOGLEFINANCE(A873, ""volume"")"),3.133798E8)</f>
        <v>313379800</v>
      </c>
      <c r="Y873" s="9">
        <f>IFERROR(__xludf.DUMMYFUNCTION("IFERROR(((B873 - GOOGLEFINANCE(A873, ""priceopen"")) / GOOGLEFINANCE(A873, ""priceopen"")) * GOOGLEFINANCE(A873, ""volume""), 0)"),-27413.43698854337)</f>
        <v>-27413.43699</v>
      </c>
    </row>
    <row r="874">
      <c r="A874" s="4" t="s">
        <v>2667</v>
      </c>
      <c r="B874" s="7">
        <f>IFERROR(__xludf.DUMMYFUNCTION("GOOGLEFINANCE(A874, ""price"")"),9696.0)</f>
        <v>9696</v>
      </c>
      <c r="C874" s="7">
        <f>IFERROR(__xludf.DUMMYFUNCTION("GOOGLEFINANCE(A874, ""changepct"")"),0.36)</f>
        <v>0.36</v>
      </c>
      <c r="D874" s="9">
        <f>IFERROR(__xludf.DUMMYFUNCTION("GOOGLEFINANCE(A874, ""priceopen"")"),9695.0)</f>
        <v>9695</v>
      </c>
      <c r="E874" s="9">
        <f>IFERROR(__xludf.DUMMYFUNCTION("GOOGLEFINANCE(A874, ""high"")"),9880.5)</f>
        <v>9880.5</v>
      </c>
      <c r="F874" s="9">
        <f>IFERROR(__xludf.DUMMYFUNCTION("GOOGLEFINANCE(A874, ""low"")"),9602.5)</f>
        <v>9602.5</v>
      </c>
      <c r="G874" s="9">
        <f>IFERROR(__xludf.DUMMYFUNCTION("GOOGLEFINANCE(A874, ""price"")"),9696.0)</f>
        <v>9696</v>
      </c>
      <c r="H874" s="9">
        <f>IFERROR(__xludf.DUMMYFUNCTION("MAX(INDEX(GOOGLEFINANCE(A874, ""high"", TODAY()-30, TODAY()), 0, 2))"),10130.0)</f>
        <v>10130</v>
      </c>
      <c r="I874" s="9">
        <f>IFERROR(__xludf.DUMMYFUNCTION("MIN(INDEX(GOOGLEFINANCE(A874, ""low"", TODAY()-30, TODAY()), 0, 2))"),8462.0)</f>
        <v>8462</v>
      </c>
      <c r="J874" s="9">
        <f>IFERROR(__xludf.DUMMYFUNCTION("GOOGLEFINANCE(A874, ""high52"")"),10871.5)</f>
        <v>10871.5</v>
      </c>
      <c r="K874" s="9">
        <f>IFERROR(__xludf.DUMMYFUNCTION("GOOGLEFINANCE(A874, ""low52"")"),4955.0)</f>
        <v>4955</v>
      </c>
      <c r="L874" s="9">
        <f t="shared" si="1"/>
        <v>0.1081267534</v>
      </c>
      <c r="M874" s="9">
        <f t="shared" si="2"/>
        <v>0.9568113017</v>
      </c>
      <c r="N874" s="9">
        <f t="shared" si="3"/>
        <v>0.02895079406</v>
      </c>
      <c r="O874" s="9">
        <f t="shared" si="4"/>
        <v>0.7398081535</v>
      </c>
      <c r="P874" s="9">
        <f>IFERROR(__xludf.DUMMYFUNCTION("GOOGLEFINANCE(A874, ""pe"")"),259.92)</f>
        <v>259.92</v>
      </c>
      <c r="Q874" s="9">
        <f>IFERROR(__xludf.DUMMYFUNCTION("IFERROR(GOOGLEFINANCE(A874, ""volume"") / GOOGLEFINANCE(A874, ""volumeavg""), 0)"),0.0)</f>
        <v>0</v>
      </c>
      <c r="R874" s="9">
        <f>IFERROR(__xludf.DUMMYFUNCTION("AVERAGE(INDEX(GOOGLEFINANCE(A874, ""price"", TODAY()-30, TODAY()), 0, 2))"),9147.021739130434)</f>
        <v>9147.021739</v>
      </c>
      <c r="S874" s="9">
        <f>IFERROR(__xludf.DUMMYFUNCTION("AVERAGE(INDEX(GOOGLEFINANCE(A874, ""price"", TODAY()-75, TODAY()), 0, 2))"),9076.396226415094)</f>
        <v>9076.396226</v>
      </c>
      <c r="T874" s="9">
        <f>IFERROR(__xludf.DUMMYFUNCTION("AVERAGE(INDEX(GOOGLEFINANCE(A874, ""price"", TODAY()-300, TODAY()), 0, 2))"),7853.4574999999995)</f>
        <v>7853.4575</v>
      </c>
      <c r="U874" s="9">
        <f t="shared" si="5"/>
        <v>0.0600171593</v>
      </c>
      <c r="V874" s="15">
        <f>IFERROR(__xludf.DUMMYFUNCTION("LET(hist, GOOGLEFINANCE(A874,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rs))))))"),68.85650777969869)</f>
        <v>68.85650778</v>
      </c>
      <c r="W874" s="16" t="str">
        <f>IFERROR(__xludf.DUMMYFUNCTION("IFERROR(GOOGLEFINANCE(A874, ""volume"") / GOOGLEFINANCE(A874, ""volumeavg""), )"),"")</f>
        <v/>
      </c>
      <c r="X874" s="9">
        <f>IFERROR(__xludf.DUMMYFUNCTION("B874 * GOOGLEFINANCE(A874, ""volume"")"),4.6705632E7)</f>
        <v>46705632</v>
      </c>
      <c r="Y874" s="9">
        <f>IFERROR(__xludf.DUMMYFUNCTION("IFERROR(((B874 - GOOGLEFINANCE(A874, ""priceopen"")) / GOOGLEFINANCE(A874, ""priceopen"")) * GOOGLEFINANCE(A874, ""volume""), 0)"),0.4968540484785972)</f>
        <v>0.4968540485</v>
      </c>
    </row>
    <row r="875">
      <c r="A875" s="4" t="s">
        <v>2668</v>
      </c>
      <c r="B875" s="7">
        <f>IFERROR(__xludf.DUMMYFUNCTION("GOOGLEFINANCE(A875, ""price"")"),311.0)</f>
        <v>311</v>
      </c>
      <c r="C875" s="7">
        <f>IFERROR(__xludf.DUMMYFUNCTION("GOOGLEFINANCE(A875, ""changepct"")"),-1.86)</f>
        <v>-1.86</v>
      </c>
      <c r="D875" s="9">
        <f>IFERROR(__xludf.DUMMYFUNCTION("GOOGLEFINANCE(A875, ""priceopen"")"),320.0)</f>
        <v>320</v>
      </c>
      <c r="E875" s="9">
        <f>IFERROR(__xludf.DUMMYFUNCTION("GOOGLEFINANCE(A875, ""high"")"),321.15)</f>
        <v>321.15</v>
      </c>
      <c r="F875" s="9">
        <f>IFERROR(__xludf.DUMMYFUNCTION("GOOGLEFINANCE(A875, ""low"")"),308.05)</f>
        <v>308.05</v>
      </c>
      <c r="G875" s="9">
        <f>IFERROR(__xludf.DUMMYFUNCTION("GOOGLEFINANCE(A875, ""price"")"),311.0)</f>
        <v>311</v>
      </c>
      <c r="H875" s="9">
        <f>IFERROR(__xludf.DUMMYFUNCTION("MAX(INDEX(GOOGLEFINANCE(A875, ""high"", TODAY()-30, TODAY()), 0, 2))"),323.8)</f>
        <v>323.8</v>
      </c>
      <c r="I875" s="9">
        <f>IFERROR(__xludf.DUMMYFUNCTION("MIN(INDEX(GOOGLEFINANCE(A875, ""low"", TODAY()-30, TODAY()), 0, 2))"),288.0)</f>
        <v>288</v>
      </c>
      <c r="J875" s="9">
        <f>IFERROR(__xludf.DUMMYFUNCTION("GOOGLEFINANCE(A875, ""high52"")"),454.3)</f>
        <v>454.3</v>
      </c>
      <c r="K875" s="9">
        <f>IFERROR(__xludf.DUMMYFUNCTION("GOOGLEFINANCE(A875, ""low52"")"),278.25)</f>
        <v>278.25</v>
      </c>
      <c r="L875" s="9">
        <f t="shared" si="1"/>
        <v>0.3154303324</v>
      </c>
      <c r="M875" s="9">
        <f t="shared" si="2"/>
        <v>0.1176999102</v>
      </c>
      <c r="N875" s="9">
        <f t="shared" si="3"/>
        <v>0.04252556403</v>
      </c>
      <c r="O875" s="9">
        <f t="shared" si="4"/>
        <v>0.6424581006</v>
      </c>
      <c r="P875" s="9" t="str">
        <f>IFERROR(__xludf.DUMMYFUNCTION("GOOGLEFINANCE(A875, ""pe"")"),"#N/A")</f>
        <v>#N/A</v>
      </c>
      <c r="Q875" s="9">
        <f>IFERROR(__xludf.DUMMYFUNCTION("IFERROR(GOOGLEFINANCE(A875, ""volume"") / GOOGLEFINANCE(A875, ""volumeavg""), 0)"),0.0)</f>
        <v>0</v>
      </c>
      <c r="R875" s="9">
        <f>IFERROR(__xludf.DUMMYFUNCTION("AVERAGE(INDEX(GOOGLEFINANCE(A875, ""price"", TODAY()-30, TODAY()), 0, 2))"),302.10434782608695)</f>
        <v>302.1043478</v>
      </c>
      <c r="S875" s="9">
        <f>IFERROR(__xludf.DUMMYFUNCTION("AVERAGE(INDEX(GOOGLEFINANCE(A875, ""price"", TODAY()-75, TODAY()), 0, 2))"),308.51226415094334)</f>
        <v>308.5122642</v>
      </c>
      <c r="T875" s="9">
        <f>IFERROR(__xludf.DUMMYFUNCTION("AVERAGE(INDEX(GOOGLEFINANCE(A875, ""price"", TODAY()-300, TODAY()), 0, 2))"),343.33044554455444)</f>
        <v>343.3304455</v>
      </c>
      <c r="U875" s="9">
        <f t="shared" si="5"/>
        <v>0.02944562777</v>
      </c>
      <c r="V875" s="15">
        <f>IFERROR(__xludf.DUMMYFUNCTION("LET(hist, GOOGLEFINANCE(A875,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rs))))))"),64.52095808383234)</f>
        <v>64.52095808</v>
      </c>
      <c r="W875" s="16" t="str">
        <f>IFERROR(__xludf.DUMMYFUNCTION("IFERROR(GOOGLEFINANCE(A875, ""volume"") / GOOGLEFINANCE(A875, ""volumeavg""), )"),"")</f>
        <v/>
      </c>
      <c r="X875" s="9">
        <f>IFERROR(__xludf.DUMMYFUNCTION("B875 * GOOGLEFINANCE(A875, ""volume"")"),3.4843196E7)</f>
        <v>34843196</v>
      </c>
      <c r="Y875" s="9">
        <f>IFERROR(__xludf.DUMMYFUNCTION("IFERROR(((B875 - GOOGLEFINANCE(A875, ""priceopen"")) / GOOGLEFINANCE(A875, ""priceopen"")) * GOOGLEFINANCE(A875, ""volume""), 0)"),-3151.0125000000003)</f>
        <v>-3151.0125</v>
      </c>
    </row>
    <row r="876">
      <c r="A876" s="4" t="s">
        <v>2669</v>
      </c>
      <c r="B876" s="7">
        <f>IFERROR(__xludf.DUMMYFUNCTION("GOOGLEFINANCE(A876, ""price"")"),209.14)</f>
        <v>209.14</v>
      </c>
      <c r="C876" s="7">
        <f>IFERROR(__xludf.DUMMYFUNCTION("GOOGLEFINANCE(A876, ""changepct"")"),-1.12)</f>
        <v>-1.12</v>
      </c>
      <c r="D876" s="9">
        <f>IFERROR(__xludf.DUMMYFUNCTION("GOOGLEFINANCE(A876, ""priceopen"")"),212.0)</f>
        <v>212</v>
      </c>
      <c r="E876" s="9">
        <f>IFERROR(__xludf.DUMMYFUNCTION("GOOGLEFINANCE(A876, ""high"")"),212.1)</f>
        <v>212.1</v>
      </c>
      <c r="F876" s="9">
        <f>IFERROR(__xludf.DUMMYFUNCTION("GOOGLEFINANCE(A876, ""low"")"),207.53)</f>
        <v>207.53</v>
      </c>
      <c r="G876" s="9">
        <f>IFERROR(__xludf.DUMMYFUNCTION("GOOGLEFINANCE(A876, ""price"")"),209.14)</f>
        <v>209.14</v>
      </c>
      <c r="H876" s="9">
        <f>IFERROR(__xludf.DUMMYFUNCTION("MAX(INDEX(GOOGLEFINANCE(A876, ""high"", TODAY()-30, TODAY()), 0, 2))"),247.89)</f>
        <v>247.89</v>
      </c>
      <c r="I876" s="9">
        <f>IFERROR(__xludf.DUMMYFUNCTION("MIN(INDEX(GOOGLEFINANCE(A876, ""low"", TODAY()-30, TODAY()), 0, 2))"),207.53)</f>
        <v>207.53</v>
      </c>
      <c r="J876" s="9">
        <f>IFERROR(__xludf.DUMMYFUNCTION("GOOGLEFINANCE(A876, ""high52"")"),385.8)</f>
        <v>385.8</v>
      </c>
      <c r="K876" s="9">
        <f>IFERROR(__xludf.DUMMYFUNCTION("GOOGLEFINANCE(A876, ""low52"")"),207.53)</f>
        <v>207.53</v>
      </c>
      <c r="L876" s="9">
        <f t="shared" si="1"/>
        <v>0.4579056506</v>
      </c>
      <c r="M876" s="9">
        <f t="shared" si="2"/>
        <v>0.007757914518</v>
      </c>
      <c r="N876" s="9">
        <f t="shared" si="3"/>
        <v>0.02202091264</v>
      </c>
      <c r="O876" s="9">
        <f t="shared" si="4"/>
        <v>0.03989098117</v>
      </c>
      <c r="P876" s="9">
        <f>IFERROR(__xludf.DUMMYFUNCTION("GOOGLEFINANCE(A876, ""pe"")"),19.05)</f>
        <v>19.05</v>
      </c>
      <c r="Q876" s="9">
        <f>IFERROR(__xludf.DUMMYFUNCTION("IFERROR(GOOGLEFINANCE(A876, ""volume"") / GOOGLEFINANCE(A876, ""volumeavg""), 0)"),0.0)</f>
        <v>0</v>
      </c>
      <c r="R876" s="9">
        <f>IFERROR(__xludf.DUMMYFUNCTION("AVERAGE(INDEX(GOOGLEFINANCE(A876, ""price"", TODAY()-30, TODAY()), 0, 2))"),222.1886956521739)</f>
        <v>222.1886957</v>
      </c>
      <c r="S876" s="9">
        <f>IFERROR(__xludf.DUMMYFUNCTION("AVERAGE(INDEX(GOOGLEFINANCE(A876, ""price"", TODAY()-75, TODAY()), 0, 2))"),226.15132075471695)</f>
        <v>226.1513208</v>
      </c>
      <c r="T876" s="9">
        <f>IFERROR(__xludf.DUMMYFUNCTION("AVERAGE(INDEX(GOOGLEFINANCE(A876, ""price"", TODAY()-300, TODAY()), 0, 2))"),251.69361386138615)</f>
        <v>251.6936139</v>
      </c>
      <c r="U876" s="9">
        <f t="shared" si="5"/>
        <v>-0.0587279907</v>
      </c>
      <c r="V876" s="15">
        <f>IFERROR(__xludf.DUMMYFUNCTION("LET(hist, GOOGLEFINANCE(A876,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rs))))))"),26.1940864291129)</f>
        <v>26.19408643</v>
      </c>
      <c r="W876" s="16" t="str">
        <f>IFERROR(__xludf.DUMMYFUNCTION("IFERROR(GOOGLEFINANCE(A876, ""volume"") / GOOGLEFINANCE(A876, ""volumeavg""), )"),"")</f>
        <v/>
      </c>
      <c r="X876" s="9">
        <f>IFERROR(__xludf.DUMMYFUNCTION("B876 * GOOGLEFINANCE(A876, ""volume"")"),2.8699654779999995E8)</f>
        <v>286996547.8</v>
      </c>
      <c r="Y876" s="9">
        <f>IFERROR(__xludf.DUMMYFUNCTION("IFERROR(((B876 - GOOGLEFINANCE(A876, ""priceopen"")) / GOOGLEFINANCE(A876, ""priceopen"")) * GOOGLEFINANCE(A876, ""volume""), 0)"),-18512.699056603862)</f>
        <v>-18512.69906</v>
      </c>
    </row>
    <row r="877">
      <c r="A877" s="4" t="s">
        <v>2670</v>
      </c>
      <c r="B877" s="7">
        <f>IFERROR(__xludf.DUMMYFUNCTION("GOOGLEFINANCE(A877, ""price"")"),255.2)</f>
        <v>255.2</v>
      </c>
      <c r="C877" s="7">
        <f>IFERROR(__xludf.DUMMYFUNCTION("GOOGLEFINANCE(A877, ""changepct"")"),-4.1)</f>
        <v>-4.1</v>
      </c>
      <c r="D877" s="9">
        <f>IFERROR(__xludf.DUMMYFUNCTION("GOOGLEFINANCE(A877, ""priceopen"")"),263.05)</f>
        <v>263.05</v>
      </c>
      <c r="E877" s="9">
        <f>IFERROR(__xludf.DUMMYFUNCTION("GOOGLEFINANCE(A877, ""high"")"),264.45)</f>
        <v>264.45</v>
      </c>
      <c r="F877" s="9">
        <f>IFERROR(__xludf.DUMMYFUNCTION("GOOGLEFINANCE(A877, ""low"")"),253.4)</f>
        <v>253.4</v>
      </c>
      <c r="G877" s="9">
        <f>IFERROR(__xludf.DUMMYFUNCTION("GOOGLEFINANCE(A877, ""price"")"),255.2)</f>
        <v>255.2</v>
      </c>
      <c r="H877" s="9">
        <f>IFERROR(__xludf.DUMMYFUNCTION("MAX(INDEX(GOOGLEFINANCE(A877, ""high"", TODAY()-30, TODAY()), 0, 2))"),288.0)</f>
        <v>288</v>
      </c>
      <c r="I877" s="9">
        <f>IFERROR(__xludf.DUMMYFUNCTION("MIN(INDEX(GOOGLEFINANCE(A877, ""low"", TODAY()-30, TODAY()), 0, 2))"),253.4)</f>
        <v>253.4</v>
      </c>
      <c r="J877" s="9">
        <f>IFERROR(__xludf.DUMMYFUNCTION("GOOGLEFINANCE(A877, ""high52"")"),452.3)</f>
        <v>452.3</v>
      </c>
      <c r="K877" s="9">
        <f>IFERROR(__xludf.DUMMYFUNCTION("GOOGLEFINANCE(A877, ""low52"")"),253.4)</f>
        <v>253.4</v>
      </c>
      <c r="L877" s="9">
        <f t="shared" si="1"/>
        <v>0.4357727172</v>
      </c>
      <c r="M877" s="9">
        <f t="shared" si="2"/>
        <v>0.007103393844</v>
      </c>
      <c r="N877" s="9">
        <f t="shared" si="3"/>
        <v>0.04360694554</v>
      </c>
      <c r="O877" s="9">
        <f t="shared" si="4"/>
        <v>0.05202312139</v>
      </c>
      <c r="P877" s="9">
        <f>IFERROR(__xludf.DUMMYFUNCTION("GOOGLEFINANCE(A877, ""pe"")"),13.98)</f>
        <v>13.98</v>
      </c>
      <c r="Q877" s="9">
        <f>IFERROR(__xludf.DUMMYFUNCTION("IFERROR(GOOGLEFINANCE(A877, ""volume"") / GOOGLEFINANCE(A877, ""volumeavg""), 0)"),0.0)</f>
        <v>0</v>
      </c>
      <c r="R877" s="9">
        <f>IFERROR(__xludf.DUMMYFUNCTION("AVERAGE(INDEX(GOOGLEFINANCE(A877, ""price"", TODAY()-30, TODAY()), 0, 2))"),272.2282608695652)</f>
        <v>272.2282609</v>
      </c>
      <c r="S877" s="9">
        <f>IFERROR(__xludf.DUMMYFUNCTION("AVERAGE(INDEX(GOOGLEFINANCE(A877, ""price"", TODAY()-75, TODAY()), 0, 2))"),282.322641509434)</f>
        <v>282.3226415</v>
      </c>
      <c r="T877" s="9">
        <f>IFERROR(__xludf.DUMMYFUNCTION("AVERAGE(INDEX(GOOGLEFINANCE(A877, ""price"", TODAY()-300, TODAY()), 0, 2))"),314.1917910447762)</f>
        <v>314.191791</v>
      </c>
      <c r="U877" s="9">
        <f t="shared" si="5"/>
        <v>-0.06255140747</v>
      </c>
      <c r="V877" s="15">
        <f>IFERROR(__xludf.DUMMYFUNCTION("LET(hist, GOOGLEFINANCE(A877,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rs))))))"),40.393794749403355)</f>
        <v>40.39379475</v>
      </c>
      <c r="W877" s="16" t="str">
        <f>IFERROR(__xludf.DUMMYFUNCTION("IFERROR(GOOGLEFINANCE(A877, ""volume"") / GOOGLEFINANCE(A877, ""volumeavg""), )"),"")</f>
        <v/>
      </c>
      <c r="X877" s="9">
        <f>IFERROR(__xludf.DUMMYFUNCTION("B877 * GOOGLEFINANCE(A877, ""volume"")"),3.4039290559999996E8)</f>
        <v>340392905.6</v>
      </c>
      <c r="Y877" s="9">
        <f>IFERROR(__xludf.DUMMYFUNCTION("IFERROR(((B877 - GOOGLEFINANCE(A877, ""priceopen"")) / GOOGLEFINANCE(A877, ""priceopen"")) * GOOGLEFINANCE(A877, ""volume""), 0)"),-39804.409047709676)</f>
        <v>-39804.40905</v>
      </c>
    </row>
    <row r="878">
      <c r="A878" s="4" t="s">
        <v>2671</v>
      </c>
      <c r="B878" s="7">
        <f>IFERROR(__xludf.DUMMYFUNCTION("GOOGLEFINANCE(A878, ""price"")"),281.0)</f>
        <v>281</v>
      </c>
      <c r="C878" s="7">
        <f>IFERROR(__xludf.DUMMYFUNCTION("GOOGLEFINANCE(A878, ""changepct"")"),-2.78)</f>
        <v>-2.78</v>
      </c>
      <c r="D878" s="9">
        <f>IFERROR(__xludf.DUMMYFUNCTION("GOOGLEFINANCE(A878, ""priceopen"")"),289.95)</f>
        <v>289.95</v>
      </c>
      <c r="E878" s="9">
        <f>IFERROR(__xludf.DUMMYFUNCTION("GOOGLEFINANCE(A878, ""high"")"),289.95)</f>
        <v>289.95</v>
      </c>
      <c r="F878" s="9">
        <f>IFERROR(__xludf.DUMMYFUNCTION("GOOGLEFINANCE(A878, ""low"")"),279.3)</f>
        <v>279.3</v>
      </c>
      <c r="G878" s="9">
        <f>IFERROR(__xludf.DUMMYFUNCTION("GOOGLEFINANCE(A878, ""price"")"),281.0)</f>
        <v>281</v>
      </c>
      <c r="H878" s="9">
        <f>IFERROR(__xludf.DUMMYFUNCTION("MAX(INDEX(GOOGLEFINANCE(A878, ""high"", TODAY()-30, TODAY()), 0, 2))"),317.0)</f>
        <v>317</v>
      </c>
      <c r="I878" s="9">
        <f>IFERROR(__xludf.DUMMYFUNCTION("MIN(INDEX(GOOGLEFINANCE(A878, ""low"", TODAY()-30, TODAY()), 0, 2))"),250.0)</f>
        <v>250</v>
      </c>
      <c r="J878" s="9">
        <f>IFERROR(__xludf.DUMMYFUNCTION("GOOGLEFINANCE(A878, ""high52"")"),317.0)</f>
        <v>317</v>
      </c>
      <c r="K878" s="9">
        <f>IFERROR(__xludf.DUMMYFUNCTION("GOOGLEFINANCE(A878, ""low52"")"),250.0)</f>
        <v>250</v>
      </c>
      <c r="L878" s="9">
        <f t="shared" si="1"/>
        <v>0.1135646688</v>
      </c>
      <c r="M878" s="9">
        <f t="shared" si="2"/>
        <v>0.124</v>
      </c>
      <c r="N878" s="9">
        <f t="shared" si="3"/>
        <v>0.03813104189</v>
      </c>
      <c r="O878" s="9">
        <f t="shared" si="4"/>
        <v>0.4626865672</v>
      </c>
      <c r="P878" s="9">
        <f>IFERROR(__xludf.DUMMYFUNCTION("GOOGLEFINANCE(A878, ""pe"")"),26.02)</f>
        <v>26.02</v>
      </c>
      <c r="Q878" s="9">
        <f>IFERROR(__xludf.DUMMYFUNCTION("IFERROR(GOOGLEFINANCE(A878, ""volume"") / GOOGLEFINANCE(A878, ""volumeavg""), 0)"),0.0)</f>
        <v>0</v>
      </c>
      <c r="R878" s="9">
        <f>IFERROR(__xludf.DUMMYFUNCTION("AVERAGE(INDEX(GOOGLEFINANCE(A878, ""price"", TODAY()-30, TODAY()), 0, 2))"),290.1825)</f>
        <v>290.1825</v>
      </c>
      <c r="S878" s="9">
        <f>IFERROR(__xludf.DUMMYFUNCTION("AVERAGE(INDEX(GOOGLEFINANCE(A878, ""price"", TODAY()-75, TODAY()), 0, 2))"),290.1825)</f>
        <v>290.1825</v>
      </c>
      <c r="T878" s="9">
        <f>IFERROR(__xludf.DUMMYFUNCTION("AVERAGE(INDEX(GOOGLEFINANCE(A878, ""price"", TODAY()-300, TODAY()), 0, 2))"),290.1825)</f>
        <v>290.1825</v>
      </c>
      <c r="U878" s="9">
        <f t="shared" si="5"/>
        <v>-0.03164387928</v>
      </c>
      <c r="V878" s="15">
        <f>IFERROR(__xludf.DUMMYFUNCTION("LET(hist, GOOGLEFINANCE(A878,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rs))))))"),50.78484223878231)</f>
        <v>50.78484224</v>
      </c>
      <c r="W878" s="16" t="str">
        <f>IFERROR(__xludf.DUMMYFUNCTION("IFERROR(GOOGLEFINANCE(A878, ""volume"") / GOOGLEFINANCE(A878, ""volumeavg""), )"),"")</f>
        <v/>
      </c>
      <c r="X878" s="9">
        <f>IFERROR(__xludf.DUMMYFUNCTION("B878 * GOOGLEFINANCE(A878, ""volume"")"),3.31299562E8)</f>
        <v>331299562</v>
      </c>
      <c r="Y878" s="9">
        <f>IFERROR(__xludf.DUMMYFUNCTION("IFERROR(((B878 - GOOGLEFINANCE(A878, ""priceopen"")) / GOOGLEFINANCE(A878, ""priceopen"")) * GOOGLEFINANCE(A878, ""volume""), 0)"),-36392.71564062765)</f>
        <v>-36392.71564</v>
      </c>
    </row>
    <row r="879">
      <c r="A879" s="4" t="s">
        <v>2672</v>
      </c>
      <c r="B879" s="7">
        <f>IFERROR(__xludf.DUMMYFUNCTION("GOOGLEFINANCE(A879, ""price"")"),85.29)</f>
        <v>85.29</v>
      </c>
      <c r="C879" s="7">
        <f>IFERROR(__xludf.DUMMYFUNCTION("GOOGLEFINANCE(A879, ""changepct"")"),-4.99)</f>
        <v>-4.99</v>
      </c>
      <c r="D879" s="9">
        <f>IFERROR(__xludf.DUMMYFUNCTION("GOOGLEFINANCE(A879, ""priceopen"")"),85.29)</f>
        <v>85.29</v>
      </c>
      <c r="E879" s="9">
        <f>IFERROR(__xludf.DUMMYFUNCTION("GOOGLEFINANCE(A879, ""high"")"),87.8)</f>
        <v>87.8</v>
      </c>
      <c r="F879" s="9">
        <f>IFERROR(__xludf.DUMMYFUNCTION("GOOGLEFINANCE(A879, ""low"")"),85.29)</f>
        <v>85.29</v>
      </c>
      <c r="G879" s="9">
        <f>IFERROR(__xludf.DUMMYFUNCTION("GOOGLEFINANCE(A879, ""price"")"),85.29)</f>
        <v>85.29</v>
      </c>
      <c r="H879" s="9">
        <f>IFERROR(__xludf.DUMMYFUNCTION("MAX(INDEX(GOOGLEFINANCE(A879, ""high"", TODAY()-30, TODAY()), 0, 2))"),106.4)</f>
        <v>106.4</v>
      </c>
      <c r="I879" s="9">
        <f>IFERROR(__xludf.DUMMYFUNCTION("MIN(INDEX(GOOGLEFINANCE(A879, ""low"", TODAY()-30, TODAY()), 0, 2))"),85.29)</f>
        <v>85.29</v>
      </c>
      <c r="J879" s="9">
        <f>IFERROR(__xludf.DUMMYFUNCTION("GOOGLEFINANCE(A879, ""high52"")"),157.3)</f>
        <v>157.3</v>
      </c>
      <c r="K879" s="9">
        <f>IFERROR(__xludf.DUMMYFUNCTION("GOOGLEFINANCE(A879, ""low52"")"),50.4)</f>
        <v>50.4</v>
      </c>
      <c r="L879" s="9">
        <f t="shared" si="1"/>
        <v>0.4577876669</v>
      </c>
      <c r="M879" s="9">
        <f t="shared" si="2"/>
        <v>0.6922619048</v>
      </c>
      <c r="N879" s="9">
        <f t="shared" si="3"/>
        <v>0.02942900692</v>
      </c>
      <c r="O879" s="9">
        <f t="shared" si="4"/>
        <v>0</v>
      </c>
      <c r="P879" s="9">
        <f>IFERROR(__xludf.DUMMYFUNCTION("GOOGLEFINANCE(A879, ""pe"")"),12.22)</f>
        <v>12.22</v>
      </c>
      <c r="Q879" s="9">
        <f>IFERROR(__xludf.DUMMYFUNCTION("IFERROR(GOOGLEFINANCE(A879, ""volume"") / GOOGLEFINANCE(A879, ""volumeavg""), 0)"),0.0)</f>
        <v>0</v>
      </c>
      <c r="R879" s="9">
        <f>IFERROR(__xludf.DUMMYFUNCTION("AVERAGE(INDEX(GOOGLEFINANCE(A879, ""price"", TODAY()-30, TODAY()), 0, 2))"),97.45173913043477)</f>
        <v>97.45173913</v>
      </c>
      <c r="S879" s="9">
        <f>IFERROR(__xludf.DUMMYFUNCTION("AVERAGE(INDEX(GOOGLEFINANCE(A879, ""price"", TODAY()-75, TODAY()), 0, 2))"),101.2975471698113)</f>
        <v>101.2975472</v>
      </c>
      <c r="T879" s="9">
        <f>IFERROR(__xludf.DUMMYFUNCTION("AVERAGE(INDEX(GOOGLEFINANCE(A879, ""price"", TODAY()-300, TODAY()), 0, 2))"),94.18336633663365)</f>
        <v>94.18336634</v>
      </c>
      <c r="U879" s="9">
        <f t="shared" si="5"/>
        <v>-0.1247975587</v>
      </c>
      <c r="V879" s="15">
        <f>IFERROR(__xludf.DUMMYFUNCTION("LET(hist, GOOGLEFINANCE(A879,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rs))))))"),21.975122502826963)</f>
        <v>21.9751225</v>
      </c>
      <c r="W879" s="16" t="str">
        <f>IFERROR(__xludf.DUMMYFUNCTION("IFERROR(GOOGLEFINANCE(A879, ""volume"") / GOOGLEFINANCE(A879, ""volumeavg""), )"),"")</f>
        <v/>
      </c>
      <c r="X879" s="9">
        <f>IFERROR(__xludf.DUMMYFUNCTION("B879 * GOOGLEFINANCE(A879, ""volume"")"),3.4727759583000004E8)</f>
        <v>347277595.8</v>
      </c>
      <c r="Y879" s="9">
        <f>IFERROR(__xludf.DUMMYFUNCTION("IFERROR(((B879 - GOOGLEFINANCE(A879, ""priceopen"")) / GOOGLEFINANCE(A879, ""priceopen"")) * GOOGLEFINANCE(A879, ""volume""), 0)"),0.0)</f>
        <v>0</v>
      </c>
    </row>
    <row r="880">
      <c r="A880" s="4" t="s">
        <v>2673</v>
      </c>
      <c r="B880" s="7">
        <f>IFERROR(__xludf.DUMMYFUNCTION("GOOGLEFINANCE(A880, ""price"")"),473.5)</f>
        <v>473.5</v>
      </c>
      <c r="C880" s="7">
        <f>IFERROR(__xludf.DUMMYFUNCTION("GOOGLEFINANCE(A880, ""changepct"")"),5.34)</f>
        <v>5.34</v>
      </c>
      <c r="D880" s="9">
        <f>IFERROR(__xludf.DUMMYFUNCTION("GOOGLEFINANCE(A880, ""priceopen"")"),454.8)</f>
        <v>454.8</v>
      </c>
      <c r="E880" s="9">
        <f>IFERROR(__xludf.DUMMYFUNCTION("GOOGLEFINANCE(A880, ""high"")"),476.85)</f>
        <v>476.85</v>
      </c>
      <c r="F880" s="9">
        <f>IFERROR(__xludf.DUMMYFUNCTION("GOOGLEFINANCE(A880, ""low"")"),449.8)</f>
        <v>449.8</v>
      </c>
      <c r="G880" s="9">
        <f>IFERROR(__xludf.DUMMYFUNCTION("GOOGLEFINANCE(A880, ""price"")"),473.5)</f>
        <v>473.5</v>
      </c>
      <c r="H880" s="9">
        <f>IFERROR(__xludf.DUMMYFUNCTION("MAX(INDEX(GOOGLEFINANCE(A880, ""high"", TODAY()-30, TODAY()), 0, 2))"),476.85)</f>
        <v>476.85</v>
      </c>
      <c r="I880" s="9">
        <f>IFERROR(__xludf.DUMMYFUNCTION("MIN(INDEX(GOOGLEFINANCE(A880, ""low"", TODAY()-30, TODAY()), 0, 2))"),401.35)</f>
        <v>401.35</v>
      </c>
      <c r="J880" s="9">
        <f>IFERROR(__xludf.DUMMYFUNCTION("GOOGLEFINANCE(A880, ""high52"")"),520.0)</f>
        <v>520</v>
      </c>
      <c r="K880" s="9">
        <f>IFERROR(__xludf.DUMMYFUNCTION("GOOGLEFINANCE(A880, ""low52"")"),268.0)</f>
        <v>268</v>
      </c>
      <c r="L880" s="9">
        <f t="shared" si="1"/>
        <v>0.08942307692</v>
      </c>
      <c r="M880" s="9">
        <f t="shared" si="2"/>
        <v>0.7667910448</v>
      </c>
      <c r="N880" s="9">
        <f t="shared" si="3"/>
        <v>0.06013783904</v>
      </c>
      <c r="O880" s="9">
        <f t="shared" si="4"/>
        <v>0.9556291391</v>
      </c>
      <c r="P880" s="9">
        <f>IFERROR(__xludf.DUMMYFUNCTION("GOOGLEFINANCE(A880, ""pe"")"),34.9)</f>
        <v>34.9</v>
      </c>
      <c r="Q880" s="9">
        <f>IFERROR(__xludf.DUMMYFUNCTION("IFERROR(GOOGLEFINANCE(A880, ""volume"") / GOOGLEFINANCE(A880, ""volumeavg""), 0)"),0.0)</f>
        <v>0</v>
      </c>
      <c r="R880" s="9">
        <f>IFERROR(__xludf.DUMMYFUNCTION("AVERAGE(INDEX(GOOGLEFINANCE(A880, ""price"", TODAY()-30, TODAY()), 0, 2))"),435.41521739130434)</f>
        <v>435.4152174</v>
      </c>
      <c r="S880" s="9">
        <f>IFERROR(__xludf.DUMMYFUNCTION("AVERAGE(INDEX(GOOGLEFINANCE(A880, ""price"", TODAY()-75, TODAY()), 0, 2))"),415.45377358490566)</f>
        <v>415.4537736</v>
      </c>
      <c r="T880" s="9">
        <f>IFERROR(__xludf.DUMMYFUNCTION("AVERAGE(INDEX(GOOGLEFINANCE(A880, ""price"", TODAY()-300, TODAY()), 0, 2))"),354.35074257425754)</f>
        <v>354.3507426</v>
      </c>
      <c r="U880" s="9">
        <f t="shared" si="5"/>
        <v>0.08746773445</v>
      </c>
      <c r="V880" s="15">
        <f>IFERROR(__xludf.DUMMYFUNCTION("LET(hist, GOOGLEFINANCE(A880,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rs))))))"),70.2082057562768)</f>
        <v>70.20820576</v>
      </c>
      <c r="W880" s="16" t="str">
        <f>IFERROR(__xludf.DUMMYFUNCTION("IFERROR(GOOGLEFINANCE(A880, ""volume"") / GOOGLEFINANCE(A880, ""volumeavg""), )"),"")</f>
        <v/>
      </c>
      <c r="X880" s="9">
        <f>IFERROR(__xludf.DUMMYFUNCTION("B880 * GOOGLEFINANCE(A880, ""volume"")"),3.679772105E8)</f>
        <v>367977210.5</v>
      </c>
      <c r="Y880" s="9">
        <f>IFERROR(__xludf.DUMMYFUNCTION("IFERROR(((B880 - GOOGLEFINANCE(A880, ""priceopen"")) / GOOGLEFINANCE(A880, ""priceopen"")) * GOOGLEFINANCE(A880, ""volume""), 0)"),31953.76890941071)</f>
        <v>31953.76891</v>
      </c>
    </row>
    <row r="881">
      <c r="A881" s="4" t="s">
        <v>2674</v>
      </c>
      <c r="B881" s="7">
        <f>IFERROR(__xludf.DUMMYFUNCTION("GOOGLEFINANCE(A881, ""price"")"),214.0)</f>
        <v>214</v>
      </c>
      <c r="C881" s="7">
        <f>IFERROR(__xludf.DUMMYFUNCTION("GOOGLEFINANCE(A881, ""changepct"")"),-2.24)</f>
        <v>-2.24</v>
      </c>
      <c r="D881" s="9">
        <f>IFERROR(__xludf.DUMMYFUNCTION("GOOGLEFINANCE(A881, ""priceopen"")"),219.2)</f>
        <v>219.2</v>
      </c>
      <c r="E881" s="9">
        <f>IFERROR(__xludf.DUMMYFUNCTION("GOOGLEFINANCE(A881, ""high"")"),222.8)</f>
        <v>222.8</v>
      </c>
      <c r="F881" s="9">
        <f>IFERROR(__xludf.DUMMYFUNCTION("GOOGLEFINANCE(A881, ""low"")"),212.21)</f>
        <v>212.21</v>
      </c>
      <c r="G881" s="9">
        <f>IFERROR(__xludf.DUMMYFUNCTION("GOOGLEFINANCE(A881, ""price"")"),214.0)</f>
        <v>214</v>
      </c>
      <c r="H881" s="9">
        <f>IFERROR(__xludf.DUMMYFUNCTION("MAX(INDEX(GOOGLEFINANCE(A881, ""high"", TODAY()-30, TODAY()), 0, 2))"),262.77)</f>
        <v>262.77</v>
      </c>
      <c r="I881" s="9">
        <f>IFERROR(__xludf.DUMMYFUNCTION("MIN(INDEX(GOOGLEFINANCE(A881, ""low"", TODAY()-30, TODAY()), 0, 2))"),211.18)</f>
        <v>211.18</v>
      </c>
      <c r="J881" s="9">
        <f>IFERROR(__xludf.DUMMYFUNCTION("GOOGLEFINANCE(A881, ""high52"")"),262.77)</f>
        <v>262.77</v>
      </c>
      <c r="K881" s="9">
        <f>IFERROR(__xludf.DUMMYFUNCTION("GOOGLEFINANCE(A881, ""low52"")"),141.2)</f>
        <v>141.2</v>
      </c>
      <c r="L881" s="9">
        <f t="shared" si="1"/>
        <v>0.1855995738</v>
      </c>
      <c r="M881" s="9">
        <f t="shared" si="2"/>
        <v>0.5155807365</v>
      </c>
      <c r="N881" s="9">
        <f t="shared" si="3"/>
        <v>0.04990339758</v>
      </c>
      <c r="O881" s="9">
        <f t="shared" si="4"/>
        <v>0.05466175615</v>
      </c>
      <c r="P881" s="9">
        <f>IFERROR(__xludf.DUMMYFUNCTION("GOOGLEFINANCE(A881, ""pe"")"),14.74)</f>
        <v>14.74</v>
      </c>
      <c r="Q881" s="9">
        <f>IFERROR(__xludf.DUMMYFUNCTION("IFERROR(GOOGLEFINANCE(A881, ""volume"") / GOOGLEFINANCE(A881, ""volumeavg""), 0)"),0.0)</f>
        <v>0</v>
      </c>
      <c r="R881" s="9">
        <f>IFERROR(__xludf.DUMMYFUNCTION("AVERAGE(INDEX(GOOGLEFINANCE(A881, ""price"", TODAY()-30, TODAY()), 0, 2))"),239.19478260869565)</f>
        <v>239.1947826</v>
      </c>
      <c r="S881" s="9">
        <f>IFERROR(__xludf.DUMMYFUNCTION("AVERAGE(INDEX(GOOGLEFINANCE(A881, ""price"", TODAY()-75, TODAY()), 0, 2))"),217.05226415094342)</f>
        <v>217.0522642</v>
      </c>
      <c r="T881" s="9">
        <f>IFERROR(__xludf.DUMMYFUNCTION("AVERAGE(INDEX(GOOGLEFINANCE(A881, ""price"", TODAY()-300, TODAY()), 0, 2))"),186.57816831683158)</f>
        <v>186.5781683</v>
      </c>
      <c r="U881" s="9">
        <f t="shared" si="5"/>
        <v>-0.1053316562</v>
      </c>
      <c r="V881" s="15">
        <f>IFERROR(__xludf.DUMMYFUNCTION("LET(hist, GOOGLEFINANCE(A881,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rs))))))"),31.06172178337127)</f>
        <v>31.06172178</v>
      </c>
      <c r="W881" s="16" t="str">
        <f>IFERROR(__xludf.DUMMYFUNCTION("IFERROR(GOOGLEFINANCE(A881, ""volume"") / GOOGLEFINANCE(A881, ""volumeavg""), )"),"")</f>
        <v/>
      </c>
      <c r="X881" s="9">
        <f>IFERROR(__xludf.DUMMYFUNCTION("B881 * GOOGLEFINANCE(A881, ""volume"")"),9.6401008E7)</f>
        <v>96401008</v>
      </c>
      <c r="Y881" s="9">
        <f>IFERROR(__xludf.DUMMYFUNCTION("IFERROR(((B881 - GOOGLEFINANCE(A881, ""priceopen"")) / GOOGLEFINANCE(A881, ""priceopen"")) * GOOGLEFINANCE(A881, ""volume""), 0)"),-10686.379562043774)</f>
        <v>-10686.37956</v>
      </c>
    </row>
    <row r="882">
      <c r="A882" s="4" t="s">
        <v>2675</v>
      </c>
      <c r="B882" s="7">
        <f>IFERROR(__xludf.DUMMYFUNCTION("GOOGLEFINANCE(A882, ""price"")"),1722.8)</f>
        <v>1722.8</v>
      </c>
      <c r="C882" s="7">
        <f>IFERROR(__xludf.DUMMYFUNCTION("GOOGLEFINANCE(A882, ""changepct"")"),-3.51)</f>
        <v>-3.51</v>
      </c>
      <c r="D882" s="9">
        <f>IFERROR(__xludf.DUMMYFUNCTION("GOOGLEFINANCE(A882, ""priceopen"")"),1810.0)</f>
        <v>1810</v>
      </c>
      <c r="E882" s="9">
        <f>IFERROR(__xludf.DUMMYFUNCTION("GOOGLEFINANCE(A882, ""high"")"),1829.0)</f>
        <v>1829</v>
      </c>
      <c r="F882" s="9">
        <f>IFERROR(__xludf.DUMMYFUNCTION("GOOGLEFINANCE(A882, ""low"")"),1722.5)</f>
        <v>1722.5</v>
      </c>
      <c r="G882" s="9">
        <f>IFERROR(__xludf.DUMMYFUNCTION("GOOGLEFINANCE(A882, ""price"")"),1722.8)</f>
        <v>1722.8</v>
      </c>
      <c r="H882" s="9">
        <f>IFERROR(__xludf.DUMMYFUNCTION("MAX(INDEX(GOOGLEFINANCE(A882, ""high"", TODAY()-30, TODAY()), 0, 2))"),1838.1)</f>
        <v>1838.1</v>
      </c>
      <c r="I882" s="9">
        <f>IFERROR(__xludf.DUMMYFUNCTION("MIN(INDEX(GOOGLEFINANCE(A882, ""low"", TODAY()-30, TODAY()), 0, 2))"),1287.0)</f>
        <v>1287</v>
      </c>
      <c r="J882" s="9">
        <f>IFERROR(__xludf.DUMMYFUNCTION("GOOGLEFINANCE(A882, ""high52"")"),1838.1)</f>
        <v>1838.1</v>
      </c>
      <c r="K882" s="9">
        <f>IFERROR(__xludf.DUMMYFUNCTION("GOOGLEFINANCE(A882, ""low52"")"),976.4)</f>
        <v>976.4</v>
      </c>
      <c r="L882" s="9">
        <f t="shared" si="1"/>
        <v>0.06272781677</v>
      </c>
      <c r="M882" s="9">
        <f t="shared" si="2"/>
        <v>0.7644408029</v>
      </c>
      <c r="N882" s="9">
        <f t="shared" si="3"/>
        <v>0.0618287373</v>
      </c>
      <c r="O882" s="9">
        <f t="shared" si="4"/>
        <v>0.7907820722</v>
      </c>
      <c r="P882" s="9">
        <f>IFERROR(__xludf.DUMMYFUNCTION("GOOGLEFINANCE(A882, ""pe"")"),78.41)</f>
        <v>78.41</v>
      </c>
      <c r="Q882" s="9">
        <f>IFERROR(__xludf.DUMMYFUNCTION("IFERROR(GOOGLEFINANCE(A882, ""volume"") / GOOGLEFINANCE(A882, ""volumeavg""), 0)"),0.0)</f>
        <v>0</v>
      </c>
      <c r="R882" s="9">
        <f>IFERROR(__xludf.DUMMYFUNCTION("AVERAGE(INDEX(GOOGLEFINANCE(A882, ""price"", TODAY()-30, TODAY()), 0, 2))"),1663.2260869565216)</f>
        <v>1663.226087</v>
      </c>
      <c r="S882" s="9">
        <f>IFERROR(__xludf.DUMMYFUNCTION("AVERAGE(INDEX(GOOGLEFINANCE(A882, ""price"", TODAY()-75, TODAY()), 0, 2))"),1400.5339622641513)</f>
        <v>1400.533962</v>
      </c>
      <c r="T882" s="9">
        <f>IFERROR(__xludf.DUMMYFUNCTION("AVERAGE(INDEX(GOOGLEFINANCE(A882, ""price"", TODAY()-300, TODAY()), 0, 2))"),1323.2589108910893)</f>
        <v>1323.258911</v>
      </c>
      <c r="U882" s="9">
        <f t="shared" si="5"/>
        <v>0.03581828923</v>
      </c>
      <c r="V882" s="15">
        <f>IFERROR(__xludf.DUMMYFUNCTION("LET(hist, GOOGLEFINANCE(A882,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rs))))))"),52.64496439471008)</f>
        <v>52.64496439</v>
      </c>
      <c r="W882" s="16" t="str">
        <f>IFERROR(__xludf.DUMMYFUNCTION("IFERROR(GOOGLEFINANCE(A882, ""volume"") / GOOGLEFINANCE(A882, ""volumeavg""), )"),"")</f>
        <v/>
      </c>
      <c r="X882" s="9">
        <f>IFERROR(__xludf.DUMMYFUNCTION("B882 * GOOGLEFINANCE(A882, ""volume"")"),9.17235948E7)</f>
        <v>91723594.8</v>
      </c>
      <c r="Y882" s="9">
        <f>IFERROR(__xludf.DUMMYFUNCTION("IFERROR(((B882 - GOOGLEFINANCE(A882, ""priceopen"")) / GOOGLEFINANCE(A882, ""priceopen"")) * GOOGLEFINANCE(A882, ""volume""), 0)"),-2564.9807734806645)</f>
        <v>-2564.980773</v>
      </c>
    </row>
    <row r="883">
      <c r="A883" s="4" t="s">
        <v>2676</v>
      </c>
      <c r="B883" s="7">
        <f>IFERROR(__xludf.DUMMYFUNCTION("GOOGLEFINANCE(A883, ""price"")"),293.8)</f>
        <v>293.8</v>
      </c>
      <c r="C883" s="7">
        <f>IFERROR(__xludf.DUMMYFUNCTION("GOOGLEFINANCE(A883, ""changepct"")"),-0.32)</f>
        <v>-0.32</v>
      </c>
      <c r="D883" s="9">
        <f>IFERROR(__xludf.DUMMYFUNCTION("GOOGLEFINANCE(A883, ""priceopen"")"),297.0)</f>
        <v>297</v>
      </c>
      <c r="E883" s="9">
        <f>IFERROR(__xludf.DUMMYFUNCTION("GOOGLEFINANCE(A883, ""high"")"),297.7)</f>
        <v>297.7</v>
      </c>
      <c r="F883" s="9">
        <f>IFERROR(__xludf.DUMMYFUNCTION("GOOGLEFINANCE(A883, ""low"")"),291.75)</f>
        <v>291.75</v>
      </c>
      <c r="G883" s="9">
        <f>IFERROR(__xludf.DUMMYFUNCTION("GOOGLEFINANCE(A883, ""price"")"),293.8)</f>
        <v>293.8</v>
      </c>
      <c r="H883" s="9">
        <f>IFERROR(__xludf.DUMMYFUNCTION("MAX(INDEX(GOOGLEFINANCE(A883, ""high"", TODAY()-30, TODAY()), 0, 2))"),349.15)</f>
        <v>349.15</v>
      </c>
      <c r="I883" s="9">
        <f>IFERROR(__xludf.DUMMYFUNCTION("MIN(INDEX(GOOGLEFINANCE(A883, ""low"", TODAY()-30, TODAY()), 0, 2))"),290.1)</f>
        <v>290.1</v>
      </c>
      <c r="J883" s="9">
        <f>IFERROR(__xludf.DUMMYFUNCTION("GOOGLEFINANCE(A883, ""high52"")"),417.05)</f>
        <v>417.05</v>
      </c>
      <c r="K883" s="9">
        <f>IFERROR(__xludf.DUMMYFUNCTION("GOOGLEFINANCE(A883, ""low52"")"),188.0)</f>
        <v>188</v>
      </c>
      <c r="L883" s="9">
        <f t="shared" si="1"/>
        <v>0.2955281141</v>
      </c>
      <c r="M883" s="9">
        <f t="shared" si="2"/>
        <v>0.5627659574</v>
      </c>
      <c r="N883" s="9">
        <f t="shared" si="3"/>
        <v>0.02039417309</v>
      </c>
      <c r="O883" s="9">
        <f t="shared" si="4"/>
        <v>0.06265876376</v>
      </c>
      <c r="P883" s="9">
        <f>IFERROR(__xludf.DUMMYFUNCTION("GOOGLEFINANCE(A883, ""pe"")"),15.32)</f>
        <v>15.32</v>
      </c>
      <c r="Q883" s="9">
        <f>IFERROR(__xludf.DUMMYFUNCTION("IFERROR(GOOGLEFINANCE(A883, ""volume"") / GOOGLEFINANCE(A883, ""volumeavg""), 0)"),0.0)</f>
        <v>0</v>
      </c>
      <c r="R883" s="9">
        <f>IFERROR(__xludf.DUMMYFUNCTION("AVERAGE(INDEX(GOOGLEFINANCE(A883, ""price"", TODAY()-30, TODAY()), 0, 2))"),310.64347826086953)</f>
        <v>310.6434783</v>
      </c>
      <c r="S883" s="9">
        <f>IFERROR(__xludf.DUMMYFUNCTION("AVERAGE(INDEX(GOOGLEFINANCE(A883, ""price"", TODAY()-75, TODAY()), 0, 2))"),321.89811320754717)</f>
        <v>321.8981132</v>
      </c>
      <c r="T883" s="9">
        <f>IFERROR(__xludf.DUMMYFUNCTION("AVERAGE(INDEX(GOOGLEFINANCE(A883, ""price"", TODAY()-300, TODAY()), 0, 2))"),282.85579207920784)</f>
        <v>282.8557921</v>
      </c>
      <c r="U883" s="9">
        <f t="shared" si="5"/>
        <v>-0.05422125182</v>
      </c>
      <c r="V883" s="15">
        <f>IFERROR(__xludf.DUMMYFUNCTION("LET(hist, GOOGLEFINANCE(A883,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rs))))))"),37.17868338557993)</f>
        <v>37.17868339</v>
      </c>
      <c r="W883" s="16" t="str">
        <f>IFERROR(__xludf.DUMMYFUNCTION("IFERROR(GOOGLEFINANCE(A883, ""volume"") / GOOGLEFINANCE(A883, ""volumeavg""), )"),"")</f>
        <v/>
      </c>
      <c r="X883" s="9">
        <f>IFERROR(__xludf.DUMMYFUNCTION("B883 * GOOGLEFINANCE(A883, ""volume"")"),9.485979360000001E7)</f>
        <v>94859793.6</v>
      </c>
      <c r="Y883" s="9">
        <f>IFERROR(__xludf.DUMMYFUNCTION("IFERROR(((B883 - GOOGLEFINANCE(A883, ""priceopen"")) / GOOGLEFINANCE(A883, ""priceopen"")) * GOOGLEFINANCE(A883, ""volume""), 0)"),-3478.755555555543)</f>
        <v>-3478.755556</v>
      </c>
    </row>
    <row r="884">
      <c r="A884" s="4" t="s">
        <v>2677</v>
      </c>
      <c r="B884" s="7">
        <f>IFERROR(__xludf.DUMMYFUNCTION("GOOGLEFINANCE(A884, ""price"")"),123.12)</f>
        <v>123.12</v>
      </c>
      <c r="C884" s="7">
        <f>IFERROR(__xludf.DUMMYFUNCTION("GOOGLEFINANCE(A884, ""changepct"")"),-1.09)</f>
        <v>-1.09</v>
      </c>
      <c r="D884" s="9">
        <f>IFERROR(__xludf.DUMMYFUNCTION("GOOGLEFINANCE(A884, ""priceopen"")"),125.03)</f>
        <v>125.03</v>
      </c>
      <c r="E884" s="9">
        <f>IFERROR(__xludf.DUMMYFUNCTION("GOOGLEFINANCE(A884, ""high"")"),126.0)</f>
        <v>126</v>
      </c>
      <c r="F884" s="9">
        <f>IFERROR(__xludf.DUMMYFUNCTION("GOOGLEFINANCE(A884, ""low"")"),122.2)</f>
        <v>122.2</v>
      </c>
      <c r="G884" s="9">
        <f>IFERROR(__xludf.DUMMYFUNCTION("GOOGLEFINANCE(A884, ""price"")"),123.12)</f>
        <v>123.12</v>
      </c>
      <c r="H884" s="9">
        <f>IFERROR(__xludf.DUMMYFUNCTION("MAX(INDEX(GOOGLEFINANCE(A884, ""high"", TODAY()-30, TODAY()), 0, 2))"),158.79)</f>
        <v>158.79</v>
      </c>
      <c r="I884" s="9">
        <f>IFERROR(__xludf.DUMMYFUNCTION("MIN(INDEX(GOOGLEFINANCE(A884, ""low"", TODAY()-30, TODAY()), 0, 2))"),122.2)</f>
        <v>122.2</v>
      </c>
      <c r="J884" s="9">
        <f>IFERROR(__xludf.DUMMYFUNCTION("GOOGLEFINANCE(A884, ""high52"")"),224.0)</f>
        <v>224</v>
      </c>
      <c r="K884" s="9">
        <f>IFERROR(__xludf.DUMMYFUNCTION("GOOGLEFINANCE(A884, ""low52"")"),111.4)</f>
        <v>111.4</v>
      </c>
      <c r="L884" s="9">
        <f t="shared" si="1"/>
        <v>0.4503571429</v>
      </c>
      <c r="M884" s="9">
        <f t="shared" si="2"/>
        <v>0.1052064632</v>
      </c>
      <c r="N884" s="9">
        <f t="shared" si="3"/>
        <v>0.03109656301</v>
      </c>
      <c r="O884" s="9">
        <f t="shared" si="4"/>
        <v>0.02514348183</v>
      </c>
      <c r="P884" s="9">
        <f>IFERROR(__xludf.DUMMYFUNCTION("GOOGLEFINANCE(A884, ""pe"")"),20.52)</f>
        <v>20.52</v>
      </c>
      <c r="Q884" s="9">
        <f>IFERROR(__xludf.DUMMYFUNCTION("IFERROR(GOOGLEFINANCE(A884, ""volume"") / GOOGLEFINANCE(A884, ""volumeavg""), 0)"),0.0)</f>
        <v>0</v>
      </c>
      <c r="R884" s="9">
        <f>IFERROR(__xludf.DUMMYFUNCTION("AVERAGE(INDEX(GOOGLEFINANCE(A884, ""price"", TODAY()-30, TODAY()), 0, 2))"),128.6926086956522)</f>
        <v>128.6926087</v>
      </c>
      <c r="S884" s="9">
        <f>IFERROR(__xludf.DUMMYFUNCTION("AVERAGE(INDEX(GOOGLEFINANCE(A884, ""price"", TODAY()-75, TODAY()), 0, 2))"),124.74867924528303)</f>
        <v>124.7486792</v>
      </c>
      <c r="T884" s="9">
        <f>IFERROR(__xludf.DUMMYFUNCTION("AVERAGE(INDEX(GOOGLEFINANCE(A884, ""price"", TODAY()-300, TODAY()), 0, 2))"),153.69265432098763)</f>
        <v>153.6926543</v>
      </c>
      <c r="U884" s="9">
        <f t="shared" si="5"/>
        <v>-0.0433016997</v>
      </c>
      <c r="V884" s="15">
        <f>IFERROR(__xludf.DUMMYFUNCTION("LET(hist, GOOGLEFINANCE(A884,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rs))))))"),30.74565883554645)</f>
        <v>30.74565884</v>
      </c>
      <c r="W884" s="16" t="str">
        <f>IFERROR(__xludf.DUMMYFUNCTION("IFERROR(GOOGLEFINANCE(A884, ""volume"") / GOOGLEFINANCE(A884, ""volumeavg""), )"),"")</f>
        <v/>
      </c>
      <c r="X884" s="9">
        <f>IFERROR(__xludf.DUMMYFUNCTION("B884 * GOOGLEFINANCE(A884, ""volume"")"),7.254058032000001E7)</f>
        <v>72540580.32</v>
      </c>
      <c r="Y884" s="9">
        <f>IFERROR(__xludf.DUMMYFUNCTION("IFERROR(((B884 - GOOGLEFINANCE(A884, ""priceopen"")) / GOOGLEFINANCE(A884, ""priceopen"")) * GOOGLEFINANCE(A884, ""volume""), 0)"),-9000.601935535455)</f>
        <v>-9000.601936</v>
      </c>
    </row>
    <row r="885">
      <c r="A885" s="4" t="s">
        <v>2678</v>
      </c>
      <c r="B885" s="7">
        <f>IFERROR(__xludf.DUMMYFUNCTION("GOOGLEFINANCE(A885, ""price"")"),3835.0)</f>
        <v>3835</v>
      </c>
      <c r="C885" s="7">
        <f>IFERROR(__xludf.DUMMYFUNCTION("GOOGLEFINANCE(A885, ""changepct"")"),3.02)</f>
        <v>3.02</v>
      </c>
      <c r="D885" s="9">
        <f>IFERROR(__xludf.DUMMYFUNCTION("GOOGLEFINANCE(A885, ""priceopen"")"),3798.0)</f>
        <v>3798</v>
      </c>
      <c r="E885" s="9">
        <f>IFERROR(__xludf.DUMMYFUNCTION("GOOGLEFINANCE(A885, ""high"")"),3870.0)</f>
        <v>3870</v>
      </c>
      <c r="F885" s="9">
        <f>IFERROR(__xludf.DUMMYFUNCTION("GOOGLEFINANCE(A885, ""low"")"),3550.1)</f>
        <v>3550.1</v>
      </c>
      <c r="G885" s="9">
        <f>IFERROR(__xludf.DUMMYFUNCTION("GOOGLEFINANCE(A885, ""price"")"),3835.0)</f>
        <v>3835</v>
      </c>
      <c r="H885" s="9">
        <f>IFERROR(__xludf.DUMMYFUNCTION("MAX(INDEX(GOOGLEFINANCE(A885, ""high"", TODAY()-30, TODAY()), 0, 2))"),4180.0)</f>
        <v>4180</v>
      </c>
      <c r="I885" s="9">
        <f>IFERROR(__xludf.DUMMYFUNCTION("MIN(INDEX(GOOGLEFINANCE(A885, ""low"", TODAY()-30, TODAY()), 0, 2))"),3550.1)</f>
        <v>3550.1</v>
      </c>
      <c r="J885" s="9">
        <f>IFERROR(__xludf.DUMMYFUNCTION("GOOGLEFINANCE(A885, ""high52"")"),4574.8)</f>
        <v>4574.8</v>
      </c>
      <c r="K885" s="9">
        <f>IFERROR(__xludf.DUMMYFUNCTION("GOOGLEFINANCE(A885, ""low52"")"),2463.0)</f>
        <v>2463</v>
      </c>
      <c r="L885" s="9">
        <f t="shared" si="1"/>
        <v>0.1617119874</v>
      </c>
      <c r="M885" s="9">
        <f t="shared" si="2"/>
        <v>0.557044255</v>
      </c>
      <c r="N885" s="9">
        <f t="shared" si="3"/>
        <v>0.09011013774</v>
      </c>
      <c r="O885" s="9">
        <f t="shared" si="4"/>
        <v>0.4522940149</v>
      </c>
      <c r="P885" s="9">
        <f>IFERROR(__xludf.DUMMYFUNCTION("GOOGLEFINANCE(A885, ""pe"")"),17.69)</f>
        <v>17.69</v>
      </c>
      <c r="Q885" s="9">
        <f>IFERROR(__xludf.DUMMYFUNCTION("IFERROR(GOOGLEFINANCE(A885, ""volume"") / GOOGLEFINANCE(A885, ""volumeavg""), 0)"),0.0)</f>
        <v>0</v>
      </c>
      <c r="R885" s="9">
        <f>IFERROR(__xludf.DUMMYFUNCTION("AVERAGE(INDEX(GOOGLEFINANCE(A885, ""price"", TODAY()-30, TODAY()), 0, 2))"),3839.8782608695656)</f>
        <v>3839.878261</v>
      </c>
      <c r="S885" s="9">
        <f>IFERROR(__xludf.DUMMYFUNCTION("AVERAGE(INDEX(GOOGLEFINANCE(A885, ""price"", TODAY()-75, TODAY()), 0, 2))"),3721.8150943396226)</f>
        <v>3721.815094</v>
      </c>
      <c r="T885" s="9">
        <f>IFERROR(__xludf.DUMMYFUNCTION("AVERAGE(INDEX(GOOGLEFINANCE(A885, ""price"", TODAY()-300, TODAY()), 0, 2))"),3348.635643564357)</f>
        <v>3348.635644</v>
      </c>
      <c r="U885" s="9">
        <f t="shared" si="5"/>
        <v>-0.001270420711</v>
      </c>
      <c r="V885" s="15">
        <f>IFERROR(__xludf.DUMMYFUNCTION("LET(hist, GOOGLEFINANCE(A885,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rs))))))"),52.59283494192703)</f>
        <v>52.59283494</v>
      </c>
      <c r="W885" s="16" t="str">
        <f>IFERROR(__xludf.DUMMYFUNCTION("IFERROR(GOOGLEFINANCE(A885, ""volume"") / GOOGLEFINANCE(A885, ""volumeavg""), )"),"")</f>
        <v/>
      </c>
      <c r="X885" s="9">
        <f>IFERROR(__xludf.DUMMYFUNCTION("B885 * GOOGLEFINANCE(A885, ""volume"")"),3.1422456E8)</f>
        <v>314224560</v>
      </c>
      <c r="Y885" s="9">
        <f>IFERROR(__xludf.DUMMYFUNCTION("IFERROR(((B885 - GOOGLEFINANCE(A885, ""priceopen"")) / GOOGLEFINANCE(A885, ""priceopen"")) * GOOGLEFINANCE(A885, ""volume""), 0)"),798.2180094786729)</f>
        <v>798.2180095</v>
      </c>
    </row>
    <row r="886">
      <c r="A886" s="4" t="s">
        <v>2679</v>
      </c>
      <c r="B886" s="7">
        <f>IFERROR(__xludf.DUMMYFUNCTION("GOOGLEFINANCE(A886, ""price"")"),588.25)</f>
        <v>588.25</v>
      </c>
      <c r="C886" s="7">
        <f>IFERROR(__xludf.DUMMYFUNCTION("GOOGLEFINANCE(A886, ""changepct"")"),0.19)</f>
        <v>0.19</v>
      </c>
      <c r="D886" s="9">
        <f>IFERROR(__xludf.DUMMYFUNCTION("GOOGLEFINANCE(A886, ""priceopen"")"),590.0)</f>
        <v>590</v>
      </c>
      <c r="E886" s="9">
        <f>IFERROR(__xludf.DUMMYFUNCTION("GOOGLEFINANCE(A886, ""high"")"),596.25)</f>
        <v>596.25</v>
      </c>
      <c r="F886" s="9">
        <f>IFERROR(__xludf.DUMMYFUNCTION("GOOGLEFINANCE(A886, ""low"")"),582.5)</f>
        <v>582.5</v>
      </c>
      <c r="G886" s="9">
        <f>IFERROR(__xludf.DUMMYFUNCTION("GOOGLEFINANCE(A886, ""price"")"),588.25)</f>
        <v>588.25</v>
      </c>
      <c r="H886" s="9">
        <f>IFERROR(__xludf.DUMMYFUNCTION("MAX(INDEX(GOOGLEFINANCE(A886, ""high"", TODAY()-30, TODAY()), 0, 2))"),670.0)</f>
        <v>670</v>
      </c>
      <c r="I886" s="9">
        <f>IFERROR(__xludf.DUMMYFUNCTION("MIN(INDEX(GOOGLEFINANCE(A886, ""low"", TODAY()-30, TODAY()), 0, 2))"),580.3)</f>
        <v>580.3</v>
      </c>
      <c r="J886" s="9">
        <f>IFERROR(__xludf.DUMMYFUNCTION("GOOGLEFINANCE(A886, ""high52"")"),670.0)</f>
        <v>670</v>
      </c>
      <c r="K886" s="9">
        <f>IFERROR(__xludf.DUMMYFUNCTION("GOOGLEFINANCE(A886, ""low52"")"),443.7)</f>
        <v>443.7</v>
      </c>
      <c r="L886" s="9">
        <f t="shared" si="1"/>
        <v>0.1220149254</v>
      </c>
      <c r="M886" s="9">
        <f t="shared" si="2"/>
        <v>0.3257831868</v>
      </c>
      <c r="N886" s="9">
        <f t="shared" si="3"/>
        <v>0.02360515021</v>
      </c>
      <c r="O886" s="9">
        <f t="shared" si="4"/>
        <v>0.08862876254</v>
      </c>
      <c r="P886" s="9">
        <f>IFERROR(__xludf.DUMMYFUNCTION("GOOGLEFINANCE(A886, ""pe"")"),26.4)</f>
        <v>26.4</v>
      </c>
      <c r="Q886" s="9">
        <f>IFERROR(__xludf.DUMMYFUNCTION("IFERROR(GOOGLEFINANCE(A886, ""volume"") / GOOGLEFINANCE(A886, ""volumeavg""), 0)"),0.0)</f>
        <v>0</v>
      </c>
      <c r="R886" s="9">
        <f>IFERROR(__xludf.DUMMYFUNCTION("AVERAGE(INDEX(GOOGLEFINANCE(A886, ""price"", TODAY()-30, TODAY()), 0, 2))"),611.3695652173913)</f>
        <v>611.3695652</v>
      </c>
      <c r="S886" s="9">
        <f>IFERROR(__xludf.DUMMYFUNCTION("AVERAGE(INDEX(GOOGLEFINANCE(A886, ""price"", TODAY()-75, TODAY()), 0, 2))"),607.459433962264)</f>
        <v>607.459434</v>
      </c>
      <c r="T886" s="9">
        <f>IFERROR(__xludf.DUMMYFUNCTION("AVERAGE(INDEX(GOOGLEFINANCE(A886, ""price"", TODAY()-300, TODAY()), 0, 2))"),547.17301980198)</f>
        <v>547.1730198</v>
      </c>
      <c r="U886" s="9">
        <f t="shared" si="5"/>
        <v>-0.03781602247</v>
      </c>
      <c r="V886" s="15">
        <f>IFERROR(__xludf.DUMMYFUNCTION("LET(hist, GOOGLEFINANCE(A886,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rs))))))"),31.841952353282963)</f>
        <v>31.84195235</v>
      </c>
      <c r="W886" s="16" t="str">
        <f>IFERROR(__xludf.DUMMYFUNCTION("IFERROR(GOOGLEFINANCE(A886, ""volume"") / GOOGLEFINANCE(A886, ""volumeavg""), )"),"")</f>
        <v/>
      </c>
      <c r="X886" s="9">
        <f>IFERROR(__xludf.DUMMYFUNCTION("B886 * GOOGLEFINANCE(A886, ""volume"")"),5.130892975E7)</f>
        <v>51308929.75</v>
      </c>
      <c r="Y886" s="9">
        <f>IFERROR(__xludf.DUMMYFUNCTION("IFERROR(((B886 - GOOGLEFINANCE(A886, ""priceopen"")) / GOOGLEFINANCE(A886, ""priceopen"")) * GOOGLEFINANCE(A886, ""volume""), 0)"),-258.7122881355932)</f>
        <v>-258.7122881</v>
      </c>
    </row>
    <row r="887">
      <c r="A887" s="4" t="s">
        <v>2680</v>
      </c>
      <c r="B887" s="7">
        <f>IFERROR(__xludf.DUMMYFUNCTION("GOOGLEFINANCE(A887, ""price"")"),700.0)</f>
        <v>700</v>
      </c>
      <c r="C887" s="7">
        <f>IFERROR(__xludf.DUMMYFUNCTION("GOOGLEFINANCE(A887, ""changepct"")"),-0.01)</f>
        <v>-0.01</v>
      </c>
      <c r="D887" s="9">
        <f>IFERROR(__xludf.DUMMYFUNCTION("GOOGLEFINANCE(A887, ""priceopen"")"),702.05)</f>
        <v>702.05</v>
      </c>
      <c r="E887" s="9">
        <f>IFERROR(__xludf.DUMMYFUNCTION("GOOGLEFINANCE(A887, ""high"")"),713.25)</f>
        <v>713.25</v>
      </c>
      <c r="F887" s="9">
        <f>IFERROR(__xludf.DUMMYFUNCTION("GOOGLEFINANCE(A887, ""low"")"),684.05)</f>
        <v>684.05</v>
      </c>
      <c r="G887" s="9">
        <f>IFERROR(__xludf.DUMMYFUNCTION("GOOGLEFINANCE(A887, ""price"")"),700.0)</f>
        <v>700</v>
      </c>
      <c r="H887" s="9">
        <f>IFERROR(__xludf.DUMMYFUNCTION("MAX(INDEX(GOOGLEFINANCE(A887, ""high"", TODAY()-30, TODAY()), 0, 2))"),814.8)</f>
        <v>814.8</v>
      </c>
      <c r="I887" s="9">
        <f>IFERROR(__xludf.DUMMYFUNCTION("MIN(INDEX(GOOGLEFINANCE(A887, ""low"", TODAY()-30, TODAY()), 0, 2))"),561.1)</f>
        <v>561.1</v>
      </c>
      <c r="J887" s="9">
        <f>IFERROR(__xludf.DUMMYFUNCTION("GOOGLEFINANCE(A887, ""high52"")"),814.8)</f>
        <v>814.8</v>
      </c>
      <c r="K887" s="9">
        <f>IFERROR(__xludf.DUMMYFUNCTION("GOOGLEFINANCE(A887, ""low52"")"),285.8)</f>
        <v>285.8</v>
      </c>
      <c r="L887" s="9">
        <f t="shared" si="1"/>
        <v>0.1408934708</v>
      </c>
      <c r="M887" s="9">
        <f t="shared" si="2"/>
        <v>1.44926522</v>
      </c>
      <c r="N887" s="9">
        <f t="shared" si="3"/>
        <v>0.04268693809</v>
      </c>
      <c r="O887" s="9">
        <f t="shared" si="4"/>
        <v>0.5474970438</v>
      </c>
      <c r="P887" s="9">
        <f>IFERROR(__xludf.DUMMYFUNCTION("GOOGLEFINANCE(A887, ""pe"")"),11.6)</f>
        <v>11.6</v>
      </c>
      <c r="Q887" s="9">
        <f>IFERROR(__xludf.DUMMYFUNCTION("IFERROR(GOOGLEFINANCE(A887, ""volume"") / GOOGLEFINANCE(A887, ""volumeavg""), 0)"),0.0)</f>
        <v>0</v>
      </c>
      <c r="R887" s="9">
        <f>IFERROR(__xludf.DUMMYFUNCTION("AVERAGE(INDEX(GOOGLEFINANCE(A887, ""price"", TODAY()-30, TODAY()), 0, 2))"),637.3086956521739)</f>
        <v>637.3086957</v>
      </c>
      <c r="S887" s="9">
        <f>IFERROR(__xludf.DUMMYFUNCTION("AVERAGE(INDEX(GOOGLEFINANCE(A887, ""price"", TODAY()-75, TODAY()), 0, 2))"),586.3235849056604)</f>
        <v>586.3235849</v>
      </c>
      <c r="T887" s="9">
        <f>IFERROR(__xludf.DUMMYFUNCTION("AVERAGE(INDEX(GOOGLEFINANCE(A887, ""price"", TODAY()-300, TODAY()), 0, 2))"),427.3423267326731)</f>
        <v>427.3423267</v>
      </c>
      <c r="U887" s="9">
        <f t="shared" si="5"/>
        <v>0.09836881997</v>
      </c>
      <c r="V887" s="15">
        <f>IFERROR(__xludf.DUMMYFUNCTION("LET(hist, GOOGLEFINANCE(A887,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rs))))))"),56.98762035763411)</f>
        <v>56.98762036</v>
      </c>
      <c r="W887" s="16" t="str">
        <f>IFERROR(__xludf.DUMMYFUNCTION("IFERROR(GOOGLEFINANCE(A887, ""volume"") / GOOGLEFINANCE(A887, ""volumeavg""), )"),"")</f>
        <v/>
      </c>
      <c r="X887" s="9">
        <f>IFERROR(__xludf.DUMMYFUNCTION("B887 * GOOGLEFINANCE(A887, ""volume"")"),2.159703E8)</f>
        <v>215970300</v>
      </c>
      <c r="Y887" s="9">
        <f>IFERROR(__xludf.DUMMYFUNCTION("IFERROR(((B887 - GOOGLEFINANCE(A887, ""priceopen"")) / GOOGLEFINANCE(A887, ""priceopen"")) * GOOGLEFINANCE(A887, ""volume""), 0)"),-900.9108325617634)</f>
        <v>-900.9108326</v>
      </c>
    </row>
    <row r="888">
      <c r="A888" s="4" t="s">
        <v>2681</v>
      </c>
      <c r="B888" s="7">
        <f>IFERROR(__xludf.DUMMYFUNCTION("GOOGLEFINANCE(A888, ""price"")"),178.0)</f>
        <v>178</v>
      </c>
      <c r="C888" s="7">
        <f>IFERROR(__xludf.DUMMYFUNCTION("GOOGLEFINANCE(A888, ""changepct"")"),-0.44)</f>
        <v>-0.44</v>
      </c>
      <c r="D888" s="9">
        <f>IFERROR(__xludf.DUMMYFUNCTION("GOOGLEFINANCE(A888, ""priceopen"")"),178.0)</f>
        <v>178</v>
      </c>
      <c r="E888" s="9">
        <f>IFERROR(__xludf.DUMMYFUNCTION("GOOGLEFINANCE(A888, ""high"")"),181.89)</f>
        <v>181.89</v>
      </c>
      <c r="F888" s="9">
        <f>IFERROR(__xludf.DUMMYFUNCTION("GOOGLEFINANCE(A888, ""low"")"),173.87)</f>
        <v>173.87</v>
      </c>
      <c r="G888" s="9">
        <f>IFERROR(__xludf.DUMMYFUNCTION("GOOGLEFINANCE(A888, ""price"")"),178.0)</f>
        <v>178</v>
      </c>
      <c r="H888" s="9">
        <f>IFERROR(__xludf.DUMMYFUNCTION("MAX(INDEX(GOOGLEFINANCE(A888, ""high"", TODAY()-30, TODAY()), 0, 2))"),197.29)</f>
        <v>197.29</v>
      </c>
      <c r="I888" s="9">
        <f>IFERROR(__xludf.DUMMYFUNCTION("MIN(INDEX(GOOGLEFINANCE(A888, ""low"", TODAY()-30, TODAY()), 0, 2))"),158.55)</f>
        <v>158.55</v>
      </c>
      <c r="J888" s="9">
        <f>IFERROR(__xludf.DUMMYFUNCTION("GOOGLEFINANCE(A888, ""high52"")"),197.29)</f>
        <v>197.29</v>
      </c>
      <c r="K888" s="9">
        <f>IFERROR(__xludf.DUMMYFUNCTION("GOOGLEFINANCE(A888, ""low52"")"),88.22)</f>
        <v>88.22</v>
      </c>
      <c r="L888" s="9">
        <f t="shared" si="1"/>
        <v>0.09777484921</v>
      </c>
      <c r="M888" s="9">
        <f t="shared" si="2"/>
        <v>1.017683065</v>
      </c>
      <c r="N888" s="9">
        <f t="shared" si="3"/>
        <v>0.04612641629</v>
      </c>
      <c r="O888" s="9">
        <f t="shared" si="4"/>
        <v>0.502065049</v>
      </c>
      <c r="P888" s="9">
        <f>IFERROR(__xludf.DUMMYFUNCTION("GOOGLEFINANCE(A888, ""pe"")"),29.02)</f>
        <v>29.02</v>
      </c>
      <c r="Q888" s="9">
        <f>IFERROR(__xludf.DUMMYFUNCTION("IFERROR(GOOGLEFINANCE(A888, ""volume"") / GOOGLEFINANCE(A888, ""volumeavg""), 0)"),0.0)</f>
        <v>0</v>
      </c>
      <c r="R888" s="9">
        <f>IFERROR(__xludf.DUMMYFUNCTION("AVERAGE(INDEX(GOOGLEFINANCE(A888, ""price"", TODAY()-30, TODAY()), 0, 2))"),170.43260869565216)</f>
        <v>170.4326087</v>
      </c>
      <c r="S888" s="9">
        <f>IFERROR(__xludf.DUMMYFUNCTION("AVERAGE(INDEX(GOOGLEFINANCE(A888, ""price"", TODAY()-75, TODAY()), 0, 2))"),165.2958490566038)</f>
        <v>165.2958491</v>
      </c>
      <c r="T888" s="9">
        <f>IFERROR(__xludf.DUMMYFUNCTION("AVERAGE(INDEX(GOOGLEFINANCE(A888, ""price"", TODAY()-300, TODAY()), 0, 2))"),141.01633333333334)</f>
        <v>141.0163333</v>
      </c>
      <c r="U888" s="9">
        <f t="shared" si="5"/>
        <v>0.04440107654</v>
      </c>
      <c r="V888" s="15">
        <f>IFERROR(__xludf.DUMMYFUNCTION("LET(hist, GOOGLEFINANCE(A888,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rs))))))"),56.01635514018692)</f>
        <v>56.01635514</v>
      </c>
      <c r="W888" s="16" t="str">
        <f>IFERROR(__xludf.DUMMYFUNCTION("IFERROR(GOOGLEFINANCE(A888, ""volume"") / GOOGLEFINANCE(A888, ""volumeavg""), )"),"")</f>
        <v/>
      </c>
      <c r="X888" s="9">
        <f>IFERROR(__xludf.DUMMYFUNCTION("B888 * GOOGLEFINANCE(A888, ""volume"")"),1.06694446E8)</f>
        <v>106694446</v>
      </c>
      <c r="Y888" s="9">
        <f>IFERROR(__xludf.DUMMYFUNCTION("IFERROR(((B888 - GOOGLEFINANCE(A888, ""priceopen"")) / GOOGLEFINANCE(A888, ""priceopen"")) * GOOGLEFINANCE(A888, ""volume""), 0)"),0.0)</f>
        <v>0</v>
      </c>
    </row>
    <row r="889">
      <c r="A889" s="4" t="s">
        <v>2682</v>
      </c>
      <c r="B889" s="7">
        <f>IFERROR(__xludf.DUMMYFUNCTION("GOOGLEFINANCE(A889, ""price"")"),410.0)</f>
        <v>410</v>
      </c>
      <c r="C889" s="7">
        <f>IFERROR(__xludf.DUMMYFUNCTION("GOOGLEFINANCE(A889, ""changepct"")"),0.16)</f>
        <v>0.16</v>
      </c>
      <c r="D889" s="9">
        <f>IFERROR(__xludf.DUMMYFUNCTION("GOOGLEFINANCE(A889, ""priceopen"")"),411.35)</f>
        <v>411.35</v>
      </c>
      <c r="E889" s="9">
        <f>IFERROR(__xludf.DUMMYFUNCTION("GOOGLEFINANCE(A889, ""high"")"),414.0)</f>
        <v>414</v>
      </c>
      <c r="F889" s="9">
        <f>IFERROR(__xludf.DUMMYFUNCTION("GOOGLEFINANCE(A889, ""low"")"),402.0)</f>
        <v>402</v>
      </c>
      <c r="G889" s="9">
        <f>IFERROR(__xludf.DUMMYFUNCTION("GOOGLEFINANCE(A889, ""price"")"),410.0)</f>
        <v>410</v>
      </c>
      <c r="H889" s="9">
        <f>IFERROR(__xludf.DUMMYFUNCTION("MAX(INDEX(GOOGLEFINANCE(A889, ""high"", TODAY()-30, TODAY()), 0, 2))"),431.9)</f>
        <v>431.9</v>
      </c>
      <c r="I889" s="9">
        <f>IFERROR(__xludf.DUMMYFUNCTION("MIN(INDEX(GOOGLEFINANCE(A889, ""low"", TODAY()-30, TODAY()), 0, 2))"),381.05)</f>
        <v>381.05</v>
      </c>
      <c r="J889" s="9">
        <f>IFERROR(__xludf.DUMMYFUNCTION("GOOGLEFINANCE(A889, ""high52"")"),450.0)</f>
        <v>450</v>
      </c>
      <c r="K889" s="9">
        <f>IFERROR(__xludf.DUMMYFUNCTION("GOOGLEFINANCE(A889, ""low52"")"),275.05)</f>
        <v>275.05</v>
      </c>
      <c r="L889" s="9">
        <f t="shared" si="1"/>
        <v>0.08888888889</v>
      </c>
      <c r="M889" s="9">
        <f t="shared" si="2"/>
        <v>0.4906380658</v>
      </c>
      <c r="N889" s="9">
        <f t="shared" si="3"/>
        <v>0.02985074627</v>
      </c>
      <c r="O889" s="9">
        <f t="shared" si="4"/>
        <v>0.5693215339</v>
      </c>
      <c r="P889" s="9">
        <f>IFERROR(__xludf.DUMMYFUNCTION("GOOGLEFINANCE(A889, ""pe"")"),110.52)</f>
        <v>110.52</v>
      </c>
      <c r="Q889" s="9">
        <f>IFERROR(__xludf.DUMMYFUNCTION("IFERROR(GOOGLEFINANCE(A889, ""volume"") / GOOGLEFINANCE(A889, ""volumeavg""), 0)"),0.0)</f>
        <v>0</v>
      </c>
      <c r="R889" s="9">
        <f>IFERROR(__xludf.DUMMYFUNCTION("AVERAGE(INDEX(GOOGLEFINANCE(A889, ""price"", TODAY()-30, TODAY()), 0, 2))"),403.545652173913)</f>
        <v>403.5456522</v>
      </c>
      <c r="S889" s="9">
        <f>IFERROR(__xludf.DUMMYFUNCTION("AVERAGE(INDEX(GOOGLEFINANCE(A889, ""price"", TODAY()-75, TODAY()), 0, 2))"),380.227358490566)</f>
        <v>380.2273585</v>
      </c>
      <c r="T889" s="9">
        <f>IFERROR(__xludf.DUMMYFUNCTION("AVERAGE(INDEX(GOOGLEFINANCE(A889, ""price"", TODAY()-300, TODAY()), 0, 2))"),363.2188118811879)</f>
        <v>363.2188119</v>
      </c>
      <c r="U889" s="9">
        <f t="shared" si="5"/>
        <v>0.01599409581</v>
      </c>
      <c r="V889" s="15">
        <f>IFERROR(__xludf.DUMMYFUNCTION("LET(hist, GOOGLEFINANCE(A889,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rs))))))"),58.01486199575369)</f>
        <v>58.014862</v>
      </c>
      <c r="W889" s="16" t="str">
        <f>IFERROR(__xludf.DUMMYFUNCTION("IFERROR(GOOGLEFINANCE(A889, ""volume"") / GOOGLEFINANCE(A889, ""volumeavg""), )"),"")</f>
        <v/>
      </c>
      <c r="X889" s="9">
        <f>IFERROR(__xludf.DUMMYFUNCTION("B889 * GOOGLEFINANCE(A889, ""volume"")"),7.716405E7)</f>
        <v>77164050</v>
      </c>
      <c r="Y889" s="9">
        <f>IFERROR(__xludf.DUMMYFUNCTION("IFERROR(((B889 - GOOGLEFINANCE(A889, ""priceopen"")) / GOOGLEFINANCE(A889, ""priceopen"")) * GOOGLEFINANCE(A889, ""volume""), 0)"),-617.6656132247582)</f>
        <v>-617.6656132</v>
      </c>
    </row>
    <row r="890">
      <c r="A890" s="4" t="s">
        <v>2683</v>
      </c>
      <c r="B890" s="7">
        <f>IFERROR(__xludf.DUMMYFUNCTION("GOOGLEFINANCE(A890, ""price"")"),3871.0)</f>
        <v>3871</v>
      </c>
      <c r="C890" s="7">
        <f>IFERROR(__xludf.DUMMYFUNCTION("GOOGLEFINANCE(A890, ""changepct"")"),0.75)</f>
        <v>0.75</v>
      </c>
      <c r="D890" s="9">
        <f>IFERROR(__xludf.DUMMYFUNCTION("GOOGLEFINANCE(A890, ""priceopen"")"),3842.2)</f>
        <v>3842.2</v>
      </c>
      <c r="E890" s="9">
        <f>IFERROR(__xludf.DUMMYFUNCTION("GOOGLEFINANCE(A890, ""high"")"),3885.0)</f>
        <v>3885</v>
      </c>
      <c r="F890" s="9">
        <f>IFERROR(__xludf.DUMMYFUNCTION("GOOGLEFINANCE(A890, ""low"")"),3790.9)</f>
        <v>3790.9</v>
      </c>
      <c r="G890" s="9">
        <f>IFERROR(__xludf.DUMMYFUNCTION("GOOGLEFINANCE(A890, ""price"")"),3871.0)</f>
        <v>3871</v>
      </c>
      <c r="H890" s="9">
        <f>IFERROR(__xludf.DUMMYFUNCTION("MAX(INDEX(GOOGLEFINANCE(A890, ""high"", TODAY()-30, TODAY()), 0, 2))"),4155.5)</f>
        <v>4155.5</v>
      </c>
      <c r="I890" s="9">
        <f>IFERROR(__xludf.DUMMYFUNCTION("MIN(INDEX(GOOGLEFINANCE(A890, ""low"", TODAY()-30, TODAY()), 0, 2))"),3045.0)</f>
        <v>3045</v>
      </c>
      <c r="J890" s="9">
        <f>IFERROR(__xludf.DUMMYFUNCTION("GOOGLEFINANCE(A890, ""high52"")"),4155.5)</f>
        <v>4155.5</v>
      </c>
      <c r="K890" s="9">
        <f>IFERROR(__xludf.DUMMYFUNCTION("GOOGLEFINANCE(A890, ""low52"")"),1990.0)</f>
        <v>1990</v>
      </c>
      <c r="L890" s="9">
        <f t="shared" si="1"/>
        <v>0.06846348213</v>
      </c>
      <c r="M890" s="9">
        <f t="shared" si="2"/>
        <v>0.9452261307</v>
      </c>
      <c r="N890" s="9">
        <f t="shared" si="3"/>
        <v>0.02482260149</v>
      </c>
      <c r="O890" s="9">
        <f t="shared" si="4"/>
        <v>0.743809095</v>
      </c>
      <c r="P890" s="9">
        <f>IFERROR(__xludf.DUMMYFUNCTION("GOOGLEFINANCE(A890, ""pe"")"),49.07)</f>
        <v>49.07</v>
      </c>
      <c r="Q890" s="9">
        <f>IFERROR(__xludf.DUMMYFUNCTION("IFERROR(GOOGLEFINANCE(A890, ""volume"") / GOOGLEFINANCE(A890, ""volumeavg""), 0)"),0.0)</f>
        <v>0</v>
      </c>
      <c r="R890" s="9">
        <f>IFERROR(__xludf.DUMMYFUNCTION("AVERAGE(INDEX(GOOGLEFINANCE(A890, ""price"", TODAY()-30, TODAY()), 0, 2))"),3380.734782608696)</f>
        <v>3380.734783</v>
      </c>
      <c r="S890" s="9">
        <f>IFERROR(__xludf.DUMMYFUNCTION("AVERAGE(INDEX(GOOGLEFINANCE(A890, ""price"", TODAY()-75, TODAY()), 0, 2))"),3175.4056603773583)</f>
        <v>3175.40566</v>
      </c>
      <c r="T890" s="9">
        <f>IFERROR(__xludf.DUMMYFUNCTION("AVERAGE(INDEX(GOOGLEFINANCE(A890, ""price"", TODAY()-300, TODAY()), 0, 2))"),2594.0599009900993)</f>
        <v>2594.059901</v>
      </c>
      <c r="U890" s="9">
        <f t="shared" si="5"/>
        <v>0.1450173554</v>
      </c>
      <c r="V890" s="15">
        <f>IFERROR(__xludf.DUMMYFUNCTION("LET(hist, GOOGLEFINANCE(A890,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rs))))))"),96.97873927638943)</f>
        <v>96.97873928</v>
      </c>
      <c r="W890" s="16" t="str">
        <f>IFERROR(__xludf.DUMMYFUNCTION("IFERROR(GOOGLEFINANCE(A890, ""volume"") / GOOGLEFINANCE(A890, ""volumeavg""), )"),"")</f>
        <v/>
      </c>
      <c r="X890" s="9">
        <f>IFERROR(__xludf.DUMMYFUNCTION("B890 * GOOGLEFINANCE(A890, ""volume"")"),1.10648664E8)</f>
        <v>110648664</v>
      </c>
      <c r="Y890" s="9">
        <f>IFERROR(__xludf.DUMMYFUNCTION("IFERROR(((B890 - GOOGLEFINANCE(A890, ""priceopen"")) / GOOGLEFINANCE(A890, ""priceopen"")) * GOOGLEFINANCE(A890, ""volume""), 0)"),214.2572484514094)</f>
        <v>214.2572485</v>
      </c>
    </row>
    <row r="891">
      <c r="A891" s="4" t="s">
        <v>2684</v>
      </c>
      <c r="B891" s="7">
        <f>IFERROR(__xludf.DUMMYFUNCTION("GOOGLEFINANCE(A891, ""price"")"),720.0)</f>
        <v>720</v>
      </c>
      <c r="C891" s="7">
        <f>IFERROR(__xludf.DUMMYFUNCTION("GOOGLEFINANCE(A891, ""changepct"")"),-0.98)</f>
        <v>-0.98</v>
      </c>
      <c r="D891" s="9">
        <f>IFERROR(__xludf.DUMMYFUNCTION("GOOGLEFINANCE(A891, ""priceopen"")"),728.4)</f>
        <v>728.4</v>
      </c>
      <c r="E891" s="9">
        <f>IFERROR(__xludf.DUMMYFUNCTION("GOOGLEFINANCE(A891, ""high"")"),729.0)</f>
        <v>729</v>
      </c>
      <c r="F891" s="9">
        <f>IFERROR(__xludf.DUMMYFUNCTION("GOOGLEFINANCE(A891, ""low"")"),710.25)</f>
        <v>710.25</v>
      </c>
      <c r="G891" s="9">
        <f>IFERROR(__xludf.DUMMYFUNCTION("GOOGLEFINANCE(A891, ""price"")"),720.0)</f>
        <v>720</v>
      </c>
      <c r="H891" s="9">
        <f>IFERROR(__xludf.DUMMYFUNCTION("MAX(INDEX(GOOGLEFINANCE(A891, ""high"", TODAY()-30, TODAY()), 0, 2))"),894.0)</f>
        <v>894</v>
      </c>
      <c r="I891" s="9">
        <f>IFERROR(__xludf.DUMMYFUNCTION("MIN(INDEX(GOOGLEFINANCE(A891, ""low"", TODAY()-30, TODAY()), 0, 2))"),710.25)</f>
        <v>710.25</v>
      </c>
      <c r="J891" s="9">
        <f>IFERROR(__xludf.DUMMYFUNCTION("GOOGLEFINANCE(A891, ""high52"")"),1507.0)</f>
        <v>1507</v>
      </c>
      <c r="K891" s="9">
        <f>IFERROR(__xludf.DUMMYFUNCTION("GOOGLEFINANCE(A891, ""low52"")"),710.25)</f>
        <v>710.25</v>
      </c>
      <c r="L891" s="9">
        <f t="shared" si="1"/>
        <v>0.5222295952</v>
      </c>
      <c r="M891" s="9">
        <f t="shared" si="2"/>
        <v>0.01372756072</v>
      </c>
      <c r="N891" s="9">
        <f t="shared" si="3"/>
        <v>0.02639915523</v>
      </c>
      <c r="O891" s="9">
        <f t="shared" si="4"/>
        <v>0.05306122449</v>
      </c>
      <c r="P891" s="9">
        <f>IFERROR(__xludf.DUMMYFUNCTION("GOOGLEFINANCE(A891, ""pe"")"),19.3)</f>
        <v>19.3</v>
      </c>
      <c r="Q891" s="9">
        <f>IFERROR(__xludf.DUMMYFUNCTION("IFERROR(GOOGLEFINANCE(A891, ""volume"") / GOOGLEFINANCE(A891, ""volumeavg""), 0)"),0.0)</f>
        <v>0</v>
      </c>
      <c r="R891" s="9">
        <f>IFERROR(__xludf.DUMMYFUNCTION("AVERAGE(INDEX(GOOGLEFINANCE(A891, ""price"", TODAY()-30, TODAY()), 0, 2))"),785.1608695652172)</f>
        <v>785.1608696</v>
      </c>
      <c r="S891" s="9">
        <f>IFERROR(__xludf.DUMMYFUNCTION("AVERAGE(INDEX(GOOGLEFINANCE(A891, ""price"", TODAY()-75, TODAY()), 0, 2))"),813.61320754717)</f>
        <v>813.6132075</v>
      </c>
      <c r="T891" s="9">
        <f>IFERROR(__xludf.DUMMYFUNCTION("AVERAGE(INDEX(GOOGLEFINANCE(A891, ""price"", TODAY()-300, TODAY()), 0, 2))"),930.0653465346534)</f>
        <v>930.0653465</v>
      </c>
      <c r="U891" s="9">
        <f t="shared" si="5"/>
        <v>-0.08299046997</v>
      </c>
      <c r="V891" s="15">
        <f>IFERROR(__xludf.DUMMYFUNCTION("LET(hist, GOOGLEFINANCE(A891,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rs))))))"),23.81786339754811)</f>
        <v>23.8178634</v>
      </c>
      <c r="W891" s="16" t="str">
        <f>IFERROR(__xludf.DUMMYFUNCTION("IFERROR(GOOGLEFINANCE(A891, ""volume"") / GOOGLEFINANCE(A891, ""volumeavg""), )"),"")</f>
        <v/>
      </c>
      <c r="X891" s="9">
        <f>IFERROR(__xludf.DUMMYFUNCTION("B891 * GOOGLEFINANCE(A891, ""volume"")"),1.0097424E8)</f>
        <v>100974240</v>
      </c>
      <c r="Y891" s="9">
        <f>IFERROR(__xludf.DUMMYFUNCTION("IFERROR(((B891 - GOOGLEFINANCE(A891, ""priceopen"")) / GOOGLEFINANCE(A891, ""priceopen"")) * GOOGLEFINANCE(A891, ""volume""), 0)"),-1617.288303130144)</f>
        <v>-1617.288303</v>
      </c>
    </row>
    <row r="892">
      <c r="A892" s="4" t="s">
        <v>2685</v>
      </c>
      <c r="B892" s="7">
        <f>IFERROR(__xludf.DUMMYFUNCTION("GOOGLEFINANCE(A892, ""price"")"),128.05)</f>
        <v>128.05</v>
      </c>
      <c r="C892" s="7">
        <f>IFERROR(__xludf.DUMMYFUNCTION("GOOGLEFINANCE(A892, ""changepct"")"),-0.72)</f>
        <v>-0.72</v>
      </c>
      <c r="D892" s="9">
        <f>IFERROR(__xludf.DUMMYFUNCTION("GOOGLEFINANCE(A892, ""priceopen"")"),126.65)</f>
        <v>126.65</v>
      </c>
      <c r="E892" s="9">
        <f>IFERROR(__xludf.DUMMYFUNCTION("GOOGLEFINANCE(A892, ""high"")"),132.9)</f>
        <v>132.9</v>
      </c>
      <c r="F892" s="9">
        <f>IFERROR(__xludf.DUMMYFUNCTION("GOOGLEFINANCE(A892, ""low"")"),126.65)</f>
        <v>126.65</v>
      </c>
      <c r="G892" s="9">
        <f>IFERROR(__xludf.DUMMYFUNCTION("GOOGLEFINANCE(A892, ""price"")"),128.05)</f>
        <v>128.05</v>
      </c>
      <c r="H892" s="9">
        <f>IFERROR(__xludf.DUMMYFUNCTION("MAX(INDEX(GOOGLEFINANCE(A892, ""high"", TODAY()-30, TODAY()), 0, 2))"),140.28)</f>
        <v>140.28</v>
      </c>
      <c r="I892" s="9">
        <f>IFERROR(__xludf.DUMMYFUNCTION("MIN(INDEX(GOOGLEFINANCE(A892, ""low"", TODAY()-30, TODAY()), 0, 2))"),115.1)</f>
        <v>115.1</v>
      </c>
      <c r="J892" s="9">
        <f>IFERROR(__xludf.DUMMYFUNCTION("GOOGLEFINANCE(A892, ""high52"")"),186.3)</f>
        <v>186.3</v>
      </c>
      <c r="K892" s="9">
        <f>IFERROR(__xludf.DUMMYFUNCTION("GOOGLEFINANCE(A892, ""low52"")"),109.1)</f>
        <v>109.1</v>
      </c>
      <c r="L892" s="9">
        <f t="shared" si="1"/>
        <v>0.3126677402</v>
      </c>
      <c r="M892" s="9">
        <f t="shared" si="2"/>
        <v>0.1736938588</v>
      </c>
      <c r="N892" s="9">
        <f t="shared" si="3"/>
        <v>0.0493485985</v>
      </c>
      <c r="O892" s="9">
        <f t="shared" si="4"/>
        <v>0.5142970612</v>
      </c>
      <c r="P892" s="9">
        <f>IFERROR(__xludf.DUMMYFUNCTION("GOOGLEFINANCE(A892, ""pe"")"),200.08)</f>
        <v>200.08</v>
      </c>
      <c r="Q892" s="9">
        <f>IFERROR(__xludf.DUMMYFUNCTION("IFERROR(GOOGLEFINANCE(A892, ""volume"") / GOOGLEFINANCE(A892, ""volumeavg""), 0)"),0.0)</f>
        <v>0</v>
      </c>
      <c r="R892" s="9">
        <f>IFERROR(__xludf.DUMMYFUNCTION("AVERAGE(INDEX(GOOGLEFINANCE(A892, ""price"", TODAY()-30, TODAY()), 0, 2))"),128.23347826086962)</f>
        <v>128.2334783</v>
      </c>
      <c r="S892" s="9">
        <f>IFERROR(__xludf.DUMMYFUNCTION("AVERAGE(INDEX(GOOGLEFINANCE(A892, ""price"", TODAY()-75, TODAY()), 0, 2))"),127.39075471698112)</f>
        <v>127.3907547</v>
      </c>
      <c r="T892" s="9">
        <f>IFERROR(__xludf.DUMMYFUNCTION("AVERAGE(INDEX(GOOGLEFINANCE(A892, ""price"", TODAY()-300, TODAY()), 0, 2))"),139.995)</f>
        <v>139.995</v>
      </c>
      <c r="U892" s="9">
        <f t="shared" si="5"/>
        <v>-0.001430814038</v>
      </c>
      <c r="V892" s="15">
        <f>IFERROR(__xludf.DUMMYFUNCTION("LET(hist, GOOGLEFINANCE(A892,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rs))))))"),45.90102002266719)</f>
        <v>45.90102002</v>
      </c>
      <c r="W892" s="16" t="str">
        <f>IFERROR(__xludf.DUMMYFUNCTION("IFERROR(GOOGLEFINANCE(A892, ""volume"") / GOOGLEFINANCE(A892, ""volumeavg""), )"),"")</f>
        <v/>
      </c>
      <c r="X892" s="9">
        <f>IFERROR(__xludf.DUMMYFUNCTION("B892 * GOOGLEFINANCE(A892, ""volume"")"),1.0457228860000001E8)</f>
        <v>104572288.6</v>
      </c>
      <c r="Y892" s="9">
        <f>IFERROR(__xludf.DUMMYFUNCTION("IFERROR(((B892 - GOOGLEFINANCE(A892, ""priceopen"")) / GOOGLEFINANCE(A892, ""priceopen"")) * GOOGLEFINANCE(A892, ""volume""), 0)"),9027.341492301655)</f>
        <v>9027.341492</v>
      </c>
    </row>
    <row r="893">
      <c r="A893" s="4" t="s">
        <v>2686</v>
      </c>
      <c r="B893" s="7">
        <f>IFERROR(__xludf.DUMMYFUNCTION("GOOGLEFINANCE(A893, ""price"")"),205.24)</f>
        <v>205.24</v>
      </c>
      <c r="C893" s="7">
        <f>IFERROR(__xludf.DUMMYFUNCTION("GOOGLEFINANCE(A893, ""changepct"")"),-1.26)</f>
        <v>-1.26</v>
      </c>
      <c r="D893" s="9">
        <f>IFERROR(__xludf.DUMMYFUNCTION("GOOGLEFINANCE(A893, ""priceopen"")"),207.86)</f>
        <v>207.86</v>
      </c>
      <c r="E893" s="9">
        <f>IFERROR(__xludf.DUMMYFUNCTION("GOOGLEFINANCE(A893, ""high"")"),208.61)</f>
        <v>208.61</v>
      </c>
      <c r="F893" s="9">
        <f>IFERROR(__xludf.DUMMYFUNCTION("GOOGLEFINANCE(A893, ""low"")"),204.5)</f>
        <v>204.5</v>
      </c>
      <c r="G893" s="9">
        <f>IFERROR(__xludf.DUMMYFUNCTION("GOOGLEFINANCE(A893, ""price"")"),205.24)</f>
        <v>205.24</v>
      </c>
      <c r="H893" s="9">
        <f>IFERROR(__xludf.DUMMYFUNCTION("MAX(INDEX(GOOGLEFINANCE(A893, ""high"", TODAY()-30, TODAY()), 0, 2))"),255.78)</f>
        <v>255.78</v>
      </c>
      <c r="I893" s="9">
        <f>IFERROR(__xludf.DUMMYFUNCTION("MIN(INDEX(GOOGLEFINANCE(A893, ""low"", TODAY()-30, TODAY()), 0, 2))"),201.4)</f>
        <v>201.4</v>
      </c>
      <c r="J893" s="9">
        <f>IFERROR(__xludf.DUMMYFUNCTION("GOOGLEFINANCE(A893, ""high52"")"),288.45)</f>
        <v>288.45</v>
      </c>
      <c r="K893" s="9">
        <f>IFERROR(__xludf.DUMMYFUNCTION("GOOGLEFINANCE(A893, ""low52"")"),146.8)</f>
        <v>146.8</v>
      </c>
      <c r="L893" s="9">
        <f t="shared" si="1"/>
        <v>0.2884728722</v>
      </c>
      <c r="M893" s="9">
        <f t="shared" si="2"/>
        <v>0.3980926431</v>
      </c>
      <c r="N893" s="9">
        <f t="shared" si="3"/>
        <v>0.02009779951</v>
      </c>
      <c r="O893" s="9">
        <f t="shared" si="4"/>
        <v>0.0706141964</v>
      </c>
      <c r="P893" s="9">
        <f>IFERROR(__xludf.DUMMYFUNCTION("GOOGLEFINANCE(A893, ""pe"")"),153.16)</f>
        <v>153.16</v>
      </c>
      <c r="Q893" s="9">
        <f>IFERROR(__xludf.DUMMYFUNCTION("IFERROR(GOOGLEFINANCE(A893, ""volume"") / GOOGLEFINANCE(A893, ""volumeavg""), 0)"),0.0)</f>
        <v>0</v>
      </c>
      <c r="R893" s="9">
        <f>IFERROR(__xludf.DUMMYFUNCTION("AVERAGE(INDEX(GOOGLEFINANCE(A893, ""price"", TODAY()-30, TODAY()), 0, 2))"),221.46826086956523)</f>
        <v>221.4682609</v>
      </c>
      <c r="S893" s="9">
        <f>IFERROR(__xludf.DUMMYFUNCTION("AVERAGE(INDEX(GOOGLEFINANCE(A893, ""price"", TODAY()-75, TODAY()), 0, 2))"),218.15603773584903)</f>
        <v>218.1560377</v>
      </c>
      <c r="T893" s="9">
        <f>IFERROR(__xludf.DUMMYFUNCTION("AVERAGE(INDEX(GOOGLEFINANCE(A893, ""price"", TODAY()-300, TODAY()), 0, 2))"),206.62316831683174)</f>
        <v>206.6231683</v>
      </c>
      <c r="U893" s="9">
        <f t="shared" si="5"/>
        <v>-0.07327578591</v>
      </c>
      <c r="V893" s="15">
        <f>IFERROR(__xludf.DUMMYFUNCTION("LET(hist, GOOGLEFINANCE(A893,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rs))))))"),27.431105479885986)</f>
        <v>27.43110548</v>
      </c>
      <c r="W893" s="16" t="str">
        <f>IFERROR(__xludf.DUMMYFUNCTION("IFERROR(GOOGLEFINANCE(A893, ""volume"") / GOOGLEFINANCE(A893, ""volumeavg""), )"),"")</f>
        <v/>
      </c>
      <c r="X893" s="9">
        <f>IFERROR(__xludf.DUMMYFUNCTION("B893 * GOOGLEFINANCE(A893, ""volume"")"),1.7497859344E8)</f>
        <v>174978593.4</v>
      </c>
      <c r="Y893" s="9">
        <f>IFERROR(__xludf.DUMMYFUNCTION("IFERROR(((B893 - GOOGLEFINANCE(A893, ""priceopen"")) / GOOGLEFINANCE(A893, ""priceopen"")) * GOOGLEFINANCE(A893, ""volume""), 0)"),-10746.159530453207)</f>
        <v>-10746.15953</v>
      </c>
    </row>
    <row r="894">
      <c r="A894" s="4" t="s">
        <v>2687</v>
      </c>
      <c r="B894" s="7">
        <f>IFERROR(__xludf.DUMMYFUNCTION("GOOGLEFINANCE(A894, ""price"")"),247.2)</f>
        <v>247.2</v>
      </c>
      <c r="C894" s="7">
        <f>IFERROR(__xludf.DUMMYFUNCTION("GOOGLEFINANCE(A894, ""changepct"")"),-0.54)</f>
        <v>-0.54</v>
      </c>
      <c r="D894" s="9">
        <f>IFERROR(__xludf.DUMMYFUNCTION("GOOGLEFINANCE(A894, ""priceopen"")"),252.1)</f>
        <v>252.1</v>
      </c>
      <c r="E894" s="9">
        <f>IFERROR(__xludf.DUMMYFUNCTION("GOOGLEFINANCE(A894, ""high"")"),252.1)</f>
        <v>252.1</v>
      </c>
      <c r="F894" s="9">
        <f>IFERROR(__xludf.DUMMYFUNCTION("GOOGLEFINANCE(A894, ""low"")"),242.85)</f>
        <v>242.85</v>
      </c>
      <c r="G894" s="9">
        <f>IFERROR(__xludf.DUMMYFUNCTION("GOOGLEFINANCE(A894, ""price"")"),247.2)</f>
        <v>247.2</v>
      </c>
      <c r="H894" s="9">
        <f>IFERROR(__xludf.DUMMYFUNCTION("MAX(INDEX(GOOGLEFINANCE(A894, ""high"", TODAY()-30, TODAY()), 0, 2))"),292.0)</f>
        <v>292</v>
      </c>
      <c r="I894" s="9">
        <f>IFERROR(__xludf.DUMMYFUNCTION("MIN(INDEX(GOOGLEFINANCE(A894, ""low"", TODAY()-30, TODAY()), 0, 2))"),225.65)</f>
        <v>225.65</v>
      </c>
      <c r="J894" s="9">
        <f>IFERROR(__xludf.DUMMYFUNCTION("GOOGLEFINANCE(A894, ""high52"")"),292.0)</f>
        <v>292</v>
      </c>
      <c r="K894" s="9">
        <f>IFERROR(__xludf.DUMMYFUNCTION("GOOGLEFINANCE(A894, ""low52"")"),179.03)</f>
        <v>179.03</v>
      </c>
      <c r="L894" s="9">
        <f t="shared" si="1"/>
        <v>0.1534246575</v>
      </c>
      <c r="M894" s="9">
        <f t="shared" si="2"/>
        <v>0.3807741719</v>
      </c>
      <c r="N894" s="9">
        <f t="shared" si="3"/>
        <v>0.03808935557</v>
      </c>
      <c r="O894" s="9">
        <f t="shared" si="4"/>
        <v>0.3247927656</v>
      </c>
      <c r="P894" s="9" t="str">
        <f>IFERROR(__xludf.DUMMYFUNCTION("GOOGLEFINANCE(A894, ""pe"")"),"#N/A")</f>
        <v>#N/A</v>
      </c>
      <c r="Q894" s="9">
        <f>IFERROR(__xludf.DUMMYFUNCTION("IFERROR(GOOGLEFINANCE(A894, ""volume"") / GOOGLEFINANCE(A894, ""volumeavg""), 0)"),0.0)</f>
        <v>0</v>
      </c>
      <c r="R894" s="9">
        <f>IFERROR(__xludf.DUMMYFUNCTION("AVERAGE(INDEX(GOOGLEFINANCE(A894, ""price"", TODAY()-30, TODAY()), 0, 2))"),257.0369565217391)</f>
        <v>257.0369565</v>
      </c>
      <c r="S894" s="9">
        <f>IFERROR(__xludf.DUMMYFUNCTION("AVERAGE(INDEX(GOOGLEFINANCE(A894, ""price"", TODAY()-75, TODAY()), 0, 2))"),251.32169811320756)</f>
        <v>251.3216981</v>
      </c>
      <c r="T894" s="9">
        <f>IFERROR(__xludf.DUMMYFUNCTION("AVERAGE(INDEX(GOOGLEFINANCE(A894, ""price"", TODAY()-300, TODAY()), 0, 2))"),231.4429702970297)</f>
        <v>231.4429703</v>
      </c>
      <c r="U894" s="9">
        <f t="shared" si="5"/>
        <v>-0.03827059212</v>
      </c>
      <c r="V894" s="15">
        <f>IFERROR(__xludf.DUMMYFUNCTION("LET(hist, GOOGLEFINANCE(A894,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rs))))))"),40.13277006638502)</f>
        <v>40.13277007</v>
      </c>
      <c r="W894" s="16" t="str">
        <f>IFERROR(__xludf.DUMMYFUNCTION("IFERROR(GOOGLEFINANCE(A894, ""volume"") / GOOGLEFINANCE(A894, ""volumeavg""), )"),"")</f>
        <v/>
      </c>
      <c r="X894" s="9">
        <f>IFERROR(__xludf.DUMMYFUNCTION("B894 * GOOGLEFINANCE(A894, ""volume"")"),1.94487072E7)</f>
        <v>19448707.2</v>
      </c>
      <c r="Y894" s="9">
        <f>IFERROR(__xludf.DUMMYFUNCTION("IFERROR(((B894 - GOOGLEFINANCE(A894, ""priceopen"")) / GOOGLEFINANCE(A894, ""priceopen"")) * GOOGLEFINANCE(A894, ""volume""), 0)"),-1529.2042840142817)</f>
        <v>-1529.204284</v>
      </c>
    </row>
    <row r="895">
      <c r="A895" s="4" t="s">
        <v>2688</v>
      </c>
      <c r="B895" s="7">
        <f>IFERROR(__xludf.DUMMYFUNCTION("GOOGLEFINANCE(A895, ""price"")"),432.2)</f>
        <v>432.2</v>
      </c>
      <c r="C895" s="7">
        <f>IFERROR(__xludf.DUMMYFUNCTION("GOOGLEFINANCE(A895, ""changepct"")"),-0.01)</f>
        <v>-0.01</v>
      </c>
      <c r="D895" s="9">
        <f>IFERROR(__xludf.DUMMYFUNCTION("GOOGLEFINANCE(A895, ""priceopen"")"),432.25)</f>
        <v>432.25</v>
      </c>
      <c r="E895" s="9">
        <f>IFERROR(__xludf.DUMMYFUNCTION("GOOGLEFINANCE(A895, ""high"")"),434.95)</f>
        <v>434.95</v>
      </c>
      <c r="F895" s="9">
        <f>IFERROR(__xludf.DUMMYFUNCTION("GOOGLEFINANCE(A895, ""low"")"),429.25)</f>
        <v>429.25</v>
      </c>
      <c r="G895" s="9">
        <f>IFERROR(__xludf.DUMMYFUNCTION("GOOGLEFINANCE(A895, ""price"")"),432.2)</f>
        <v>432.2</v>
      </c>
      <c r="H895" s="9">
        <f>IFERROR(__xludf.DUMMYFUNCTION("MAX(INDEX(GOOGLEFINANCE(A895, ""high"", TODAY()-30, TODAY()), 0, 2))"),451.95)</f>
        <v>451.95</v>
      </c>
      <c r="I895" s="9">
        <f>IFERROR(__xludf.DUMMYFUNCTION("MIN(INDEX(GOOGLEFINANCE(A895, ""low"", TODAY()-30, TODAY()), 0, 2))"),427.1)</f>
        <v>427.1</v>
      </c>
      <c r="J895" s="9">
        <f>IFERROR(__xludf.DUMMYFUNCTION("GOOGLEFINANCE(A895, ""high52"")"),667.2)</f>
        <v>667.2</v>
      </c>
      <c r="K895" s="9">
        <f>IFERROR(__xludf.DUMMYFUNCTION("GOOGLEFINANCE(A895, ""low52"")"),416.6)</f>
        <v>416.6</v>
      </c>
      <c r="L895" s="9">
        <f t="shared" si="1"/>
        <v>0.3522182254</v>
      </c>
      <c r="M895" s="9">
        <f t="shared" si="2"/>
        <v>0.03744599136</v>
      </c>
      <c r="N895" s="9">
        <f t="shared" si="3"/>
        <v>0.01327897496</v>
      </c>
      <c r="O895" s="9">
        <f t="shared" si="4"/>
        <v>0.2052313883</v>
      </c>
      <c r="P895" s="9">
        <f>IFERROR(__xludf.DUMMYFUNCTION("GOOGLEFINANCE(A895, ""pe"")"),7.71)</f>
        <v>7.71</v>
      </c>
      <c r="Q895" s="9">
        <f>IFERROR(__xludf.DUMMYFUNCTION("IFERROR(GOOGLEFINANCE(A895, ""volume"") / GOOGLEFINANCE(A895, ""volumeavg""), 0)"),0.0)</f>
        <v>0</v>
      </c>
      <c r="R895" s="9">
        <f>IFERROR(__xludf.DUMMYFUNCTION("AVERAGE(INDEX(GOOGLEFINANCE(A895, ""price"", TODAY()-30, TODAY()), 0, 2))"),436.49130434782614)</f>
        <v>436.4913043</v>
      </c>
      <c r="S895" s="9">
        <f>IFERROR(__xludf.DUMMYFUNCTION("AVERAGE(INDEX(GOOGLEFINANCE(A895, ""price"", TODAY()-75, TODAY()), 0, 2))"),437.238679245283)</f>
        <v>437.2386792</v>
      </c>
      <c r="T895" s="9">
        <f>IFERROR(__xludf.DUMMYFUNCTION("AVERAGE(INDEX(GOOGLEFINANCE(A895, ""price"", TODAY()-300, TODAY()), 0, 2))"),506.5806930693068)</f>
        <v>506.5806931</v>
      </c>
      <c r="U895" s="9">
        <f t="shared" si="5"/>
        <v>-0.009831362744</v>
      </c>
      <c r="V895" s="15">
        <f>IFERROR(__xludf.DUMMYFUNCTION("LET(hist, GOOGLEFINANCE(A895,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rs))))))"),52.16881594372804)</f>
        <v>52.16881594</v>
      </c>
      <c r="W895" s="16" t="str">
        <f>IFERROR(__xludf.DUMMYFUNCTION("IFERROR(GOOGLEFINANCE(A895, ""volume"") / GOOGLEFINANCE(A895, ""volumeavg""), )"),"")</f>
        <v/>
      </c>
      <c r="X895" s="9">
        <f>IFERROR(__xludf.DUMMYFUNCTION("B895 * GOOGLEFINANCE(A895, ""volume"")"),3.73282496E7)</f>
        <v>37328249.6</v>
      </c>
      <c r="Y895" s="9">
        <f>IFERROR(__xludf.DUMMYFUNCTION("IFERROR(((B895 - GOOGLEFINANCE(A895, ""priceopen"")) / GOOGLEFINANCE(A895, ""priceopen"")) * GOOGLEFINANCE(A895, ""volume""), 0)"),-9.990514748411757)</f>
        <v>-9.990514748</v>
      </c>
    </row>
    <row r="896">
      <c r="A896" s="4" t="s">
        <v>2689</v>
      </c>
      <c r="B896" s="7">
        <f>IFERROR(__xludf.DUMMYFUNCTION("GOOGLEFINANCE(A896, ""price"")"),785.0)</f>
        <v>785</v>
      </c>
      <c r="C896" s="7">
        <f>IFERROR(__xludf.DUMMYFUNCTION("GOOGLEFINANCE(A896, ""changepct"")"),-1.75)</f>
        <v>-1.75</v>
      </c>
      <c r="D896" s="9">
        <f>IFERROR(__xludf.DUMMYFUNCTION("GOOGLEFINANCE(A896, ""priceopen"")"),808.95)</f>
        <v>808.95</v>
      </c>
      <c r="E896" s="9">
        <f>IFERROR(__xludf.DUMMYFUNCTION("GOOGLEFINANCE(A896, ""high"")"),808.95)</f>
        <v>808.95</v>
      </c>
      <c r="F896" s="9">
        <f>IFERROR(__xludf.DUMMYFUNCTION("GOOGLEFINANCE(A896, ""low"")"),781.1)</f>
        <v>781.1</v>
      </c>
      <c r="G896" s="9">
        <f>IFERROR(__xludf.DUMMYFUNCTION("GOOGLEFINANCE(A896, ""price"")"),785.0)</f>
        <v>785</v>
      </c>
      <c r="H896" s="9">
        <f>IFERROR(__xludf.DUMMYFUNCTION("MAX(INDEX(GOOGLEFINANCE(A896, ""high"", TODAY()-30, TODAY()), 0, 2))"),874.0)</f>
        <v>874</v>
      </c>
      <c r="I896" s="9">
        <f>IFERROR(__xludf.DUMMYFUNCTION("MIN(INDEX(GOOGLEFINANCE(A896, ""low"", TODAY()-30, TODAY()), 0, 2))"),754.6)</f>
        <v>754.6</v>
      </c>
      <c r="J896" s="9">
        <f>IFERROR(__xludf.DUMMYFUNCTION("GOOGLEFINANCE(A896, ""high52"")"),1225.0)</f>
        <v>1225</v>
      </c>
      <c r="K896" s="9">
        <f>IFERROR(__xludf.DUMMYFUNCTION("GOOGLEFINANCE(A896, ""low52"")"),705.1)</f>
        <v>705.1</v>
      </c>
      <c r="L896" s="9">
        <f t="shared" si="1"/>
        <v>0.3591836735</v>
      </c>
      <c r="M896" s="9">
        <f t="shared" si="2"/>
        <v>0.11331726</v>
      </c>
      <c r="N896" s="9">
        <f t="shared" si="3"/>
        <v>0.03565484573</v>
      </c>
      <c r="O896" s="9">
        <f t="shared" si="4"/>
        <v>0.2546063652</v>
      </c>
      <c r="P896" s="9">
        <f>IFERROR(__xludf.DUMMYFUNCTION("GOOGLEFINANCE(A896, ""pe"")"),13.79)</f>
        <v>13.79</v>
      </c>
      <c r="Q896" s="9">
        <f>IFERROR(__xludf.DUMMYFUNCTION("IFERROR(GOOGLEFINANCE(A896, ""volume"") / GOOGLEFINANCE(A896, ""volumeavg""), 0)"),0.0)</f>
        <v>0</v>
      </c>
      <c r="R896" s="9">
        <f>IFERROR(__xludf.DUMMYFUNCTION("AVERAGE(INDEX(GOOGLEFINANCE(A896, ""price"", TODAY()-30, TODAY()), 0, 2))"),814.95)</f>
        <v>814.95</v>
      </c>
      <c r="S896" s="9">
        <f>IFERROR(__xludf.DUMMYFUNCTION("AVERAGE(INDEX(GOOGLEFINANCE(A896, ""price"", TODAY()-75, TODAY()), 0, 2))"),853.3971698113206)</f>
        <v>853.3971698</v>
      </c>
      <c r="T896" s="9">
        <f>IFERROR(__xludf.DUMMYFUNCTION("AVERAGE(INDEX(GOOGLEFINANCE(A896, ""price"", TODAY()-300, TODAY()), 0, 2))"),904.0358910891089)</f>
        <v>904.0358911</v>
      </c>
      <c r="U896" s="9">
        <f t="shared" si="5"/>
        <v>-0.0367507209</v>
      </c>
      <c r="V896" s="15">
        <f>IFERROR(__xludf.DUMMYFUNCTION("LET(hist, GOOGLEFINANCE(A896,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rs))))))"),34.25029058504458)</f>
        <v>34.25029059</v>
      </c>
      <c r="W896" s="16" t="str">
        <f>IFERROR(__xludf.DUMMYFUNCTION("IFERROR(GOOGLEFINANCE(A896, ""volume"") / GOOGLEFINANCE(A896, ""volumeavg""), )"),"")</f>
        <v/>
      </c>
      <c r="X896" s="9">
        <f>IFERROR(__xludf.DUMMYFUNCTION("B896 * GOOGLEFINANCE(A896, ""volume"")"),7.0336785E7)</f>
        <v>70336785</v>
      </c>
      <c r="Y896" s="9">
        <f>IFERROR(__xludf.DUMMYFUNCTION("IFERROR(((B896 - GOOGLEFINANCE(A896, ""priceopen"")) / GOOGLEFINANCE(A896, ""priceopen"")) * GOOGLEFINANCE(A896, ""volume""), 0)"),-2652.752271463012)</f>
        <v>-2652.752271</v>
      </c>
    </row>
    <row r="897">
      <c r="A897" s="4" t="s">
        <v>2690</v>
      </c>
      <c r="B897" s="7">
        <f>IFERROR(__xludf.DUMMYFUNCTION("GOOGLEFINANCE(A897, ""price"")"),470.05)</f>
        <v>470.05</v>
      </c>
      <c r="C897" s="7">
        <f>IFERROR(__xludf.DUMMYFUNCTION("GOOGLEFINANCE(A897, ""changepct"")"),-6.25)</f>
        <v>-6.25</v>
      </c>
      <c r="D897" s="9">
        <f>IFERROR(__xludf.DUMMYFUNCTION("GOOGLEFINANCE(A897, ""priceopen"")"),512.0)</f>
        <v>512</v>
      </c>
      <c r="E897" s="9">
        <f>IFERROR(__xludf.DUMMYFUNCTION("GOOGLEFINANCE(A897, ""high"")"),512.0)</f>
        <v>512</v>
      </c>
      <c r="F897" s="9">
        <f>IFERROR(__xludf.DUMMYFUNCTION("GOOGLEFINANCE(A897, ""low"")"),468.0)</f>
        <v>468</v>
      </c>
      <c r="G897" s="9">
        <f>IFERROR(__xludf.DUMMYFUNCTION("GOOGLEFINANCE(A897, ""price"")"),470.05)</f>
        <v>470.05</v>
      </c>
      <c r="H897" s="9">
        <f>IFERROR(__xludf.DUMMYFUNCTION("MAX(INDEX(GOOGLEFINANCE(A897, ""high"", TODAY()-30, TODAY()), 0, 2))"),512.0)</f>
        <v>512</v>
      </c>
      <c r="I897" s="9">
        <f>IFERROR(__xludf.DUMMYFUNCTION("MIN(INDEX(GOOGLEFINANCE(A897, ""low"", TODAY()-30, TODAY()), 0, 2))"),435.0)</f>
        <v>435</v>
      </c>
      <c r="J897" s="9">
        <f>IFERROR(__xludf.DUMMYFUNCTION("GOOGLEFINANCE(A897, ""high52"")"),551.95)</f>
        <v>551.95</v>
      </c>
      <c r="K897" s="9">
        <f>IFERROR(__xludf.DUMMYFUNCTION("GOOGLEFINANCE(A897, ""low52"")"),352.6)</f>
        <v>352.6</v>
      </c>
      <c r="L897" s="9">
        <f t="shared" si="1"/>
        <v>0.1483830057</v>
      </c>
      <c r="M897" s="9">
        <f t="shared" si="2"/>
        <v>0.3330969938</v>
      </c>
      <c r="N897" s="9">
        <f t="shared" si="3"/>
        <v>0.09401709402</v>
      </c>
      <c r="O897" s="9">
        <f t="shared" si="4"/>
        <v>0.4551948052</v>
      </c>
      <c r="P897" s="9">
        <f>IFERROR(__xludf.DUMMYFUNCTION("GOOGLEFINANCE(A897, ""pe"")"),65.38)</f>
        <v>65.38</v>
      </c>
      <c r="Q897" s="9">
        <f>IFERROR(__xludf.DUMMYFUNCTION("IFERROR(GOOGLEFINANCE(A897, ""volume"") / GOOGLEFINANCE(A897, ""volumeavg""), 0)"),0.0)</f>
        <v>0</v>
      </c>
      <c r="R897" s="9">
        <f>IFERROR(__xludf.DUMMYFUNCTION("AVERAGE(INDEX(GOOGLEFINANCE(A897, ""price"", TODAY()-30, TODAY()), 0, 2))"),470.63695652173914)</f>
        <v>470.6369565</v>
      </c>
      <c r="S897" s="9">
        <f>IFERROR(__xludf.DUMMYFUNCTION("AVERAGE(INDEX(GOOGLEFINANCE(A897, ""price"", TODAY()-75, TODAY()), 0, 2))"),446.5264150943396)</f>
        <v>446.5264151</v>
      </c>
      <c r="T897" s="9">
        <f>IFERROR(__xludf.DUMMYFUNCTION("AVERAGE(INDEX(GOOGLEFINANCE(A897, ""price"", TODAY()-300, TODAY()), 0, 2))"),439.7702970297033)</f>
        <v>439.770297</v>
      </c>
      <c r="U897" s="9">
        <f t="shared" si="5"/>
        <v>-0.001247153488</v>
      </c>
      <c r="V897" s="15">
        <f>IFERROR(__xludf.DUMMYFUNCTION("LET(hist, GOOGLEFINANCE(A897,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rs))))))"),46.55708573967125)</f>
        <v>46.55708574</v>
      </c>
      <c r="W897" s="16" t="str">
        <f>IFERROR(__xludf.DUMMYFUNCTION("IFERROR(GOOGLEFINANCE(A897, ""volume"") / GOOGLEFINANCE(A897, ""volumeavg""), )"),"")</f>
        <v/>
      </c>
      <c r="X897" s="9">
        <f>IFERROR(__xludf.DUMMYFUNCTION("B897 * GOOGLEFINANCE(A897, ""volume"")"),5.090970535E7)</f>
        <v>50909705.35</v>
      </c>
      <c r="Y897" s="9">
        <f>IFERROR(__xludf.DUMMYFUNCTION("IFERROR(((B897 - GOOGLEFINANCE(A897, ""priceopen"")) / GOOGLEFINANCE(A897, ""priceopen"")) * GOOGLEFINANCE(A897, ""volume""), 0)"),-8873.981738281247)</f>
        <v>-8873.981738</v>
      </c>
    </row>
    <row r="898">
      <c r="A898" s="4" t="s">
        <v>2691</v>
      </c>
      <c r="B898" s="7">
        <f>IFERROR(__xludf.DUMMYFUNCTION("GOOGLEFINANCE(A898, ""price"")"),490.7)</f>
        <v>490.7</v>
      </c>
      <c r="C898" s="7">
        <f>IFERROR(__xludf.DUMMYFUNCTION("GOOGLEFINANCE(A898, ""changepct"")"),-0.45)</f>
        <v>-0.45</v>
      </c>
      <c r="D898" s="9">
        <f>IFERROR(__xludf.DUMMYFUNCTION("GOOGLEFINANCE(A898, ""priceopen"")"),495.8)</f>
        <v>495.8</v>
      </c>
      <c r="E898" s="9">
        <f>IFERROR(__xludf.DUMMYFUNCTION("GOOGLEFINANCE(A898, ""high"")"),495.9)</f>
        <v>495.9</v>
      </c>
      <c r="F898" s="9">
        <f>IFERROR(__xludf.DUMMYFUNCTION("GOOGLEFINANCE(A898, ""low"")"),485.0)</f>
        <v>485</v>
      </c>
      <c r="G898" s="9">
        <f>IFERROR(__xludf.DUMMYFUNCTION("GOOGLEFINANCE(A898, ""price"")"),490.7)</f>
        <v>490.7</v>
      </c>
      <c r="H898" s="9">
        <f>IFERROR(__xludf.DUMMYFUNCTION("MAX(INDEX(GOOGLEFINANCE(A898, ""high"", TODAY()-30, TODAY()), 0, 2))"),584.0)</f>
        <v>584</v>
      </c>
      <c r="I898" s="9">
        <f>IFERROR(__xludf.DUMMYFUNCTION("MIN(INDEX(GOOGLEFINANCE(A898, ""low"", TODAY()-30, TODAY()), 0, 2))"),479.9)</f>
        <v>479.9</v>
      </c>
      <c r="J898" s="9">
        <f>IFERROR(__xludf.DUMMYFUNCTION("GOOGLEFINANCE(A898, ""high52"")"),647.6)</f>
        <v>647.6</v>
      </c>
      <c r="K898" s="9">
        <f>IFERROR(__xludf.DUMMYFUNCTION("GOOGLEFINANCE(A898, ""low52"")"),392.2)</f>
        <v>392.2</v>
      </c>
      <c r="L898" s="9">
        <f t="shared" si="1"/>
        <v>0.2422791847</v>
      </c>
      <c r="M898" s="9">
        <f t="shared" si="2"/>
        <v>0.2511473738</v>
      </c>
      <c r="N898" s="9">
        <f t="shared" si="3"/>
        <v>0.0224742268</v>
      </c>
      <c r="O898" s="9">
        <f t="shared" si="4"/>
        <v>0.1037463977</v>
      </c>
      <c r="P898" s="9">
        <f>IFERROR(__xludf.DUMMYFUNCTION("GOOGLEFINANCE(A898, ""pe"")"),18.94)</f>
        <v>18.94</v>
      </c>
      <c r="Q898" s="9">
        <f>IFERROR(__xludf.DUMMYFUNCTION("IFERROR(GOOGLEFINANCE(A898, ""volume"") / GOOGLEFINANCE(A898, ""volumeavg""), 0)"),0.0)</f>
        <v>0</v>
      </c>
      <c r="R898" s="9">
        <f>IFERROR(__xludf.DUMMYFUNCTION("AVERAGE(INDEX(GOOGLEFINANCE(A898, ""price"", TODAY()-30, TODAY()), 0, 2))"),528.4917391304349)</f>
        <v>528.4917391</v>
      </c>
      <c r="S898" s="9">
        <f>IFERROR(__xludf.DUMMYFUNCTION("AVERAGE(INDEX(GOOGLEFINANCE(A898, ""price"", TODAY()-75, TODAY()), 0, 2))"),530.9198113207547)</f>
        <v>530.9198113</v>
      </c>
      <c r="T898" s="9">
        <f>IFERROR(__xludf.DUMMYFUNCTION("AVERAGE(INDEX(GOOGLEFINANCE(A898, ""price"", TODAY()-300, TODAY()), 0, 2))"),519.3613366336637)</f>
        <v>519.3613366</v>
      </c>
      <c r="U898" s="9">
        <f t="shared" si="5"/>
        <v>-0.07150866576</v>
      </c>
      <c r="V898" s="15">
        <f>IFERROR(__xludf.DUMMYFUNCTION("LET(hist, GOOGLEFINANCE(A898,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rs))))))"),35.54091539528436)</f>
        <v>35.5409154</v>
      </c>
      <c r="W898" s="16" t="str">
        <f>IFERROR(__xludf.DUMMYFUNCTION("IFERROR(GOOGLEFINANCE(A898, ""volume"") / GOOGLEFINANCE(A898, ""volumeavg""), )"),"")</f>
        <v/>
      </c>
      <c r="X898" s="9">
        <f>IFERROR(__xludf.DUMMYFUNCTION("B898 * GOOGLEFINANCE(A898, ""volume"")"),1.0119804239999999E8)</f>
        <v>101198042.4</v>
      </c>
      <c r="Y898" s="9">
        <f>IFERROR(__xludf.DUMMYFUNCTION("IFERROR(((B898 - GOOGLEFINANCE(A898, ""priceopen"")) / GOOGLEFINANCE(A898, ""priceopen"")) * GOOGLEFINANCE(A898, ""volume""), 0)"),-2121.3860427591867)</f>
        <v>-2121.386043</v>
      </c>
    </row>
    <row r="899">
      <c r="A899" s="4" t="s">
        <v>2692</v>
      </c>
      <c r="B899" s="7">
        <f>IFERROR(__xludf.DUMMYFUNCTION("GOOGLEFINANCE(A899, ""price"")"),17.88)</f>
        <v>17.88</v>
      </c>
      <c r="C899" s="7">
        <f>IFERROR(__xludf.DUMMYFUNCTION("GOOGLEFINANCE(A899, ""changepct"")"),-1.0)</f>
        <v>-1</v>
      </c>
      <c r="D899" s="9">
        <f>IFERROR(__xludf.DUMMYFUNCTION("GOOGLEFINANCE(A899, ""priceopen"")"),18.16)</f>
        <v>18.16</v>
      </c>
      <c r="E899" s="9">
        <f>IFERROR(__xludf.DUMMYFUNCTION("GOOGLEFINANCE(A899, ""high"")"),18.45)</f>
        <v>18.45</v>
      </c>
      <c r="F899" s="9">
        <f>IFERROR(__xludf.DUMMYFUNCTION("GOOGLEFINANCE(A899, ""low"")"),17.0)</f>
        <v>17</v>
      </c>
      <c r="G899" s="9">
        <f>IFERROR(__xludf.DUMMYFUNCTION("GOOGLEFINANCE(A899, ""price"")"),17.88)</f>
        <v>17.88</v>
      </c>
      <c r="H899" s="9">
        <f>IFERROR(__xludf.DUMMYFUNCTION("MAX(INDEX(GOOGLEFINANCE(A899, ""high"", TODAY()-30, TODAY()), 0, 2))"),18.58)</f>
        <v>18.58</v>
      </c>
      <c r="I899" s="9">
        <f>IFERROR(__xludf.DUMMYFUNCTION("MIN(INDEX(GOOGLEFINANCE(A899, ""low"", TODAY()-30, TODAY()), 0, 2))"),16.58)</f>
        <v>16.58</v>
      </c>
      <c r="J899" s="9">
        <f>IFERROR(__xludf.DUMMYFUNCTION("GOOGLEFINANCE(A899, ""high52"")"),23.65)</f>
        <v>23.65</v>
      </c>
      <c r="K899" s="9">
        <f>IFERROR(__xludf.DUMMYFUNCTION("GOOGLEFINANCE(A899, ""low52"")"),14.85)</f>
        <v>14.85</v>
      </c>
      <c r="L899" s="9">
        <f t="shared" si="1"/>
        <v>0.24397463</v>
      </c>
      <c r="M899" s="9">
        <f t="shared" si="2"/>
        <v>0.204040404</v>
      </c>
      <c r="N899" s="9">
        <f t="shared" si="3"/>
        <v>0.08529411765</v>
      </c>
      <c r="O899" s="9">
        <f t="shared" si="4"/>
        <v>0.65</v>
      </c>
      <c r="P899" s="9">
        <f>IFERROR(__xludf.DUMMYFUNCTION("GOOGLEFINANCE(A899, ""pe"")"),20.75)</f>
        <v>20.75</v>
      </c>
      <c r="Q899" s="9">
        <f>IFERROR(__xludf.DUMMYFUNCTION("IFERROR(GOOGLEFINANCE(A899, ""volume"") / GOOGLEFINANCE(A899, ""volumeavg""), 0)"),0.0)</f>
        <v>0</v>
      </c>
      <c r="R899" s="9">
        <f>IFERROR(__xludf.DUMMYFUNCTION("AVERAGE(INDEX(GOOGLEFINANCE(A899, ""price"", TODAY()-30, TODAY()), 0, 2))"),17.355652173913047)</f>
        <v>17.35565217</v>
      </c>
      <c r="S899" s="9">
        <f>IFERROR(__xludf.DUMMYFUNCTION("AVERAGE(INDEX(GOOGLEFINANCE(A899, ""price"", TODAY()-75, TODAY()), 0, 2))"),18.0566037735849)</f>
        <v>18.05660377</v>
      </c>
      <c r="T899" s="9">
        <f>IFERROR(__xludf.DUMMYFUNCTION("AVERAGE(INDEX(GOOGLEFINANCE(A899, ""price"", TODAY()-300, TODAY()), 0, 2))"),18.332623762376237)</f>
        <v>18.33262376</v>
      </c>
      <c r="U899" s="9">
        <f t="shared" si="5"/>
        <v>0.03021193447</v>
      </c>
      <c r="V899" s="15">
        <f>IFERROR(__xludf.DUMMYFUNCTION("LET(hist, GOOGLEFINANCE(A899,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rs))))))"),62.83618581907091)</f>
        <v>62.83618582</v>
      </c>
      <c r="W899" s="16" t="str">
        <f>IFERROR(__xludf.DUMMYFUNCTION("IFERROR(GOOGLEFINANCE(A899, ""volume"") / GOOGLEFINANCE(A899, ""volumeavg""), )"),"")</f>
        <v/>
      </c>
      <c r="X899" s="9">
        <f>IFERROR(__xludf.DUMMYFUNCTION("B899 * GOOGLEFINANCE(A899, ""volume"")"),1.3249469783999999E8)</f>
        <v>132494697.8</v>
      </c>
      <c r="Y899" s="9">
        <f>IFERROR(__xludf.DUMMYFUNCTION("IFERROR(((B899 - GOOGLEFINANCE(A899, ""priceopen"")) / GOOGLEFINANCE(A899, ""priceopen"")) * GOOGLEFINANCE(A899, ""volume""), 0)"),-114254.46255506654)</f>
        <v>-114254.4626</v>
      </c>
    </row>
    <row r="900">
      <c r="A900" s="4" t="s">
        <v>2693</v>
      </c>
      <c r="B900" s="7">
        <f>IFERROR(__xludf.DUMMYFUNCTION("GOOGLEFINANCE(A900, ""price"")"),164.48)</f>
        <v>164.48</v>
      </c>
      <c r="C900" s="7">
        <f>IFERROR(__xludf.DUMMYFUNCTION("GOOGLEFINANCE(A900, ""changepct"")"),-0.2)</f>
        <v>-0.2</v>
      </c>
      <c r="D900" s="9">
        <f>IFERROR(__xludf.DUMMYFUNCTION("GOOGLEFINANCE(A900, ""priceopen"")"),164.81)</f>
        <v>164.81</v>
      </c>
      <c r="E900" s="9">
        <f>IFERROR(__xludf.DUMMYFUNCTION("GOOGLEFINANCE(A900, ""high"")"),166.5)</f>
        <v>166.5</v>
      </c>
      <c r="F900" s="9">
        <f>IFERROR(__xludf.DUMMYFUNCTION("GOOGLEFINANCE(A900, ""low"")"),164.0)</f>
        <v>164</v>
      </c>
      <c r="G900" s="9">
        <f>IFERROR(__xludf.DUMMYFUNCTION("GOOGLEFINANCE(A900, ""price"")"),164.48)</f>
        <v>164.48</v>
      </c>
      <c r="H900" s="9">
        <f>IFERROR(__xludf.DUMMYFUNCTION("MAX(INDEX(GOOGLEFINANCE(A900, ""high"", TODAY()-30, TODAY()), 0, 2))"),187.55)</f>
        <v>187.55</v>
      </c>
      <c r="I900" s="9">
        <f>IFERROR(__xludf.DUMMYFUNCTION("MIN(INDEX(GOOGLEFINANCE(A900, ""low"", TODAY()-30, TODAY()), 0, 2))"),161.56)</f>
        <v>161.56</v>
      </c>
      <c r="J900" s="9">
        <f>IFERROR(__xludf.DUMMYFUNCTION("GOOGLEFINANCE(A900, ""high52"")"),227.0)</f>
        <v>227</v>
      </c>
      <c r="K900" s="9">
        <f>IFERROR(__xludf.DUMMYFUNCTION("GOOGLEFINANCE(A900, ""low52"")"),127.0)</f>
        <v>127</v>
      </c>
      <c r="L900" s="9">
        <f t="shared" si="1"/>
        <v>0.2754185022</v>
      </c>
      <c r="M900" s="9">
        <f t="shared" si="2"/>
        <v>0.2951181102</v>
      </c>
      <c r="N900" s="9">
        <f t="shared" si="3"/>
        <v>0.01524390244</v>
      </c>
      <c r="O900" s="9">
        <f t="shared" si="4"/>
        <v>0.1123509042</v>
      </c>
      <c r="P900" s="9">
        <f>IFERROR(__xludf.DUMMYFUNCTION("GOOGLEFINANCE(A900, ""pe"")"),6.4)</f>
        <v>6.4</v>
      </c>
      <c r="Q900" s="9">
        <f>IFERROR(__xludf.DUMMYFUNCTION("IFERROR(GOOGLEFINANCE(A900, ""volume"") / GOOGLEFINANCE(A900, ""volumeavg""), 0)"),0.0)</f>
        <v>0</v>
      </c>
      <c r="R900" s="9">
        <f>IFERROR(__xludf.DUMMYFUNCTION("AVERAGE(INDEX(GOOGLEFINANCE(A900, ""price"", TODAY()-30, TODAY()), 0, 2))"),173.09869565217394)</f>
        <v>173.0986957</v>
      </c>
      <c r="S900" s="9">
        <f>IFERROR(__xludf.DUMMYFUNCTION("AVERAGE(INDEX(GOOGLEFINANCE(A900, ""price"", TODAY()-75, TODAY()), 0, 2))"),171.66962264150942)</f>
        <v>171.6696226</v>
      </c>
      <c r="T900" s="9">
        <f>IFERROR(__xludf.DUMMYFUNCTION("AVERAGE(INDEX(GOOGLEFINANCE(A900, ""price"", TODAY()-300, TODAY()), 0, 2))"),171.02321782178214)</f>
        <v>171.0232178</v>
      </c>
      <c r="U900" s="9">
        <f t="shared" si="5"/>
        <v>-0.04979064469</v>
      </c>
      <c r="V900" s="15">
        <f>IFERROR(__xludf.DUMMYFUNCTION("LET(hist, GOOGLEFINANCE(A900,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rs))))))"),45.10770354143847)</f>
        <v>45.10770354</v>
      </c>
      <c r="W900" s="16" t="str">
        <f>IFERROR(__xludf.DUMMYFUNCTION("IFERROR(GOOGLEFINANCE(A900, ""volume"") / GOOGLEFINANCE(A900, ""volumeavg""), )"),"")</f>
        <v/>
      </c>
      <c r="X900" s="9">
        <f>IFERROR(__xludf.DUMMYFUNCTION("B900 * GOOGLEFINANCE(A900, ""volume"")"),1.0777091455999999E8)</f>
        <v>107770914.6</v>
      </c>
      <c r="Y900" s="9">
        <f>IFERROR(__xludf.DUMMYFUNCTION("IFERROR(((B900 - GOOGLEFINANCE(A900, ""priceopen"")) / GOOGLEFINANCE(A900, ""priceopen"")) * GOOGLEFINANCE(A900, ""volume""), 0)"),-1311.9547357563752)</f>
        <v>-1311.954736</v>
      </c>
    </row>
    <row r="901">
      <c r="A901" s="4" t="s">
        <v>2694</v>
      </c>
      <c r="B901" s="7">
        <f>IFERROR(__xludf.DUMMYFUNCTION("GOOGLEFINANCE(A901, ""price"")"),591.55)</f>
        <v>591.55</v>
      </c>
      <c r="C901" s="7">
        <f>IFERROR(__xludf.DUMMYFUNCTION("GOOGLEFINANCE(A901, ""changepct"")"),5.8)</f>
        <v>5.8</v>
      </c>
      <c r="D901" s="9">
        <f>IFERROR(__xludf.DUMMYFUNCTION("GOOGLEFINANCE(A901, ""priceopen"")"),575.0)</f>
        <v>575</v>
      </c>
      <c r="E901" s="9">
        <f>IFERROR(__xludf.DUMMYFUNCTION("GOOGLEFINANCE(A901, ""high"")"),638.7)</f>
        <v>638.7</v>
      </c>
      <c r="F901" s="9">
        <f>IFERROR(__xludf.DUMMYFUNCTION("GOOGLEFINANCE(A901, ""low"")"),573.0)</f>
        <v>573</v>
      </c>
      <c r="G901" s="9">
        <f>IFERROR(__xludf.DUMMYFUNCTION("GOOGLEFINANCE(A901, ""price"")"),591.55)</f>
        <v>591.55</v>
      </c>
      <c r="H901" s="9">
        <f>IFERROR(__xludf.DUMMYFUNCTION("MAX(INDEX(GOOGLEFINANCE(A901, ""high"", TODAY()-30, TODAY()), 0, 2))"),638.7)</f>
        <v>638.7</v>
      </c>
      <c r="I901" s="9">
        <f>IFERROR(__xludf.DUMMYFUNCTION("MIN(INDEX(GOOGLEFINANCE(A901, ""low"", TODAY()-30, TODAY()), 0, 2))"),507.55)</f>
        <v>507.55</v>
      </c>
      <c r="J901" s="9">
        <f>IFERROR(__xludf.DUMMYFUNCTION("GOOGLEFINANCE(A901, ""high52"")"),638.7)</f>
        <v>638.7</v>
      </c>
      <c r="K901" s="9">
        <f>IFERROR(__xludf.DUMMYFUNCTION("GOOGLEFINANCE(A901, ""low52"")"),302.05)</f>
        <v>302.05</v>
      </c>
      <c r="L901" s="9">
        <f t="shared" si="1"/>
        <v>0.07382182558</v>
      </c>
      <c r="M901" s="9">
        <f t="shared" si="2"/>
        <v>0.9584505877</v>
      </c>
      <c r="N901" s="9">
        <f t="shared" si="3"/>
        <v>0.1146596859</v>
      </c>
      <c r="O901" s="9">
        <f t="shared" si="4"/>
        <v>0.6404879909</v>
      </c>
      <c r="P901" s="9">
        <f>IFERROR(__xludf.DUMMYFUNCTION("GOOGLEFINANCE(A901, ""pe"")"),25.01)</f>
        <v>25.01</v>
      </c>
      <c r="Q901" s="9">
        <f>IFERROR(__xludf.DUMMYFUNCTION("IFERROR(GOOGLEFINANCE(A901, ""volume"") / GOOGLEFINANCE(A901, ""volumeavg""), 0)"),0.0)</f>
        <v>0</v>
      </c>
      <c r="R901" s="9">
        <f>IFERROR(__xludf.DUMMYFUNCTION("AVERAGE(INDEX(GOOGLEFINANCE(A901, ""price"", TODAY()-30, TODAY()), 0, 2))"),541.9369565217391)</f>
        <v>541.9369565</v>
      </c>
      <c r="S901" s="9">
        <f>IFERROR(__xludf.DUMMYFUNCTION("AVERAGE(INDEX(GOOGLEFINANCE(A901, ""price"", TODAY()-75, TODAY()), 0, 2))"),549.0462264150942)</f>
        <v>549.0462264</v>
      </c>
      <c r="T901" s="9">
        <f>IFERROR(__xludf.DUMMYFUNCTION("AVERAGE(INDEX(GOOGLEFINANCE(A901, ""price"", TODAY()-300, TODAY()), 0, 2))"),459.4188118811884)</f>
        <v>459.4188119</v>
      </c>
      <c r="U901" s="9">
        <f t="shared" si="5"/>
        <v>0.09154762908</v>
      </c>
      <c r="V901" s="15">
        <f>IFERROR(__xludf.DUMMYFUNCTION("LET(hist, GOOGLEFINANCE(A901,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rs))))))"),76.81575707837506)</f>
        <v>76.81575708</v>
      </c>
      <c r="W901" s="16" t="str">
        <f>IFERROR(__xludf.DUMMYFUNCTION("IFERROR(GOOGLEFINANCE(A901, ""volume"") / GOOGLEFINANCE(A901, ""volumeavg""), )"),"")</f>
        <v/>
      </c>
      <c r="X901" s="9">
        <f>IFERROR(__xludf.DUMMYFUNCTION("B901 * GOOGLEFINANCE(A901, ""volume"")"),6.411399322749999E9)</f>
        <v>6411399323</v>
      </c>
      <c r="Y901" s="9">
        <f>IFERROR(__xludf.DUMMYFUNCTION("IFERROR(((B901 - GOOGLEFINANCE(A901, ""priceopen"")) / GOOGLEFINANCE(A901, ""priceopen"")) * GOOGLEFINANCE(A901, ""volume""), 0)"),311954.6917391296)</f>
        <v>311954.6917</v>
      </c>
    </row>
    <row r="902">
      <c r="A902" s="4" t="s">
        <v>2695</v>
      </c>
      <c r="B902" s="7">
        <f>IFERROR(__xludf.DUMMYFUNCTION("GOOGLEFINANCE(A902, ""price"")"),462.9)</f>
        <v>462.9</v>
      </c>
      <c r="C902" s="7">
        <f>IFERROR(__xludf.DUMMYFUNCTION("GOOGLEFINANCE(A902, ""changepct"")"),1.68)</f>
        <v>1.68</v>
      </c>
      <c r="D902" s="9">
        <f>IFERROR(__xludf.DUMMYFUNCTION("GOOGLEFINANCE(A902, ""priceopen"")"),457.0)</f>
        <v>457</v>
      </c>
      <c r="E902" s="9">
        <f>IFERROR(__xludf.DUMMYFUNCTION("GOOGLEFINANCE(A902, ""high"")"),473.3)</f>
        <v>473.3</v>
      </c>
      <c r="F902" s="9">
        <f>IFERROR(__xludf.DUMMYFUNCTION("GOOGLEFINANCE(A902, ""low"")"),445.25)</f>
        <v>445.25</v>
      </c>
      <c r="G902" s="9">
        <f>IFERROR(__xludf.DUMMYFUNCTION("GOOGLEFINANCE(A902, ""price"")"),462.9)</f>
        <v>462.9</v>
      </c>
      <c r="H902" s="9">
        <f>IFERROR(__xludf.DUMMYFUNCTION("MAX(INDEX(GOOGLEFINANCE(A902, ""high"", TODAY()-30, TODAY()), 0, 2))"),483.0)</f>
        <v>483</v>
      </c>
      <c r="I902" s="9">
        <f>IFERROR(__xludf.DUMMYFUNCTION("MIN(INDEX(GOOGLEFINANCE(A902, ""low"", TODAY()-30, TODAY()), 0, 2))"),382.4)</f>
        <v>382.4</v>
      </c>
      <c r="J902" s="9">
        <f>IFERROR(__xludf.DUMMYFUNCTION("GOOGLEFINANCE(A902, ""high52"")"),483.0)</f>
        <v>483</v>
      </c>
      <c r="K902" s="9">
        <f>IFERROR(__xludf.DUMMYFUNCTION("GOOGLEFINANCE(A902, ""low52"")"),212.55)</f>
        <v>212.55</v>
      </c>
      <c r="L902" s="9">
        <f t="shared" si="1"/>
        <v>0.04161490683</v>
      </c>
      <c r="M902" s="9">
        <f t="shared" si="2"/>
        <v>1.177840508</v>
      </c>
      <c r="N902" s="9">
        <f t="shared" si="3"/>
        <v>0.06299831555</v>
      </c>
      <c r="O902" s="9">
        <f t="shared" si="4"/>
        <v>0.8001988072</v>
      </c>
      <c r="P902" s="9">
        <f>IFERROR(__xludf.DUMMYFUNCTION("GOOGLEFINANCE(A902, ""pe"")"),30.44)</f>
        <v>30.44</v>
      </c>
      <c r="Q902" s="9">
        <f>IFERROR(__xludf.DUMMYFUNCTION("IFERROR(GOOGLEFINANCE(A902, ""volume"") / GOOGLEFINANCE(A902, ""volumeavg""), 0)"),0.0)</f>
        <v>0</v>
      </c>
      <c r="R902" s="9">
        <f>IFERROR(__xludf.DUMMYFUNCTION("AVERAGE(INDEX(GOOGLEFINANCE(A902, ""price"", TODAY()-30, TODAY()), 0, 2))"),426.5630434782608)</f>
        <v>426.5630435</v>
      </c>
      <c r="S902" s="9">
        <f>IFERROR(__xludf.DUMMYFUNCTION("AVERAGE(INDEX(GOOGLEFINANCE(A902, ""price"", TODAY()-75, TODAY()), 0, 2))"),420.7764150943397)</f>
        <v>420.7764151</v>
      </c>
      <c r="T902" s="9">
        <f>IFERROR(__xludf.DUMMYFUNCTION("AVERAGE(INDEX(GOOGLEFINANCE(A902, ""price"", TODAY()-300, TODAY()), 0, 2))"),315.8145544554454)</f>
        <v>315.8145545</v>
      </c>
      <c r="U902" s="9">
        <f t="shared" si="5"/>
        <v>0.08518543056</v>
      </c>
      <c r="V902" s="15">
        <f>IFERROR(__xludf.DUMMYFUNCTION("LET(hist, GOOGLEFINANCE(A902,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rs))))))"),68.99031811894882)</f>
        <v>68.99031812</v>
      </c>
      <c r="W902" s="16" t="str">
        <f>IFERROR(__xludf.DUMMYFUNCTION("IFERROR(GOOGLEFINANCE(A902, ""volume"") / GOOGLEFINANCE(A902, ""volumeavg""), )"),"")</f>
        <v/>
      </c>
      <c r="X902" s="9">
        <f>IFERROR(__xludf.DUMMYFUNCTION("B902 * GOOGLEFINANCE(A902, ""volume"")"),2.582722776E8)</f>
        <v>258272277.6</v>
      </c>
      <c r="Y902" s="9">
        <f>IFERROR(__xludf.DUMMYFUNCTION("IFERROR(((B902 - GOOGLEFINANCE(A902, ""priceopen"")) / GOOGLEFINANCE(A902, ""priceopen"")) * GOOGLEFINANCE(A902, ""volume""), 0)"),7203.215754923385)</f>
        <v>7203.215755</v>
      </c>
    </row>
    <row r="903">
      <c r="A903" s="4" t="s">
        <v>2696</v>
      </c>
      <c r="B903" s="7">
        <f>IFERROR(__xludf.DUMMYFUNCTION("GOOGLEFINANCE(A903, ""price"")"),108.0)</f>
        <v>108</v>
      </c>
      <c r="C903" s="7">
        <f>IFERROR(__xludf.DUMMYFUNCTION("GOOGLEFINANCE(A903, ""changepct"")"),-3.02)</f>
        <v>-3.02</v>
      </c>
      <c r="D903" s="9">
        <f>IFERROR(__xludf.DUMMYFUNCTION("GOOGLEFINANCE(A903, ""priceopen"")"),113.0)</f>
        <v>113</v>
      </c>
      <c r="E903" s="9">
        <f>IFERROR(__xludf.DUMMYFUNCTION("GOOGLEFINANCE(A903, ""high"")"),116.49)</f>
        <v>116.49</v>
      </c>
      <c r="F903" s="9">
        <f>IFERROR(__xludf.DUMMYFUNCTION("GOOGLEFINANCE(A903, ""low"")"),107.11)</f>
        <v>107.11</v>
      </c>
      <c r="G903" s="9">
        <f>IFERROR(__xludf.DUMMYFUNCTION("GOOGLEFINANCE(A903, ""price"")"),108.0)</f>
        <v>108</v>
      </c>
      <c r="H903" s="9">
        <f>IFERROR(__xludf.DUMMYFUNCTION("MAX(INDEX(GOOGLEFINANCE(A903, ""high"", TODAY()-30, TODAY()), 0, 2))"),117.3)</f>
        <v>117.3</v>
      </c>
      <c r="I903" s="9">
        <f>IFERROR(__xludf.DUMMYFUNCTION("MIN(INDEX(GOOGLEFINANCE(A903, ""low"", TODAY()-30, TODAY()), 0, 2))"),95.52)</f>
        <v>95.52</v>
      </c>
      <c r="J903" s="9">
        <f>IFERROR(__xludf.DUMMYFUNCTION("GOOGLEFINANCE(A903, ""high52"")"),169.6)</f>
        <v>169.6</v>
      </c>
      <c r="K903" s="9">
        <f>IFERROR(__xludf.DUMMYFUNCTION("GOOGLEFINANCE(A903, ""low52"")"),77.12)</f>
        <v>77.12</v>
      </c>
      <c r="L903" s="9">
        <f t="shared" si="1"/>
        <v>0.3632075472</v>
      </c>
      <c r="M903" s="9">
        <f t="shared" si="2"/>
        <v>0.4004149378</v>
      </c>
      <c r="N903" s="9">
        <f t="shared" si="3"/>
        <v>0.08757352255</v>
      </c>
      <c r="O903" s="9">
        <f t="shared" si="4"/>
        <v>0.5730027548</v>
      </c>
      <c r="P903" s="9">
        <f>IFERROR(__xludf.DUMMYFUNCTION("GOOGLEFINANCE(A903, ""pe"")"),21.32)</f>
        <v>21.32</v>
      </c>
      <c r="Q903" s="9">
        <f>IFERROR(__xludf.DUMMYFUNCTION("IFERROR(GOOGLEFINANCE(A903, ""volume"") / GOOGLEFINANCE(A903, ""volumeavg""), 0)"),0.0)</f>
        <v>0</v>
      </c>
      <c r="R903" s="9">
        <f>IFERROR(__xludf.DUMMYFUNCTION("AVERAGE(INDEX(GOOGLEFINANCE(A903, ""price"", TODAY()-30, TODAY()), 0, 2))"),103.3121739130435)</f>
        <v>103.3121739</v>
      </c>
      <c r="S903" s="9">
        <f>IFERROR(__xludf.DUMMYFUNCTION("AVERAGE(INDEX(GOOGLEFINANCE(A903, ""price"", TODAY()-75, TODAY()), 0, 2))"),106.16094339622643)</f>
        <v>106.1609434</v>
      </c>
      <c r="T903" s="9">
        <f>IFERROR(__xludf.DUMMYFUNCTION("AVERAGE(INDEX(GOOGLEFINANCE(A903, ""price"", TODAY()-300, TODAY()), 0, 2))"),114.74331683168312)</f>
        <v>114.7433168</v>
      </c>
      <c r="U903" s="9">
        <f t="shared" si="5"/>
        <v>0.04537535035</v>
      </c>
      <c r="V903" s="15">
        <f>IFERROR(__xludf.DUMMYFUNCTION("LET(hist, GOOGLEFINANCE(A903,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rs))))))"),65.9057652911911)</f>
        <v>65.90576529</v>
      </c>
      <c r="W903" s="16" t="str">
        <f>IFERROR(__xludf.DUMMYFUNCTION("IFERROR(GOOGLEFINANCE(A903, ""volume"") / GOOGLEFINANCE(A903, ""volumeavg""), )"),"")</f>
        <v/>
      </c>
      <c r="X903" s="9">
        <f>IFERROR(__xludf.DUMMYFUNCTION("B903 * GOOGLEFINANCE(A903, ""volume"")"),5.43237408E8)</f>
        <v>543237408</v>
      </c>
      <c r="Y903" s="9">
        <f>IFERROR(__xludf.DUMMYFUNCTION("IFERROR(((B903 - GOOGLEFINANCE(A903, ""priceopen"")) / GOOGLEFINANCE(A903, ""priceopen"")) * GOOGLEFINANCE(A903, ""volume""), 0)"),-222565.30973451328)</f>
        <v>-222565.3097</v>
      </c>
    </row>
    <row r="904">
      <c r="A904" s="4" t="s">
        <v>2697</v>
      </c>
      <c r="B904" s="7">
        <f>IFERROR(__xludf.DUMMYFUNCTION("GOOGLEFINANCE(A904, ""price"")"),531.2)</f>
        <v>531.2</v>
      </c>
      <c r="C904" s="7">
        <f>IFERROR(__xludf.DUMMYFUNCTION("GOOGLEFINANCE(A904, ""changepct"")"),1.58)</f>
        <v>1.58</v>
      </c>
      <c r="D904" s="9">
        <f>IFERROR(__xludf.DUMMYFUNCTION("GOOGLEFINANCE(A904, ""priceopen"")"),524.0)</f>
        <v>524</v>
      </c>
      <c r="E904" s="9">
        <f>IFERROR(__xludf.DUMMYFUNCTION("GOOGLEFINANCE(A904, ""high"")"),534.7)</f>
        <v>534.7</v>
      </c>
      <c r="F904" s="9">
        <f>IFERROR(__xludf.DUMMYFUNCTION("GOOGLEFINANCE(A904, ""low"")"),516.5)</f>
        <v>516.5</v>
      </c>
      <c r="G904" s="9">
        <f>IFERROR(__xludf.DUMMYFUNCTION("GOOGLEFINANCE(A904, ""price"")"),531.2)</f>
        <v>531.2</v>
      </c>
      <c r="H904" s="9">
        <f>IFERROR(__xludf.DUMMYFUNCTION("MAX(INDEX(GOOGLEFINANCE(A904, ""high"", TODAY()-30, TODAY()), 0, 2))"),597.4)</f>
        <v>597.4</v>
      </c>
      <c r="I904" s="9">
        <f>IFERROR(__xludf.DUMMYFUNCTION("MIN(INDEX(GOOGLEFINANCE(A904, ""low"", TODAY()-30, TODAY()), 0, 2))"),471.0)</f>
        <v>471</v>
      </c>
      <c r="J904" s="9">
        <f>IFERROR(__xludf.DUMMYFUNCTION("GOOGLEFINANCE(A904, ""high52"")"),798.95)</f>
        <v>798.95</v>
      </c>
      <c r="K904" s="9">
        <f>IFERROR(__xludf.DUMMYFUNCTION("GOOGLEFINANCE(A904, ""low52"")"),464.25)</f>
        <v>464.25</v>
      </c>
      <c r="L904" s="9">
        <f t="shared" si="1"/>
        <v>0.3351273547</v>
      </c>
      <c r="M904" s="9">
        <f t="shared" si="2"/>
        <v>0.1442110932</v>
      </c>
      <c r="N904" s="9">
        <f t="shared" si="3"/>
        <v>0.03523717328</v>
      </c>
      <c r="O904" s="9">
        <f t="shared" si="4"/>
        <v>0.4762658228</v>
      </c>
      <c r="P904" s="9">
        <f>IFERROR(__xludf.DUMMYFUNCTION("GOOGLEFINANCE(A904, ""pe"")"),95.62)</f>
        <v>95.62</v>
      </c>
      <c r="Q904" s="9">
        <f>IFERROR(__xludf.DUMMYFUNCTION("IFERROR(GOOGLEFINANCE(A904, ""volume"") / GOOGLEFINANCE(A904, ""volumeavg""), 0)"),0.0)</f>
        <v>0</v>
      </c>
      <c r="R904" s="9">
        <f>IFERROR(__xludf.DUMMYFUNCTION("AVERAGE(INDEX(GOOGLEFINANCE(A904, ""price"", TODAY()-30, TODAY()), 0, 2))"),512.7695652173912)</f>
        <v>512.7695652</v>
      </c>
      <c r="S904" s="9">
        <f>IFERROR(__xludf.DUMMYFUNCTION("AVERAGE(INDEX(GOOGLEFINANCE(A904, ""price"", TODAY()-75, TODAY()), 0, 2))"),508.4830188679244)</f>
        <v>508.4830189</v>
      </c>
      <c r="T904" s="9">
        <f>IFERROR(__xludf.DUMMYFUNCTION("AVERAGE(INDEX(GOOGLEFINANCE(A904, ""price"", TODAY()-300, TODAY()), 0, 2))"),561.1323033707868)</f>
        <v>561.1323034</v>
      </c>
      <c r="U904" s="9">
        <f t="shared" si="5"/>
        <v>0.03594291868</v>
      </c>
      <c r="V904" s="15">
        <f>IFERROR(__xludf.DUMMYFUNCTION("LET(hist, GOOGLEFINANCE(A904,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rs))))))"),59.10537482319659)</f>
        <v>59.10537482</v>
      </c>
      <c r="W904" s="16" t="str">
        <f>IFERROR(__xludf.DUMMYFUNCTION("IFERROR(GOOGLEFINANCE(A904, ""volume"") / GOOGLEFINANCE(A904, ""volumeavg""), )"),"")</f>
        <v/>
      </c>
      <c r="X904" s="9">
        <f>IFERROR(__xludf.DUMMYFUNCTION("B904 * GOOGLEFINANCE(A904, ""volume"")"),2.96669888E8)</f>
        <v>296669888</v>
      </c>
      <c r="Y904" s="9">
        <f>IFERROR(__xludf.DUMMYFUNCTION("IFERROR(((B904 - GOOGLEFINANCE(A904, ""priceopen"")) / GOOGLEFINANCE(A904, ""priceopen"")) * GOOGLEFINANCE(A904, ""volume""), 0)"),7673.908396946613)</f>
        <v>7673.908397</v>
      </c>
    </row>
    <row r="905">
      <c r="A905" s="4" t="s">
        <v>2698</v>
      </c>
      <c r="B905" s="7">
        <f>IFERROR(__xludf.DUMMYFUNCTION("GOOGLEFINANCE(A905, ""price"")"),377.0)</f>
        <v>377</v>
      </c>
      <c r="C905" s="7">
        <f>IFERROR(__xludf.DUMMYFUNCTION("GOOGLEFINANCE(A905, ""changepct"")"),-1.13)</f>
        <v>-1.13</v>
      </c>
      <c r="D905" s="9">
        <f>IFERROR(__xludf.DUMMYFUNCTION("GOOGLEFINANCE(A905, ""priceopen"")"),375.0)</f>
        <v>375</v>
      </c>
      <c r="E905" s="9">
        <f>IFERROR(__xludf.DUMMYFUNCTION("GOOGLEFINANCE(A905, ""high"")"),386.6)</f>
        <v>386.6</v>
      </c>
      <c r="F905" s="9">
        <f>IFERROR(__xludf.DUMMYFUNCTION("GOOGLEFINANCE(A905, ""low"")"),372.0)</f>
        <v>372</v>
      </c>
      <c r="G905" s="9">
        <f>IFERROR(__xludf.DUMMYFUNCTION("GOOGLEFINANCE(A905, ""price"")"),377.0)</f>
        <v>377</v>
      </c>
      <c r="H905" s="9">
        <f>IFERROR(__xludf.DUMMYFUNCTION("MAX(INDEX(GOOGLEFINANCE(A905, ""high"", TODAY()-30, TODAY()), 0, 2))"),435.9)</f>
        <v>435.9</v>
      </c>
      <c r="I905" s="9">
        <f>IFERROR(__xludf.DUMMYFUNCTION("MIN(INDEX(GOOGLEFINANCE(A905, ""low"", TODAY()-30, TODAY()), 0, 2))"),368.55)</f>
        <v>368.55</v>
      </c>
      <c r="J905" s="9">
        <f>IFERROR(__xludf.DUMMYFUNCTION("GOOGLEFINANCE(A905, ""high52"")"),435.9)</f>
        <v>435.9</v>
      </c>
      <c r="K905" s="9">
        <f>IFERROR(__xludf.DUMMYFUNCTION("GOOGLEFINANCE(A905, ""low52"")"),269.45)</f>
        <v>269.45</v>
      </c>
      <c r="L905" s="9">
        <f t="shared" si="1"/>
        <v>0.1351227346</v>
      </c>
      <c r="M905" s="9">
        <f t="shared" si="2"/>
        <v>0.3991464094</v>
      </c>
      <c r="N905" s="9">
        <f t="shared" si="3"/>
        <v>0.03924731183</v>
      </c>
      <c r="O905" s="9">
        <f t="shared" si="4"/>
        <v>0.1254639941</v>
      </c>
      <c r="P905" s="9">
        <f>IFERROR(__xludf.DUMMYFUNCTION("GOOGLEFINANCE(A905, ""pe"")"),31.44)</f>
        <v>31.44</v>
      </c>
      <c r="Q905" s="9">
        <f>IFERROR(__xludf.DUMMYFUNCTION("IFERROR(GOOGLEFINANCE(A905, ""volume"") / GOOGLEFINANCE(A905, ""volumeavg""), 0)"),0.0)</f>
        <v>0</v>
      </c>
      <c r="R905" s="9">
        <f>IFERROR(__xludf.DUMMYFUNCTION("AVERAGE(INDEX(GOOGLEFINANCE(A905, ""price"", TODAY()-30, TODAY()), 0, 2))"),382.495652173913)</f>
        <v>382.4956522</v>
      </c>
      <c r="S905" s="9">
        <f>IFERROR(__xludf.DUMMYFUNCTION("AVERAGE(INDEX(GOOGLEFINANCE(A905, ""price"", TODAY()-75, TODAY()), 0, 2))"),377.52169811320744)</f>
        <v>377.5216981</v>
      </c>
      <c r="T905" s="9">
        <f>IFERROR(__xludf.DUMMYFUNCTION("AVERAGE(INDEX(GOOGLEFINANCE(A905, ""price"", TODAY()-300, TODAY()), 0, 2))"),327.66410891089106)</f>
        <v>327.6641089</v>
      </c>
      <c r="U905" s="9">
        <f t="shared" si="5"/>
        <v>-0.01436788142</v>
      </c>
      <c r="V905" s="15">
        <f>IFERROR(__xludf.DUMMYFUNCTION("LET(hist, GOOGLEFINANCE(A905,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rs))))))"),51.668460710441344)</f>
        <v>51.66846071</v>
      </c>
      <c r="W905" s="16" t="str">
        <f>IFERROR(__xludf.DUMMYFUNCTION("IFERROR(GOOGLEFINANCE(A905, ""volume"") / GOOGLEFINANCE(A905, ""volumeavg""), )"),"")</f>
        <v/>
      </c>
      <c r="X905" s="9">
        <f>IFERROR(__xludf.DUMMYFUNCTION("B905 * GOOGLEFINANCE(A905, ""volume"")"),4.3258111E7)</f>
        <v>43258111</v>
      </c>
      <c r="Y905" s="9">
        <f>IFERROR(__xludf.DUMMYFUNCTION("IFERROR(((B905 - GOOGLEFINANCE(A905, ""priceopen"")) / GOOGLEFINANCE(A905, ""priceopen"")) * GOOGLEFINANCE(A905, ""volume""), 0)"),611.9626666666667)</f>
        <v>611.9626667</v>
      </c>
    </row>
    <row r="906">
      <c r="A906" s="4" t="s">
        <v>2699</v>
      </c>
      <c r="B906" s="7">
        <f>IFERROR(__xludf.DUMMYFUNCTION("GOOGLEFINANCE(A906, ""price"")"),426.0)</f>
        <v>426</v>
      </c>
      <c r="C906" s="7">
        <f>IFERROR(__xludf.DUMMYFUNCTION("GOOGLEFINANCE(A906, ""changepct"")"),-1.18)</f>
        <v>-1.18</v>
      </c>
      <c r="D906" s="9">
        <f>IFERROR(__xludf.DUMMYFUNCTION("GOOGLEFINANCE(A906, ""priceopen"")"),434.0)</f>
        <v>434</v>
      </c>
      <c r="E906" s="9">
        <f>IFERROR(__xludf.DUMMYFUNCTION("GOOGLEFINANCE(A906, ""high"")"),439.0)</f>
        <v>439</v>
      </c>
      <c r="F906" s="9">
        <f>IFERROR(__xludf.DUMMYFUNCTION("GOOGLEFINANCE(A906, ""low"")"),420.3)</f>
        <v>420.3</v>
      </c>
      <c r="G906" s="9">
        <f>IFERROR(__xludf.DUMMYFUNCTION("GOOGLEFINANCE(A906, ""price"")"),426.0)</f>
        <v>426</v>
      </c>
      <c r="H906" s="9">
        <f>IFERROR(__xludf.DUMMYFUNCTION("MAX(INDEX(GOOGLEFINANCE(A906, ""high"", TODAY()-30, TODAY()), 0, 2))"),442.0)</f>
        <v>442</v>
      </c>
      <c r="I906" s="9">
        <f>IFERROR(__xludf.DUMMYFUNCTION("MIN(INDEX(GOOGLEFINANCE(A906, ""low"", TODAY()-30, TODAY()), 0, 2))"),362.5)</f>
        <v>362.5</v>
      </c>
      <c r="J906" s="9">
        <f>IFERROR(__xludf.DUMMYFUNCTION("GOOGLEFINANCE(A906, ""high52"")"),448.0)</f>
        <v>448</v>
      </c>
      <c r="K906" s="9">
        <f>IFERROR(__xludf.DUMMYFUNCTION("GOOGLEFINANCE(A906, ""low52"")"),268.0)</f>
        <v>268</v>
      </c>
      <c r="L906" s="9">
        <f t="shared" si="1"/>
        <v>0.04910714286</v>
      </c>
      <c r="M906" s="9">
        <f t="shared" si="2"/>
        <v>0.5895522388</v>
      </c>
      <c r="N906" s="9">
        <f t="shared" si="3"/>
        <v>0.0444920295</v>
      </c>
      <c r="O906" s="9">
        <f t="shared" si="4"/>
        <v>0.7987421384</v>
      </c>
      <c r="P906" s="9">
        <f>IFERROR(__xludf.DUMMYFUNCTION("GOOGLEFINANCE(A906, ""pe"")"),66.56)</f>
        <v>66.56</v>
      </c>
      <c r="Q906" s="9">
        <f>IFERROR(__xludf.DUMMYFUNCTION("IFERROR(GOOGLEFINANCE(A906, ""volume"") / GOOGLEFINANCE(A906, ""volumeavg""), 0)"),0.0)</f>
        <v>0</v>
      </c>
      <c r="R906" s="9">
        <f>IFERROR(__xludf.DUMMYFUNCTION("AVERAGE(INDEX(GOOGLEFINANCE(A906, ""price"", TODAY()-30, TODAY()), 0, 2))"),396.60652173913047)</f>
        <v>396.6065217</v>
      </c>
      <c r="S906" s="9">
        <f>IFERROR(__xludf.DUMMYFUNCTION("AVERAGE(INDEX(GOOGLEFINANCE(A906, ""price"", TODAY()-75, TODAY()), 0, 2))"),381.85943396226406)</f>
        <v>381.859434</v>
      </c>
      <c r="T906" s="9">
        <f>IFERROR(__xludf.DUMMYFUNCTION("AVERAGE(INDEX(GOOGLEFINANCE(A906, ""price"", TODAY()-300, TODAY()), 0, 2))"),331.54108910891085)</f>
        <v>331.5410891</v>
      </c>
      <c r="U906" s="9">
        <f t="shared" si="5"/>
        <v>0.07411244306</v>
      </c>
      <c r="V906" s="15">
        <f>IFERROR(__xludf.DUMMYFUNCTION("LET(hist, GOOGLEFINANCE(A906,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rs))))))"),79.78789769182784)</f>
        <v>79.78789769</v>
      </c>
      <c r="W906" s="16" t="str">
        <f>IFERROR(__xludf.DUMMYFUNCTION("IFERROR(GOOGLEFINANCE(A906, ""volume"") / GOOGLEFINANCE(A906, ""volumeavg""), )"),"")</f>
        <v/>
      </c>
      <c r="X906" s="9">
        <f>IFERROR(__xludf.DUMMYFUNCTION("B906 * GOOGLEFINANCE(A906, ""volume"")"),4.7854284E7)</f>
        <v>47854284</v>
      </c>
      <c r="Y906" s="9">
        <f>IFERROR(__xludf.DUMMYFUNCTION("IFERROR(((B906 - GOOGLEFINANCE(A906, ""priceopen"")) / GOOGLEFINANCE(A906, ""priceopen"")) * GOOGLEFINANCE(A906, ""volume""), 0)"),-2070.672811059908)</f>
        <v>-2070.672811</v>
      </c>
    </row>
    <row r="907">
      <c r="A907" s="4" t="s">
        <v>2700</v>
      </c>
      <c r="B907" s="7">
        <f>IFERROR(__xludf.DUMMYFUNCTION("GOOGLEFINANCE(A907, ""price"")"),139.49)</f>
        <v>139.49</v>
      </c>
      <c r="C907" s="7">
        <f>IFERROR(__xludf.DUMMYFUNCTION("GOOGLEFINANCE(A907, ""changepct"")"),-1.18)</f>
        <v>-1.18</v>
      </c>
      <c r="D907" s="9">
        <f>IFERROR(__xludf.DUMMYFUNCTION("GOOGLEFINANCE(A907, ""priceopen"")"),141.16)</f>
        <v>141.16</v>
      </c>
      <c r="E907" s="9">
        <f>IFERROR(__xludf.DUMMYFUNCTION("GOOGLEFINANCE(A907, ""high"")"),141.33)</f>
        <v>141.33</v>
      </c>
      <c r="F907" s="9">
        <f>IFERROR(__xludf.DUMMYFUNCTION("GOOGLEFINANCE(A907, ""low"")"),138.38)</f>
        <v>138.38</v>
      </c>
      <c r="G907" s="9">
        <f>IFERROR(__xludf.DUMMYFUNCTION("GOOGLEFINANCE(A907, ""price"")"),139.49)</f>
        <v>139.49</v>
      </c>
      <c r="H907" s="9">
        <f>IFERROR(__xludf.DUMMYFUNCTION("MAX(INDEX(GOOGLEFINANCE(A907, ""high"", TODAY()-30, TODAY()), 0, 2))"),145.8)</f>
        <v>145.8</v>
      </c>
      <c r="I907" s="9">
        <f>IFERROR(__xludf.DUMMYFUNCTION("MIN(INDEX(GOOGLEFINANCE(A907, ""low"", TODAY()-30, TODAY()), 0, 2))"),129.05)</f>
        <v>129.05</v>
      </c>
      <c r="J907" s="9">
        <f>IFERROR(__xludf.DUMMYFUNCTION("GOOGLEFINANCE(A907, ""high52"")"),188.5)</f>
        <v>188.5</v>
      </c>
      <c r="K907" s="9">
        <f>IFERROR(__xludf.DUMMYFUNCTION("GOOGLEFINANCE(A907, ""low52"")"),117.01)</f>
        <v>117.01</v>
      </c>
      <c r="L907" s="9">
        <f t="shared" si="1"/>
        <v>0.26</v>
      </c>
      <c r="M907" s="9">
        <f t="shared" si="2"/>
        <v>0.1921203316</v>
      </c>
      <c r="N907" s="9">
        <f t="shared" si="3"/>
        <v>0.02131810955</v>
      </c>
      <c r="O907" s="9">
        <f t="shared" si="4"/>
        <v>0.6232835821</v>
      </c>
      <c r="P907" s="9">
        <f>IFERROR(__xludf.DUMMYFUNCTION("GOOGLEFINANCE(A907, ""pe"")"),49.16)</f>
        <v>49.16</v>
      </c>
      <c r="Q907" s="9">
        <f>IFERROR(__xludf.DUMMYFUNCTION("IFERROR(GOOGLEFINANCE(A907, ""volume"") / GOOGLEFINANCE(A907, ""volumeavg""), 0)"),0.0)</f>
        <v>0</v>
      </c>
      <c r="R907" s="9">
        <f>IFERROR(__xludf.DUMMYFUNCTION("AVERAGE(INDEX(GOOGLEFINANCE(A907, ""price"", TODAY()-30, TODAY()), 0, 2))"),137.87391304347827)</f>
        <v>137.873913</v>
      </c>
      <c r="S907" s="9">
        <f>IFERROR(__xludf.DUMMYFUNCTION("AVERAGE(INDEX(GOOGLEFINANCE(A907, ""price"", TODAY()-75, TODAY()), 0, 2))"),135.63358490566037)</f>
        <v>135.6335849</v>
      </c>
      <c r="T907" s="9">
        <f>IFERROR(__xludf.DUMMYFUNCTION("AVERAGE(INDEX(GOOGLEFINANCE(A907, ""price"", TODAY()-300, TODAY()), 0, 2))"),139.7385148514851)</f>
        <v>139.7385149</v>
      </c>
      <c r="U907" s="9">
        <f t="shared" si="5"/>
        <v>0.01172148466</v>
      </c>
      <c r="V907" s="15">
        <f>IFERROR(__xludf.DUMMYFUNCTION("LET(hist, GOOGLEFINANCE(A907,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rs))))))"),69.4630872483222)</f>
        <v>69.46308725</v>
      </c>
      <c r="W907" s="16" t="str">
        <f>IFERROR(__xludf.DUMMYFUNCTION("IFERROR(GOOGLEFINANCE(A907, ""volume"") / GOOGLEFINANCE(A907, ""volumeavg""), )"),"")</f>
        <v/>
      </c>
      <c r="X907" s="9">
        <f>IFERROR(__xludf.DUMMYFUNCTION("B907 * GOOGLEFINANCE(A907, ""volume"")"),1.265913597E7)</f>
        <v>12659135.97</v>
      </c>
      <c r="Y907" s="9">
        <f>IFERROR(__xludf.DUMMYFUNCTION("IFERROR(((B907 - GOOGLEFINANCE(A907, ""priceopen"")) / GOOGLEFINANCE(A907, ""priceopen"")) * GOOGLEFINANCE(A907, ""volume""), 0)"),-1073.657622555957)</f>
        <v>-1073.657623</v>
      </c>
    </row>
    <row r="908">
      <c r="A908" s="4" t="s">
        <v>2701</v>
      </c>
      <c r="B908" s="7">
        <f>IFERROR(__xludf.DUMMYFUNCTION("GOOGLEFINANCE(A908, ""price"")"),353.0)</f>
        <v>353</v>
      </c>
      <c r="C908" s="7">
        <f>IFERROR(__xludf.DUMMYFUNCTION("GOOGLEFINANCE(A908, ""changepct"")"),-2.5)</f>
        <v>-2.5</v>
      </c>
      <c r="D908" s="9">
        <f>IFERROR(__xludf.DUMMYFUNCTION("GOOGLEFINANCE(A908, ""priceopen"")"),360.4)</f>
        <v>360.4</v>
      </c>
      <c r="E908" s="9">
        <f>IFERROR(__xludf.DUMMYFUNCTION("GOOGLEFINANCE(A908, ""high"")"),363.95)</f>
        <v>363.95</v>
      </c>
      <c r="F908" s="9">
        <f>IFERROR(__xludf.DUMMYFUNCTION("GOOGLEFINANCE(A908, ""low"")"),352.0)</f>
        <v>352</v>
      </c>
      <c r="G908" s="9">
        <f>IFERROR(__xludf.DUMMYFUNCTION("GOOGLEFINANCE(A908, ""price"")"),353.0)</f>
        <v>353</v>
      </c>
      <c r="H908" s="9">
        <f>IFERROR(__xludf.DUMMYFUNCTION("MAX(INDEX(GOOGLEFINANCE(A908, ""high"", TODAY()-30, TODAY()), 0, 2))"),395.35)</f>
        <v>395.35</v>
      </c>
      <c r="I908" s="9">
        <f>IFERROR(__xludf.DUMMYFUNCTION("MIN(INDEX(GOOGLEFINANCE(A908, ""low"", TODAY()-30, TODAY()), 0, 2))"),341.65)</f>
        <v>341.65</v>
      </c>
      <c r="J908" s="9">
        <f>IFERROR(__xludf.DUMMYFUNCTION("GOOGLEFINANCE(A908, ""high52"")"),479.0)</f>
        <v>479</v>
      </c>
      <c r="K908" s="9">
        <f>IFERROR(__xludf.DUMMYFUNCTION("GOOGLEFINANCE(A908, ""low52"")"),225.05)</f>
        <v>225.05</v>
      </c>
      <c r="L908" s="9">
        <f t="shared" si="1"/>
        <v>0.2630480167</v>
      </c>
      <c r="M908" s="9">
        <f t="shared" si="2"/>
        <v>0.5685403244</v>
      </c>
      <c r="N908" s="9">
        <f t="shared" si="3"/>
        <v>0.03394886364</v>
      </c>
      <c r="O908" s="9">
        <f t="shared" si="4"/>
        <v>0.2113594041</v>
      </c>
      <c r="P908" s="9">
        <f>IFERROR(__xludf.DUMMYFUNCTION("GOOGLEFINANCE(A908, ""pe"")"),78.97)</f>
        <v>78.97</v>
      </c>
      <c r="Q908" s="9">
        <f>IFERROR(__xludf.DUMMYFUNCTION("IFERROR(GOOGLEFINANCE(A908, ""volume"") / GOOGLEFINANCE(A908, ""volumeavg""), 0)"),0.0)</f>
        <v>0</v>
      </c>
      <c r="R908" s="9">
        <f>IFERROR(__xludf.DUMMYFUNCTION("AVERAGE(INDEX(GOOGLEFINANCE(A908, ""price"", TODAY()-30, TODAY()), 0, 2))"),361.3978260869565)</f>
        <v>361.3978261</v>
      </c>
      <c r="S908" s="9">
        <f>IFERROR(__xludf.DUMMYFUNCTION("AVERAGE(INDEX(GOOGLEFINANCE(A908, ""price"", TODAY()-75, TODAY()), 0, 2))"),377.98679245283023)</f>
        <v>377.9867925</v>
      </c>
      <c r="T908" s="9">
        <f>IFERROR(__xludf.DUMMYFUNCTION("AVERAGE(INDEX(GOOGLEFINANCE(A908, ""price"", TODAY()-300, TODAY()), 0, 2))"),367.939207920792)</f>
        <v>367.9392079</v>
      </c>
      <c r="U908" s="9">
        <f t="shared" si="5"/>
        <v>-0.02323706863</v>
      </c>
      <c r="V908" s="15">
        <f>IFERROR(__xludf.DUMMYFUNCTION("LET(hist, GOOGLEFINANCE(A908,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rs))))))"),47.28624535315983)</f>
        <v>47.28624535</v>
      </c>
      <c r="W908" s="16" t="str">
        <f>IFERROR(__xludf.DUMMYFUNCTION("IFERROR(GOOGLEFINANCE(A908, ""volume"") / GOOGLEFINANCE(A908, ""volumeavg""), )"),"")</f>
        <v/>
      </c>
      <c r="X908" s="9">
        <f>IFERROR(__xludf.DUMMYFUNCTION("B908 * GOOGLEFINANCE(A908, ""volume"")"),1.2044007E7)</f>
        <v>12044007</v>
      </c>
      <c r="Y908" s="9">
        <f>IFERROR(__xludf.DUMMYFUNCTION("IFERROR(((B908 - GOOGLEFINANCE(A908, ""priceopen"")) / GOOGLEFINANCE(A908, ""priceopen"")) * GOOGLEFINANCE(A908, ""volume""), 0)"),-700.5566037735828)</f>
        <v>-700.5566038</v>
      </c>
    </row>
    <row r="909">
      <c r="A909" s="4" t="s">
        <v>2702</v>
      </c>
      <c r="B909" s="7">
        <f>IFERROR(__xludf.DUMMYFUNCTION("GOOGLEFINANCE(A909, ""price"")"),165.3)</f>
        <v>165.3</v>
      </c>
      <c r="C909" s="7">
        <f>IFERROR(__xludf.DUMMYFUNCTION("GOOGLEFINANCE(A909, ""changepct"")"),-1.35)</f>
        <v>-1.35</v>
      </c>
      <c r="D909" s="9">
        <f>IFERROR(__xludf.DUMMYFUNCTION("GOOGLEFINANCE(A909, ""priceopen"")"),167.99)</f>
        <v>167.99</v>
      </c>
      <c r="E909" s="9">
        <f>IFERROR(__xludf.DUMMYFUNCTION("GOOGLEFINANCE(A909, ""high"")"),168.87)</f>
        <v>168.87</v>
      </c>
      <c r="F909" s="9">
        <f>IFERROR(__xludf.DUMMYFUNCTION("GOOGLEFINANCE(A909, ""low"")"),165.0)</f>
        <v>165</v>
      </c>
      <c r="G909" s="9">
        <f>IFERROR(__xludf.DUMMYFUNCTION("GOOGLEFINANCE(A909, ""price"")"),165.3)</f>
        <v>165.3</v>
      </c>
      <c r="H909" s="9">
        <f>IFERROR(__xludf.DUMMYFUNCTION("MAX(INDEX(GOOGLEFINANCE(A909, ""high"", TODAY()-30, TODAY()), 0, 2))"),197.36)</f>
        <v>197.36</v>
      </c>
      <c r="I909" s="9">
        <f>IFERROR(__xludf.DUMMYFUNCTION("MIN(INDEX(GOOGLEFINANCE(A909, ""low"", TODAY()-30, TODAY()), 0, 2))"),165.0)</f>
        <v>165</v>
      </c>
      <c r="J909" s="9">
        <f>IFERROR(__xludf.DUMMYFUNCTION("GOOGLEFINANCE(A909, ""high52"")"),211.0)</f>
        <v>211</v>
      </c>
      <c r="K909" s="9">
        <f>IFERROR(__xludf.DUMMYFUNCTION("GOOGLEFINANCE(A909, ""low52"")"),115.36)</f>
        <v>115.36</v>
      </c>
      <c r="L909" s="9">
        <f t="shared" si="1"/>
        <v>0.2165876777</v>
      </c>
      <c r="M909" s="9">
        <f t="shared" si="2"/>
        <v>0.4329056865</v>
      </c>
      <c r="N909" s="9">
        <f t="shared" si="3"/>
        <v>0.02345454545</v>
      </c>
      <c r="O909" s="9">
        <f t="shared" si="4"/>
        <v>0.009270704574</v>
      </c>
      <c r="P909" s="9">
        <f>IFERROR(__xludf.DUMMYFUNCTION("GOOGLEFINANCE(A909, ""pe"")"),9.99)</f>
        <v>9.99</v>
      </c>
      <c r="Q909" s="9">
        <f>IFERROR(__xludf.DUMMYFUNCTION("IFERROR(GOOGLEFINANCE(A909, ""volume"") / GOOGLEFINANCE(A909, ""volumeavg""), 0)"),0.0)</f>
        <v>0</v>
      </c>
      <c r="R909" s="9">
        <f>IFERROR(__xludf.DUMMYFUNCTION("AVERAGE(INDEX(GOOGLEFINANCE(A909, ""price"", TODAY()-30, TODAY()), 0, 2))"),177.9286956521739)</f>
        <v>177.9286957</v>
      </c>
      <c r="S909" s="9">
        <f>IFERROR(__xludf.DUMMYFUNCTION("AVERAGE(INDEX(GOOGLEFINANCE(A909, ""price"", TODAY()-75, TODAY()), 0, 2))"),157.3416981132075)</f>
        <v>157.3416981</v>
      </c>
      <c r="T909" s="9">
        <f>IFERROR(__xludf.DUMMYFUNCTION("AVERAGE(INDEX(GOOGLEFINANCE(A909, ""price"", TODAY()-300, TODAY()), 0, 2))"),154.25306930693068)</f>
        <v>154.2530693</v>
      </c>
      <c r="U909" s="9">
        <f t="shared" si="5"/>
        <v>-0.07097616046</v>
      </c>
      <c r="V909" s="15">
        <f>IFERROR(__xludf.DUMMYFUNCTION("LET(hist, GOOGLEFINANCE(A909,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rs))))))"),21.00647316767592)</f>
        <v>21.00647317</v>
      </c>
      <c r="W909" s="16" t="str">
        <f>IFERROR(__xludf.DUMMYFUNCTION("IFERROR(GOOGLEFINANCE(A909, ""volume"") / GOOGLEFINANCE(A909, ""volumeavg""), )"),"")</f>
        <v/>
      </c>
      <c r="X909" s="9">
        <f>IFERROR(__xludf.DUMMYFUNCTION("B909 * GOOGLEFINANCE(A909, ""volume"")"),3.01186518E7)</f>
        <v>30118651.8</v>
      </c>
      <c r="Y909" s="9">
        <f>IFERROR(__xludf.DUMMYFUNCTION("IFERROR(((B909 - GOOGLEFINANCE(A909, ""priceopen"")) / GOOGLEFINANCE(A909, ""priceopen"")) * GOOGLEFINANCE(A909, ""volume""), 0)"),-2917.638788023094)</f>
        <v>-2917.638788</v>
      </c>
    </row>
    <row r="910">
      <c r="A910" s="4" t="s">
        <v>2703</v>
      </c>
      <c r="B910" s="7">
        <f>IFERROR(__xludf.DUMMYFUNCTION("GOOGLEFINANCE(A910, ""price"")"),219.0)</f>
        <v>219</v>
      </c>
      <c r="C910" s="7">
        <f>IFERROR(__xludf.DUMMYFUNCTION("GOOGLEFINANCE(A910, ""changepct"")"),-1.04)</f>
        <v>-1.04</v>
      </c>
      <c r="D910" s="9">
        <f>IFERROR(__xludf.DUMMYFUNCTION("GOOGLEFINANCE(A910, ""priceopen"")"),223.09)</f>
        <v>223.09</v>
      </c>
      <c r="E910" s="9">
        <f>IFERROR(__xludf.DUMMYFUNCTION("GOOGLEFINANCE(A910, ""high"")"),229.0)</f>
        <v>229</v>
      </c>
      <c r="F910" s="9">
        <f>IFERROR(__xludf.DUMMYFUNCTION("GOOGLEFINANCE(A910, ""low"")"),218.6)</f>
        <v>218.6</v>
      </c>
      <c r="G910" s="9">
        <f>IFERROR(__xludf.DUMMYFUNCTION("GOOGLEFINANCE(A910, ""price"")"),219.0)</f>
        <v>219</v>
      </c>
      <c r="H910" s="9">
        <f>IFERROR(__xludf.DUMMYFUNCTION("MAX(INDEX(GOOGLEFINANCE(A910, ""high"", TODAY()-30, TODAY()), 0, 2))"),233.0)</f>
        <v>233</v>
      </c>
      <c r="I910" s="9">
        <f>IFERROR(__xludf.DUMMYFUNCTION("MIN(INDEX(GOOGLEFINANCE(A910, ""low"", TODAY()-30, TODAY()), 0, 2))"),182.6)</f>
        <v>182.6</v>
      </c>
      <c r="J910" s="9">
        <f>IFERROR(__xludf.DUMMYFUNCTION("GOOGLEFINANCE(A910, ""high52"")"),235.0)</f>
        <v>235</v>
      </c>
      <c r="K910" s="9">
        <f>IFERROR(__xludf.DUMMYFUNCTION("GOOGLEFINANCE(A910, ""low52"")"),114.8)</f>
        <v>114.8</v>
      </c>
      <c r="L910" s="9">
        <f t="shared" si="1"/>
        <v>0.06808510638</v>
      </c>
      <c r="M910" s="9">
        <f t="shared" si="2"/>
        <v>0.9076655052</v>
      </c>
      <c r="N910" s="9">
        <f t="shared" si="3"/>
        <v>0.04757548033</v>
      </c>
      <c r="O910" s="9">
        <f t="shared" si="4"/>
        <v>0.7222222222</v>
      </c>
      <c r="P910" s="9" t="str">
        <f>IFERROR(__xludf.DUMMYFUNCTION("GOOGLEFINANCE(A910, ""pe"")"),"#N/A")</f>
        <v>#N/A</v>
      </c>
      <c r="Q910" s="9">
        <f>IFERROR(__xludf.DUMMYFUNCTION("IFERROR(GOOGLEFINANCE(A910, ""volume"") / GOOGLEFINANCE(A910, ""volumeavg""), 0)"),0.0)</f>
        <v>0</v>
      </c>
      <c r="R910" s="9">
        <f>IFERROR(__xludf.DUMMYFUNCTION("AVERAGE(INDEX(GOOGLEFINANCE(A910, ""price"", TODAY()-30, TODAY()), 0, 2))"),200.8430434782609)</f>
        <v>200.8430435</v>
      </c>
      <c r="S910" s="9">
        <f>IFERROR(__xludf.DUMMYFUNCTION("AVERAGE(INDEX(GOOGLEFINANCE(A910, ""price"", TODAY()-75, TODAY()), 0, 2))"),193.79245283018872)</f>
        <v>193.7924528</v>
      </c>
      <c r="T910" s="9">
        <f>IFERROR(__xludf.DUMMYFUNCTION("AVERAGE(INDEX(GOOGLEFINANCE(A910, ""price"", TODAY()-300, TODAY()), 0, 2))"),172.13412500000007)</f>
        <v>172.134125</v>
      </c>
      <c r="U910" s="9">
        <f t="shared" si="5"/>
        <v>0.09040371131</v>
      </c>
      <c r="V910" s="15">
        <f>IFERROR(__xludf.DUMMYFUNCTION("LET(hist, GOOGLEFINANCE(A910,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rs))))))"),67.80803451064978)</f>
        <v>67.80803451</v>
      </c>
      <c r="W910" s="16" t="str">
        <f>IFERROR(__xludf.DUMMYFUNCTION("IFERROR(GOOGLEFINANCE(A910, ""volume"") / GOOGLEFINANCE(A910, ""volumeavg""), )"),"")</f>
        <v/>
      </c>
      <c r="X910" s="9">
        <f>IFERROR(__xludf.DUMMYFUNCTION("B910 * GOOGLEFINANCE(A910, ""volume"")"),6.83321172E8)</f>
        <v>683321172</v>
      </c>
      <c r="Y910" s="9">
        <f>IFERROR(__xludf.DUMMYFUNCTION("IFERROR(((B910 - GOOGLEFINANCE(A910, ""priceopen"")) / GOOGLEFINANCE(A910, ""priceopen"")) * GOOGLEFINANCE(A910, ""volume""), 0)"),-57203.67977049625)</f>
        <v>-57203.67977</v>
      </c>
    </row>
    <row r="911">
      <c r="A911" s="4" t="s">
        <v>2704</v>
      </c>
      <c r="B911" s="7">
        <f>IFERROR(__xludf.DUMMYFUNCTION("GOOGLEFINANCE(A911, ""price"")"),990.5)</f>
        <v>990.5</v>
      </c>
      <c r="C911" s="7">
        <f>IFERROR(__xludf.DUMMYFUNCTION("GOOGLEFINANCE(A911, ""changepct"")"),-1.32)</f>
        <v>-1.32</v>
      </c>
      <c r="D911" s="9">
        <f>IFERROR(__xludf.DUMMYFUNCTION("GOOGLEFINANCE(A911, ""priceopen"")"),1003.8)</f>
        <v>1003.8</v>
      </c>
      <c r="E911" s="9">
        <f>IFERROR(__xludf.DUMMYFUNCTION("GOOGLEFINANCE(A911, ""high"")"),1008.3)</f>
        <v>1008.3</v>
      </c>
      <c r="F911" s="9">
        <f>IFERROR(__xludf.DUMMYFUNCTION("GOOGLEFINANCE(A911, ""low"")"),988.0)</f>
        <v>988</v>
      </c>
      <c r="G911" s="9">
        <f>IFERROR(__xludf.DUMMYFUNCTION("GOOGLEFINANCE(A911, ""price"")"),990.5)</f>
        <v>990.5</v>
      </c>
      <c r="H911" s="9">
        <f>IFERROR(__xludf.DUMMYFUNCTION("MAX(INDEX(GOOGLEFINANCE(A911, ""high"", TODAY()-30, TODAY()), 0, 2))"),1028.5)</f>
        <v>1028.5</v>
      </c>
      <c r="I911" s="9">
        <f>IFERROR(__xludf.DUMMYFUNCTION("MIN(INDEX(GOOGLEFINANCE(A911, ""low"", TODAY()-30, TODAY()), 0, 2))"),748.95)</f>
        <v>748.95</v>
      </c>
      <c r="J911" s="9">
        <f>IFERROR(__xludf.DUMMYFUNCTION("GOOGLEFINANCE(A911, ""high52"")"),1324.7)</f>
        <v>1324.7</v>
      </c>
      <c r="K911" s="9">
        <f>IFERROR(__xludf.DUMMYFUNCTION("GOOGLEFINANCE(A911, ""low52"")"),735.0)</f>
        <v>735</v>
      </c>
      <c r="L911" s="9">
        <f t="shared" si="1"/>
        <v>0.2522835359</v>
      </c>
      <c r="M911" s="9">
        <f t="shared" si="2"/>
        <v>0.3476190476</v>
      </c>
      <c r="N911" s="9">
        <f t="shared" si="3"/>
        <v>0.0205465587</v>
      </c>
      <c r="O911" s="9">
        <f t="shared" si="4"/>
        <v>0.8640672509</v>
      </c>
      <c r="P911" s="9">
        <f>IFERROR(__xludf.DUMMYFUNCTION("GOOGLEFINANCE(A911, ""pe"")"),63.09)</f>
        <v>63.09</v>
      </c>
      <c r="Q911" s="9">
        <f>IFERROR(__xludf.DUMMYFUNCTION("IFERROR(GOOGLEFINANCE(A911, ""volume"") / GOOGLEFINANCE(A911, ""volumeavg""), 0)"),0.0)</f>
        <v>0</v>
      </c>
      <c r="R911" s="9">
        <f>IFERROR(__xludf.DUMMYFUNCTION("AVERAGE(INDEX(GOOGLEFINANCE(A911, ""price"", TODAY()-30, TODAY()), 0, 2))"),852.5543478260868)</f>
        <v>852.5543478</v>
      </c>
      <c r="S911" s="9">
        <f>IFERROR(__xludf.DUMMYFUNCTION("AVERAGE(INDEX(GOOGLEFINANCE(A911, ""price"", TODAY()-75, TODAY()), 0, 2))"),811.6396226415095)</f>
        <v>811.6396226</v>
      </c>
      <c r="T911" s="9">
        <f>IFERROR(__xludf.DUMMYFUNCTION("AVERAGE(INDEX(GOOGLEFINANCE(A911, ""price"", TODAY()-300, TODAY()), 0, 2))"),955.7089552238799)</f>
        <v>955.7089552</v>
      </c>
      <c r="U911" s="9">
        <f t="shared" si="5"/>
        <v>0.1618027666</v>
      </c>
      <c r="V911" s="15">
        <f>IFERROR(__xludf.DUMMYFUNCTION("LET(hist, GOOGLEFINANCE(A911,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rs))))))"),83.31121433311215)</f>
        <v>83.31121433</v>
      </c>
      <c r="W911" s="16" t="str">
        <f>IFERROR(__xludf.DUMMYFUNCTION("IFERROR(GOOGLEFINANCE(A911, ""volume"") / GOOGLEFINANCE(A911, ""volumeavg""), )"),"")</f>
        <v/>
      </c>
      <c r="X911" s="9">
        <f>IFERROR(__xludf.DUMMYFUNCTION("B911 * GOOGLEFINANCE(A911, ""volume"")"),8.8978596E7)</f>
        <v>88978596</v>
      </c>
      <c r="Y911" s="9">
        <f>IFERROR(__xludf.DUMMYFUNCTION("IFERROR(((B911 - GOOGLEFINANCE(A911, ""priceopen"")) / GOOGLEFINANCE(A911, ""priceopen"")) * GOOGLEFINANCE(A911, ""volume""), 0)"),-1190.2426778242636)</f>
        <v>-1190.242678</v>
      </c>
    </row>
    <row r="912">
      <c r="A912" s="4" t="s">
        <v>2705</v>
      </c>
      <c r="B912" s="7">
        <f>IFERROR(__xludf.DUMMYFUNCTION("GOOGLEFINANCE(A912, ""price"")"),905.4)</f>
        <v>905.4</v>
      </c>
      <c r="C912" s="7">
        <f>IFERROR(__xludf.DUMMYFUNCTION("GOOGLEFINANCE(A912, ""changepct"")"),-3.11)</f>
        <v>-3.11</v>
      </c>
      <c r="D912" s="9">
        <f>IFERROR(__xludf.DUMMYFUNCTION("GOOGLEFINANCE(A912, ""priceopen"")"),941.35)</f>
        <v>941.35</v>
      </c>
      <c r="E912" s="9">
        <f>IFERROR(__xludf.DUMMYFUNCTION("GOOGLEFINANCE(A912, ""high"")"),942.2)</f>
        <v>942.2</v>
      </c>
      <c r="F912" s="9">
        <f>IFERROR(__xludf.DUMMYFUNCTION("GOOGLEFINANCE(A912, ""low"")"),903.1)</f>
        <v>903.1</v>
      </c>
      <c r="G912" s="9">
        <f>IFERROR(__xludf.DUMMYFUNCTION("GOOGLEFINANCE(A912, ""price"")"),905.4)</f>
        <v>905.4</v>
      </c>
      <c r="H912" s="9">
        <f>IFERROR(__xludf.DUMMYFUNCTION("MAX(INDEX(GOOGLEFINANCE(A912, ""high"", TODAY()-30, TODAY()), 0, 2))"),1108.5)</f>
        <v>1108.5</v>
      </c>
      <c r="I912" s="9">
        <f>IFERROR(__xludf.DUMMYFUNCTION("MIN(INDEX(GOOGLEFINANCE(A912, ""low"", TODAY()-30, TODAY()), 0, 2))"),903.1)</f>
        <v>903.1</v>
      </c>
      <c r="J912" s="9">
        <f>IFERROR(__xludf.DUMMYFUNCTION("GOOGLEFINANCE(A912, ""high52"")"),1143.0)</f>
        <v>1143</v>
      </c>
      <c r="K912" s="9">
        <f>IFERROR(__xludf.DUMMYFUNCTION("GOOGLEFINANCE(A912, ""low52"")"),569.2)</f>
        <v>569.2</v>
      </c>
      <c r="L912" s="9">
        <f t="shared" si="1"/>
        <v>0.2078740157</v>
      </c>
      <c r="M912" s="9">
        <f t="shared" si="2"/>
        <v>0.5906535488</v>
      </c>
      <c r="N912" s="9">
        <f t="shared" si="3"/>
        <v>0.04329531613</v>
      </c>
      <c r="O912" s="9">
        <f t="shared" si="4"/>
        <v>0.0111976631</v>
      </c>
      <c r="P912" s="9">
        <f>IFERROR(__xludf.DUMMYFUNCTION("GOOGLEFINANCE(A912, ""pe"")"),48.99)</f>
        <v>48.99</v>
      </c>
      <c r="Q912" s="9">
        <f>IFERROR(__xludf.DUMMYFUNCTION("IFERROR(GOOGLEFINANCE(A912, ""volume"") / GOOGLEFINANCE(A912, ""volumeavg""), 0)"),0.0)</f>
        <v>0</v>
      </c>
      <c r="R912" s="9">
        <f>IFERROR(__xludf.DUMMYFUNCTION("AVERAGE(INDEX(GOOGLEFINANCE(A912, ""price"", TODAY()-30, TODAY()), 0, 2))"),1006.2434782608698)</f>
        <v>1006.243478</v>
      </c>
      <c r="S912" s="9">
        <f>IFERROR(__xludf.DUMMYFUNCTION("AVERAGE(INDEX(GOOGLEFINANCE(A912, ""price"", TODAY()-75, TODAY()), 0, 2))"),975.0905660377358)</f>
        <v>975.090566</v>
      </c>
      <c r="T912" s="9">
        <f>IFERROR(__xludf.DUMMYFUNCTION("AVERAGE(INDEX(GOOGLEFINANCE(A912, ""price"", TODAY()-300, TODAY()), 0, 2))"),845.9289603960391)</f>
        <v>845.9289604</v>
      </c>
      <c r="U912" s="9">
        <f t="shared" si="5"/>
        <v>-0.1002177708</v>
      </c>
      <c r="V912" s="15">
        <f>IFERROR(__xludf.DUMMYFUNCTION("LET(hist, GOOGLEFINANCE(A912,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rs))))))"),38.724794092587345)</f>
        <v>38.72479409</v>
      </c>
      <c r="W912" s="16" t="str">
        <f>IFERROR(__xludf.DUMMYFUNCTION("IFERROR(GOOGLEFINANCE(A912, ""volume"") / GOOGLEFINANCE(A912, ""volumeavg""), )"),"")</f>
        <v/>
      </c>
      <c r="X912" s="9">
        <f>IFERROR(__xludf.DUMMYFUNCTION("B912 * GOOGLEFINANCE(A912, ""volume"")"),5.72611176E7)</f>
        <v>57261117.6</v>
      </c>
      <c r="Y912" s="9">
        <f>IFERROR(__xludf.DUMMYFUNCTION("IFERROR(((B912 - GOOGLEFINANCE(A912, ""priceopen"")) / GOOGLEFINANCE(A912, ""priceopen"")) * GOOGLEFINANCE(A912, ""volume""), 0)"),-2415.277845647212)</f>
        <v>-2415.277846</v>
      </c>
    </row>
    <row r="913">
      <c r="A913" s="4" t="s">
        <v>2706</v>
      </c>
      <c r="B913" s="7">
        <f>IFERROR(__xludf.DUMMYFUNCTION("GOOGLEFINANCE(A913, ""price"")"),5520.0)</f>
        <v>5520</v>
      </c>
      <c r="C913" s="7">
        <f>IFERROR(__xludf.DUMMYFUNCTION("GOOGLEFINANCE(A913, ""changepct"")"),0.35)</f>
        <v>0.35</v>
      </c>
      <c r="D913" s="9">
        <f>IFERROR(__xludf.DUMMYFUNCTION("GOOGLEFINANCE(A913, ""priceopen"")"),5500.5)</f>
        <v>5500.5</v>
      </c>
      <c r="E913" s="9">
        <f>IFERROR(__xludf.DUMMYFUNCTION("GOOGLEFINANCE(A913, ""high"")"),5574.5)</f>
        <v>5574.5</v>
      </c>
      <c r="F913" s="9">
        <f>IFERROR(__xludf.DUMMYFUNCTION("GOOGLEFINANCE(A913, ""low"")"),5481.0)</f>
        <v>5481</v>
      </c>
      <c r="G913" s="9">
        <f>IFERROR(__xludf.DUMMYFUNCTION("GOOGLEFINANCE(A913, ""price"")"),5520.0)</f>
        <v>5520</v>
      </c>
      <c r="H913" s="9">
        <f>IFERROR(__xludf.DUMMYFUNCTION("MAX(INDEX(GOOGLEFINANCE(A913, ""high"", TODAY()-30, TODAY()), 0, 2))"),5671.0)</f>
        <v>5671</v>
      </c>
      <c r="I913" s="9">
        <f>IFERROR(__xludf.DUMMYFUNCTION("MIN(INDEX(GOOGLEFINANCE(A913, ""low"", TODAY()-30, TODAY()), 0, 2))"),4952.0)</f>
        <v>4952</v>
      </c>
      <c r="J913" s="9">
        <f>IFERROR(__xludf.DUMMYFUNCTION("GOOGLEFINANCE(A913, ""high52"")"),6846.0)</f>
        <v>6846</v>
      </c>
      <c r="K913" s="9">
        <f>IFERROR(__xludf.DUMMYFUNCTION("GOOGLEFINANCE(A913, ""low52"")"),4300.0)</f>
        <v>4300</v>
      </c>
      <c r="L913" s="9">
        <f t="shared" si="1"/>
        <v>0.1936897458</v>
      </c>
      <c r="M913" s="9">
        <f t="shared" si="2"/>
        <v>0.2837209302</v>
      </c>
      <c r="N913" s="9">
        <f t="shared" si="3"/>
        <v>0.01705893085</v>
      </c>
      <c r="O913" s="9">
        <f t="shared" si="4"/>
        <v>0.7899860918</v>
      </c>
      <c r="P913" s="9">
        <f>IFERROR(__xludf.DUMMYFUNCTION("GOOGLEFINANCE(A913, ""pe"")"),45.58)</f>
        <v>45.58</v>
      </c>
      <c r="Q913" s="9">
        <f>IFERROR(__xludf.DUMMYFUNCTION("IFERROR(GOOGLEFINANCE(A913, ""volume"") / GOOGLEFINANCE(A913, ""volumeavg""), 0)"),0.0)</f>
        <v>0</v>
      </c>
      <c r="R913" s="9">
        <f>IFERROR(__xludf.DUMMYFUNCTION("AVERAGE(INDEX(GOOGLEFINANCE(A913, ""price"", TODAY()-30, TODAY()), 0, 2))"),5197.739130434783)</f>
        <v>5197.73913</v>
      </c>
      <c r="S913" s="9">
        <f>IFERROR(__xludf.DUMMYFUNCTION("AVERAGE(INDEX(GOOGLEFINANCE(A913, ""price"", TODAY()-75, TODAY()), 0, 2))"),5131.737735849056)</f>
        <v>5131.737736</v>
      </c>
      <c r="T913" s="9">
        <f>IFERROR(__xludf.DUMMYFUNCTION("AVERAGE(INDEX(GOOGLEFINANCE(A913, ""price"", TODAY()-300, TODAY()), 0, 2))"),5025.909900990102)</f>
        <v>5025.909901</v>
      </c>
      <c r="U913" s="9">
        <f t="shared" si="5"/>
        <v>0.06200020076</v>
      </c>
      <c r="V913" s="15">
        <f>IFERROR(__xludf.DUMMYFUNCTION("LET(hist, GOOGLEFINANCE(A913,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rs))))))"),80.63921327596803)</f>
        <v>80.63921328</v>
      </c>
      <c r="W913" s="16" t="str">
        <f>IFERROR(__xludf.DUMMYFUNCTION("IFERROR(GOOGLEFINANCE(A913, ""volume"") / GOOGLEFINANCE(A913, ""volumeavg""), )"),"")</f>
        <v/>
      </c>
      <c r="X913" s="9">
        <f>IFERROR(__xludf.DUMMYFUNCTION("B913 * GOOGLEFINANCE(A913, ""volume"")"),1.770264E7)</f>
        <v>17702640</v>
      </c>
      <c r="Y913" s="9">
        <f>IFERROR(__xludf.DUMMYFUNCTION("IFERROR(((B913 - GOOGLEFINANCE(A913, ""priceopen"")) / GOOGLEFINANCE(A913, ""priceopen"")) * GOOGLEFINANCE(A913, ""volume""), 0)"),11.369239160076356)</f>
        <v>11.36923916</v>
      </c>
    </row>
    <row r="914">
      <c r="A914" s="4" t="s">
        <v>2707</v>
      </c>
      <c r="B914" s="7">
        <f>IFERROR(__xludf.DUMMYFUNCTION("GOOGLEFINANCE(A914, ""price"")"),203.4)</f>
        <v>203.4</v>
      </c>
      <c r="C914" s="7">
        <f>IFERROR(__xludf.DUMMYFUNCTION("GOOGLEFINANCE(A914, ""changepct"")"),-4.94)</f>
        <v>-4.94</v>
      </c>
      <c r="D914" s="9">
        <f>IFERROR(__xludf.DUMMYFUNCTION("GOOGLEFINANCE(A914, ""priceopen"")"),212.0)</f>
        <v>212</v>
      </c>
      <c r="E914" s="9">
        <f>IFERROR(__xludf.DUMMYFUNCTION("GOOGLEFINANCE(A914, ""high"")"),212.89)</f>
        <v>212.89</v>
      </c>
      <c r="F914" s="9">
        <f>IFERROR(__xludf.DUMMYFUNCTION("GOOGLEFINANCE(A914, ""low"")"),200.84)</f>
        <v>200.84</v>
      </c>
      <c r="G914" s="9">
        <f>IFERROR(__xludf.DUMMYFUNCTION("GOOGLEFINANCE(A914, ""price"")"),203.4)</f>
        <v>203.4</v>
      </c>
      <c r="H914" s="9">
        <f>IFERROR(__xludf.DUMMYFUNCTION("MAX(INDEX(GOOGLEFINANCE(A914, ""high"", TODAY()-30, TODAY()), 0, 2))"),241.9)</f>
        <v>241.9</v>
      </c>
      <c r="I914" s="9">
        <f>IFERROR(__xludf.DUMMYFUNCTION("MIN(INDEX(GOOGLEFINANCE(A914, ""low"", TODAY()-30, TODAY()), 0, 2))"),200.84)</f>
        <v>200.84</v>
      </c>
      <c r="J914" s="9">
        <f>IFERROR(__xludf.DUMMYFUNCTION("GOOGLEFINANCE(A914, ""high52"")"),276.1)</f>
        <v>276.1</v>
      </c>
      <c r="K914" s="9">
        <f>IFERROR(__xludf.DUMMYFUNCTION("GOOGLEFINANCE(A914, ""low52"")"),134.71)</f>
        <v>134.71</v>
      </c>
      <c r="L914" s="9">
        <f t="shared" si="1"/>
        <v>0.2633103948</v>
      </c>
      <c r="M914" s="9">
        <f t="shared" si="2"/>
        <v>0.5099101774</v>
      </c>
      <c r="N914" s="9">
        <f t="shared" si="3"/>
        <v>0.05999800836</v>
      </c>
      <c r="O914" s="9">
        <f t="shared" si="4"/>
        <v>0.06234778373</v>
      </c>
      <c r="P914" s="9">
        <f>IFERROR(__xludf.DUMMYFUNCTION("GOOGLEFINANCE(A914, ""pe"")"),19.52)</f>
        <v>19.52</v>
      </c>
      <c r="Q914" s="9">
        <f>IFERROR(__xludf.DUMMYFUNCTION("IFERROR(GOOGLEFINANCE(A914, ""volume"") / GOOGLEFINANCE(A914, ""volumeavg""), 0)"),0.0)</f>
        <v>0</v>
      </c>
      <c r="R914" s="9">
        <f>IFERROR(__xludf.DUMMYFUNCTION("AVERAGE(INDEX(GOOGLEFINANCE(A914, ""price"", TODAY()-30, TODAY()), 0, 2))"),220.48217391304348)</f>
        <v>220.4821739</v>
      </c>
      <c r="S914" s="9">
        <f>IFERROR(__xludf.DUMMYFUNCTION("AVERAGE(INDEX(GOOGLEFINANCE(A914, ""price"", TODAY()-75, TODAY()), 0, 2))"),212.53377358490562)</f>
        <v>212.5337736</v>
      </c>
      <c r="T914" s="9">
        <f>IFERROR(__xludf.DUMMYFUNCTION("AVERAGE(INDEX(GOOGLEFINANCE(A914, ""price"", TODAY()-300, TODAY()), 0, 2))"),198.91851485148507)</f>
        <v>198.9185149</v>
      </c>
      <c r="U914" s="9">
        <f t="shared" si="5"/>
        <v>-0.07747643998</v>
      </c>
      <c r="V914" s="15">
        <f>IFERROR(__xludf.DUMMYFUNCTION("LET(hist, GOOGLEFINANCE(A914,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rs))))))"),34.335135135135104)</f>
        <v>34.33513514</v>
      </c>
      <c r="W914" s="16" t="str">
        <f>IFERROR(__xludf.DUMMYFUNCTION("IFERROR(GOOGLEFINANCE(A914, ""volume"") / GOOGLEFINANCE(A914, ""volumeavg""), )"),"")</f>
        <v/>
      </c>
      <c r="X914" s="9">
        <f>IFERROR(__xludf.DUMMYFUNCTION("B914 * GOOGLEFINANCE(A914, ""volume"")"),5.02049169E8)</f>
        <v>502049169</v>
      </c>
      <c r="Y914" s="9">
        <f>IFERROR(__xludf.DUMMYFUNCTION("IFERROR(((B914 - GOOGLEFINANCE(A914, ""priceopen"")) / GOOGLEFINANCE(A914, ""priceopen"")) * GOOGLEFINANCE(A914, ""volume""), 0)"),-100128.54245283011)</f>
        <v>-100128.5425</v>
      </c>
    </row>
    <row r="915">
      <c r="A915" s="4" t="s">
        <v>2708</v>
      </c>
      <c r="B915" s="7">
        <f>IFERROR(__xludf.DUMMYFUNCTION("GOOGLEFINANCE(A915, ""price"")"),617.0)</f>
        <v>617</v>
      </c>
      <c r="C915" s="7">
        <f>IFERROR(__xludf.DUMMYFUNCTION("GOOGLEFINANCE(A915, ""changepct"")"),-1.17)</f>
        <v>-1.17</v>
      </c>
      <c r="D915" s="9">
        <f>IFERROR(__xludf.DUMMYFUNCTION("GOOGLEFINANCE(A915, ""priceopen"")"),623.75)</f>
        <v>623.75</v>
      </c>
      <c r="E915" s="9">
        <f>IFERROR(__xludf.DUMMYFUNCTION("GOOGLEFINANCE(A915, ""high"")"),623.75)</f>
        <v>623.75</v>
      </c>
      <c r="F915" s="9">
        <f>IFERROR(__xludf.DUMMYFUNCTION("GOOGLEFINANCE(A915, ""low"")"),612.05)</f>
        <v>612.05</v>
      </c>
      <c r="G915" s="9">
        <f>IFERROR(__xludf.DUMMYFUNCTION("GOOGLEFINANCE(A915, ""price"")"),617.0)</f>
        <v>617</v>
      </c>
      <c r="H915" s="9">
        <f>IFERROR(__xludf.DUMMYFUNCTION("MAX(INDEX(GOOGLEFINANCE(A915, ""high"", TODAY()-30, TODAY()), 0, 2))"),646.0)</f>
        <v>646</v>
      </c>
      <c r="I915" s="9">
        <f>IFERROR(__xludf.DUMMYFUNCTION("MIN(INDEX(GOOGLEFINANCE(A915, ""low"", TODAY()-30, TODAY()), 0, 2))"),571.45)</f>
        <v>571.45</v>
      </c>
      <c r="J915" s="9">
        <f>IFERROR(__xludf.DUMMYFUNCTION("GOOGLEFINANCE(A915, ""high52"")"),679.0)</f>
        <v>679</v>
      </c>
      <c r="K915" s="9">
        <f>IFERROR(__xludf.DUMMYFUNCTION("GOOGLEFINANCE(A915, ""low52"")"),320.0)</f>
        <v>320</v>
      </c>
      <c r="L915" s="9">
        <f t="shared" si="1"/>
        <v>0.0913107511</v>
      </c>
      <c r="M915" s="9">
        <f t="shared" si="2"/>
        <v>0.928125</v>
      </c>
      <c r="N915" s="9">
        <f t="shared" si="3"/>
        <v>0.01911608529</v>
      </c>
      <c r="O915" s="9">
        <f t="shared" si="4"/>
        <v>0.6109993293</v>
      </c>
      <c r="P915" s="9">
        <f>IFERROR(__xludf.DUMMYFUNCTION("GOOGLEFINANCE(A915, ""pe"")"),110.78)</f>
        <v>110.78</v>
      </c>
      <c r="Q915" s="9">
        <f>IFERROR(__xludf.DUMMYFUNCTION("IFERROR(GOOGLEFINANCE(A915, ""volume"") / GOOGLEFINANCE(A915, ""volumeavg""), 0)"),0.0)</f>
        <v>0</v>
      </c>
      <c r="R915" s="9">
        <f>IFERROR(__xludf.DUMMYFUNCTION("AVERAGE(INDEX(GOOGLEFINANCE(A915, ""price"", TODAY()-30, TODAY()), 0, 2))"),607.1652173913044)</f>
        <v>607.1652174</v>
      </c>
      <c r="S915" s="9">
        <f>IFERROR(__xludf.DUMMYFUNCTION("AVERAGE(INDEX(GOOGLEFINANCE(A915, ""price"", TODAY()-75, TODAY()), 0, 2))"),589.1716981132074)</f>
        <v>589.1716981</v>
      </c>
      <c r="T915" s="9">
        <f>IFERROR(__xludf.DUMMYFUNCTION("AVERAGE(INDEX(GOOGLEFINANCE(A915, ""price"", TODAY()-300, TODAY()), 0, 2))"),483.3891089108912)</f>
        <v>483.3891089</v>
      </c>
      <c r="U915" s="9">
        <f t="shared" si="5"/>
        <v>0.01619786893</v>
      </c>
      <c r="V915" s="15">
        <f>IFERROR(__xludf.DUMMYFUNCTION("LET(hist, GOOGLEFINANCE(A915,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rs))))))"),54.57348406988695)</f>
        <v>54.57348407</v>
      </c>
      <c r="W915" s="16" t="str">
        <f>IFERROR(__xludf.DUMMYFUNCTION("IFERROR(GOOGLEFINANCE(A915, ""volume"") / GOOGLEFINANCE(A915, ""volumeavg""), )"),"")</f>
        <v/>
      </c>
      <c r="X915" s="9">
        <f>IFERROR(__xludf.DUMMYFUNCTION("B915 * GOOGLEFINANCE(A915, ""volume"")"),4.42759817E8)</f>
        <v>442759817</v>
      </c>
      <c r="Y915" s="9">
        <f>IFERROR(__xludf.DUMMYFUNCTION("IFERROR(((B915 - GOOGLEFINANCE(A915, ""priceopen"")) / GOOGLEFINANCE(A915, ""priceopen"")) * GOOGLEFINANCE(A915, ""volume""), 0)"),-7765.622044088176)</f>
        <v>-7765.622044</v>
      </c>
    </row>
    <row r="916">
      <c r="A916" s="4" t="s">
        <v>2709</v>
      </c>
      <c r="B916" s="7">
        <f>IFERROR(__xludf.DUMMYFUNCTION("GOOGLEFINANCE(A916, ""price"")"),433.0)</f>
        <v>433</v>
      </c>
      <c r="C916" s="7">
        <f>IFERROR(__xludf.DUMMYFUNCTION("GOOGLEFINANCE(A916, ""changepct"")"),-1.45)</f>
        <v>-1.45</v>
      </c>
      <c r="D916" s="9">
        <f>IFERROR(__xludf.DUMMYFUNCTION("GOOGLEFINANCE(A916, ""priceopen"")"),445.05)</f>
        <v>445.05</v>
      </c>
      <c r="E916" s="9">
        <f>IFERROR(__xludf.DUMMYFUNCTION("GOOGLEFINANCE(A916, ""high"")"),445.05)</f>
        <v>445.05</v>
      </c>
      <c r="F916" s="9">
        <f>IFERROR(__xludf.DUMMYFUNCTION("GOOGLEFINANCE(A916, ""low"")"),419.9)</f>
        <v>419.9</v>
      </c>
      <c r="G916" s="9">
        <f>IFERROR(__xludf.DUMMYFUNCTION("GOOGLEFINANCE(A916, ""price"")"),433.0)</f>
        <v>433</v>
      </c>
      <c r="H916" s="9">
        <f>IFERROR(__xludf.DUMMYFUNCTION("MAX(INDEX(GOOGLEFINANCE(A916, ""high"", TODAY()-30, TODAY()), 0, 2))"),453.65)</f>
        <v>453.65</v>
      </c>
      <c r="I916" s="9">
        <f>IFERROR(__xludf.DUMMYFUNCTION("MIN(INDEX(GOOGLEFINANCE(A916, ""low"", TODAY()-30, TODAY()), 0, 2))"),392.0)</f>
        <v>392</v>
      </c>
      <c r="J916" s="9">
        <f>IFERROR(__xludf.DUMMYFUNCTION("GOOGLEFINANCE(A916, ""high52"")"),534.55)</f>
        <v>534.55</v>
      </c>
      <c r="K916" s="9">
        <f>IFERROR(__xludf.DUMMYFUNCTION("GOOGLEFINANCE(A916, ""low52"")"),318.95)</f>
        <v>318.95</v>
      </c>
      <c r="L916" s="9">
        <f t="shared" si="1"/>
        <v>0.1899728744</v>
      </c>
      <c r="M916" s="9">
        <f t="shared" si="2"/>
        <v>0.3575795579</v>
      </c>
      <c r="N916" s="9">
        <f t="shared" si="3"/>
        <v>0.05989521315</v>
      </c>
      <c r="O916" s="9">
        <f t="shared" si="4"/>
        <v>0.6650446067</v>
      </c>
      <c r="P916" s="9">
        <f>IFERROR(__xludf.DUMMYFUNCTION("GOOGLEFINANCE(A916, ""pe"")"),20.69)</f>
        <v>20.69</v>
      </c>
      <c r="Q916" s="9">
        <f>IFERROR(__xludf.DUMMYFUNCTION("IFERROR(GOOGLEFINANCE(A916, ""volume"") / GOOGLEFINANCE(A916, ""volumeavg""), 0)"),0.0)</f>
        <v>0</v>
      </c>
      <c r="R916" s="9">
        <f>IFERROR(__xludf.DUMMYFUNCTION("AVERAGE(INDEX(GOOGLEFINANCE(A916, ""price"", TODAY()-30, TODAY()), 0, 2))"),415.5130434782609)</f>
        <v>415.5130435</v>
      </c>
      <c r="S916" s="9">
        <f>IFERROR(__xludf.DUMMYFUNCTION("AVERAGE(INDEX(GOOGLEFINANCE(A916, ""price"", TODAY()-75, TODAY()), 0, 2))"),394.0018867924528)</f>
        <v>394.0018868</v>
      </c>
      <c r="T916" s="9">
        <f>IFERROR(__xludf.DUMMYFUNCTION("AVERAGE(INDEX(GOOGLEFINANCE(A916, ""price"", TODAY()-300, TODAY()), 0, 2))"),396.1272277227722)</f>
        <v>396.1272277</v>
      </c>
      <c r="U916" s="9">
        <f t="shared" si="5"/>
        <v>0.04208521681</v>
      </c>
      <c r="V916" s="15">
        <f>IFERROR(__xludf.DUMMYFUNCTION("LET(hist, GOOGLEFINANCE(A916,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rs))))))"),61.82618261826183)</f>
        <v>61.82618262</v>
      </c>
      <c r="W916" s="16" t="str">
        <f>IFERROR(__xludf.DUMMYFUNCTION("IFERROR(GOOGLEFINANCE(A916, ""volume"") / GOOGLEFINANCE(A916, ""volumeavg""), )"),"")</f>
        <v/>
      </c>
      <c r="X916" s="9">
        <f>IFERROR(__xludf.DUMMYFUNCTION("B916 * GOOGLEFINANCE(A916, ""volume"")"),1.58243314E8)</f>
        <v>158243314</v>
      </c>
      <c r="Y916" s="9">
        <f>IFERROR(__xludf.DUMMYFUNCTION("IFERROR(((B916 - GOOGLEFINANCE(A916, ""priceopen"")) / GOOGLEFINANCE(A916, ""priceopen"")) * GOOGLEFINANCE(A916, ""volume""), 0)"),-9894.998090102245)</f>
        <v>-9894.99809</v>
      </c>
    </row>
    <row r="917">
      <c r="A917" s="4" t="s">
        <v>2710</v>
      </c>
      <c r="B917" s="7">
        <f>IFERROR(__xludf.DUMMYFUNCTION("GOOGLEFINANCE(A917, ""price"")"),4444.0)</f>
        <v>4444</v>
      </c>
      <c r="C917" s="7">
        <f>IFERROR(__xludf.DUMMYFUNCTION("GOOGLEFINANCE(A917, ""changepct"")"),-0.48)</f>
        <v>-0.48</v>
      </c>
      <c r="D917" s="9">
        <f>IFERROR(__xludf.DUMMYFUNCTION("GOOGLEFINANCE(A917, ""priceopen"")"),4450.0)</f>
        <v>4450</v>
      </c>
      <c r="E917" s="9">
        <f>IFERROR(__xludf.DUMMYFUNCTION("GOOGLEFINANCE(A917, ""high"")"),4475.4)</f>
        <v>4475.4</v>
      </c>
      <c r="F917" s="9">
        <f>IFERROR(__xludf.DUMMYFUNCTION("GOOGLEFINANCE(A917, ""low"")"),4416.0)</f>
        <v>4416</v>
      </c>
      <c r="G917" s="9">
        <f>IFERROR(__xludf.DUMMYFUNCTION("GOOGLEFINANCE(A917, ""price"")"),4444.0)</f>
        <v>4444</v>
      </c>
      <c r="H917" s="9">
        <f>IFERROR(__xludf.DUMMYFUNCTION("MAX(INDEX(GOOGLEFINANCE(A917, ""high"", TODAY()-30, TODAY()), 0, 2))"),4700.9)</f>
        <v>4700.9</v>
      </c>
      <c r="I917" s="9">
        <f>IFERROR(__xludf.DUMMYFUNCTION("MIN(INDEX(GOOGLEFINANCE(A917, ""low"", TODAY()-30, TODAY()), 0, 2))"),4355.2)</f>
        <v>4355.2</v>
      </c>
      <c r="J917" s="9">
        <f>IFERROR(__xludf.DUMMYFUNCTION("GOOGLEFINANCE(A917, ""high52"")"),6374.0)</f>
        <v>6374</v>
      </c>
      <c r="K917" s="9">
        <f>IFERROR(__xludf.DUMMYFUNCTION("GOOGLEFINANCE(A917, ""low52"")"),4275.0)</f>
        <v>4275</v>
      </c>
      <c r="L917" s="9">
        <f t="shared" si="1"/>
        <v>0.3027925949</v>
      </c>
      <c r="M917" s="9">
        <f t="shared" si="2"/>
        <v>0.03953216374</v>
      </c>
      <c r="N917" s="9">
        <f t="shared" si="3"/>
        <v>0.01345108696</v>
      </c>
      <c r="O917" s="9">
        <f t="shared" si="4"/>
        <v>0.2568701186</v>
      </c>
      <c r="P917" s="9">
        <f>IFERROR(__xludf.DUMMYFUNCTION("GOOGLEFINANCE(A917, ""pe"")"),36.82)</f>
        <v>36.82</v>
      </c>
      <c r="Q917" s="9">
        <f>IFERROR(__xludf.DUMMYFUNCTION("IFERROR(GOOGLEFINANCE(A917, ""volume"") / GOOGLEFINANCE(A917, ""volumeavg""), 0)"),0.0)</f>
        <v>0</v>
      </c>
      <c r="R917" s="9">
        <f>IFERROR(__xludf.DUMMYFUNCTION("AVERAGE(INDEX(GOOGLEFINANCE(A917, ""price"", TODAY()-30, TODAY()), 0, 2))"),4486.486956521739)</f>
        <v>4486.486957</v>
      </c>
      <c r="S917" s="9">
        <f>IFERROR(__xludf.DUMMYFUNCTION("AVERAGE(INDEX(GOOGLEFINANCE(A917, ""price"", TODAY()-75, TODAY()), 0, 2))"),4526.043396226413)</f>
        <v>4526.043396</v>
      </c>
      <c r="T917" s="9">
        <f>IFERROR(__xludf.DUMMYFUNCTION("AVERAGE(INDEX(GOOGLEFINANCE(A917, ""price"", TODAY()-300, TODAY()), 0, 2))"),5245.410891089109)</f>
        <v>5245.410891</v>
      </c>
      <c r="U917" s="9">
        <f t="shared" si="5"/>
        <v>-0.009469983293</v>
      </c>
      <c r="V917" s="15">
        <f>IFERROR(__xludf.DUMMYFUNCTION("LET(hist, GOOGLEFINANCE(A917,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rs))))))"),54.00488732011943)</f>
        <v>54.00488732</v>
      </c>
      <c r="W917" s="16" t="str">
        <f>IFERROR(__xludf.DUMMYFUNCTION("IFERROR(GOOGLEFINANCE(A917, ""volume"") / GOOGLEFINANCE(A917, ""volumeavg""), )"),"")</f>
        <v/>
      </c>
      <c r="X917" s="9">
        <f>IFERROR(__xludf.DUMMYFUNCTION("B917 * GOOGLEFINANCE(A917, ""volume"")"),2.0851248E7)</f>
        <v>20851248</v>
      </c>
      <c r="Y917" s="9">
        <f>IFERROR(__xludf.DUMMYFUNCTION("IFERROR(((B917 - GOOGLEFINANCE(A917, ""priceopen"")) / GOOGLEFINANCE(A917, ""priceopen"")) * GOOGLEFINANCE(A917, ""volume""), 0)"),-6.32629213483146)</f>
        <v>-6.326292135</v>
      </c>
    </row>
    <row r="918">
      <c r="A918" s="4" t="s">
        <v>2711</v>
      </c>
      <c r="B918" s="7">
        <f>IFERROR(__xludf.DUMMYFUNCTION("GOOGLEFINANCE(A918, ""price"")"),2140.0)</f>
        <v>2140</v>
      </c>
      <c r="C918" s="7">
        <f>IFERROR(__xludf.DUMMYFUNCTION("GOOGLEFINANCE(A918, ""changepct"")"),-10.36)</f>
        <v>-10.36</v>
      </c>
      <c r="D918" s="9">
        <f>IFERROR(__xludf.DUMMYFUNCTION("GOOGLEFINANCE(A918, ""priceopen"")"),2369.4)</f>
        <v>2369.4</v>
      </c>
      <c r="E918" s="9">
        <f>IFERROR(__xludf.DUMMYFUNCTION("GOOGLEFINANCE(A918, ""high"")"),2387.7)</f>
        <v>2387.7</v>
      </c>
      <c r="F918" s="9">
        <f>IFERROR(__xludf.DUMMYFUNCTION("GOOGLEFINANCE(A918, ""low"")"),2121.1)</f>
        <v>2121.1</v>
      </c>
      <c r="G918" s="9">
        <f>IFERROR(__xludf.DUMMYFUNCTION("GOOGLEFINANCE(A918, ""price"")"),2140.0)</f>
        <v>2140</v>
      </c>
      <c r="H918" s="9">
        <f>IFERROR(__xludf.DUMMYFUNCTION("MAX(INDEX(GOOGLEFINANCE(A918, ""high"", TODAY()-30, TODAY()), 0, 2))"),2580.0)</f>
        <v>2580</v>
      </c>
      <c r="I918" s="9">
        <f>IFERROR(__xludf.DUMMYFUNCTION("MIN(INDEX(GOOGLEFINANCE(A918, ""low"", TODAY()-30, TODAY()), 0, 2))"),2011.0)</f>
        <v>2011</v>
      </c>
      <c r="J918" s="9">
        <f>IFERROR(__xludf.DUMMYFUNCTION("GOOGLEFINANCE(A918, ""high52"")"),2580.0)</f>
        <v>2580</v>
      </c>
      <c r="K918" s="9">
        <f>IFERROR(__xludf.DUMMYFUNCTION("GOOGLEFINANCE(A918, ""low52"")"),850.0)</f>
        <v>850</v>
      </c>
      <c r="L918" s="9">
        <f t="shared" si="1"/>
        <v>0.1705426357</v>
      </c>
      <c r="M918" s="9">
        <f t="shared" si="2"/>
        <v>1.517647059</v>
      </c>
      <c r="N918" s="9">
        <f t="shared" si="3"/>
        <v>0.1256895007</v>
      </c>
      <c r="O918" s="9">
        <f t="shared" si="4"/>
        <v>0.2267135325</v>
      </c>
      <c r="P918" s="9">
        <f>IFERROR(__xludf.DUMMYFUNCTION("GOOGLEFINANCE(A918, ""pe"")"),40.63)</f>
        <v>40.63</v>
      </c>
      <c r="Q918" s="9">
        <f>IFERROR(__xludf.DUMMYFUNCTION("IFERROR(GOOGLEFINANCE(A918, ""volume"") / GOOGLEFINANCE(A918, ""volumeavg""), 0)"),0.0)</f>
        <v>0</v>
      </c>
      <c r="R918" s="9">
        <f>IFERROR(__xludf.DUMMYFUNCTION("AVERAGE(INDEX(GOOGLEFINANCE(A918, ""price"", TODAY()-30, TODAY()), 0, 2))"),2258.408695652174)</f>
        <v>2258.408696</v>
      </c>
      <c r="S918" s="9">
        <f>IFERROR(__xludf.DUMMYFUNCTION("AVERAGE(INDEX(GOOGLEFINANCE(A918, ""price"", TODAY()-75, TODAY()), 0, 2))"),2130.811320754717)</f>
        <v>2130.811321</v>
      </c>
      <c r="T918" s="9">
        <f>IFERROR(__xludf.DUMMYFUNCTION("AVERAGE(INDEX(GOOGLEFINANCE(A918, ""price"", TODAY()-300, TODAY()), 0, 2))"),1439.2314356435647)</f>
        <v>1439.231436</v>
      </c>
      <c r="U918" s="9">
        <f t="shared" si="5"/>
        <v>-0.05243014512</v>
      </c>
      <c r="V918" s="15">
        <f>IFERROR(__xludf.DUMMYFUNCTION("LET(hist, GOOGLEFINANCE(A918,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rs))))))"),47.931833223031106)</f>
        <v>47.93183322</v>
      </c>
      <c r="W918" s="16" t="str">
        <f>IFERROR(__xludf.DUMMYFUNCTION("IFERROR(GOOGLEFINANCE(A918, ""volume"") / GOOGLEFINANCE(A918, ""volumeavg""), )"),"")</f>
        <v/>
      </c>
      <c r="X918" s="9">
        <f>IFERROR(__xludf.DUMMYFUNCTION("B918 * GOOGLEFINANCE(A918, ""volume"")"),1.13439046E9)</f>
        <v>1134390460</v>
      </c>
      <c r="Y918" s="9">
        <f>IFERROR(__xludf.DUMMYFUNCTION("IFERROR(((B918 - GOOGLEFINANCE(A918, ""priceopen"")) / GOOGLEFINANCE(A918, ""priceopen"")) * GOOGLEFINANCE(A918, ""volume""), 0)"),-51322.02945893477)</f>
        <v>-51322.02946</v>
      </c>
    </row>
    <row r="919">
      <c r="A919" s="4" t="s">
        <v>2712</v>
      </c>
      <c r="B919" s="7">
        <f>IFERROR(__xludf.DUMMYFUNCTION("GOOGLEFINANCE(A919, ""price"")"),36.67)</f>
        <v>36.67</v>
      </c>
      <c r="C919" s="7">
        <f>IFERROR(__xludf.DUMMYFUNCTION("GOOGLEFINANCE(A919, ""changepct"")"),0.8)</f>
        <v>0.8</v>
      </c>
      <c r="D919" s="9">
        <f>IFERROR(__xludf.DUMMYFUNCTION("GOOGLEFINANCE(A919, ""priceopen"")"),35.65)</f>
        <v>35.65</v>
      </c>
      <c r="E919" s="9">
        <f>IFERROR(__xludf.DUMMYFUNCTION("GOOGLEFINANCE(A919, ""high"")"),37.46)</f>
        <v>37.46</v>
      </c>
      <c r="F919" s="9">
        <f>IFERROR(__xludf.DUMMYFUNCTION("GOOGLEFINANCE(A919, ""low"")"),35.65)</f>
        <v>35.65</v>
      </c>
      <c r="G919" s="9">
        <f>IFERROR(__xludf.DUMMYFUNCTION("GOOGLEFINANCE(A919, ""price"")"),36.67)</f>
        <v>36.67</v>
      </c>
      <c r="H919" s="9">
        <f>IFERROR(__xludf.DUMMYFUNCTION("MAX(INDEX(GOOGLEFINANCE(A919, ""high"", TODAY()-30, TODAY()), 0, 2))"),42.4)</f>
        <v>42.4</v>
      </c>
      <c r="I919" s="9">
        <f>IFERROR(__xludf.DUMMYFUNCTION("MIN(INDEX(GOOGLEFINANCE(A919, ""low"", TODAY()-30, TODAY()), 0, 2))"),28.6)</f>
        <v>28.6</v>
      </c>
      <c r="J919" s="9">
        <f>IFERROR(__xludf.DUMMYFUNCTION("GOOGLEFINANCE(A919, ""high52"")"),42.4)</f>
        <v>42.4</v>
      </c>
      <c r="K919" s="9">
        <f>IFERROR(__xludf.DUMMYFUNCTION("GOOGLEFINANCE(A919, ""low52"")"),17.85)</f>
        <v>17.85</v>
      </c>
      <c r="L919" s="9">
        <f t="shared" si="1"/>
        <v>0.1351415094</v>
      </c>
      <c r="M919" s="9">
        <f t="shared" si="2"/>
        <v>1.054341737</v>
      </c>
      <c r="N919" s="9">
        <f t="shared" si="3"/>
        <v>0.0507713885</v>
      </c>
      <c r="O919" s="9">
        <f t="shared" si="4"/>
        <v>0.5847826087</v>
      </c>
      <c r="P919" s="9">
        <f>IFERROR(__xludf.DUMMYFUNCTION("GOOGLEFINANCE(A919, ""pe"")"),43.65)</f>
        <v>43.65</v>
      </c>
      <c r="Q919" s="9">
        <f>IFERROR(__xludf.DUMMYFUNCTION("IFERROR(GOOGLEFINANCE(A919, ""volume"") / GOOGLEFINANCE(A919, ""volumeavg""), 0)"),0.0)</f>
        <v>0</v>
      </c>
      <c r="R919" s="9">
        <f>IFERROR(__xludf.DUMMYFUNCTION("AVERAGE(INDEX(GOOGLEFINANCE(A919, ""price"", TODAY()-30, TODAY()), 0, 2))"),36.21565217391304)</f>
        <v>36.21565217</v>
      </c>
      <c r="S919" s="9">
        <f>IFERROR(__xludf.DUMMYFUNCTION("AVERAGE(INDEX(GOOGLEFINANCE(A919, ""price"", TODAY()-75, TODAY()), 0, 2))"),32.621509433962274)</f>
        <v>32.62150943</v>
      </c>
      <c r="T919" s="9">
        <f>IFERROR(__xludf.DUMMYFUNCTION("AVERAGE(INDEX(GOOGLEFINANCE(A919, ""price"", TODAY()-300, TODAY()), 0, 2))"),29.277064676616927)</f>
        <v>29.27706468</v>
      </c>
      <c r="U919" s="9">
        <f t="shared" si="5"/>
        <v>0.01254562044</v>
      </c>
      <c r="V919" s="15">
        <f>IFERROR(__xludf.DUMMYFUNCTION("LET(hist, GOOGLEFINANCE(A919,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rs))))))"),59.31034482758623)</f>
        <v>59.31034483</v>
      </c>
      <c r="W919" s="16" t="str">
        <f>IFERROR(__xludf.DUMMYFUNCTION("IFERROR(GOOGLEFINANCE(A919, ""volume"") / GOOGLEFINANCE(A919, ""volumeavg""), )"),"")</f>
        <v/>
      </c>
      <c r="X919" s="9">
        <f>IFERROR(__xludf.DUMMYFUNCTION("B919 * GOOGLEFINANCE(A919, ""volume"")"),2.8184833358E8)</f>
        <v>281848333.6</v>
      </c>
      <c r="Y919" s="9">
        <f>IFERROR(__xludf.DUMMYFUNCTION("IFERROR(((B919 - GOOGLEFINANCE(A919, ""priceopen"")) / GOOGLEFINANCE(A919, ""priceopen"")) * GOOGLEFINANCE(A919, ""volume""), 0)"),219910.11164095442)</f>
        <v>219910.1116</v>
      </c>
    </row>
    <row r="920">
      <c r="A920" s="4" t="s">
        <v>2713</v>
      </c>
      <c r="B920" s="7">
        <f>IFERROR(__xludf.DUMMYFUNCTION("GOOGLEFINANCE(A920, ""price"")"),521.5)</f>
        <v>521.5</v>
      </c>
      <c r="C920" s="7">
        <f>IFERROR(__xludf.DUMMYFUNCTION("GOOGLEFINANCE(A920, ""changepct"")"),-0.81)</f>
        <v>-0.81</v>
      </c>
      <c r="D920" s="9">
        <f>IFERROR(__xludf.DUMMYFUNCTION("GOOGLEFINANCE(A920, ""priceopen"")"),525.95)</f>
        <v>525.95</v>
      </c>
      <c r="E920" s="9">
        <f>IFERROR(__xludf.DUMMYFUNCTION("GOOGLEFINANCE(A920, ""high"")"),529.85)</f>
        <v>529.85</v>
      </c>
      <c r="F920" s="9">
        <f>IFERROR(__xludf.DUMMYFUNCTION("GOOGLEFINANCE(A920, ""low"")"),512.1)</f>
        <v>512.1</v>
      </c>
      <c r="G920" s="9">
        <f>IFERROR(__xludf.DUMMYFUNCTION("GOOGLEFINANCE(A920, ""price"")"),521.5)</f>
        <v>521.5</v>
      </c>
      <c r="H920" s="9">
        <f>IFERROR(__xludf.DUMMYFUNCTION("MAX(INDEX(GOOGLEFINANCE(A920, ""high"", TODAY()-30, TODAY()), 0, 2))"),546.9)</f>
        <v>546.9</v>
      </c>
      <c r="I920" s="9">
        <f>IFERROR(__xludf.DUMMYFUNCTION("MIN(INDEX(GOOGLEFINANCE(A920, ""low"", TODAY()-30, TODAY()), 0, 2))"),440.0)</f>
        <v>440</v>
      </c>
      <c r="J920" s="9">
        <f>IFERROR(__xludf.DUMMYFUNCTION("GOOGLEFINANCE(A920, ""high52"")"),771.05)</f>
        <v>771.05</v>
      </c>
      <c r="K920" s="9">
        <f>IFERROR(__xludf.DUMMYFUNCTION("GOOGLEFINANCE(A920, ""low52"")"),364.55)</f>
        <v>364.55</v>
      </c>
      <c r="L920" s="9">
        <f t="shared" si="1"/>
        <v>0.3236495688</v>
      </c>
      <c r="M920" s="9">
        <f t="shared" si="2"/>
        <v>0.4305307914</v>
      </c>
      <c r="N920" s="9">
        <f t="shared" si="3"/>
        <v>0.03466119898</v>
      </c>
      <c r="O920" s="9">
        <f t="shared" si="4"/>
        <v>0.7623947615</v>
      </c>
      <c r="P920" s="9">
        <f>IFERROR(__xludf.DUMMYFUNCTION("GOOGLEFINANCE(A920, ""pe"")"),37.51)</f>
        <v>37.51</v>
      </c>
      <c r="Q920" s="9">
        <f>IFERROR(__xludf.DUMMYFUNCTION("IFERROR(GOOGLEFINANCE(A920, ""volume"") / GOOGLEFINANCE(A920, ""volumeavg""), 0)"),0.0)</f>
        <v>0</v>
      </c>
      <c r="R920" s="9">
        <f>IFERROR(__xludf.DUMMYFUNCTION("AVERAGE(INDEX(GOOGLEFINANCE(A920, ""price"", TODAY()-30, TODAY()), 0, 2))"),479.66739130434786)</f>
        <v>479.6673913</v>
      </c>
      <c r="S920" s="9">
        <f>IFERROR(__xludf.DUMMYFUNCTION("AVERAGE(INDEX(GOOGLEFINANCE(A920, ""price"", TODAY()-75, TODAY()), 0, 2))"),465.85754716981126)</f>
        <v>465.8575472</v>
      </c>
      <c r="T920" s="9">
        <f>IFERROR(__xludf.DUMMYFUNCTION("AVERAGE(INDEX(GOOGLEFINANCE(A920, ""price"", TODAY()-300, TODAY()), 0, 2))"),512.9457711442785)</f>
        <v>512.9457711</v>
      </c>
      <c r="U920" s="9">
        <f t="shared" si="5"/>
        <v>0.08721170014</v>
      </c>
      <c r="V920" s="15">
        <f>IFERROR(__xludf.DUMMYFUNCTION("LET(hist, GOOGLEFINANCE(A920,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rs))))))"),76.6079475624744)</f>
        <v>76.60794756</v>
      </c>
      <c r="W920" s="16" t="str">
        <f>IFERROR(__xludf.DUMMYFUNCTION("IFERROR(GOOGLEFINANCE(A920, ""volume"") / GOOGLEFINANCE(A920, ""volumeavg""), )"),"")</f>
        <v/>
      </c>
      <c r="X920" s="9">
        <f>IFERROR(__xludf.DUMMYFUNCTION("B920 * GOOGLEFINANCE(A920, ""volume"")"),5.45369055E7)</f>
        <v>54536905.5</v>
      </c>
      <c r="Y920" s="9">
        <f>IFERROR(__xludf.DUMMYFUNCTION("IFERROR(((B920 - GOOGLEFINANCE(A920, ""priceopen"")) / GOOGLEFINANCE(A920, ""priceopen"")) * GOOGLEFINANCE(A920, ""volume""), 0)"),-884.8134803688654)</f>
        <v>-884.8134804</v>
      </c>
    </row>
    <row r="921">
      <c r="A921" s="4" t="s">
        <v>2714</v>
      </c>
      <c r="B921" s="7">
        <f>IFERROR(__xludf.DUMMYFUNCTION("GOOGLEFINANCE(A921, ""price"")"),366.0)</f>
        <v>366</v>
      </c>
      <c r="C921" s="7">
        <f>IFERROR(__xludf.DUMMYFUNCTION("GOOGLEFINANCE(A921, ""changepct"")"),1.57)</f>
        <v>1.57</v>
      </c>
      <c r="D921" s="9">
        <f>IFERROR(__xludf.DUMMYFUNCTION("GOOGLEFINANCE(A921, ""priceopen"")"),361.45)</f>
        <v>361.45</v>
      </c>
      <c r="E921" s="9">
        <f>IFERROR(__xludf.DUMMYFUNCTION("GOOGLEFINANCE(A921, ""high"")"),368.9)</f>
        <v>368.9</v>
      </c>
      <c r="F921" s="9">
        <f>IFERROR(__xludf.DUMMYFUNCTION("GOOGLEFINANCE(A921, ""low"")"),358.0)</f>
        <v>358</v>
      </c>
      <c r="G921" s="9">
        <f>IFERROR(__xludf.DUMMYFUNCTION("GOOGLEFINANCE(A921, ""price"")"),366.0)</f>
        <v>366</v>
      </c>
      <c r="H921" s="9">
        <f>IFERROR(__xludf.DUMMYFUNCTION("MAX(INDEX(GOOGLEFINANCE(A921, ""high"", TODAY()-30, TODAY()), 0, 2))"),407.5)</f>
        <v>407.5</v>
      </c>
      <c r="I921" s="9">
        <f>IFERROR(__xludf.DUMMYFUNCTION("MIN(INDEX(GOOGLEFINANCE(A921, ""low"", TODAY()-30, TODAY()), 0, 2))"),321.1)</f>
        <v>321.1</v>
      </c>
      <c r="J921" s="9">
        <f>IFERROR(__xludf.DUMMYFUNCTION("GOOGLEFINANCE(A921, ""high52"")"),653.8)</f>
        <v>653.8</v>
      </c>
      <c r="K921" s="9">
        <f>IFERROR(__xludf.DUMMYFUNCTION("GOOGLEFINANCE(A921, ""low52"")"),301.0)</f>
        <v>301</v>
      </c>
      <c r="L921" s="9">
        <f t="shared" si="1"/>
        <v>0.4401957785</v>
      </c>
      <c r="M921" s="9">
        <f t="shared" si="2"/>
        <v>0.2159468439</v>
      </c>
      <c r="N921" s="9">
        <f t="shared" si="3"/>
        <v>0.03044692737</v>
      </c>
      <c r="O921" s="9">
        <f t="shared" si="4"/>
        <v>0.5196759259</v>
      </c>
      <c r="P921" s="9" t="str">
        <f>IFERROR(__xludf.DUMMYFUNCTION("GOOGLEFINANCE(A921, ""pe"")"),"#N/A")</f>
        <v>#N/A</v>
      </c>
      <c r="Q921" s="9">
        <f>IFERROR(__xludf.DUMMYFUNCTION("IFERROR(GOOGLEFINANCE(A921, ""volume"") / GOOGLEFINANCE(A921, ""volumeavg""), 0)"),0.0)</f>
        <v>0</v>
      </c>
      <c r="R921" s="9">
        <f>IFERROR(__xludf.DUMMYFUNCTION("AVERAGE(INDEX(GOOGLEFINANCE(A921, ""price"", TODAY()-30, TODAY()), 0, 2))"),340.9217391304348)</f>
        <v>340.9217391</v>
      </c>
      <c r="S921" s="9">
        <f>IFERROR(__xludf.DUMMYFUNCTION("AVERAGE(INDEX(GOOGLEFINANCE(A921, ""price"", TODAY()-75, TODAY()), 0, 2))"),328.84905660377353)</f>
        <v>328.8490566</v>
      </c>
      <c r="T921" s="9">
        <f>IFERROR(__xludf.DUMMYFUNCTION("AVERAGE(INDEX(GOOGLEFINANCE(A921, ""price"", TODAY()-300, TODAY()), 0, 2))"),400.28762376237614)</f>
        <v>400.2876238</v>
      </c>
      <c r="U921" s="9">
        <f t="shared" si="5"/>
        <v>0.07356016936</v>
      </c>
      <c r="V921" s="15">
        <f>IFERROR(__xludf.DUMMYFUNCTION("LET(hist, GOOGLEFINANCE(A921,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rs))))))"),70.39438141545114)</f>
        <v>70.39438142</v>
      </c>
      <c r="W921" s="16" t="str">
        <f>IFERROR(__xludf.DUMMYFUNCTION("IFERROR(GOOGLEFINANCE(A921, ""volume"") / GOOGLEFINANCE(A921, ""volumeavg""), )"),"")</f>
        <v/>
      </c>
      <c r="X921" s="9">
        <f>IFERROR(__xludf.DUMMYFUNCTION("B921 * GOOGLEFINANCE(A921, ""volume"")"),1.21898496E8)</f>
        <v>121898496</v>
      </c>
      <c r="Y921" s="9">
        <f>IFERROR(__xludf.DUMMYFUNCTION("IFERROR(((B921 - GOOGLEFINANCE(A921, ""priceopen"")) / GOOGLEFINANCE(A921, ""priceopen"")) * GOOGLEFINANCE(A921, ""volume""), 0)"),4192.571033337956)</f>
        <v>4192.571033</v>
      </c>
    </row>
    <row r="922">
      <c r="A922" s="4" t="s">
        <v>2715</v>
      </c>
      <c r="B922" s="7">
        <f>IFERROR(__xludf.DUMMYFUNCTION("GOOGLEFINANCE(A922, ""price"")"),134.7)</f>
        <v>134.7</v>
      </c>
      <c r="C922" s="7">
        <f>IFERROR(__xludf.DUMMYFUNCTION("GOOGLEFINANCE(A922, ""changepct"")"),-1.62)</f>
        <v>-1.62</v>
      </c>
      <c r="D922" s="9">
        <f>IFERROR(__xludf.DUMMYFUNCTION("GOOGLEFINANCE(A922, ""priceopen"")"),135.5)</f>
        <v>135.5</v>
      </c>
      <c r="E922" s="9">
        <f>IFERROR(__xludf.DUMMYFUNCTION("GOOGLEFINANCE(A922, ""high"")"),136.89)</f>
        <v>136.89</v>
      </c>
      <c r="F922" s="9">
        <f>IFERROR(__xludf.DUMMYFUNCTION("GOOGLEFINANCE(A922, ""low"")"),133.8)</f>
        <v>133.8</v>
      </c>
      <c r="G922" s="9">
        <f>IFERROR(__xludf.DUMMYFUNCTION("GOOGLEFINANCE(A922, ""price"")"),134.7)</f>
        <v>134.7</v>
      </c>
      <c r="H922" s="9">
        <f>IFERROR(__xludf.DUMMYFUNCTION("MAX(INDEX(GOOGLEFINANCE(A922, ""high"", TODAY()-30, TODAY()), 0, 2))"),141.95)</f>
        <v>141.95</v>
      </c>
      <c r="I922" s="9">
        <f>IFERROR(__xludf.DUMMYFUNCTION("MIN(INDEX(GOOGLEFINANCE(A922, ""low"", TODAY()-30, TODAY()), 0, 2))"),131.1)</f>
        <v>131.1</v>
      </c>
      <c r="J922" s="9">
        <f>IFERROR(__xludf.DUMMYFUNCTION("GOOGLEFINANCE(A922, ""high52"")"),190.69)</f>
        <v>190.69</v>
      </c>
      <c r="K922" s="9">
        <f>IFERROR(__xludf.DUMMYFUNCTION("GOOGLEFINANCE(A922, ""low52"")"),111.2)</f>
        <v>111.2</v>
      </c>
      <c r="L922" s="9">
        <f t="shared" si="1"/>
        <v>0.2936179139</v>
      </c>
      <c r="M922" s="9">
        <f t="shared" si="2"/>
        <v>0.2113309353</v>
      </c>
      <c r="N922" s="9">
        <f t="shared" si="3"/>
        <v>0.0230941704</v>
      </c>
      <c r="O922" s="9">
        <f t="shared" si="4"/>
        <v>0.331797235</v>
      </c>
      <c r="P922" s="9" t="str">
        <f>IFERROR(__xludf.DUMMYFUNCTION("GOOGLEFINANCE(A922, ""pe"")"),"#N/A")</f>
        <v>#N/A</v>
      </c>
      <c r="Q922" s="9">
        <f>IFERROR(__xludf.DUMMYFUNCTION("IFERROR(GOOGLEFINANCE(A922, ""volume"") / GOOGLEFINANCE(A922, ""volumeavg""), 0)"),0.0)</f>
        <v>0</v>
      </c>
      <c r="R922" s="9">
        <f>IFERROR(__xludf.DUMMYFUNCTION("AVERAGE(INDEX(GOOGLEFINANCE(A922, ""price"", TODAY()-30, TODAY()), 0, 2))"),136.36782608695648)</f>
        <v>136.3678261</v>
      </c>
      <c r="S922" s="9">
        <f>IFERROR(__xludf.DUMMYFUNCTION("AVERAGE(INDEX(GOOGLEFINANCE(A922, ""price"", TODAY()-75, TODAY()), 0, 2))"),137.97849056603778)</f>
        <v>137.9784906</v>
      </c>
      <c r="T922" s="9">
        <f>IFERROR(__xludf.DUMMYFUNCTION("AVERAGE(INDEX(GOOGLEFINANCE(A922, ""price"", TODAY()-300, TODAY()), 0, 2))"),136.544504950495)</f>
        <v>136.544505</v>
      </c>
      <c r="U922" s="9">
        <f t="shared" si="5"/>
        <v>-0.01223034886</v>
      </c>
      <c r="V922" s="15">
        <f>IFERROR(__xludf.DUMMYFUNCTION("LET(hist, GOOGLEFINANCE(A922,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rs))))))"),52.034525277435264)</f>
        <v>52.03452528</v>
      </c>
      <c r="W922" s="16" t="str">
        <f>IFERROR(__xludf.DUMMYFUNCTION("IFERROR(GOOGLEFINANCE(A922, ""volume"") / GOOGLEFINANCE(A922, ""volumeavg""), )"),"")</f>
        <v/>
      </c>
      <c r="X922" s="9">
        <f>IFERROR(__xludf.DUMMYFUNCTION("B922 * GOOGLEFINANCE(A922, ""volume"")"),5.05318968E7)</f>
        <v>50531896.8</v>
      </c>
      <c r="Y922" s="9">
        <f>IFERROR(__xludf.DUMMYFUNCTION("IFERROR(((B922 - GOOGLEFINANCE(A922, ""priceopen"")) / GOOGLEFINANCE(A922, ""priceopen"")) * GOOGLEFINANCE(A922, ""volume""), 0)"),-2214.872324723279)</f>
        <v>-2214.872325</v>
      </c>
    </row>
    <row r="923">
      <c r="A923" s="4" t="s">
        <v>2716</v>
      </c>
      <c r="B923" s="7">
        <f>IFERROR(__xludf.DUMMYFUNCTION("GOOGLEFINANCE(A923, ""price"")"),693.3)</f>
        <v>693.3</v>
      </c>
      <c r="C923" s="7">
        <f>IFERROR(__xludf.DUMMYFUNCTION("GOOGLEFINANCE(A923, ""changepct"")"),3.47)</f>
        <v>3.47</v>
      </c>
      <c r="D923" s="9">
        <f>IFERROR(__xludf.DUMMYFUNCTION("GOOGLEFINANCE(A923, ""priceopen"")"),675.0)</f>
        <v>675</v>
      </c>
      <c r="E923" s="9">
        <f>IFERROR(__xludf.DUMMYFUNCTION("GOOGLEFINANCE(A923, ""high"")"),699.0)</f>
        <v>699</v>
      </c>
      <c r="F923" s="9">
        <f>IFERROR(__xludf.DUMMYFUNCTION("GOOGLEFINANCE(A923, ""low"")"),650.0)</f>
        <v>650</v>
      </c>
      <c r="G923" s="9">
        <f>IFERROR(__xludf.DUMMYFUNCTION("GOOGLEFINANCE(A923, ""price"")"),693.3)</f>
        <v>693.3</v>
      </c>
      <c r="H923" s="9">
        <f>IFERROR(__xludf.DUMMYFUNCTION("MAX(INDEX(GOOGLEFINANCE(A923, ""high"", TODAY()-30, TODAY()), 0, 2))"),699.0)</f>
        <v>699</v>
      </c>
      <c r="I923" s="9">
        <f>IFERROR(__xludf.DUMMYFUNCTION("MIN(INDEX(GOOGLEFINANCE(A923, ""low"", TODAY()-30, TODAY()), 0, 2))"),453.6)</f>
        <v>453.6</v>
      </c>
      <c r="J923" s="9">
        <f>IFERROR(__xludf.DUMMYFUNCTION("GOOGLEFINANCE(A923, ""high52"")"),699.0)</f>
        <v>699</v>
      </c>
      <c r="K923" s="9">
        <f>IFERROR(__xludf.DUMMYFUNCTION("GOOGLEFINANCE(A923, ""low52"")"),330.0)</f>
        <v>330</v>
      </c>
      <c r="L923" s="9">
        <f t="shared" si="1"/>
        <v>0.008154506438</v>
      </c>
      <c r="M923" s="9">
        <f t="shared" si="2"/>
        <v>1.100909091</v>
      </c>
      <c r="N923" s="9">
        <f t="shared" si="3"/>
        <v>0.07538461538</v>
      </c>
      <c r="O923" s="9">
        <f t="shared" si="4"/>
        <v>0.9767726161</v>
      </c>
      <c r="P923" s="9">
        <f>IFERROR(__xludf.DUMMYFUNCTION("GOOGLEFINANCE(A923, ""pe"")"),21.49)</f>
        <v>21.49</v>
      </c>
      <c r="Q923" s="9">
        <f>IFERROR(__xludf.DUMMYFUNCTION("IFERROR(GOOGLEFINANCE(A923, ""volume"") / GOOGLEFINANCE(A923, ""volumeavg""), 0)"),0.0)</f>
        <v>0</v>
      </c>
      <c r="R923" s="9">
        <f>IFERROR(__xludf.DUMMYFUNCTION("AVERAGE(INDEX(GOOGLEFINANCE(A923, ""price"", TODAY()-30, TODAY()), 0, 2))"),549.208695652174)</f>
        <v>549.2086957</v>
      </c>
      <c r="S923" s="9">
        <f>IFERROR(__xludf.DUMMYFUNCTION("AVERAGE(INDEX(GOOGLEFINANCE(A923, ""price"", TODAY()-75, TODAY()), 0, 2))"),513.0254716981132)</f>
        <v>513.0254717</v>
      </c>
      <c r="T923" s="9">
        <f>IFERROR(__xludf.DUMMYFUNCTION("AVERAGE(INDEX(GOOGLEFINANCE(A923, ""price"", TODAY()-300, TODAY()), 0, 2))"),453.4321782178222)</f>
        <v>453.4321782</v>
      </c>
      <c r="U923" s="9">
        <f t="shared" si="5"/>
        <v>0.2623616587</v>
      </c>
      <c r="V923" s="15">
        <f>IFERROR(__xludf.DUMMYFUNCTION("LET(hist, GOOGLEFINANCE(A923,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rs))))))"),88.21059431524546)</f>
        <v>88.21059432</v>
      </c>
      <c r="W923" s="16" t="str">
        <f>IFERROR(__xludf.DUMMYFUNCTION("IFERROR(GOOGLEFINANCE(A923, ""volume"") / GOOGLEFINANCE(A923, ""volumeavg""), )"),"")</f>
        <v/>
      </c>
      <c r="X923" s="9">
        <f>IFERROR(__xludf.DUMMYFUNCTION("B923 * GOOGLEFINANCE(A923, ""volume"")"),5.424524793E8)</f>
        <v>542452479.3</v>
      </c>
      <c r="Y923" s="9">
        <f>IFERROR(__xludf.DUMMYFUNCTION("IFERROR(((B923 - GOOGLEFINANCE(A923, ""priceopen"")) / GOOGLEFINANCE(A923, ""priceopen"")) * GOOGLEFINANCE(A923, ""volume""), 0)"),21212.302666666616)</f>
        <v>21212.30267</v>
      </c>
    </row>
    <row r="924">
      <c r="A924" s="4" t="s">
        <v>2717</v>
      </c>
      <c r="B924" s="7">
        <f>IFERROR(__xludf.DUMMYFUNCTION("GOOGLEFINANCE(A924, ""price"")"),861.0)</f>
        <v>861</v>
      </c>
      <c r="C924" s="7">
        <f>IFERROR(__xludf.DUMMYFUNCTION("GOOGLEFINANCE(A924, ""changepct"")"),2.05)</f>
        <v>2.05</v>
      </c>
      <c r="D924" s="9">
        <f>IFERROR(__xludf.DUMMYFUNCTION("GOOGLEFINANCE(A924, ""priceopen"")"),843.7)</f>
        <v>843.7</v>
      </c>
      <c r="E924" s="9">
        <f>IFERROR(__xludf.DUMMYFUNCTION("GOOGLEFINANCE(A924, ""high"")"),874.95)</f>
        <v>874.95</v>
      </c>
      <c r="F924" s="9">
        <f>IFERROR(__xludf.DUMMYFUNCTION("GOOGLEFINANCE(A924, ""low"")"),833.25)</f>
        <v>833.25</v>
      </c>
      <c r="G924" s="9">
        <f>IFERROR(__xludf.DUMMYFUNCTION("GOOGLEFINANCE(A924, ""price"")"),861.0)</f>
        <v>861</v>
      </c>
      <c r="H924" s="9">
        <f>IFERROR(__xludf.DUMMYFUNCTION("MAX(INDEX(GOOGLEFINANCE(A924, ""high"", TODAY()-30, TODAY()), 0, 2))"),982.55)</f>
        <v>982.55</v>
      </c>
      <c r="I924" s="9">
        <f>IFERROR(__xludf.DUMMYFUNCTION("MIN(INDEX(GOOGLEFINANCE(A924, ""low"", TODAY()-30, TODAY()), 0, 2))"),829.0)</f>
        <v>829</v>
      </c>
      <c r="J924" s="9">
        <f>IFERROR(__xludf.DUMMYFUNCTION("GOOGLEFINANCE(A924, ""high52"")"),982.55)</f>
        <v>982.55</v>
      </c>
      <c r="K924" s="9">
        <f>IFERROR(__xludf.DUMMYFUNCTION("GOOGLEFINANCE(A924, ""low52"")"),574.0)</f>
        <v>574</v>
      </c>
      <c r="L924" s="9">
        <f t="shared" si="1"/>
        <v>0.1237087171</v>
      </c>
      <c r="M924" s="9">
        <f t="shared" si="2"/>
        <v>0.5</v>
      </c>
      <c r="N924" s="9">
        <f t="shared" si="3"/>
        <v>0.0500450045</v>
      </c>
      <c r="O924" s="9">
        <f t="shared" si="4"/>
        <v>0.2084011723</v>
      </c>
      <c r="P924" s="9">
        <f>IFERROR(__xludf.DUMMYFUNCTION("GOOGLEFINANCE(A924, ""pe"")"),14.21)</f>
        <v>14.21</v>
      </c>
      <c r="Q924" s="9">
        <f>IFERROR(__xludf.DUMMYFUNCTION("IFERROR(GOOGLEFINANCE(A924, ""volume"") / GOOGLEFINANCE(A924, ""volumeavg""), 0)"),0.0)</f>
        <v>0</v>
      </c>
      <c r="R924" s="9">
        <f>IFERROR(__xludf.DUMMYFUNCTION("AVERAGE(INDEX(GOOGLEFINANCE(A924, ""price"", TODAY()-30, TODAY()), 0, 2))"),890.821739130435)</f>
        <v>890.8217391</v>
      </c>
      <c r="S924" s="9">
        <f>IFERROR(__xludf.DUMMYFUNCTION("AVERAGE(INDEX(GOOGLEFINANCE(A924, ""price"", TODAY()-75, TODAY()), 0, 2))"),862.9377358490564)</f>
        <v>862.9377358</v>
      </c>
      <c r="T924" s="9">
        <f>IFERROR(__xludf.DUMMYFUNCTION("AVERAGE(INDEX(GOOGLEFINANCE(A924, ""price"", TODAY()-300, TODAY()), 0, 2))"),782.1136138613863)</f>
        <v>782.1136139</v>
      </c>
      <c r="U924" s="9">
        <f t="shared" si="5"/>
        <v>-0.03347666297</v>
      </c>
      <c r="V924" s="15">
        <f>IFERROR(__xludf.DUMMYFUNCTION("LET(hist, GOOGLEFINANCE(A924,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rs))))))"),39.75409836065575)</f>
        <v>39.75409836</v>
      </c>
      <c r="W924" s="16" t="str">
        <f>IFERROR(__xludf.DUMMYFUNCTION("IFERROR(GOOGLEFINANCE(A924, ""volume"") / GOOGLEFINANCE(A924, ""volumeavg""), )"),"")</f>
        <v/>
      </c>
      <c r="X924" s="9">
        <f>IFERROR(__xludf.DUMMYFUNCTION("B924 * GOOGLEFINANCE(A924, ""volume"")"),3.9130728E7)</f>
        <v>39130728</v>
      </c>
      <c r="Y924" s="9">
        <f>IFERROR(__xludf.DUMMYFUNCTION("IFERROR(((B924 - GOOGLEFINANCE(A924, ""priceopen"")) / GOOGLEFINANCE(A924, ""priceopen"")) * GOOGLEFINANCE(A924, ""volume""), 0)"),931.9075500770392)</f>
        <v>931.9075501</v>
      </c>
    </row>
    <row r="925">
      <c r="A925" s="4" t="s">
        <v>2718</v>
      </c>
      <c r="B925" s="7">
        <f>IFERROR(__xludf.DUMMYFUNCTION("GOOGLEFINANCE(A925, ""price"")"),301.0)</f>
        <v>301</v>
      </c>
      <c r="C925" s="7">
        <f>IFERROR(__xludf.DUMMYFUNCTION("GOOGLEFINANCE(A925, ""changepct"")"),0.28)</f>
        <v>0.28</v>
      </c>
      <c r="D925" s="9">
        <f>IFERROR(__xludf.DUMMYFUNCTION("GOOGLEFINANCE(A925, ""priceopen"")"),301.8)</f>
        <v>301.8</v>
      </c>
      <c r="E925" s="9">
        <f>IFERROR(__xludf.DUMMYFUNCTION("GOOGLEFINANCE(A925, ""high"")"),304.0)</f>
        <v>304</v>
      </c>
      <c r="F925" s="9">
        <f>IFERROR(__xludf.DUMMYFUNCTION("GOOGLEFINANCE(A925, ""low"")"),296.7)</f>
        <v>296.7</v>
      </c>
      <c r="G925" s="9">
        <f>IFERROR(__xludf.DUMMYFUNCTION("GOOGLEFINANCE(A925, ""price"")"),301.0)</f>
        <v>301</v>
      </c>
      <c r="H925" s="9">
        <f>IFERROR(__xludf.DUMMYFUNCTION("MAX(INDEX(GOOGLEFINANCE(A925, ""high"", TODAY()-30, TODAY()), 0, 2))"),353.8)</f>
        <v>353.8</v>
      </c>
      <c r="I925" s="9">
        <f>IFERROR(__xludf.DUMMYFUNCTION("MIN(INDEX(GOOGLEFINANCE(A925, ""low"", TODAY()-30, TODAY()), 0, 2))"),295.4)</f>
        <v>295.4</v>
      </c>
      <c r="J925" s="9">
        <f>IFERROR(__xludf.DUMMYFUNCTION("GOOGLEFINANCE(A925, ""high52"")"),434.4)</f>
        <v>434.4</v>
      </c>
      <c r="K925" s="9">
        <f>IFERROR(__xludf.DUMMYFUNCTION("GOOGLEFINANCE(A925, ""low52"")"),212.0)</f>
        <v>212</v>
      </c>
      <c r="L925" s="9">
        <f t="shared" si="1"/>
        <v>0.3070902394</v>
      </c>
      <c r="M925" s="9">
        <f t="shared" si="2"/>
        <v>0.4198113208</v>
      </c>
      <c r="N925" s="9">
        <f t="shared" si="3"/>
        <v>0.02460397708</v>
      </c>
      <c r="O925" s="9">
        <f t="shared" si="4"/>
        <v>0.09589041096</v>
      </c>
      <c r="P925" s="9">
        <f>IFERROR(__xludf.DUMMYFUNCTION("GOOGLEFINANCE(A925, ""pe"")"),38.79)</f>
        <v>38.79</v>
      </c>
      <c r="Q925" s="9">
        <f>IFERROR(__xludf.DUMMYFUNCTION("IFERROR(GOOGLEFINANCE(A925, ""volume"") / GOOGLEFINANCE(A925, ""volumeavg""), 0)"),0.0)</f>
        <v>0</v>
      </c>
      <c r="R925" s="9">
        <f>IFERROR(__xludf.DUMMYFUNCTION("AVERAGE(INDEX(GOOGLEFINANCE(A925, ""price"", TODAY()-30, TODAY()), 0, 2))"),316.5413043478261)</f>
        <v>316.5413043</v>
      </c>
      <c r="S925" s="9">
        <f>IFERROR(__xludf.DUMMYFUNCTION("AVERAGE(INDEX(GOOGLEFINANCE(A925, ""price"", TODAY()-75, TODAY()), 0, 2))"),343.3330188679246)</f>
        <v>343.3330189</v>
      </c>
      <c r="T925" s="9">
        <f>IFERROR(__xludf.DUMMYFUNCTION("AVERAGE(INDEX(GOOGLEFINANCE(A925, ""price"", TODAY()-300, TODAY()), 0, 2))"),308.6876237623761)</f>
        <v>308.6876238</v>
      </c>
      <c r="U925" s="9">
        <f t="shared" si="5"/>
        <v>-0.04909723987</v>
      </c>
      <c r="V925" s="15">
        <f>IFERROR(__xludf.DUMMYFUNCTION("LET(hist, GOOGLEFINANCE(A925,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rs))))))"),32.04715969989286)</f>
        <v>32.0471597</v>
      </c>
      <c r="W925" s="16" t="str">
        <f>IFERROR(__xludf.DUMMYFUNCTION("IFERROR(GOOGLEFINANCE(A925, ""volume"") / GOOGLEFINANCE(A925, ""volumeavg""), )"),"")</f>
        <v/>
      </c>
      <c r="X925" s="9">
        <f>IFERROR(__xludf.DUMMYFUNCTION("B925 * GOOGLEFINANCE(A925, ""volume"")"),3.56659716E8)</f>
        <v>356659716</v>
      </c>
      <c r="Y925" s="9">
        <f>IFERROR(__xludf.DUMMYFUNCTION("IFERROR(((B925 - GOOGLEFINANCE(A925, ""priceopen"")) / GOOGLEFINANCE(A925, ""priceopen"")) * GOOGLEFINANCE(A925, ""volume""), 0)"),-3140.9304174950744)</f>
        <v>-3140.930417</v>
      </c>
    </row>
    <row r="926">
      <c r="A926" s="4" t="s">
        <v>2719</v>
      </c>
      <c r="B926" s="7">
        <f>IFERROR(__xludf.DUMMYFUNCTION("GOOGLEFINANCE(A926, ""price"")"),1599.9)</f>
        <v>1599.9</v>
      </c>
      <c r="C926" s="7">
        <f>IFERROR(__xludf.DUMMYFUNCTION("GOOGLEFINANCE(A926, ""changepct"")"),0.39)</f>
        <v>0.39</v>
      </c>
      <c r="D926" s="9">
        <f>IFERROR(__xludf.DUMMYFUNCTION("GOOGLEFINANCE(A926, ""priceopen"")"),1605.4)</f>
        <v>1605.4</v>
      </c>
      <c r="E926" s="9">
        <f>IFERROR(__xludf.DUMMYFUNCTION("GOOGLEFINANCE(A926, ""high"")"),1630.0)</f>
        <v>1630</v>
      </c>
      <c r="F926" s="9">
        <f>IFERROR(__xludf.DUMMYFUNCTION("GOOGLEFINANCE(A926, ""low"")"),1584.1)</f>
        <v>1584.1</v>
      </c>
      <c r="G926" s="9">
        <f>IFERROR(__xludf.DUMMYFUNCTION("GOOGLEFINANCE(A926, ""price"")"),1599.9)</f>
        <v>1599.9</v>
      </c>
      <c r="H926" s="9">
        <f>IFERROR(__xludf.DUMMYFUNCTION("MAX(INDEX(GOOGLEFINANCE(A926, ""high"", TODAY()-30, TODAY()), 0, 2))"),1780.0)</f>
        <v>1780</v>
      </c>
      <c r="I926" s="9">
        <f>IFERROR(__xludf.DUMMYFUNCTION("MIN(INDEX(GOOGLEFINANCE(A926, ""low"", TODAY()-30, TODAY()), 0, 2))"),1500.3)</f>
        <v>1500.3</v>
      </c>
      <c r="J926" s="9">
        <f>IFERROR(__xludf.DUMMYFUNCTION("GOOGLEFINANCE(A926, ""high52"")"),1780.0)</f>
        <v>1780</v>
      </c>
      <c r="K926" s="9">
        <f>IFERROR(__xludf.DUMMYFUNCTION("GOOGLEFINANCE(A926, ""low52"")"),950.0)</f>
        <v>950</v>
      </c>
      <c r="L926" s="9">
        <f t="shared" si="1"/>
        <v>0.1011797753</v>
      </c>
      <c r="M926" s="9">
        <f t="shared" si="2"/>
        <v>0.6841052632</v>
      </c>
      <c r="N926" s="9">
        <f t="shared" si="3"/>
        <v>0.02897544347</v>
      </c>
      <c r="O926" s="9">
        <f t="shared" si="4"/>
        <v>0.3560958169</v>
      </c>
      <c r="P926" s="9">
        <f>IFERROR(__xludf.DUMMYFUNCTION("GOOGLEFINANCE(A926, ""pe"")"),40.39)</f>
        <v>40.39</v>
      </c>
      <c r="Q926" s="9">
        <f>IFERROR(__xludf.DUMMYFUNCTION("IFERROR(GOOGLEFINANCE(A926, ""volume"") / GOOGLEFINANCE(A926, ""volumeavg""), 0)"),0.0)</f>
        <v>0</v>
      </c>
      <c r="R926" s="9">
        <f>IFERROR(__xludf.DUMMYFUNCTION("AVERAGE(INDEX(GOOGLEFINANCE(A926, ""price"", TODAY()-30, TODAY()), 0, 2))"),1617.15652173913)</f>
        <v>1617.156522</v>
      </c>
      <c r="S926" s="9">
        <f>IFERROR(__xludf.DUMMYFUNCTION("AVERAGE(INDEX(GOOGLEFINANCE(A926, ""price"", TODAY()-75, TODAY()), 0, 2))"),1502.0528301886793)</f>
        <v>1502.05283</v>
      </c>
      <c r="T926" s="9">
        <f>IFERROR(__xludf.DUMMYFUNCTION("AVERAGE(INDEX(GOOGLEFINANCE(A926, ""price"", TODAY()-300, TODAY()), 0, 2))"),1383.6931249999998)</f>
        <v>1383.693125</v>
      </c>
      <c r="U926" s="9">
        <f t="shared" si="5"/>
        <v>-0.01067090384</v>
      </c>
      <c r="V926" s="15">
        <f>IFERROR(__xludf.DUMMYFUNCTION("LET(hist, GOOGLEFINANCE(A926,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rs))))))"),37.95555555555559)</f>
        <v>37.95555556</v>
      </c>
      <c r="W926" s="16" t="str">
        <f>IFERROR(__xludf.DUMMYFUNCTION("IFERROR(GOOGLEFINANCE(A926, ""volume"") / GOOGLEFINANCE(A926, ""volumeavg""), )"),"")</f>
        <v/>
      </c>
      <c r="X926" s="9">
        <f>IFERROR(__xludf.DUMMYFUNCTION("B926 * GOOGLEFINANCE(A926, ""volume"")"),1.5053459100000001E7)</f>
        <v>15053459.1</v>
      </c>
      <c r="Y926" s="9">
        <f>IFERROR(__xludf.DUMMYFUNCTION("IFERROR(((B926 - GOOGLEFINANCE(A926, ""priceopen"")) / GOOGLEFINANCE(A926, ""priceopen"")) * GOOGLEFINANCE(A926, ""volume""), 0)"),-32.234645571197206)</f>
        <v>-32.23464557</v>
      </c>
    </row>
    <row r="927">
      <c r="A927" s="4" t="s">
        <v>2720</v>
      </c>
      <c r="B927" s="7">
        <f>IFERROR(__xludf.DUMMYFUNCTION("GOOGLEFINANCE(A927, ""price"")"),1702.5)</f>
        <v>1702.5</v>
      </c>
      <c r="C927" s="7">
        <f>IFERROR(__xludf.DUMMYFUNCTION("GOOGLEFINANCE(A927, ""changepct"")"),0.34)</f>
        <v>0.34</v>
      </c>
      <c r="D927" s="9">
        <f>IFERROR(__xludf.DUMMYFUNCTION("GOOGLEFINANCE(A927, ""priceopen"")"),1690.0)</f>
        <v>1690</v>
      </c>
      <c r="E927" s="9">
        <f>IFERROR(__xludf.DUMMYFUNCTION("GOOGLEFINANCE(A927, ""high"")"),1743.9)</f>
        <v>1743.9</v>
      </c>
      <c r="F927" s="9">
        <f>IFERROR(__xludf.DUMMYFUNCTION("GOOGLEFINANCE(A927, ""low"")"),1666.7)</f>
        <v>1666.7</v>
      </c>
      <c r="G927" s="9">
        <f>IFERROR(__xludf.DUMMYFUNCTION("GOOGLEFINANCE(A927, ""price"")"),1702.5)</f>
        <v>1702.5</v>
      </c>
      <c r="H927" s="9">
        <f>IFERROR(__xludf.DUMMYFUNCTION("MAX(INDEX(GOOGLEFINANCE(A927, ""high"", TODAY()-30, TODAY()), 0, 2))"),1745.0)</f>
        <v>1745</v>
      </c>
      <c r="I927" s="9">
        <f>IFERROR(__xludf.DUMMYFUNCTION("MIN(INDEX(GOOGLEFINANCE(A927, ""low"", TODAY()-30, TODAY()), 0, 2))"),1300.5)</f>
        <v>1300.5</v>
      </c>
      <c r="J927" s="9">
        <f>IFERROR(__xludf.DUMMYFUNCTION("GOOGLEFINANCE(A927, ""high52"")"),1745.0)</f>
        <v>1745</v>
      </c>
      <c r="K927" s="9">
        <f>IFERROR(__xludf.DUMMYFUNCTION("GOOGLEFINANCE(A927, ""low52"")"),1021.3)</f>
        <v>1021.3</v>
      </c>
      <c r="L927" s="9">
        <f t="shared" si="1"/>
        <v>0.02435530086</v>
      </c>
      <c r="M927" s="9">
        <f t="shared" si="2"/>
        <v>0.6669930481</v>
      </c>
      <c r="N927" s="9">
        <f t="shared" si="3"/>
        <v>0.04631907362</v>
      </c>
      <c r="O927" s="9">
        <f t="shared" si="4"/>
        <v>0.9043869516</v>
      </c>
      <c r="P927" s="9">
        <f>IFERROR(__xludf.DUMMYFUNCTION("GOOGLEFINANCE(A927, ""pe"")"),1064.06)</f>
        <v>1064.06</v>
      </c>
      <c r="Q927" s="9">
        <f>IFERROR(__xludf.DUMMYFUNCTION("IFERROR(GOOGLEFINANCE(A927, ""volume"") / GOOGLEFINANCE(A927, ""volumeavg""), 0)"),0.0)</f>
        <v>0</v>
      </c>
      <c r="R927" s="9">
        <f>IFERROR(__xludf.DUMMYFUNCTION("AVERAGE(INDEX(GOOGLEFINANCE(A927, ""price"", TODAY()-30, TODAY()), 0, 2))"),1424.821739130435)</f>
        <v>1424.821739</v>
      </c>
      <c r="S927" s="9">
        <f>IFERROR(__xludf.DUMMYFUNCTION("AVERAGE(INDEX(GOOGLEFINANCE(A927, ""price"", TODAY()-75, TODAY()), 0, 2))"),1388.879245283019)</f>
        <v>1388.879245</v>
      </c>
      <c r="T927" s="9">
        <f>IFERROR(__xludf.DUMMYFUNCTION("AVERAGE(INDEX(GOOGLEFINANCE(A927, ""price"", TODAY()-300, TODAY()), 0, 2))"),1370.456774193548)</f>
        <v>1370.456774</v>
      </c>
      <c r="U927" s="9">
        <f t="shared" si="5"/>
        <v>0.1948863168</v>
      </c>
      <c r="V927" s="15">
        <f>IFERROR(__xludf.DUMMYFUNCTION("LET(hist, GOOGLEFINANCE(A927,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rs))))))"),92.28991596638659)</f>
        <v>92.28991597</v>
      </c>
      <c r="W927" s="16" t="str">
        <f>IFERROR(__xludf.DUMMYFUNCTION("IFERROR(GOOGLEFINANCE(A927, ""volume"") / GOOGLEFINANCE(A927, ""volumeavg""), )"),"")</f>
        <v/>
      </c>
      <c r="X927" s="9">
        <f>IFERROR(__xludf.DUMMYFUNCTION("B927 * GOOGLEFINANCE(A927, ""volume"")"),7.7487585E7)</f>
        <v>77487585</v>
      </c>
      <c r="Y927" s="9">
        <f>IFERROR(__xludf.DUMMYFUNCTION("IFERROR(((B927 - GOOGLEFINANCE(A927, ""priceopen"")) / GOOGLEFINANCE(A927, ""priceopen"")) * GOOGLEFINANCE(A927, ""volume""), 0)"),336.64201183431953)</f>
        <v>336.6420118</v>
      </c>
    </row>
    <row r="928">
      <c r="A928" s="4" t="s">
        <v>2721</v>
      </c>
      <c r="B928" s="7">
        <f>IFERROR(__xludf.DUMMYFUNCTION("GOOGLEFINANCE(A928, ""price"")"),627.0)</f>
        <v>627</v>
      </c>
      <c r="C928" s="7">
        <f>IFERROR(__xludf.DUMMYFUNCTION("GOOGLEFINANCE(A928, ""changepct"")"),0.81)</f>
        <v>0.81</v>
      </c>
      <c r="D928" s="9">
        <f>IFERROR(__xludf.DUMMYFUNCTION("GOOGLEFINANCE(A928, ""priceopen"")"),621.95)</f>
        <v>621.95</v>
      </c>
      <c r="E928" s="9">
        <f>IFERROR(__xludf.DUMMYFUNCTION("GOOGLEFINANCE(A928, ""high"")"),644.85)</f>
        <v>644.85</v>
      </c>
      <c r="F928" s="9">
        <f>IFERROR(__xludf.DUMMYFUNCTION("GOOGLEFINANCE(A928, ""low"")"),619.0)</f>
        <v>619</v>
      </c>
      <c r="G928" s="9">
        <f>IFERROR(__xludf.DUMMYFUNCTION("GOOGLEFINANCE(A928, ""price"")"),627.0)</f>
        <v>627</v>
      </c>
      <c r="H928" s="9">
        <f>IFERROR(__xludf.DUMMYFUNCTION("MAX(INDEX(GOOGLEFINANCE(A928, ""high"", TODAY()-30, TODAY()), 0, 2))"),679.8)</f>
        <v>679.8</v>
      </c>
      <c r="I928" s="9">
        <f>IFERROR(__xludf.DUMMYFUNCTION("MIN(INDEX(GOOGLEFINANCE(A928, ""low"", TODAY()-30, TODAY()), 0, 2))"),575.0)</f>
        <v>575</v>
      </c>
      <c r="J928" s="9">
        <f>IFERROR(__xludf.DUMMYFUNCTION("GOOGLEFINANCE(A928, ""high52"")"),763.2)</f>
        <v>763.2</v>
      </c>
      <c r="K928" s="9">
        <f>IFERROR(__xludf.DUMMYFUNCTION("GOOGLEFINANCE(A928, ""low52"")"),405.2)</f>
        <v>405.2</v>
      </c>
      <c r="L928" s="9">
        <f t="shared" si="1"/>
        <v>0.1784591195</v>
      </c>
      <c r="M928" s="9">
        <f t="shared" si="2"/>
        <v>0.5473840079</v>
      </c>
      <c r="N928" s="9">
        <f t="shared" si="3"/>
        <v>0.04176090468</v>
      </c>
      <c r="O928" s="9">
        <f t="shared" si="4"/>
        <v>0.4961832061</v>
      </c>
      <c r="P928" s="9">
        <f>IFERROR(__xludf.DUMMYFUNCTION("GOOGLEFINANCE(A928, ""pe"")"),19.0)</f>
        <v>19</v>
      </c>
      <c r="Q928" s="9">
        <f>IFERROR(__xludf.DUMMYFUNCTION("IFERROR(GOOGLEFINANCE(A928, ""volume"") / GOOGLEFINANCE(A928, ""volumeavg""), 0)"),0.0)</f>
        <v>0</v>
      </c>
      <c r="R928" s="9">
        <f>IFERROR(__xludf.DUMMYFUNCTION("AVERAGE(INDEX(GOOGLEFINANCE(A928, ""price"", TODAY()-30, TODAY()), 0, 2))"),621.8847826086957)</f>
        <v>621.8847826</v>
      </c>
      <c r="S928" s="9">
        <f>IFERROR(__xludf.DUMMYFUNCTION("AVERAGE(INDEX(GOOGLEFINANCE(A928, ""price"", TODAY()-75, TODAY()), 0, 2))"),664.1792452830188)</f>
        <v>664.1792453</v>
      </c>
      <c r="T928" s="9">
        <f>IFERROR(__xludf.DUMMYFUNCTION("AVERAGE(INDEX(GOOGLEFINANCE(A928, ""price"", TODAY()-300, TODAY()), 0, 2))"),561.8321782178217)</f>
        <v>561.8321782</v>
      </c>
      <c r="U928" s="9">
        <f t="shared" si="5"/>
        <v>0.008225345811</v>
      </c>
      <c r="V928" s="15">
        <f>IFERROR(__xludf.DUMMYFUNCTION("LET(hist, GOOGLEFINANCE(A928,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rs))))))"),62.37864077669903)</f>
        <v>62.37864078</v>
      </c>
      <c r="W928" s="16" t="str">
        <f>IFERROR(__xludf.DUMMYFUNCTION("IFERROR(GOOGLEFINANCE(A928, ""volume"") / GOOGLEFINANCE(A928, ""volumeavg""), )"),"")</f>
        <v/>
      </c>
      <c r="X928" s="9">
        <f>IFERROR(__xludf.DUMMYFUNCTION("B928 * GOOGLEFINANCE(A928, ""volume"")"),1.53722844E8)</f>
        <v>153722844</v>
      </c>
      <c r="Y928" s="9">
        <f>IFERROR(__xludf.DUMMYFUNCTION("IFERROR(((B928 - GOOGLEFINANCE(A928, ""priceopen"")) / GOOGLEFINANCE(A928, ""priceopen"")) * GOOGLEFINANCE(A928, ""volume""), 0)"),1990.704397459585)</f>
        <v>1990.704397</v>
      </c>
    </row>
    <row r="929">
      <c r="A929" s="4" t="s">
        <v>2722</v>
      </c>
      <c r="B929" s="7">
        <f>IFERROR(__xludf.DUMMYFUNCTION("GOOGLEFINANCE(A929, ""price"")"),279.15)</f>
        <v>279.15</v>
      </c>
      <c r="C929" s="7">
        <f>IFERROR(__xludf.DUMMYFUNCTION("GOOGLEFINANCE(A929, ""changepct"")"),-2.6)</f>
        <v>-2.6</v>
      </c>
      <c r="D929" s="9">
        <f>IFERROR(__xludf.DUMMYFUNCTION("GOOGLEFINANCE(A929, ""priceopen"")"),284.5)</f>
        <v>284.5</v>
      </c>
      <c r="E929" s="9">
        <f>IFERROR(__xludf.DUMMYFUNCTION("GOOGLEFINANCE(A929, ""high"")"),286.3)</f>
        <v>286.3</v>
      </c>
      <c r="F929" s="9">
        <f>IFERROR(__xludf.DUMMYFUNCTION("GOOGLEFINANCE(A929, ""low"")"),279.1)</f>
        <v>279.1</v>
      </c>
      <c r="G929" s="9">
        <f>IFERROR(__xludf.DUMMYFUNCTION("GOOGLEFINANCE(A929, ""price"")"),279.15)</f>
        <v>279.15</v>
      </c>
      <c r="H929" s="9">
        <f>IFERROR(__xludf.DUMMYFUNCTION("MAX(INDEX(GOOGLEFINANCE(A929, ""high"", TODAY()-30, TODAY()), 0, 2))"),316.9)</f>
        <v>316.9</v>
      </c>
      <c r="I929" s="9">
        <f>IFERROR(__xludf.DUMMYFUNCTION("MIN(INDEX(GOOGLEFINANCE(A929, ""low"", TODAY()-30, TODAY()), 0, 2))"),255.1)</f>
        <v>255.1</v>
      </c>
      <c r="J929" s="9">
        <f>IFERROR(__xludf.DUMMYFUNCTION("GOOGLEFINANCE(A929, ""high52"")"),316.9)</f>
        <v>316.9</v>
      </c>
      <c r="K929" s="9">
        <f>IFERROR(__xludf.DUMMYFUNCTION("GOOGLEFINANCE(A929, ""low52"")"),170.6)</f>
        <v>170.6</v>
      </c>
      <c r="L929" s="9">
        <f t="shared" si="1"/>
        <v>0.1191227517</v>
      </c>
      <c r="M929" s="9">
        <f t="shared" si="2"/>
        <v>0.6362837046</v>
      </c>
      <c r="N929" s="9">
        <f t="shared" si="3"/>
        <v>0.0257972053</v>
      </c>
      <c r="O929" s="9">
        <f t="shared" si="4"/>
        <v>0.3891585761</v>
      </c>
      <c r="P929" s="9">
        <f>IFERROR(__xludf.DUMMYFUNCTION("GOOGLEFINANCE(A929, ""pe"")"),131.56)</f>
        <v>131.56</v>
      </c>
      <c r="Q929" s="9">
        <f>IFERROR(__xludf.DUMMYFUNCTION("IFERROR(GOOGLEFINANCE(A929, ""volume"") / GOOGLEFINANCE(A929, ""volumeavg""), 0)"),0.0)</f>
        <v>0</v>
      </c>
      <c r="R929" s="9">
        <f>IFERROR(__xludf.DUMMYFUNCTION("AVERAGE(INDEX(GOOGLEFINANCE(A929, ""price"", TODAY()-30, TODAY()), 0, 2))"),277.0847826086957)</f>
        <v>277.0847826</v>
      </c>
      <c r="S929" s="9">
        <f>IFERROR(__xludf.DUMMYFUNCTION("AVERAGE(INDEX(GOOGLEFINANCE(A929, ""price"", TODAY()-75, TODAY()), 0, 2))"),272.9073584905661)</f>
        <v>272.9073585</v>
      </c>
      <c r="T929" s="9">
        <f>IFERROR(__xludf.DUMMYFUNCTION("AVERAGE(INDEX(GOOGLEFINANCE(A929, ""price"", TODAY()-300, TODAY()), 0, 2))"),239.6930198019802)</f>
        <v>239.6930198</v>
      </c>
      <c r="U929" s="9">
        <f t="shared" si="5"/>
        <v>0.007453377164</v>
      </c>
      <c r="V929" s="15">
        <f>IFERROR(__xludf.DUMMYFUNCTION("LET(hist, GOOGLEFINANCE(A929,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rs))))))"),63.320941759603464)</f>
        <v>63.32094176</v>
      </c>
      <c r="W929" s="16" t="str">
        <f>IFERROR(__xludf.DUMMYFUNCTION("IFERROR(GOOGLEFINANCE(A929, ""volume"") / GOOGLEFINANCE(A929, ""volumeavg""), )"),"")</f>
        <v/>
      </c>
      <c r="X929" s="9">
        <f>IFERROR(__xludf.DUMMYFUNCTION("B929 * GOOGLEFINANCE(A929, ""volume"")"),1.13580552E7)</f>
        <v>11358055.2</v>
      </c>
      <c r="Y929" s="9">
        <f>IFERROR(__xludf.DUMMYFUNCTION("IFERROR(((B929 - GOOGLEFINANCE(A929, ""priceopen"")) / GOOGLEFINANCE(A929, ""priceopen"")) * GOOGLEFINANCE(A929, ""volume""), 0)"),-765.1346221441157)</f>
        <v>-765.1346221</v>
      </c>
    </row>
    <row r="930">
      <c r="A930" s="4" t="s">
        <v>2723</v>
      </c>
      <c r="B930" s="7">
        <f>IFERROR(__xludf.DUMMYFUNCTION("GOOGLEFINANCE(A930, ""price"")"),24.46)</f>
        <v>24.46</v>
      </c>
      <c r="C930" s="7">
        <f>IFERROR(__xludf.DUMMYFUNCTION("GOOGLEFINANCE(A930, ""changepct"")"),0.04)</f>
        <v>0.04</v>
      </c>
      <c r="D930" s="9">
        <f>IFERROR(__xludf.DUMMYFUNCTION("GOOGLEFINANCE(A930, ""priceopen"")"),24.2)</f>
        <v>24.2</v>
      </c>
      <c r="E930" s="9">
        <f>IFERROR(__xludf.DUMMYFUNCTION("GOOGLEFINANCE(A930, ""high"")"),24.5)</f>
        <v>24.5</v>
      </c>
      <c r="F930" s="9">
        <f>IFERROR(__xludf.DUMMYFUNCTION("GOOGLEFINANCE(A930, ""low"")"),24.03)</f>
        <v>24.03</v>
      </c>
      <c r="G930" s="9">
        <f>IFERROR(__xludf.DUMMYFUNCTION("GOOGLEFINANCE(A930, ""price"")"),24.46)</f>
        <v>24.46</v>
      </c>
      <c r="H930" s="9">
        <f>IFERROR(__xludf.DUMMYFUNCTION("MAX(INDEX(GOOGLEFINANCE(A930, ""high"", TODAY()-30, TODAY()), 0, 2))"),27.95)</f>
        <v>27.95</v>
      </c>
      <c r="I930" s="9">
        <f>IFERROR(__xludf.DUMMYFUNCTION("MIN(INDEX(GOOGLEFINANCE(A930, ""low"", TODAY()-30, TODAY()), 0, 2))"),23.0)</f>
        <v>23</v>
      </c>
      <c r="J930" s="9">
        <f>IFERROR(__xludf.DUMMYFUNCTION("GOOGLEFINANCE(A930, ""high52"")"),32.74)</f>
        <v>32.74</v>
      </c>
      <c r="K930" s="9">
        <f>IFERROR(__xludf.DUMMYFUNCTION("GOOGLEFINANCE(A930, ""low52"")"),17.64)</f>
        <v>17.64</v>
      </c>
      <c r="L930" s="9">
        <f t="shared" si="1"/>
        <v>0.2529016494</v>
      </c>
      <c r="M930" s="9">
        <f t="shared" si="2"/>
        <v>0.3866213152</v>
      </c>
      <c r="N930" s="9">
        <f t="shared" si="3"/>
        <v>0.01955888473</v>
      </c>
      <c r="O930" s="9">
        <f t="shared" si="4"/>
        <v>0.2949494949</v>
      </c>
      <c r="P930" s="9">
        <f>IFERROR(__xludf.DUMMYFUNCTION("GOOGLEFINANCE(A930, ""pe"")"),90.59)</f>
        <v>90.59</v>
      </c>
      <c r="Q930" s="9">
        <f>IFERROR(__xludf.DUMMYFUNCTION("IFERROR(GOOGLEFINANCE(A930, ""volume"") / GOOGLEFINANCE(A930, ""volumeavg""), 0)"),0.0)</f>
        <v>0</v>
      </c>
      <c r="R930" s="9">
        <f>IFERROR(__xludf.DUMMYFUNCTION("AVERAGE(INDEX(GOOGLEFINANCE(A930, ""price"", TODAY()-30, TODAY()), 0, 2))"),24.761739130434787)</f>
        <v>24.76173913</v>
      </c>
      <c r="S930" s="9">
        <f>IFERROR(__xludf.DUMMYFUNCTION("AVERAGE(INDEX(GOOGLEFINANCE(A930, ""price"", TODAY()-75, TODAY()), 0, 2))"),25.214528301886798)</f>
        <v>25.2145283</v>
      </c>
      <c r="T930" s="9">
        <f>IFERROR(__xludf.DUMMYFUNCTION("AVERAGE(INDEX(GOOGLEFINANCE(A930, ""price"", TODAY()-300, TODAY()), 0, 2))"),23.618069306930686)</f>
        <v>23.61806931</v>
      </c>
      <c r="U930" s="9">
        <f t="shared" si="5"/>
        <v>-0.01218570024</v>
      </c>
      <c r="V930" s="15">
        <f>IFERROR(__xludf.DUMMYFUNCTION("LET(hist, GOOGLEFINANCE(A930,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rs))))))"),41.68865435356201)</f>
        <v>41.68865435</v>
      </c>
      <c r="W930" s="16" t="str">
        <f>IFERROR(__xludf.DUMMYFUNCTION("IFERROR(GOOGLEFINANCE(A930, ""volume"") / GOOGLEFINANCE(A930, ""volumeavg""), )"),"")</f>
        <v/>
      </c>
      <c r="X930" s="9">
        <f>IFERROR(__xludf.DUMMYFUNCTION("B930 * GOOGLEFINANCE(A930, ""volume"")"),1.660660334E7)</f>
        <v>16606603.34</v>
      </c>
      <c r="Y930" s="9">
        <f>IFERROR(__xludf.DUMMYFUNCTION("IFERROR(((B930 - GOOGLEFINANCE(A930, ""priceopen"")) / GOOGLEFINANCE(A930, ""priceopen"")) * GOOGLEFINANCE(A930, ""volume""), 0)"),7294.278512396738)</f>
        <v>7294.278512</v>
      </c>
    </row>
    <row r="931">
      <c r="A931" s="4" t="s">
        <v>2724</v>
      </c>
      <c r="B931" s="7">
        <f>IFERROR(__xludf.DUMMYFUNCTION("GOOGLEFINANCE(A931, ""price"")"),218.69)</f>
        <v>218.69</v>
      </c>
      <c r="C931" s="7">
        <f>IFERROR(__xludf.DUMMYFUNCTION("GOOGLEFINANCE(A931, ""changepct"")"),-0.12)</f>
        <v>-0.12</v>
      </c>
      <c r="D931" s="9">
        <f>IFERROR(__xludf.DUMMYFUNCTION("GOOGLEFINANCE(A931, ""priceopen"")"),218.96)</f>
        <v>218.96</v>
      </c>
      <c r="E931" s="9">
        <f>IFERROR(__xludf.DUMMYFUNCTION("GOOGLEFINANCE(A931, ""high"")"),219.46)</f>
        <v>219.46</v>
      </c>
      <c r="F931" s="9">
        <f>IFERROR(__xludf.DUMMYFUNCTION("GOOGLEFINANCE(A931, ""low"")"),217.8)</f>
        <v>217.8</v>
      </c>
      <c r="G931" s="9">
        <f>IFERROR(__xludf.DUMMYFUNCTION("GOOGLEFINANCE(A931, ""price"")"),218.69)</f>
        <v>218.69</v>
      </c>
      <c r="H931" s="9">
        <f>IFERROR(__xludf.DUMMYFUNCTION("MAX(INDEX(GOOGLEFINANCE(A931, ""high"", TODAY()-30, TODAY()), 0, 2))"),245.45)</f>
        <v>245.45</v>
      </c>
      <c r="I931" s="9">
        <f>IFERROR(__xludf.DUMMYFUNCTION("MIN(INDEX(GOOGLEFINANCE(A931, ""low"", TODAY()-30, TODAY()), 0, 2))"),215.0)</f>
        <v>215</v>
      </c>
      <c r="J931" s="9">
        <f>IFERROR(__xludf.DUMMYFUNCTION("GOOGLEFINANCE(A931, ""high52"")"),286.78)</f>
        <v>286.78</v>
      </c>
      <c r="K931" s="9">
        <f>IFERROR(__xludf.DUMMYFUNCTION("GOOGLEFINANCE(A931, ""low52"")"),200.0)</f>
        <v>200</v>
      </c>
      <c r="L931" s="9">
        <f t="shared" si="1"/>
        <v>0.2374293884</v>
      </c>
      <c r="M931" s="9">
        <f t="shared" si="2"/>
        <v>0.09345</v>
      </c>
      <c r="N931" s="9">
        <f t="shared" si="3"/>
        <v>0.007621671258</v>
      </c>
      <c r="O931" s="9">
        <f t="shared" si="4"/>
        <v>0.121182266</v>
      </c>
      <c r="P931" s="9">
        <f>IFERROR(__xludf.DUMMYFUNCTION("GOOGLEFINANCE(A931, ""pe"")"),13.33)</f>
        <v>13.33</v>
      </c>
      <c r="Q931" s="9">
        <f>IFERROR(__xludf.DUMMYFUNCTION("IFERROR(GOOGLEFINANCE(A931, ""volume"") / GOOGLEFINANCE(A931, ""volumeavg""), 0)"),0.0)</f>
        <v>0</v>
      </c>
      <c r="R931" s="9">
        <f>IFERROR(__xludf.DUMMYFUNCTION("AVERAGE(INDEX(GOOGLEFINANCE(A931, ""price"", TODAY()-30, TODAY()), 0, 2))"),226.90043478260873)</f>
        <v>226.9004348</v>
      </c>
      <c r="S931" s="9">
        <f>IFERROR(__xludf.DUMMYFUNCTION("AVERAGE(INDEX(GOOGLEFINANCE(A931, ""price"", TODAY()-75, TODAY()), 0, 2))"),245.46905660377362)</f>
        <v>245.4690566</v>
      </c>
      <c r="T931" s="9">
        <f>IFERROR(__xludf.DUMMYFUNCTION("AVERAGE(INDEX(GOOGLEFINANCE(A931, ""price"", TODAY()-300, TODAY()), 0, 2))"),244.70485148514857)</f>
        <v>244.7048515</v>
      </c>
      <c r="U931" s="9">
        <f t="shared" si="5"/>
        <v>-0.03618518753</v>
      </c>
      <c r="V931" s="15">
        <f>IFERROR(__xludf.DUMMYFUNCTION("LET(hist, GOOGLEFINANCE(A931,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rs))))))"),34.91915422885569)</f>
        <v>34.91915423</v>
      </c>
      <c r="W931" s="16" t="str">
        <f>IFERROR(__xludf.DUMMYFUNCTION("IFERROR(GOOGLEFINANCE(A931, ""volume"") / GOOGLEFINANCE(A931, ""volumeavg""), )"),"")</f>
        <v/>
      </c>
      <c r="X931" s="9">
        <f>IFERROR(__xludf.DUMMYFUNCTION("B931 * GOOGLEFINANCE(A931, ""volume"")"),2.9773112669999998E7)</f>
        <v>29773112.67</v>
      </c>
      <c r="Y931" s="9">
        <f>IFERROR(__xludf.DUMMYFUNCTION("IFERROR(((B931 - GOOGLEFINANCE(A931, ""priceopen"")) / GOOGLEFINANCE(A931, ""priceopen"")) * GOOGLEFINANCE(A931, ""volume""), 0)"),-167.87819693095264)</f>
        <v>-167.8781969</v>
      </c>
    </row>
    <row r="932">
      <c r="A932" s="4" t="s">
        <v>2725</v>
      </c>
      <c r="B932" s="7">
        <f>IFERROR(__xludf.DUMMYFUNCTION("GOOGLEFINANCE(A932, ""price"")"),616.9)</f>
        <v>616.9</v>
      </c>
      <c r="C932" s="7">
        <f>IFERROR(__xludf.DUMMYFUNCTION("GOOGLEFINANCE(A932, ""changepct"")"),3.32)</f>
        <v>3.32</v>
      </c>
      <c r="D932" s="9">
        <f>IFERROR(__xludf.DUMMYFUNCTION("GOOGLEFINANCE(A932, ""priceopen"")"),602.05)</f>
        <v>602.05</v>
      </c>
      <c r="E932" s="9">
        <f>IFERROR(__xludf.DUMMYFUNCTION("GOOGLEFINANCE(A932, ""high"")"),645.0)</f>
        <v>645</v>
      </c>
      <c r="F932" s="9">
        <f>IFERROR(__xludf.DUMMYFUNCTION("GOOGLEFINANCE(A932, ""low"")"),574.0)</f>
        <v>574</v>
      </c>
      <c r="G932" s="9">
        <f>IFERROR(__xludf.DUMMYFUNCTION("GOOGLEFINANCE(A932, ""price"")"),616.9)</f>
        <v>616.9</v>
      </c>
      <c r="H932" s="9">
        <f>IFERROR(__xludf.DUMMYFUNCTION("MAX(INDEX(GOOGLEFINANCE(A932, ""high"", TODAY()-30, TODAY()), 0, 2))"),645.0)</f>
        <v>645</v>
      </c>
      <c r="I932" s="9">
        <f>IFERROR(__xludf.DUMMYFUNCTION("MIN(INDEX(GOOGLEFINANCE(A932, ""low"", TODAY()-30, TODAY()), 0, 2))"),509.0)</f>
        <v>509</v>
      </c>
      <c r="J932" s="9">
        <f>IFERROR(__xludf.DUMMYFUNCTION("GOOGLEFINANCE(A932, ""high52"")"),645.0)</f>
        <v>645</v>
      </c>
      <c r="K932" s="9">
        <f>IFERROR(__xludf.DUMMYFUNCTION("GOOGLEFINANCE(A932, ""low52"")"),375.0)</f>
        <v>375</v>
      </c>
      <c r="L932" s="9">
        <f t="shared" si="1"/>
        <v>0.04356589147</v>
      </c>
      <c r="M932" s="9">
        <f t="shared" si="2"/>
        <v>0.6450666667</v>
      </c>
      <c r="N932" s="9">
        <f t="shared" si="3"/>
        <v>0.1236933798</v>
      </c>
      <c r="O932" s="9">
        <f t="shared" si="4"/>
        <v>0.7933823529</v>
      </c>
      <c r="P932" s="9">
        <f>IFERROR(__xludf.DUMMYFUNCTION("GOOGLEFINANCE(A932, ""pe"")"),27.06)</f>
        <v>27.06</v>
      </c>
      <c r="Q932" s="9">
        <f>IFERROR(__xludf.DUMMYFUNCTION("IFERROR(GOOGLEFINANCE(A932, ""volume"") / GOOGLEFINANCE(A932, ""volumeavg""), 0)"),0.0)</f>
        <v>0</v>
      </c>
      <c r="R932" s="9">
        <f>IFERROR(__xludf.DUMMYFUNCTION("AVERAGE(INDEX(GOOGLEFINANCE(A932, ""price"", TODAY()-30, TODAY()), 0, 2))"),562.1043478260871)</f>
        <v>562.1043478</v>
      </c>
      <c r="S932" s="9">
        <f>IFERROR(__xludf.DUMMYFUNCTION("AVERAGE(INDEX(GOOGLEFINANCE(A932, ""price"", TODAY()-75, TODAY()), 0, 2))"),535.4575471698114)</f>
        <v>535.4575472</v>
      </c>
      <c r="T932" s="9">
        <f>IFERROR(__xludf.DUMMYFUNCTION("AVERAGE(INDEX(GOOGLEFINANCE(A932, ""price"", TODAY()-300, TODAY()), 0, 2))"),462.0660891089108)</f>
        <v>462.0660891</v>
      </c>
      <c r="U932" s="9">
        <f t="shared" si="5"/>
        <v>0.09748306055</v>
      </c>
      <c r="V932" s="15">
        <f>IFERROR(__xludf.DUMMYFUNCTION("LET(hist, GOOGLEFINANCE(A932,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rs))))))"),72.2862129144851)</f>
        <v>72.28621291</v>
      </c>
      <c r="W932" s="16" t="str">
        <f>IFERROR(__xludf.DUMMYFUNCTION("IFERROR(GOOGLEFINANCE(A932, ""volume"") / GOOGLEFINANCE(A932, ""volumeavg""), )"),"")</f>
        <v/>
      </c>
      <c r="X932" s="9">
        <f>IFERROR(__xludf.DUMMYFUNCTION("B932 * GOOGLEFINANCE(A932, ""volume"")"),1.792989005E9)</f>
        <v>1792989005</v>
      </c>
      <c r="Y932" s="9">
        <f>IFERROR(__xludf.DUMMYFUNCTION("IFERROR(((B932 - GOOGLEFINANCE(A932, ""priceopen"")) / GOOGLEFINANCE(A932, ""priceopen"")) * GOOGLEFINANCE(A932, ""volume""), 0)"),71689.69769952673)</f>
        <v>71689.6977</v>
      </c>
    </row>
    <row r="933">
      <c r="A933" s="4" t="s">
        <v>2726</v>
      </c>
      <c r="B933" s="7">
        <f>IFERROR(__xludf.DUMMYFUNCTION("GOOGLEFINANCE(A933, ""price"")"),301.2)</f>
        <v>301.2</v>
      </c>
      <c r="C933" s="7">
        <f>IFERROR(__xludf.DUMMYFUNCTION("GOOGLEFINANCE(A933, ""changepct"")"),-1.68)</f>
        <v>-1.68</v>
      </c>
      <c r="D933" s="9">
        <f>IFERROR(__xludf.DUMMYFUNCTION("GOOGLEFINANCE(A933, ""priceopen"")"),305.25)</f>
        <v>305.25</v>
      </c>
      <c r="E933" s="9">
        <f>IFERROR(__xludf.DUMMYFUNCTION("GOOGLEFINANCE(A933, ""high"")"),307.95)</f>
        <v>307.95</v>
      </c>
      <c r="F933" s="9">
        <f>IFERROR(__xludf.DUMMYFUNCTION("GOOGLEFINANCE(A933, ""low"")"),299.4)</f>
        <v>299.4</v>
      </c>
      <c r="G933" s="9">
        <f>IFERROR(__xludf.DUMMYFUNCTION("GOOGLEFINANCE(A933, ""price"")"),301.2)</f>
        <v>301.2</v>
      </c>
      <c r="H933" s="9">
        <f>IFERROR(__xludf.DUMMYFUNCTION("MAX(INDEX(GOOGLEFINANCE(A933, ""high"", TODAY()-30, TODAY()), 0, 2))"),413.8)</f>
        <v>413.8</v>
      </c>
      <c r="I933" s="9">
        <f>IFERROR(__xludf.DUMMYFUNCTION("MIN(INDEX(GOOGLEFINANCE(A933, ""low"", TODAY()-30, TODAY()), 0, 2))"),297.15)</f>
        <v>297.15</v>
      </c>
      <c r="J933" s="9">
        <f>IFERROR(__xludf.DUMMYFUNCTION("GOOGLEFINANCE(A933, ""high52"")"),888.4)</f>
        <v>888.4</v>
      </c>
      <c r="K933" s="9">
        <f>IFERROR(__xludf.DUMMYFUNCTION("GOOGLEFINANCE(A933, ""low52"")"),283.1)</f>
        <v>283.1</v>
      </c>
      <c r="L933" s="9">
        <f t="shared" si="1"/>
        <v>0.6609635299</v>
      </c>
      <c r="M933" s="9">
        <f t="shared" si="2"/>
        <v>0.0639350053</v>
      </c>
      <c r="N933" s="9">
        <f t="shared" si="3"/>
        <v>0.02855711423</v>
      </c>
      <c r="O933" s="9">
        <f t="shared" si="4"/>
        <v>0.03471924561</v>
      </c>
      <c r="P933" s="9">
        <f>IFERROR(__xludf.DUMMYFUNCTION("GOOGLEFINANCE(A933, ""pe"")"),10.02)</f>
        <v>10.02</v>
      </c>
      <c r="Q933" s="9">
        <f>IFERROR(__xludf.DUMMYFUNCTION("IFERROR(GOOGLEFINANCE(A933, ""volume"") / GOOGLEFINANCE(A933, ""volumeavg""), 0)"),0.0)</f>
        <v>0</v>
      </c>
      <c r="R933" s="9">
        <f>IFERROR(__xludf.DUMMYFUNCTION("AVERAGE(INDEX(GOOGLEFINANCE(A933, ""price"", TODAY()-30, TODAY()), 0, 2))"),352.1586956521739)</f>
        <v>352.1586957</v>
      </c>
      <c r="S933" s="9">
        <f>IFERROR(__xludf.DUMMYFUNCTION("AVERAGE(INDEX(GOOGLEFINANCE(A933, ""price"", TODAY()-75, TODAY()), 0, 2))"),383.62547169811324)</f>
        <v>383.6254717</v>
      </c>
      <c r="T933" s="9">
        <f>IFERROR(__xludf.DUMMYFUNCTION("AVERAGE(INDEX(GOOGLEFINANCE(A933, ""price"", TODAY()-300, TODAY()), 0, 2))"),439.4735148514852)</f>
        <v>439.4735149</v>
      </c>
      <c r="U933" s="9">
        <f t="shared" si="5"/>
        <v>-0.1447037835</v>
      </c>
      <c r="V933" s="15">
        <f>IFERROR(__xludf.DUMMYFUNCTION("LET(hist, GOOGLEFINANCE(A933,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rs))))))"),29.055555555555557)</f>
        <v>29.05555556</v>
      </c>
      <c r="W933" s="16" t="str">
        <f>IFERROR(__xludf.DUMMYFUNCTION("IFERROR(GOOGLEFINANCE(A933, ""volume"") / GOOGLEFINANCE(A933, ""volumeavg""), )"),"")</f>
        <v/>
      </c>
      <c r="X933" s="9">
        <f>IFERROR(__xludf.DUMMYFUNCTION("B933 * GOOGLEFINANCE(A933, ""volume"")"),1.2808891439999999E8)</f>
        <v>128088914.4</v>
      </c>
      <c r="Y933" s="9">
        <f>IFERROR(__xludf.DUMMYFUNCTION("IFERROR(((B933 - GOOGLEFINANCE(A933, ""priceopen"")) / GOOGLEFINANCE(A933, ""priceopen"")) * GOOGLEFINANCE(A933, ""volume""), 0)"),-5642.296805896822)</f>
        <v>-5642.296806</v>
      </c>
    </row>
    <row r="934">
      <c r="A934" s="4" t="s">
        <v>2727</v>
      </c>
      <c r="B934" s="7">
        <f>IFERROR(__xludf.DUMMYFUNCTION("GOOGLEFINANCE(A934, ""price"")"),1214.9)</f>
        <v>1214.9</v>
      </c>
      <c r="C934" s="7">
        <f>IFERROR(__xludf.DUMMYFUNCTION("GOOGLEFINANCE(A934, ""changepct"")"),-2.71)</f>
        <v>-2.71</v>
      </c>
      <c r="D934" s="9">
        <f>IFERROR(__xludf.DUMMYFUNCTION("GOOGLEFINANCE(A934, ""priceopen"")"),1252.0)</f>
        <v>1252</v>
      </c>
      <c r="E934" s="9">
        <f>IFERROR(__xludf.DUMMYFUNCTION("GOOGLEFINANCE(A934, ""high"")"),1253.1)</f>
        <v>1253.1</v>
      </c>
      <c r="F934" s="9">
        <f>IFERROR(__xludf.DUMMYFUNCTION("GOOGLEFINANCE(A934, ""low"")"),1200.0)</f>
        <v>1200</v>
      </c>
      <c r="G934" s="9">
        <f>IFERROR(__xludf.DUMMYFUNCTION("GOOGLEFINANCE(A934, ""price"")"),1214.9)</f>
        <v>1214.9</v>
      </c>
      <c r="H934" s="9">
        <f>IFERROR(__xludf.DUMMYFUNCTION("MAX(INDEX(GOOGLEFINANCE(A934, ""high"", TODAY()-30, TODAY()), 0, 2))"),1324.8)</f>
        <v>1324.8</v>
      </c>
      <c r="I934" s="9">
        <f>IFERROR(__xludf.DUMMYFUNCTION("MIN(INDEX(GOOGLEFINANCE(A934, ""low"", TODAY()-30, TODAY()), 0, 2))"),1200.0)</f>
        <v>1200</v>
      </c>
      <c r="J934" s="9">
        <f>IFERROR(__xludf.DUMMYFUNCTION("GOOGLEFINANCE(A934, ""high52"")"),1823.35)</f>
        <v>1823.35</v>
      </c>
      <c r="K934" s="9">
        <f>IFERROR(__xludf.DUMMYFUNCTION("GOOGLEFINANCE(A934, ""low52"")"),824.05)</f>
        <v>824.05</v>
      </c>
      <c r="L934" s="9">
        <f t="shared" si="1"/>
        <v>0.3336989607</v>
      </c>
      <c r="M934" s="9">
        <f t="shared" si="2"/>
        <v>0.4743037437</v>
      </c>
      <c r="N934" s="9">
        <f t="shared" si="3"/>
        <v>0.04425</v>
      </c>
      <c r="O934" s="9">
        <f t="shared" si="4"/>
        <v>0.1193910256</v>
      </c>
      <c r="P934" s="9">
        <f>IFERROR(__xludf.DUMMYFUNCTION("GOOGLEFINANCE(A934, ""pe"")"),35.19)</f>
        <v>35.19</v>
      </c>
      <c r="Q934" s="9">
        <f>IFERROR(__xludf.DUMMYFUNCTION("IFERROR(GOOGLEFINANCE(A934, ""volume"") / GOOGLEFINANCE(A934, ""volumeavg""), 0)"),0.0)</f>
        <v>0</v>
      </c>
      <c r="R934" s="9">
        <f>IFERROR(__xludf.DUMMYFUNCTION("AVERAGE(INDEX(GOOGLEFINANCE(A934, ""price"", TODAY()-30, TODAY()), 0, 2))"),1259.2043478260873)</f>
        <v>1259.204348</v>
      </c>
      <c r="S934" s="9">
        <f>IFERROR(__xludf.DUMMYFUNCTION("AVERAGE(INDEX(GOOGLEFINANCE(A934, ""price"", TODAY()-75, TODAY()), 0, 2))"),1272.7264150943392)</f>
        <v>1272.726415</v>
      </c>
      <c r="T934" s="9">
        <f>IFERROR(__xludf.DUMMYFUNCTION("AVERAGE(INDEX(GOOGLEFINANCE(A934, ""price"", TODAY()-300, TODAY()), 0, 2))"),1177.3133663366339)</f>
        <v>1177.313366</v>
      </c>
      <c r="U934" s="9">
        <f t="shared" si="5"/>
        <v>-0.03518439871</v>
      </c>
      <c r="V934" s="15">
        <f>IFERROR(__xludf.DUMMYFUNCTION("LET(hist, GOOGLEFINANCE(A934,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rs))))))"),45.20844612885765)</f>
        <v>45.20844613</v>
      </c>
      <c r="W934" s="16" t="str">
        <f>IFERROR(__xludf.DUMMYFUNCTION("IFERROR(GOOGLEFINANCE(A934, ""volume"") / GOOGLEFINANCE(A934, ""volumeavg""), )"),"")</f>
        <v/>
      </c>
      <c r="X934" s="9">
        <f>IFERROR(__xludf.DUMMYFUNCTION("B934 * GOOGLEFINANCE(A934, ""volume"")"),4.6179563900000006E7)</f>
        <v>46179563.9</v>
      </c>
      <c r="Y934" s="9">
        <f>IFERROR(__xludf.DUMMYFUNCTION("IFERROR(((B934 - GOOGLEFINANCE(A934, ""priceopen"")) / GOOGLEFINANCE(A934, ""priceopen"")) * GOOGLEFINANCE(A934, ""volume""), 0)"),-1126.364297124598)</f>
        <v>-1126.364297</v>
      </c>
    </row>
    <row r="935">
      <c r="A935" s="4" t="s">
        <v>2728</v>
      </c>
      <c r="B935" s="7">
        <f>IFERROR(__xludf.DUMMYFUNCTION("GOOGLEFINANCE(A935, ""price"")"),173.0)</f>
        <v>173</v>
      </c>
      <c r="C935" s="7">
        <f>IFERROR(__xludf.DUMMYFUNCTION("GOOGLEFINANCE(A935, ""changepct"")"),-2.42)</f>
        <v>-2.42</v>
      </c>
      <c r="D935" s="9">
        <f>IFERROR(__xludf.DUMMYFUNCTION("GOOGLEFINANCE(A935, ""priceopen"")"),177.21)</f>
        <v>177.21</v>
      </c>
      <c r="E935" s="9">
        <f>IFERROR(__xludf.DUMMYFUNCTION("GOOGLEFINANCE(A935, ""high"")"),177.29)</f>
        <v>177.29</v>
      </c>
      <c r="F935" s="9">
        <f>IFERROR(__xludf.DUMMYFUNCTION("GOOGLEFINANCE(A935, ""low"")"),170.01)</f>
        <v>170.01</v>
      </c>
      <c r="G935" s="9">
        <f>IFERROR(__xludf.DUMMYFUNCTION("GOOGLEFINANCE(A935, ""price"")"),173.0)</f>
        <v>173</v>
      </c>
      <c r="H935" s="9">
        <f>IFERROR(__xludf.DUMMYFUNCTION("MAX(INDEX(GOOGLEFINANCE(A935, ""high"", TODAY()-30, TODAY()), 0, 2))"),180.0)</f>
        <v>180</v>
      </c>
      <c r="I935" s="9">
        <f>IFERROR(__xludf.DUMMYFUNCTION("MIN(INDEX(GOOGLEFINANCE(A935, ""low"", TODAY()-30, TODAY()), 0, 2))"),134.55)</f>
        <v>134.55</v>
      </c>
      <c r="J935" s="9">
        <f>IFERROR(__xludf.DUMMYFUNCTION("GOOGLEFINANCE(A935, ""high52"")"),180.0)</f>
        <v>180</v>
      </c>
      <c r="K935" s="9">
        <f>IFERROR(__xludf.DUMMYFUNCTION("GOOGLEFINANCE(A935, ""low52"")"),99.79)</f>
        <v>99.79</v>
      </c>
      <c r="L935" s="9">
        <f t="shared" si="1"/>
        <v>0.03888888889</v>
      </c>
      <c r="M935" s="9">
        <f t="shared" si="2"/>
        <v>0.7336406454</v>
      </c>
      <c r="N935" s="9">
        <f t="shared" si="3"/>
        <v>0.04282101053</v>
      </c>
      <c r="O935" s="9">
        <f t="shared" si="4"/>
        <v>0.8459845985</v>
      </c>
      <c r="P935" s="9">
        <f>IFERROR(__xludf.DUMMYFUNCTION("GOOGLEFINANCE(A935, ""pe"")"),41.91)</f>
        <v>41.91</v>
      </c>
      <c r="Q935" s="9">
        <f>IFERROR(__xludf.DUMMYFUNCTION("IFERROR(GOOGLEFINANCE(A935, ""volume"") / GOOGLEFINANCE(A935, ""volumeavg""), 0)"),0.0)</f>
        <v>0</v>
      </c>
      <c r="R935" s="9">
        <f>IFERROR(__xludf.DUMMYFUNCTION("AVERAGE(INDEX(GOOGLEFINANCE(A935, ""price"", TODAY()-30, TODAY()), 0, 2))"),148.44956521739132)</f>
        <v>148.4495652</v>
      </c>
      <c r="S935" s="9">
        <f>IFERROR(__xludf.DUMMYFUNCTION("AVERAGE(INDEX(GOOGLEFINANCE(A935, ""price"", TODAY()-75, TODAY()), 0, 2))"),144.83245283018874)</f>
        <v>144.8324528</v>
      </c>
      <c r="T935" s="9">
        <f>IFERROR(__xludf.DUMMYFUNCTION("AVERAGE(INDEX(GOOGLEFINANCE(A935, ""price"", TODAY()-300, TODAY()), 0, 2))"),131.99801980198015)</f>
        <v>131.9980198</v>
      </c>
      <c r="U935" s="9">
        <f t="shared" si="5"/>
        <v>0.1653789605</v>
      </c>
      <c r="V935" s="15">
        <f>IFERROR(__xludf.DUMMYFUNCTION("LET(hist, GOOGLEFINANCE(A935,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rs))))))"),82.33812949640284)</f>
        <v>82.3381295</v>
      </c>
      <c r="W935" s="16" t="str">
        <f>IFERROR(__xludf.DUMMYFUNCTION("IFERROR(GOOGLEFINANCE(A935, ""volume"") / GOOGLEFINANCE(A935, ""volumeavg""), )"),"")</f>
        <v/>
      </c>
      <c r="X935" s="9">
        <f>IFERROR(__xludf.DUMMYFUNCTION("B935 * GOOGLEFINANCE(A935, ""volume"")"),2.484168761E9)</f>
        <v>2484168761</v>
      </c>
      <c r="Y935" s="9">
        <f>IFERROR(__xludf.DUMMYFUNCTION("IFERROR(((B935 - GOOGLEFINANCE(A935, ""priceopen"")) / GOOGLEFINANCE(A935, ""priceopen"")) * GOOGLEFINANCE(A935, ""volume""), 0)"),-341137.02934371715)</f>
        <v>-341137.0293</v>
      </c>
    </row>
    <row r="936">
      <c r="A936" s="4" t="s">
        <v>2729</v>
      </c>
      <c r="B936" s="7">
        <f>IFERROR(__xludf.DUMMYFUNCTION("GOOGLEFINANCE(A936, ""price"")"),189.0)</f>
        <v>189</v>
      </c>
      <c r="C936" s="7">
        <f>IFERROR(__xludf.DUMMYFUNCTION("GOOGLEFINANCE(A936, ""changepct"")"),-0.88)</f>
        <v>-0.88</v>
      </c>
      <c r="D936" s="9">
        <f>IFERROR(__xludf.DUMMYFUNCTION("GOOGLEFINANCE(A936, ""priceopen"")"),191.5)</f>
        <v>191.5</v>
      </c>
      <c r="E936" s="9">
        <f>IFERROR(__xludf.DUMMYFUNCTION("GOOGLEFINANCE(A936, ""high"")"),191.68)</f>
        <v>191.68</v>
      </c>
      <c r="F936" s="9">
        <f>IFERROR(__xludf.DUMMYFUNCTION("GOOGLEFINANCE(A936, ""low"")"),188.0)</f>
        <v>188</v>
      </c>
      <c r="G936" s="9">
        <f>IFERROR(__xludf.DUMMYFUNCTION("GOOGLEFINANCE(A936, ""price"")"),189.0)</f>
        <v>189</v>
      </c>
      <c r="H936" s="9">
        <f>IFERROR(__xludf.DUMMYFUNCTION("MAX(INDEX(GOOGLEFINANCE(A936, ""high"", TODAY()-30, TODAY()), 0, 2))"),194.0)</f>
        <v>194</v>
      </c>
      <c r="I936" s="9">
        <f>IFERROR(__xludf.DUMMYFUNCTION("MIN(INDEX(GOOGLEFINANCE(A936, ""low"", TODAY()-30, TODAY()), 0, 2))"),168.7)</f>
        <v>168.7</v>
      </c>
      <c r="J936" s="9">
        <f>IFERROR(__xludf.DUMMYFUNCTION("GOOGLEFINANCE(A936, ""high52"")"),219.0)</f>
        <v>219</v>
      </c>
      <c r="K936" s="9">
        <f>IFERROR(__xludf.DUMMYFUNCTION("GOOGLEFINANCE(A936, ""low52"")"),149.05)</f>
        <v>149.05</v>
      </c>
      <c r="L936" s="9">
        <f t="shared" si="1"/>
        <v>0.1369863014</v>
      </c>
      <c r="M936" s="9">
        <f t="shared" si="2"/>
        <v>0.2680308621</v>
      </c>
      <c r="N936" s="9">
        <f t="shared" si="3"/>
        <v>0.01957446809</v>
      </c>
      <c r="O936" s="9">
        <f t="shared" si="4"/>
        <v>0.8023715415</v>
      </c>
      <c r="P936" s="9">
        <f>IFERROR(__xludf.DUMMYFUNCTION("GOOGLEFINANCE(A936, ""pe"")"),36.59)</f>
        <v>36.59</v>
      </c>
      <c r="Q936" s="9">
        <f>IFERROR(__xludf.DUMMYFUNCTION("IFERROR(GOOGLEFINANCE(A936, ""volume"") / GOOGLEFINANCE(A936, ""volumeavg""), 0)"),0.0)</f>
        <v>0</v>
      </c>
      <c r="R936" s="9">
        <f>IFERROR(__xludf.DUMMYFUNCTION("AVERAGE(INDEX(GOOGLEFINANCE(A936, ""price"", TODAY()-30, TODAY()), 0, 2))"),177.05260869565217)</f>
        <v>177.0526087</v>
      </c>
      <c r="S936" s="9">
        <f>IFERROR(__xludf.DUMMYFUNCTION("AVERAGE(INDEX(GOOGLEFINANCE(A936, ""price"", TODAY()-75, TODAY()), 0, 2))"),177.80188679245288)</f>
        <v>177.8018868</v>
      </c>
      <c r="T936" s="9">
        <f>IFERROR(__xludf.DUMMYFUNCTION("AVERAGE(INDEX(GOOGLEFINANCE(A936, ""price"", TODAY()-300, TODAY()), 0, 2))"),180.94326732673278)</f>
        <v>180.9432673</v>
      </c>
      <c r="U936" s="9">
        <f t="shared" si="5"/>
        <v>0.06747932941</v>
      </c>
      <c r="V936" s="15">
        <f>IFERROR(__xludf.DUMMYFUNCTION("LET(hist, GOOGLEFINANCE(A936,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rs))))))"),72.856298048492)</f>
        <v>72.85629805</v>
      </c>
      <c r="W936" s="16" t="str">
        <f>IFERROR(__xludf.DUMMYFUNCTION("IFERROR(GOOGLEFINANCE(A936, ""volume"") / GOOGLEFINANCE(A936, ""volumeavg""), )"),"")</f>
        <v/>
      </c>
      <c r="X936" s="9">
        <f>IFERROR(__xludf.DUMMYFUNCTION("B936 * GOOGLEFINANCE(A936, ""volume"")"),4.477221E7)</f>
        <v>44772210</v>
      </c>
      <c r="Y936" s="9">
        <f>IFERROR(__xludf.DUMMYFUNCTION("IFERROR(((B936 - GOOGLEFINANCE(A936, ""priceopen"")) / GOOGLEFINANCE(A936, ""priceopen"")) * GOOGLEFINANCE(A936, ""volume""), 0)"),-3092.558746736292)</f>
        <v>-3092.558747</v>
      </c>
    </row>
    <row r="937">
      <c r="A937" s="4" t="s">
        <v>2730</v>
      </c>
      <c r="B937" s="7">
        <f>IFERROR(__xludf.DUMMYFUNCTION("GOOGLEFINANCE(A937, ""price"")"),211.5)</f>
        <v>211.5</v>
      </c>
      <c r="C937" s="7">
        <f>IFERROR(__xludf.DUMMYFUNCTION("GOOGLEFINANCE(A937, ""changepct"")"),-0.17)</f>
        <v>-0.17</v>
      </c>
      <c r="D937" s="9">
        <f>IFERROR(__xludf.DUMMYFUNCTION("GOOGLEFINANCE(A937, ""priceopen"")"),212.5)</f>
        <v>212.5</v>
      </c>
      <c r="E937" s="9">
        <f>IFERROR(__xludf.DUMMYFUNCTION("GOOGLEFINANCE(A937, ""high"")"),215.43)</f>
        <v>215.43</v>
      </c>
      <c r="F937" s="9">
        <f>IFERROR(__xludf.DUMMYFUNCTION("GOOGLEFINANCE(A937, ""low"")"),209.37)</f>
        <v>209.37</v>
      </c>
      <c r="G937" s="9">
        <f>IFERROR(__xludf.DUMMYFUNCTION("GOOGLEFINANCE(A937, ""price"")"),211.5)</f>
        <v>211.5</v>
      </c>
      <c r="H937" s="9">
        <f>IFERROR(__xludf.DUMMYFUNCTION("MAX(INDEX(GOOGLEFINANCE(A937, ""high"", TODAY()-30, TODAY()), 0, 2))"),224.2)</f>
        <v>224.2</v>
      </c>
      <c r="I937" s="9">
        <f>IFERROR(__xludf.DUMMYFUNCTION("MIN(INDEX(GOOGLEFINANCE(A937, ""low"", TODAY()-30, TODAY()), 0, 2))"),196.25)</f>
        <v>196.25</v>
      </c>
      <c r="J937" s="9">
        <f>IFERROR(__xludf.DUMMYFUNCTION("GOOGLEFINANCE(A937, ""high52"")"),287.9)</f>
        <v>287.9</v>
      </c>
      <c r="K937" s="9">
        <f>IFERROR(__xludf.DUMMYFUNCTION("GOOGLEFINANCE(A937, ""low52"")"),184.51)</f>
        <v>184.51</v>
      </c>
      <c r="L937" s="9">
        <f t="shared" si="1"/>
        <v>0.2653699201</v>
      </c>
      <c r="M937" s="9">
        <f t="shared" si="2"/>
        <v>0.1462793345</v>
      </c>
      <c r="N937" s="9">
        <f t="shared" si="3"/>
        <v>0.02894397478</v>
      </c>
      <c r="O937" s="9">
        <f t="shared" si="4"/>
        <v>0.5456171735</v>
      </c>
      <c r="P937" s="9">
        <f>IFERROR(__xludf.DUMMYFUNCTION("GOOGLEFINANCE(A937, ""pe"")"),10.72)</f>
        <v>10.72</v>
      </c>
      <c r="Q937" s="9">
        <f>IFERROR(__xludf.DUMMYFUNCTION("IFERROR(GOOGLEFINANCE(A937, ""volume"") / GOOGLEFINANCE(A937, ""volumeavg""), 0)"),0.0)</f>
        <v>0</v>
      </c>
      <c r="R937" s="9">
        <f>IFERROR(__xludf.DUMMYFUNCTION("AVERAGE(INDEX(GOOGLEFINANCE(A937, ""price"", TODAY()-30, TODAY()), 0, 2))"),210.35304347826087)</f>
        <v>210.3530435</v>
      </c>
      <c r="S937" s="9">
        <f>IFERROR(__xludf.DUMMYFUNCTION("AVERAGE(INDEX(GOOGLEFINANCE(A937, ""price"", TODAY()-75, TODAY()), 0, 2))"),205.2377358490567)</f>
        <v>205.2377358</v>
      </c>
      <c r="T937" s="9">
        <f>IFERROR(__xludf.DUMMYFUNCTION("AVERAGE(INDEX(GOOGLEFINANCE(A937, ""price"", TODAY()-300, TODAY()), 0, 2))"),227.50905940594066)</f>
        <v>227.5090594</v>
      </c>
      <c r="U937" s="9">
        <f t="shared" si="5"/>
        <v>0.005452531148</v>
      </c>
      <c r="V937" s="15">
        <f>IFERROR(__xludf.DUMMYFUNCTION("LET(hist, GOOGLEFINANCE(A937,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rs))))))"),69.38174681059847)</f>
        <v>69.38174681</v>
      </c>
      <c r="W937" s="16" t="str">
        <f>IFERROR(__xludf.DUMMYFUNCTION("IFERROR(GOOGLEFINANCE(A937, ""volume"") / GOOGLEFINANCE(A937, ""volumeavg""), )"),"")</f>
        <v/>
      </c>
      <c r="X937" s="9">
        <f>IFERROR(__xludf.DUMMYFUNCTION("B937 * GOOGLEFINANCE(A937, ""volume"")"),2.46251565E7)</f>
        <v>24625156.5</v>
      </c>
      <c r="Y937" s="9">
        <f>IFERROR(__xludf.DUMMYFUNCTION("IFERROR(((B937 - GOOGLEFINANCE(A937, ""priceopen"")) / GOOGLEFINANCE(A937, ""priceopen"")) * GOOGLEFINANCE(A937, ""volume""), 0)"),-547.9105882352941)</f>
        <v>-547.9105882</v>
      </c>
    </row>
    <row r="938">
      <c r="A938" s="4" t="s">
        <v>2731</v>
      </c>
      <c r="B938" s="7">
        <f>IFERROR(__xludf.DUMMYFUNCTION("GOOGLEFINANCE(A938, ""price"")"),1520.1)</f>
        <v>1520.1</v>
      </c>
      <c r="C938" s="7">
        <f>IFERROR(__xludf.DUMMYFUNCTION("GOOGLEFINANCE(A938, ""changepct"")"),-1.75)</f>
        <v>-1.75</v>
      </c>
      <c r="D938" s="9">
        <f>IFERROR(__xludf.DUMMYFUNCTION("GOOGLEFINANCE(A938, ""priceopen"")"),1561.2)</f>
        <v>1561.2</v>
      </c>
      <c r="E938" s="9">
        <f>IFERROR(__xludf.DUMMYFUNCTION("GOOGLEFINANCE(A938, ""high"")"),1562.1)</f>
        <v>1562.1</v>
      </c>
      <c r="F938" s="9">
        <f>IFERROR(__xludf.DUMMYFUNCTION("GOOGLEFINANCE(A938, ""low"")"),1489.1)</f>
        <v>1489.1</v>
      </c>
      <c r="G938" s="9">
        <f>IFERROR(__xludf.DUMMYFUNCTION("GOOGLEFINANCE(A938, ""price"")"),1520.1)</f>
        <v>1520.1</v>
      </c>
      <c r="H938" s="9">
        <f>IFERROR(__xludf.DUMMYFUNCTION("MAX(INDEX(GOOGLEFINANCE(A938, ""high"", TODAY()-30, TODAY()), 0, 2))"),1562.1)</f>
        <v>1562.1</v>
      </c>
      <c r="I938" s="9">
        <f>IFERROR(__xludf.DUMMYFUNCTION("MIN(INDEX(GOOGLEFINANCE(A938, ""low"", TODAY()-30, TODAY()), 0, 2))"),1323.6)</f>
        <v>1323.6</v>
      </c>
      <c r="J938" s="9">
        <f>IFERROR(__xludf.DUMMYFUNCTION("GOOGLEFINANCE(A938, ""high52"")"),1709.2)</f>
        <v>1709.2</v>
      </c>
      <c r="K938" s="9">
        <f>IFERROR(__xludf.DUMMYFUNCTION("GOOGLEFINANCE(A938, ""low52"")"),771.75)</f>
        <v>771.75</v>
      </c>
      <c r="L938" s="9">
        <f t="shared" si="1"/>
        <v>0.1106365551</v>
      </c>
      <c r="M938" s="9">
        <f t="shared" si="2"/>
        <v>0.9696793003</v>
      </c>
      <c r="N938" s="9">
        <f t="shared" si="3"/>
        <v>0.04902289974</v>
      </c>
      <c r="O938" s="9">
        <f t="shared" si="4"/>
        <v>0.8238993711</v>
      </c>
      <c r="P938" s="9">
        <f>IFERROR(__xludf.DUMMYFUNCTION("GOOGLEFINANCE(A938, ""pe"")"),15.37)</f>
        <v>15.37</v>
      </c>
      <c r="Q938" s="9">
        <f>IFERROR(__xludf.DUMMYFUNCTION("IFERROR(GOOGLEFINANCE(A938, ""volume"") / GOOGLEFINANCE(A938, ""volumeavg""), 0)"),0.0)</f>
        <v>0</v>
      </c>
      <c r="R938" s="9">
        <f>IFERROR(__xludf.DUMMYFUNCTION("AVERAGE(INDEX(GOOGLEFINANCE(A938, ""price"", TODAY()-30, TODAY()), 0, 2))"),1445.6304347826087)</f>
        <v>1445.630435</v>
      </c>
      <c r="S938" s="9">
        <f>IFERROR(__xludf.DUMMYFUNCTION("AVERAGE(INDEX(GOOGLEFINANCE(A938, ""price"", TODAY()-75, TODAY()), 0, 2))"),1476.209433962264)</f>
        <v>1476.209434</v>
      </c>
      <c r="T938" s="9">
        <f>IFERROR(__xludf.DUMMYFUNCTION("AVERAGE(INDEX(GOOGLEFINANCE(A938, ""price"", TODAY()-300, TODAY()), 0, 2))"),1285.8297029702971)</f>
        <v>1285.829703</v>
      </c>
      <c r="U938" s="9">
        <f t="shared" si="5"/>
        <v>0.05151355659</v>
      </c>
      <c r="V938" s="15">
        <f>IFERROR(__xludf.DUMMYFUNCTION("LET(hist, GOOGLEFINANCE(A938,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rs))))))"),74.41860465116278)</f>
        <v>74.41860465</v>
      </c>
      <c r="W938" s="16" t="str">
        <f>IFERROR(__xludf.DUMMYFUNCTION("IFERROR(GOOGLEFINANCE(A938, ""volume"") / GOOGLEFINANCE(A938, ""volumeavg""), )"),"")</f>
        <v/>
      </c>
      <c r="X938" s="9">
        <f>IFERROR(__xludf.DUMMYFUNCTION("B938 * GOOGLEFINANCE(A938, ""volume"")"),9.169912044E8)</f>
        <v>916991204.4</v>
      </c>
      <c r="Y938" s="9">
        <f>IFERROR(__xludf.DUMMYFUNCTION("IFERROR(((B938 - GOOGLEFINANCE(A938, ""priceopen"")) / GOOGLEFINANCE(A938, ""priceopen"")) * GOOGLEFINANCE(A938, ""volume""), 0)"),-15880.943120676455)</f>
        <v>-15880.94312</v>
      </c>
    </row>
    <row r="939">
      <c r="A939" s="4" t="s">
        <v>2732</v>
      </c>
      <c r="B939" s="7">
        <f>IFERROR(__xludf.DUMMYFUNCTION("GOOGLEFINANCE(A939, ""price"")"),2283.6)</f>
        <v>2283.6</v>
      </c>
      <c r="C939" s="7">
        <f>IFERROR(__xludf.DUMMYFUNCTION("GOOGLEFINANCE(A939, ""changepct"")"),-5.0)</f>
        <v>-5</v>
      </c>
      <c r="D939" s="9">
        <f>IFERROR(__xludf.DUMMYFUNCTION("GOOGLEFINANCE(A939, ""priceopen"")"),2283.6)</f>
        <v>2283.6</v>
      </c>
      <c r="E939" s="9">
        <f>IFERROR(__xludf.DUMMYFUNCTION("GOOGLEFINANCE(A939, ""high"")"),2332.1)</f>
        <v>2332.1</v>
      </c>
      <c r="F939" s="9">
        <f>IFERROR(__xludf.DUMMYFUNCTION("GOOGLEFINANCE(A939, ""low"")"),2283.6)</f>
        <v>2283.6</v>
      </c>
      <c r="G939" s="9">
        <f>IFERROR(__xludf.DUMMYFUNCTION("GOOGLEFINANCE(A939, ""price"")"),2283.6)</f>
        <v>2283.6</v>
      </c>
      <c r="H939" s="9">
        <f>IFERROR(__xludf.DUMMYFUNCTION("MAX(INDEX(GOOGLEFINANCE(A939, ""high"", TODAY()-30, TODAY()), 0, 2))"),2637.2)</f>
        <v>2637.2</v>
      </c>
      <c r="I939" s="9">
        <f>IFERROR(__xludf.DUMMYFUNCTION("MIN(INDEX(GOOGLEFINANCE(A939, ""low"", TODAY()-30, TODAY()), 0, 2))"),1882.7)</f>
        <v>1882.7</v>
      </c>
      <c r="J939" s="9">
        <f>IFERROR(__xludf.DUMMYFUNCTION("GOOGLEFINANCE(A939, ""high52"")"),2637.2)</f>
        <v>2637.2</v>
      </c>
      <c r="K939" s="9">
        <f>IFERROR(__xludf.DUMMYFUNCTION("GOOGLEFINANCE(A939, ""low52"")"),1050.0)</f>
        <v>1050</v>
      </c>
      <c r="L939" s="9">
        <f t="shared" si="1"/>
        <v>0.1340816017</v>
      </c>
      <c r="M939" s="9">
        <f t="shared" si="2"/>
        <v>1.174857143</v>
      </c>
      <c r="N939" s="9">
        <f t="shared" si="3"/>
        <v>0.02123839552</v>
      </c>
      <c r="O939" s="9">
        <f t="shared" si="4"/>
        <v>0.5313452618</v>
      </c>
      <c r="P939" s="9">
        <f>IFERROR(__xludf.DUMMYFUNCTION("GOOGLEFINANCE(A939, ""pe"")"),80.61)</f>
        <v>80.61</v>
      </c>
      <c r="Q939" s="9">
        <f>IFERROR(__xludf.DUMMYFUNCTION("IFERROR(GOOGLEFINANCE(A939, ""volume"") / GOOGLEFINANCE(A939, ""volumeavg""), 0)"),0.0)</f>
        <v>0</v>
      </c>
      <c r="R939" s="9">
        <f>IFERROR(__xludf.DUMMYFUNCTION("AVERAGE(INDEX(GOOGLEFINANCE(A939, ""price"", TODAY()-30, TODAY()), 0, 2))"),2279.586956521738)</f>
        <v>2279.586957</v>
      </c>
      <c r="S939" s="9">
        <f>IFERROR(__xludf.DUMMYFUNCTION("AVERAGE(INDEX(GOOGLEFINANCE(A939, ""price"", TODAY()-75, TODAY()), 0, 2))"),1971.2339622641514)</f>
        <v>1971.233962</v>
      </c>
      <c r="T939" s="9">
        <f>IFERROR(__xludf.DUMMYFUNCTION("AVERAGE(INDEX(GOOGLEFINANCE(A939, ""price"", TODAY()-300, TODAY()), 0, 2))"),1472.680693069307)</f>
        <v>1472.680693</v>
      </c>
      <c r="U939" s="9">
        <f t="shared" si="5"/>
        <v>0.001760425706</v>
      </c>
      <c r="V939" s="15">
        <f>IFERROR(__xludf.DUMMYFUNCTION("LET(hist, GOOGLEFINANCE(A939,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rs))))))"),48.017731682837066)</f>
        <v>48.01773168</v>
      </c>
      <c r="W939" s="16" t="str">
        <f>IFERROR(__xludf.DUMMYFUNCTION("IFERROR(GOOGLEFINANCE(A939, ""volume"") / GOOGLEFINANCE(A939, ""volumeavg""), )"),"")</f>
        <v/>
      </c>
      <c r="X939" s="9">
        <f>IFERROR(__xludf.DUMMYFUNCTION("B939 * GOOGLEFINANCE(A939, ""volume"")"),1.33293732E7)</f>
        <v>13329373.2</v>
      </c>
      <c r="Y939" s="9">
        <f>IFERROR(__xludf.DUMMYFUNCTION("IFERROR(((B939 - GOOGLEFINANCE(A939, ""priceopen"")) / GOOGLEFINANCE(A939, ""priceopen"")) * GOOGLEFINANCE(A939, ""volume""), 0)"),0.0)</f>
        <v>0</v>
      </c>
    </row>
    <row r="940">
      <c r="A940" s="4" t="s">
        <v>2733</v>
      </c>
      <c r="B940" s="7">
        <f>IFERROR(__xludf.DUMMYFUNCTION("GOOGLEFINANCE(A940, ""price"")"),323.8)</f>
        <v>323.8</v>
      </c>
      <c r="C940" s="7">
        <f>IFERROR(__xludf.DUMMYFUNCTION("GOOGLEFINANCE(A940, ""changepct"")"),9.99)</f>
        <v>9.99</v>
      </c>
      <c r="D940" s="9">
        <f>IFERROR(__xludf.DUMMYFUNCTION("GOOGLEFINANCE(A940, ""priceopen"")"),295.0)</f>
        <v>295</v>
      </c>
      <c r="E940" s="9">
        <f>IFERROR(__xludf.DUMMYFUNCTION("GOOGLEFINANCE(A940, ""high"")"),323.8)</f>
        <v>323.8</v>
      </c>
      <c r="F940" s="9">
        <f>IFERROR(__xludf.DUMMYFUNCTION("GOOGLEFINANCE(A940, ""low"")"),286.7)</f>
        <v>286.7</v>
      </c>
      <c r="G940" s="9">
        <f>IFERROR(__xludf.DUMMYFUNCTION("GOOGLEFINANCE(A940, ""price"")"),323.8)</f>
        <v>323.8</v>
      </c>
      <c r="H940" s="9">
        <f>IFERROR(__xludf.DUMMYFUNCTION("MAX(INDEX(GOOGLEFINANCE(A940, ""high"", TODAY()-30, TODAY()), 0, 2))"),323.8)</f>
        <v>323.8</v>
      </c>
      <c r="I940" s="9">
        <f>IFERROR(__xludf.DUMMYFUNCTION("MIN(INDEX(GOOGLEFINANCE(A940, ""low"", TODAY()-30, TODAY()), 0, 2))"),254.0)</f>
        <v>254</v>
      </c>
      <c r="J940" s="9">
        <f>IFERROR(__xludf.DUMMYFUNCTION("GOOGLEFINANCE(A940, ""high52"")"),559.8)</f>
        <v>559.8</v>
      </c>
      <c r="K940" s="9">
        <f>IFERROR(__xludf.DUMMYFUNCTION("GOOGLEFINANCE(A940, ""low52"")"),175.0)</f>
        <v>175</v>
      </c>
      <c r="L940" s="9">
        <f t="shared" si="1"/>
        <v>0.4215791354</v>
      </c>
      <c r="M940" s="9">
        <f t="shared" si="2"/>
        <v>0.8502857143</v>
      </c>
      <c r="N940" s="9">
        <f t="shared" si="3"/>
        <v>0.1294035577</v>
      </c>
      <c r="O940" s="9">
        <f t="shared" si="4"/>
        <v>1</v>
      </c>
      <c r="P940" s="9">
        <f>IFERROR(__xludf.DUMMYFUNCTION("GOOGLEFINANCE(A940, ""pe"")"),42.94)</f>
        <v>42.94</v>
      </c>
      <c r="Q940" s="9">
        <f>IFERROR(__xludf.DUMMYFUNCTION("IFERROR(GOOGLEFINANCE(A940, ""volume"") / GOOGLEFINANCE(A940, ""volumeavg""), 0)"),0.0)</f>
        <v>0</v>
      </c>
      <c r="R940" s="9">
        <f>IFERROR(__xludf.DUMMYFUNCTION("AVERAGE(INDEX(GOOGLEFINANCE(A940, ""price"", TODAY()-30, TODAY()), 0, 2))"),285.2913043478261)</f>
        <v>285.2913043</v>
      </c>
      <c r="S940" s="9">
        <f>IFERROR(__xludf.DUMMYFUNCTION("AVERAGE(INDEX(GOOGLEFINANCE(A940, ""price"", TODAY()-75, TODAY()), 0, 2))"),275.6707547169812)</f>
        <v>275.6707547</v>
      </c>
      <c r="T940" s="9">
        <f>IFERROR(__xludf.DUMMYFUNCTION("AVERAGE(INDEX(GOOGLEFINANCE(A940, ""price"", TODAY()-300, TODAY()), 0, 2))"),297.1404455445544)</f>
        <v>297.1404455</v>
      </c>
      <c r="U940" s="9">
        <f t="shared" si="5"/>
        <v>0.1349802643</v>
      </c>
      <c r="V940" s="15">
        <f>IFERROR(__xludf.DUMMYFUNCTION("LET(hist, GOOGLEFINANCE(A940,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rs))))))"),72.74529236868187)</f>
        <v>72.74529237</v>
      </c>
      <c r="W940" s="16" t="str">
        <f>IFERROR(__xludf.DUMMYFUNCTION("IFERROR(GOOGLEFINANCE(A940, ""volume"") / GOOGLEFINANCE(A940, ""volumeavg""), )"),"")</f>
        <v/>
      </c>
      <c r="X940" s="9">
        <f>IFERROR(__xludf.DUMMYFUNCTION("B940 * GOOGLEFINANCE(A940, ""volume"")"),1.1048778074E9)</f>
        <v>1104877807</v>
      </c>
      <c r="Y940" s="9">
        <f>IFERROR(__xludf.DUMMYFUNCTION("IFERROR(((B940 - GOOGLEFINANCE(A940, ""priceopen"")) / GOOGLEFINANCE(A940, ""priceopen"")) * GOOGLEFINANCE(A940, ""volume""), 0)"),333125.4996610171)</f>
        <v>333125.4997</v>
      </c>
    </row>
    <row r="941">
      <c r="A941" s="4" t="s">
        <v>2734</v>
      </c>
      <c r="B941" s="7">
        <f>IFERROR(__xludf.DUMMYFUNCTION("GOOGLEFINANCE(A941, ""price"")"),185.2)</f>
        <v>185.2</v>
      </c>
      <c r="C941" s="7">
        <f>IFERROR(__xludf.DUMMYFUNCTION("GOOGLEFINANCE(A941, ""changepct"")"),0.62)</f>
        <v>0.62</v>
      </c>
      <c r="D941" s="9">
        <f>IFERROR(__xludf.DUMMYFUNCTION("GOOGLEFINANCE(A941, ""priceopen"")"),184.05)</f>
        <v>184.05</v>
      </c>
      <c r="E941" s="9">
        <f>IFERROR(__xludf.DUMMYFUNCTION("GOOGLEFINANCE(A941, ""high"")"),188.0)</f>
        <v>188</v>
      </c>
      <c r="F941" s="9">
        <f>IFERROR(__xludf.DUMMYFUNCTION("GOOGLEFINANCE(A941, ""low"")"),176.63)</f>
        <v>176.63</v>
      </c>
      <c r="G941" s="9">
        <f>IFERROR(__xludf.DUMMYFUNCTION("GOOGLEFINANCE(A941, ""price"")"),185.2)</f>
        <v>185.2</v>
      </c>
      <c r="H941" s="9">
        <f>IFERROR(__xludf.DUMMYFUNCTION("MAX(INDEX(GOOGLEFINANCE(A941, ""high"", TODAY()-30, TODAY()), 0, 2))"),191.0)</f>
        <v>191</v>
      </c>
      <c r="I941" s="9">
        <f>IFERROR(__xludf.DUMMYFUNCTION("MIN(INDEX(GOOGLEFINANCE(A941, ""low"", TODAY()-30, TODAY()), 0, 2))"),162.5)</f>
        <v>162.5</v>
      </c>
      <c r="J941" s="9">
        <f>IFERROR(__xludf.DUMMYFUNCTION("GOOGLEFINANCE(A941, ""high52"")"),243.8)</f>
        <v>243.8</v>
      </c>
      <c r="K941" s="9">
        <f>IFERROR(__xludf.DUMMYFUNCTION("GOOGLEFINANCE(A941, ""low52"")"),131.15)</f>
        <v>131.15</v>
      </c>
      <c r="L941" s="9">
        <f t="shared" si="1"/>
        <v>0.2403609516</v>
      </c>
      <c r="M941" s="9">
        <f t="shared" si="2"/>
        <v>0.4121235227</v>
      </c>
      <c r="N941" s="9">
        <f t="shared" si="3"/>
        <v>0.06437185076</v>
      </c>
      <c r="O941" s="9">
        <f t="shared" si="4"/>
        <v>0.7964912281</v>
      </c>
      <c r="P941" s="9" t="str">
        <f>IFERROR(__xludf.DUMMYFUNCTION("GOOGLEFINANCE(A941, ""pe"")"),"#N/A")</f>
        <v>#N/A</v>
      </c>
      <c r="Q941" s="9">
        <f>IFERROR(__xludf.DUMMYFUNCTION("IFERROR(GOOGLEFINANCE(A941, ""volume"") / GOOGLEFINANCE(A941, ""volumeavg""), 0)"),0.0)</f>
        <v>0</v>
      </c>
      <c r="R941" s="9">
        <f>IFERROR(__xludf.DUMMYFUNCTION("AVERAGE(INDEX(GOOGLEFINANCE(A941, ""price"", TODAY()-30, TODAY()), 0, 2))"),175.86391304347825)</f>
        <v>175.863913</v>
      </c>
      <c r="S941" s="9">
        <f>IFERROR(__xludf.DUMMYFUNCTION("AVERAGE(INDEX(GOOGLEFINANCE(A941, ""price"", TODAY()-75, TODAY()), 0, 2))"),169.37660377358495)</f>
        <v>169.3766038</v>
      </c>
      <c r="T941" s="9">
        <f>IFERROR(__xludf.DUMMYFUNCTION("AVERAGE(INDEX(GOOGLEFINANCE(A941, ""price"", TODAY()-300, TODAY()), 0, 2))"),181.15485148514858)</f>
        <v>181.1548515</v>
      </c>
      <c r="U941" s="9">
        <f t="shared" si="5"/>
        <v>0.05308699662</v>
      </c>
      <c r="V941" s="15">
        <f>IFERROR(__xludf.DUMMYFUNCTION("LET(hist, GOOGLEFINANCE(A941,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rs))))))"),54.77880939377389)</f>
        <v>54.77880939</v>
      </c>
      <c r="W941" s="16" t="str">
        <f>IFERROR(__xludf.DUMMYFUNCTION("IFERROR(GOOGLEFINANCE(A941, ""volume"") / GOOGLEFINANCE(A941, ""volumeavg""), )"),"")</f>
        <v/>
      </c>
      <c r="X941" s="9">
        <f>IFERROR(__xludf.DUMMYFUNCTION("B941 * GOOGLEFINANCE(A941, ""volume"")"),6452368.0)</f>
        <v>6452368</v>
      </c>
      <c r="Y941" s="9">
        <f>IFERROR(__xludf.DUMMYFUNCTION("IFERROR(((B941 - GOOGLEFINANCE(A941, ""priceopen"")) / GOOGLEFINANCE(A941, ""priceopen"")) * GOOGLEFINANCE(A941, ""volume""), 0)"),217.69084487910465)</f>
        <v>217.6908449</v>
      </c>
    </row>
    <row r="942">
      <c r="A942" s="4" t="s">
        <v>2735</v>
      </c>
      <c r="B942" s="7">
        <f>IFERROR(__xludf.DUMMYFUNCTION("GOOGLEFINANCE(A942, ""price"")"),347.0)</f>
        <v>347</v>
      </c>
      <c r="C942" s="7">
        <f>IFERROR(__xludf.DUMMYFUNCTION("GOOGLEFINANCE(A942, ""changepct"")"),-0.77)</f>
        <v>-0.77</v>
      </c>
      <c r="D942" s="9">
        <f>IFERROR(__xludf.DUMMYFUNCTION("GOOGLEFINANCE(A942, ""priceopen"")"),349.7)</f>
        <v>349.7</v>
      </c>
      <c r="E942" s="9">
        <f>IFERROR(__xludf.DUMMYFUNCTION("GOOGLEFINANCE(A942, ""high"")"),355.3)</f>
        <v>355.3</v>
      </c>
      <c r="F942" s="9">
        <f>IFERROR(__xludf.DUMMYFUNCTION("GOOGLEFINANCE(A942, ""low"")"),341.0)</f>
        <v>341</v>
      </c>
      <c r="G942" s="9">
        <f>IFERROR(__xludf.DUMMYFUNCTION("GOOGLEFINANCE(A942, ""price"")"),347.0)</f>
        <v>347</v>
      </c>
      <c r="H942" s="9">
        <f>IFERROR(__xludf.DUMMYFUNCTION("MAX(INDEX(GOOGLEFINANCE(A942, ""high"", TODAY()-30, TODAY()), 0, 2))"),363.85)</f>
        <v>363.85</v>
      </c>
      <c r="I942" s="9">
        <f>IFERROR(__xludf.DUMMYFUNCTION("MIN(INDEX(GOOGLEFINANCE(A942, ""low"", TODAY()-30, TODAY()), 0, 2))"),241.0)</f>
        <v>241</v>
      </c>
      <c r="J942" s="9">
        <f>IFERROR(__xludf.DUMMYFUNCTION("GOOGLEFINANCE(A942, ""high52"")"),363.85)</f>
        <v>363.85</v>
      </c>
      <c r="K942" s="9">
        <f>IFERROR(__xludf.DUMMYFUNCTION("GOOGLEFINANCE(A942, ""low52"")"),150.86)</f>
        <v>150.86</v>
      </c>
      <c r="L942" s="9">
        <f t="shared" si="1"/>
        <v>0.0463102927</v>
      </c>
      <c r="M942" s="9">
        <f t="shared" si="2"/>
        <v>1.300145831</v>
      </c>
      <c r="N942" s="9">
        <f t="shared" si="3"/>
        <v>0.04193548387</v>
      </c>
      <c r="O942" s="9">
        <f t="shared" si="4"/>
        <v>0.8628408628</v>
      </c>
      <c r="P942" s="9">
        <f>IFERROR(__xludf.DUMMYFUNCTION("GOOGLEFINANCE(A942, ""pe"")"),82.23)</f>
        <v>82.23</v>
      </c>
      <c r="Q942" s="9">
        <f>IFERROR(__xludf.DUMMYFUNCTION("IFERROR(GOOGLEFINANCE(A942, ""volume"") / GOOGLEFINANCE(A942, ""volumeavg""), 0)"),0.0)</f>
        <v>0</v>
      </c>
      <c r="R942" s="9">
        <f>IFERROR(__xludf.DUMMYFUNCTION("AVERAGE(INDEX(GOOGLEFINANCE(A942, ""price"", TODAY()-30, TODAY()), 0, 2))"),281.5369565217391)</f>
        <v>281.5369565</v>
      </c>
      <c r="S942" s="9">
        <f>IFERROR(__xludf.DUMMYFUNCTION("AVERAGE(INDEX(GOOGLEFINANCE(A942, ""price"", TODAY()-75, TODAY()), 0, 2))"),269.3356603773585)</f>
        <v>269.3356604</v>
      </c>
      <c r="T942" s="9">
        <f>IFERROR(__xludf.DUMMYFUNCTION("AVERAGE(INDEX(GOOGLEFINANCE(A942, ""price"", TODAY()-300, TODAY()), 0, 2))"),224.1020297029703)</f>
        <v>224.1020297</v>
      </c>
      <c r="U942" s="9">
        <f t="shared" si="5"/>
        <v>0.2325202499</v>
      </c>
      <c r="V942" s="15">
        <f>IFERROR(__xludf.DUMMYFUNCTION("LET(hist, GOOGLEFINANCE(A942,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rs))))))"),86.38532110091745)</f>
        <v>86.3853211</v>
      </c>
      <c r="W942" s="16" t="str">
        <f>IFERROR(__xludf.DUMMYFUNCTION("IFERROR(GOOGLEFINANCE(A942, ""volume"") / GOOGLEFINANCE(A942, ""volumeavg""), )"),"")</f>
        <v/>
      </c>
      <c r="X942" s="9">
        <f>IFERROR(__xludf.DUMMYFUNCTION("B942 * GOOGLEFINANCE(A942, ""volume"")"),3.02023942E8)</f>
        <v>302023942</v>
      </c>
      <c r="Y942" s="9">
        <f>IFERROR(__xludf.DUMMYFUNCTION("IFERROR(((B942 - GOOGLEFINANCE(A942, ""priceopen"")) / GOOGLEFINANCE(A942, ""priceopen"")) * GOOGLEFINANCE(A942, ""volume""), 0)"),-6720.166428367143)</f>
        <v>-6720.166428</v>
      </c>
    </row>
    <row r="943">
      <c r="A943" s="4" t="s">
        <v>2736</v>
      </c>
      <c r="B943" s="7">
        <f>IFERROR(__xludf.DUMMYFUNCTION("GOOGLEFINANCE(A943, ""price"")"),400.0)</f>
        <v>400</v>
      </c>
      <c r="C943" s="7">
        <f>IFERROR(__xludf.DUMMYFUNCTION("GOOGLEFINANCE(A943, ""changepct"")"),0.19)</f>
        <v>0.19</v>
      </c>
      <c r="D943" s="9" t="str">
        <f>IFERROR(__xludf.DUMMYFUNCTION("GOOGLEFINANCE(A943, ""priceopen"")"),"#N/A")</f>
        <v>#N/A</v>
      </c>
      <c r="E943" s="9" t="str">
        <f>IFERROR(__xludf.DUMMYFUNCTION("GOOGLEFINANCE(A943, ""high"")"),"#N/A")</f>
        <v>#N/A</v>
      </c>
      <c r="F943" s="9" t="str">
        <f>IFERROR(__xludf.DUMMYFUNCTION("GOOGLEFINANCE(A943, ""low"")"),"#N/A")</f>
        <v>#N/A</v>
      </c>
      <c r="G943" s="9">
        <f>IFERROR(__xludf.DUMMYFUNCTION("GOOGLEFINANCE(A943, ""price"")"),400.0)</f>
        <v>400</v>
      </c>
      <c r="H943" s="9">
        <f>IFERROR(__xludf.DUMMYFUNCTION("MAX(INDEX(GOOGLEFINANCE(A943, ""high"", TODAY()-30, TODAY()), 0, 2))"),410.0)</f>
        <v>410</v>
      </c>
      <c r="I943" s="9">
        <f>IFERROR(__xludf.DUMMYFUNCTION("MIN(INDEX(GOOGLEFINANCE(A943, ""low"", TODAY()-30, TODAY()), 0, 2))"),390.05)</f>
        <v>390.05</v>
      </c>
      <c r="J943" s="9">
        <f>IFERROR(__xludf.DUMMYFUNCTION("GOOGLEFINANCE(A943, ""high52"")"),429.9)</f>
        <v>429.9</v>
      </c>
      <c r="K943" s="9">
        <f>IFERROR(__xludf.DUMMYFUNCTION("GOOGLEFINANCE(A943, ""low52"")"),339.95)</f>
        <v>339.95</v>
      </c>
      <c r="L943" s="9">
        <f t="shared" si="1"/>
        <v>0.06955105839</v>
      </c>
      <c r="M943" s="9">
        <f t="shared" si="2"/>
        <v>0.1766436241</v>
      </c>
      <c r="N943" s="9" t="str">
        <f t="shared" si="3"/>
        <v>#N/A</v>
      </c>
      <c r="O943" s="9">
        <f t="shared" si="4"/>
        <v>0.4987468672</v>
      </c>
      <c r="P943" s="9" t="str">
        <f>IFERROR(__xludf.DUMMYFUNCTION("GOOGLEFINANCE(A943, ""pe"")"),"#N/A")</f>
        <v>#N/A</v>
      </c>
      <c r="Q943" s="9">
        <f>IFERROR(__xludf.DUMMYFUNCTION("IFERROR(GOOGLEFINANCE(A943, ""volume"") / GOOGLEFINANCE(A943, ""volumeavg""), 0)"),0.0)</f>
        <v>0</v>
      </c>
      <c r="R943" s="9">
        <f>IFERROR(__xludf.DUMMYFUNCTION("AVERAGE(INDEX(GOOGLEFINANCE(A943, ""price"", TODAY()-30, TODAY()), 0, 2))"),398.34499999999997)</f>
        <v>398.345</v>
      </c>
      <c r="S943" s="9">
        <f>IFERROR(__xludf.DUMMYFUNCTION("AVERAGE(INDEX(GOOGLEFINANCE(A943, ""price"", TODAY()-75, TODAY()), 0, 2))"),386.9137500000001)</f>
        <v>386.91375</v>
      </c>
      <c r="T943" s="9">
        <f>IFERROR(__xludf.DUMMYFUNCTION("AVERAGE(INDEX(GOOGLEFINANCE(A943, ""price"", TODAY()-300, TODAY()), 0, 2))"),386.3014925373134)</f>
        <v>386.3014925</v>
      </c>
      <c r="U943" s="9">
        <f t="shared" si="5"/>
        <v>0.00415469003</v>
      </c>
      <c r="V943" s="15" t="str">
        <f>IFERROR(__xludf.DUMMYFUNCTION("LET(hist, GOOGLEFINANCE(A943,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rs))))))"),"#N/A")</f>
        <v>#N/A</v>
      </c>
      <c r="W943" s="16">
        <f>IFERROR(__xludf.DUMMYFUNCTION("IFERROR(GOOGLEFINANCE(A943, ""volume"") / GOOGLEFINANCE(A943, ""volumeavg""), )"),0.0)</f>
        <v>0</v>
      </c>
      <c r="X943" s="9">
        <f>IFERROR(__xludf.DUMMYFUNCTION("B943 * GOOGLEFINANCE(A943, ""volume"")"),0.0)</f>
        <v>0</v>
      </c>
      <c r="Y943" s="9">
        <f>IFERROR(__xludf.DUMMYFUNCTION("IFERROR(((B943 - GOOGLEFINANCE(A943, ""priceopen"")) / GOOGLEFINANCE(A943, ""priceopen"")) * GOOGLEFINANCE(A943, ""volume""), 0)"),0.0)</f>
        <v>0</v>
      </c>
    </row>
    <row r="944">
      <c r="A944" s="4" t="s">
        <v>2737</v>
      </c>
      <c r="B944" s="7">
        <f>IFERROR(__xludf.DUMMYFUNCTION("GOOGLEFINANCE(A944, ""price"")"),3539.0)</f>
        <v>3539</v>
      </c>
      <c r="C944" s="7">
        <f>IFERROR(__xludf.DUMMYFUNCTION("GOOGLEFINANCE(A944, ""changepct"")"),-5.0)</f>
        <v>-5</v>
      </c>
      <c r="D944" s="9">
        <f>IFERROR(__xludf.DUMMYFUNCTION("GOOGLEFINANCE(A944, ""priceopen"")"),3670.0)</f>
        <v>3670</v>
      </c>
      <c r="E944" s="9">
        <f>IFERROR(__xludf.DUMMYFUNCTION("GOOGLEFINANCE(A944, ""high"")"),3725.0)</f>
        <v>3725</v>
      </c>
      <c r="F944" s="9">
        <f>IFERROR(__xludf.DUMMYFUNCTION("GOOGLEFINANCE(A944, ""low"")"),3539.0)</f>
        <v>3539</v>
      </c>
      <c r="G944" s="9">
        <f>IFERROR(__xludf.DUMMYFUNCTION("GOOGLEFINANCE(A944, ""price"")"),3539.0)</f>
        <v>3539</v>
      </c>
      <c r="H944" s="9">
        <f>IFERROR(__xludf.DUMMYFUNCTION("MAX(INDEX(GOOGLEFINANCE(A944, ""high"", TODAY()-30, TODAY()), 0, 2))"),3976.8)</f>
        <v>3976.8</v>
      </c>
      <c r="I944" s="9">
        <f>IFERROR(__xludf.DUMMYFUNCTION("MIN(INDEX(GOOGLEFINANCE(A944, ""low"", TODAY()-30, TODAY()), 0, 2))"),3170.0)</f>
        <v>3170</v>
      </c>
      <c r="J944" s="9">
        <f>IFERROR(__xludf.DUMMYFUNCTION("GOOGLEFINANCE(A944, ""high52"")"),3976.8)</f>
        <v>3976.8</v>
      </c>
      <c r="K944" s="9">
        <f>IFERROR(__xludf.DUMMYFUNCTION("GOOGLEFINANCE(A944, ""low52"")"),1100.0)</f>
        <v>1100</v>
      </c>
      <c r="L944" s="9">
        <f t="shared" si="1"/>
        <v>0.1100885134</v>
      </c>
      <c r="M944" s="9">
        <f t="shared" si="2"/>
        <v>2.217272727</v>
      </c>
      <c r="N944" s="9">
        <f t="shared" si="3"/>
        <v>0.05255721955</v>
      </c>
      <c r="O944" s="9">
        <f t="shared" si="4"/>
        <v>0.4573624194</v>
      </c>
      <c r="P944" s="9">
        <f>IFERROR(__xludf.DUMMYFUNCTION("GOOGLEFINANCE(A944, ""pe"")"),40.51)</f>
        <v>40.51</v>
      </c>
      <c r="Q944" s="9">
        <f>IFERROR(__xludf.DUMMYFUNCTION("IFERROR(GOOGLEFINANCE(A944, ""volume"") / GOOGLEFINANCE(A944, ""volumeavg""), 0)"),0.0)</f>
        <v>0</v>
      </c>
      <c r="R944" s="9">
        <f>IFERROR(__xludf.DUMMYFUNCTION("AVERAGE(INDEX(GOOGLEFINANCE(A944, ""price"", TODAY()-30, TODAY()), 0, 2))"),3503.430434782609)</f>
        <v>3503.430435</v>
      </c>
      <c r="S944" s="9">
        <f>IFERROR(__xludf.DUMMYFUNCTION("AVERAGE(INDEX(GOOGLEFINANCE(A944, ""price"", TODAY()-75, TODAY()), 0, 2))"),3126.2000000000003)</f>
        <v>3126.2</v>
      </c>
      <c r="T944" s="9">
        <f>IFERROR(__xludf.DUMMYFUNCTION("AVERAGE(INDEX(GOOGLEFINANCE(A944, ""price"", TODAY()-300, TODAY()), 0, 2))"),2065.874129353234)</f>
        <v>2065.874129</v>
      </c>
      <c r="U944" s="9">
        <f t="shared" si="5"/>
        <v>0.01015278193</v>
      </c>
      <c r="V944" s="15">
        <f>IFERROR(__xludf.DUMMYFUNCTION("LET(hist, GOOGLEFINANCE(A944,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rs))))))"),62.01774499052935)</f>
        <v>62.01774499</v>
      </c>
      <c r="W944" s="16" t="str">
        <f>IFERROR(__xludf.DUMMYFUNCTION("IFERROR(GOOGLEFINANCE(A944, ""volume"") / GOOGLEFINANCE(A944, ""volumeavg""), )"),"")</f>
        <v/>
      </c>
      <c r="X944" s="9">
        <f>IFERROR(__xludf.DUMMYFUNCTION("B944 * GOOGLEFINANCE(A944, ""volume"")"),1.45017603E8)</f>
        <v>145017603</v>
      </c>
      <c r="Y944" s="9">
        <f>IFERROR(__xludf.DUMMYFUNCTION("IFERROR(((B944 - GOOGLEFINANCE(A944, ""priceopen"")) / GOOGLEFINANCE(A944, ""priceopen"")) * GOOGLEFINANCE(A944, ""volume""), 0)"),-1462.666757493188)</f>
        <v>-1462.666757</v>
      </c>
    </row>
    <row r="945">
      <c r="A945" s="4" t="s">
        <v>2738</v>
      </c>
      <c r="B945" s="7">
        <f>IFERROR(__xludf.DUMMYFUNCTION("GOOGLEFINANCE(A945, ""price"")"),401.9)</f>
        <v>401.9</v>
      </c>
      <c r="C945" s="7">
        <f>IFERROR(__xludf.DUMMYFUNCTION("GOOGLEFINANCE(A945, ""changepct"")"),-2.08)</f>
        <v>-2.08</v>
      </c>
      <c r="D945" s="9">
        <f>IFERROR(__xludf.DUMMYFUNCTION("GOOGLEFINANCE(A945, ""priceopen"")"),410.0)</f>
        <v>410</v>
      </c>
      <c r="E945" s="9">
        <f>IFERROR(__xludf.DUMMYFUNCTION("GOOGLEFINANCE(A945, ""high"")"),410.0)</f>
        <v>410</v>
      </c>
      <c r="F945" s="9">
        <f>IFERROR(__xludf.DUMMYFUNCTION("GOOGLEFINANCE(A945, ""low"")"),395.45)</f>
        <v>395.45</v>
      </c>
      <c r="G945" s="9">
        <f>IFERROR(__xludf.DUMMYFUNCTION("GOOGLEFINANCE(A945, ""price"")"),401.9)</f>
        <v>401.9</v>
      </c>
      <c r="H945" s="9">
        <f>IFERROR(__xludf.DUMMYFUNCTION("MAX(INDEX(GOOGLEFINANCE(A945, ""high"", TODAY()-30, TODAY()), 0, 2))"),436.7)</f>
        <v>436.7</v>
      </c>
      <c r="I945" s="9">
        <f>IFERROR(__xludf.DUMMYFUNCTION("MIN(INDEX(GOOGLEFINANCE(A945, ""low"", TODAY()-30, TODAY()), 0, 2))"),395.0)</f>
        <v>395</v>
      </c>
      <c r="J945" s="9">
        <f>IFERROR(__xludf.DUMMYFUNCTION("GOOGLEFINANCE(A945, ""high52"")"),469.0)</f>
        <v>469</v>
      </c>
      <c r="K945" s="9">
        <f>IFERROR(__xludf.DUMMYFUNCTION("GOOGLEFINANCE(A945, ""low52"")"),313.3)</f>
        <v>313.3</v>
      </c>
      <c r="L945" s="9">
        <f t="shared" si="1"/>
        <v>0.1430703625</v>
      </c>
      <c r="M945" s="9">
        <f t="shared" si="2"/>
        <v>0.2827960421</v>
      </c>
      <c r="N945" s="9">
        <f t="shared" si="3"/>
        <v>0.03679352636</v>
      </c>
      <c r="O945" s="9">
        <f t="shared" si="4"/>
        <v>0.1654676259</v>
      </c>
      <c r="P945" s="9">
        <f>IFERROR(__xludf.DUMMYFUNCTION("GOOGLEFINANCE(A945, ""pe"")"),23.58)</f>
        <v>23.58</v>
      </c>
      <c r="Q945" s="9">
        <f>IFERROR(__xludf.DUMMYFUNCTION("IFERROR(GOOGLEFINANCE(A945, ""volume"") / GOOGLEFINANCE(A945, ""volumeavg""), 0)"),0.0)</f>
        <v>0</v>
      </c>
      <c r="R945" s="9">
        <f>IFERROR(__xludf.DUMMYFUNCTION("AVERAGE(INDEX(GOOGLEFINANCE(A945, ""price"", TODAY()-30, TODAY()), 0, 2))"),413.75000000000006)</f>
        <v>413.75</v>
      </c>
      <c r="S945" s="9">
        <f>IFERROR(__xludf.DUMMYFUNCTION("AVERAGE(INDEX(GOOGLEFINANCE(A945, ""price"", TODAY()-75, TODAY()), 0, 2))"),414.6556603773585)</f>
        <v>414.6556604</v>
      </c>
      <c r="T945" s="9">
        <f>IFERROR(__xludf.DUMMYFUNCTION("AVERAGE(INDEX(GOOGLEFINANCE(A945, ""price"", TODAY()-300, TODAY()), 0, 2))"),389.4870646766167)</f>
        <v>389.4870647</v>
      </c>
      <c r="U945" s="9">
        <f t="shared" si="5"/>
        <v>-0.02864048338</v>
      </c>
      <c r="V945" s="15">
        <f>IFERROR(__xludf.DUMMYFUNCTION("LET(hist, GOOGLEFINANCE(A945,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rs))))))"),47.90151091214326)</f>
        <v>47.90151091</v>
      </c>
      <c r="W945" s="16" t="str">
        <f>IFERROR(__xludf.DUMMYFUNCTION("IFERROR(GOOGLEFINANCE(A945, ""volume"") / GOOGLEFINANCE(A945, ""volumeavg""), )"),"")</f>
        <v/>
      </c>
      <c r="X945" s="9">
        <f>IFERROR(__xludf.DUMMYFUNCTION("B945 * GOOGLEFINANCE(A945, ""volume"")"),1.021887016E8)</f>
        <v>102188701.6</v>
      </c>
      <c r="Y945" s="9">
        <f>IFERROR(__xludf.DUMMYFUNCTION("IFERROR(((B945 - GOOGLEFINANCE(A945, ""priceopen"")) / GOOGLEFINANCE(A945, ""priceopen"")) * GOOGLEFINANCE(A945, ""volume""), 0)"),-5023.264390243917)</f>
        <v>-5023.26439</v>
      </c>
    </row>
    <row r="946">
      <c r="A946" s="4" t="s">
        <v>2739</v>
      </c>
      <c r="B946" s="7">
        <f>IFERROR(__xludf.DUMMYFUNCTION("GOOGLEFINANCE(A946, ""price"")"),490.4)</f>
        <v>490.4</v>
      </c>
      <c r="C946" s="7">
        <f>IFERROR(__xludf.DUMMYFUNCTION("GOOGLEFINANCE(A946, ""changepct"")"),-1.45)</f>
        <v>-1.45</v>
      </c>
      <c r="D946" s="9">
        <f>IFERROR(__xludf.DUMMYFUNCTION("GOOGLEFINANCE(A946, ""priceopen"")"),497.9)</f>
        <v>497.9</v>
      </c>
      <c r="E946" s="9">
        <f>IFERROR(__xludf.DUMMYFUNCTION("GOOGLEFINANCE(A946, ""high"")"),501.55)</f>
        <v>501.55</v>
      </c>
      <c r="F946" s="9">
        <f>IFERROR(__xludf.DUMMYFUNCTION("GOOGLEFINANCE(A946, ""low"")"),490.0)</f>
        <v>490</v>
      </c>
      <c r="G946" s="9">
        <f>IFERROR(__xludf.DUMMYFUNCTION("GOOGLEFINANCE(A946, ""price"")"),490.4)</f>
        <v>490.4</v>
      </c>
      <c r="H946" s="9">
        <f>IFERROR(__xludf.DUMMYFUNCTION("MAX(INDEX(GOOGLEFINANCE(A946, ""high"", TODAY()-30, TODAY()), 0, 2))"),510.4)</f>
        <v>510.4</v>
      </c>
      <c r="I946" s="9">
        <f>IFERROR(__xludf.DUMMYFUNCTION("MIN(INDEX(GOOGLEFINANCE(A946, ""low"", TODAY()-30, TODAY()), 0, 2))"),471.05)</f>
        <v>471.05</v>
      </c>
      <c r="J946" s="9">
        <f>IFERROR(__xludf.DUMMYFUNCTION("GOOGLEFINANCE(A946, ""high52"")"),685.4)</f>
        <v>685.4</v>
      </c>
      <c r="K946" s="9">
        <f>IFERROR(__xludf.DUMMYFUNCTION("GOOGLEFINANCE(A946, ""low52"")"),425.0)</f>
        <v>425</v>
      </c>
      <c r="L946" s="9">
        <f t="shared" si="1"/>
        <v>0.2845053983</v>
      </c>
      <c r="M946" s="9">
        <f t="shared" si="2"/>
        <v>0.1538823529</v>
      </c>
      <c r="N946" s="9">
        <f t="shared" si="3"/>
        <v>0.02357142857</v>
      </c>
      <c r="O946" s="9">
        <f t="shared" si="4"/>
        <v>0.4917407878</v>
      </c>
      <c r="P946" s="9">
        <f>IFERROR(__xludf.DUMMYFUNCTION("GOOGLEFINANCE(A946, ""pe"")"),9.74)</f>
        <v>9.74</v>
      </c>
      <c r="Q946" s="9">
        <f>IFERROR(__xludf.DUMMYFUNCTION("IFERROR(GOOGLEFINANCE(A946, ""volume"") / GOOGLEFINANCE(A946, ""volumeavg""), 0)"),0.0)</f>
        <v>0</v>
      </c>
      <c r="R946" s="9">
        <f>IFERROR(__xludf.DUMMYFUNCTION("AVERAGE(INDEX(GOOGLEFINANCE(A946, ""price"", TODAY()-30, TODAY()), 0, 2))"),491.5934782608696)</f>
        <v>491.5934783</v>
      </c>
      <c r="S946" s="9">
        <f>IFERROR(__xludf.DUMMYFUNCTION("AVERAGE(INDEX(GOOGLEFINANCE(A946, ""price"", TODAY()-75, TODAY()), 0, 2))"),491.3122641509436)</f>
        <v>491.3122642</v>
      </c>
      <c r="T946" s="9">
        <f>IFERROR(__xludf.DUMMYFUNCTION("AVERAGE(INDEX(GOOGLEFINANCE(A946, ""price"", TODAY()-300, TODAY()), 0, 2))"),533.4123762376239)</f>
        <v>533.4123762</v>
      </c>
      <c r="U946" s="9">
        <f t="shared" si="5"/>
        <v>-0.002427774805</v>
      </c>
      <c r="V946" s="15">
        <f>IFERROR(__xludf.DUMMYFUNCTION("LET(hist, GOOGLEFINANCE(A946,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rs))))))"),49.036777583187416)</f>
        <v>49.03677758</v>
      </c>
      <c r="W946" s="16" t="str">
        <f>IFERROR(__xludf.DUMMYFUNCTION("IFERROR(GOOGLEFINANCE(A946, ""volume"") / GOOGLEFINANCE(A946, ""volumeavg""), )"),"")</f>
        <v/>
      </c>
      <c r="X946" s="9">
        <f>IFERROR(__xludf.DUMMYFUNCTION("B946 * GOOGLEFINANCE(A946, ""volume"")"),1.82286584E7)</f>
        <v>18228658.4</v>
      </c>
      <c r="Y946" s="9">
        <f>IFERROR(__xludf.DUMMYFUNCTION("IFERROR(((B946 - GOOGLEFINANCE(A946, ""priceopen"")) / GOOGLEFINANCE(A946, ""priceopen"")) * GOOGLEFINANCE(A946, ""volume""), 0)"),-559.9166499297047)</f>
        <v>-559.9166499</v>
      </c>
    </row>
    <row r="947">
      <c r="A947" s="4" t="s">
        <v>2740</v>
      </c>
      <c r="B947" s="7">
        <f>IFERROR(__xludf.DUMMYFUNCTION("GOOGLEFINANCE(A947, ""price"")"),534.75)</f>
        <v>534.75</v>
      </c>
      <c r="C947" s="7">
        <f>IFERROR(__xludf.DUMMYFUNCTION("GOOGLEFINANCE(A947, ""changepct"")"),-7.29)</f>
        <v>-7.29</v>
      </c>
      <c r="D947" s="9">
        <f>IFERROR(__xludf.DUMMYFUNCTION("GOOGLEFINANCE(A947, ""priceopen"")"),540.0)</f>
        <v>540</v>
      </c>
      <c r="E947" s="9">
        <f>IFERROR(__xludf.DUMMYFUNCTION("GOOGLEFINANCE(A947, ""high"")"),548.0)</f>
        <v>548</v>
      </c>
      <c r="F947" s="9">
        <f>IFERROR(__xludf.DUMMYFUNCTION("GOOGLEFINANCE(A947, ""low"")"),532.8)</f>
        <v>532.8</v>
      </c>
      <c r="G947" s="9">
        <f>IFERROR(__xludf.DUMMYFUNCTION("GOOGLEFINANCE(A947, ""price"")"),534.75)</f>
        <v>534.75</v>
      </c>
      <c r="H947" s="9">
        <f>IFERROR(__xludf.DUMMYFUNCTION("MAX(INDEX(GOOGLEFINANCE(A947, ""high"", TODAY()-30, TODAY()), 0, 2))"),624.4)</f>
        <v>624.4</v>
      </c>
      <c r="I947" s="9">
        <f>IFERROR(__xludf.DUMMYFUNCTION("MIN(INDEX(GOOGLEFINANCE(A947, ""low"", TODAY()-30, TODAY()), 0, 2))"),463.35)</f>
        <v>463.35</v>
      </c>
      <c r="J947" s="9">
        <f>IFERROR(__xludf.DUMMYFUNCTION("GOOGLEFINANCE(A947, ""high52"")"),624.4)</f>
        <v>624.4</v>
      </c>
      <c r="K947" s="9">
        <f>IFERROR(__xludf.DUMMYFUNCTION("GOOGLEFINANCE(A947, ""low52"")"),463.35)</f>
        <v>463.35</v>
      </c>
      <c r="L947" s="9">
        <f t="shared" si="1"/>
        <v>0.1435778347</v>
      </c>
      <c r="M947" s="9">
        <f t="shared" si="2"/>
        <v>0.1540951764</v>
      </c>
      <c r="N947" s="9">
        <f t="shared" si="3"/>
        <v>0.02852852853</v>
      </c>
      <c r="O947" s="9">
        <f t="shared" si="4"/>
        <v>0.4433405775</v>
      </c>
      <c r="P947" s="9">
        <f>IFERROR(__xludf.DUMMYFUNCTION("GOOGLEFINANCE(A947, ""pe"")"),22.14)</f>
        <v>22.14</v>
      </c>
      <c r="Q947" s="9">
        <f>IFERROR(__xludf.DUMMYFUNCTION("IFERROR(GOOGLEFINANCE(A947, ""volume"") / GOOGLEFINANCE(A947, ""volumeavg""), 0)"),0.0)</f>
        <v>0</v>
      </c>
      <c r="R947" s="9">
        <f>IFERROR(__xludf.DUMMYFUNCTION("AVERAGE(INDEX(GOOGLEFINANCE(A947, ""price"", TODAY()-30, TODAY()), 0, 2))"),562.2892857142856)</f>
        <v>562.2892857</v>
      </c>
      <c r="S947" s="9">
        <f>IFERROR(__xludf.DUMMYFUNCTION("AVERAGE(INDEX(GOOGLEFINANCE(A947, ""price"", TODAY()-75, TODAY()), 0, 2))"),562.2892857142856)</f>
        <v>562.2892857</v>
      </c>
      <c r="T947" s="9">
        <f>IFERROR(__xludf.DUMMYFUNCTION("AVERAGE(INDEX(GOOGLEFINANCE(A947, ""price"", TODAY()-300, TODAY()), 0, 2))"),562.2892857142856)</f>
        <v>562.2892857</v>
      </c>
      <c r="U947" s="9">
        <f t="shared" si="5"/>
        <v>-0.04897707713</v>
      </c>
      <c r="V947" s="15" t="str">
        <f>IFERROR(__xludf.DUMMYFUNCTION("LET(hist, GOOGLEFINANCE(A947,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rs))))))"),"#N/A")</f>
        <v>#N/A</v>
      </c>
      <c r="W947" s="16" t="str">
        <f>IFERROR(__xludf.DUMMYFUNCTION("IFERROR(GOOGLEFINANCE(A947, ""volume"") / GOOGLEFINANCE(A947, ""volumeavg""), )"),"")</f>
        <v/>
      </c>
      <c r="X947" s="9">
        <f>IFERROR(__xludf.DUMMYFUNCTION("B947 * GOOGLEFINANCE(A947, ""volume"")"),8.9947891125E8)</f>
        <v>899478911.3</v>
      </c>
      <c r="Y947" s="9">
        <f>IFERROR(__xludf.DUMMYFUNCTION("IFERROR(((B947 - GOOGLEFINANCE(A947, ""priceopen"")) / GOOGLEFINANCE(A947, ""priceopen"")) * GOOGLEFINANCE(A947, ""volume""), 0)"),-16353.3125)</f>
        <v>-16353.3125</v>
      </c>
    </row>
    <row r="948">
      <c r="A948" s="4" t="s">
        <v>2741</v>
      </c>
      <c r="B948" s="7">
        <f>IFERROR(__xludf.DUMMYFUNCTION("GOOGLEFINANCE(A948, ""price"")"),459.9)</f>
        <v>459.9</v>
      </c>
      <c r="C948" s="7">
        <f>IFERROR(__xludf.DUMMYFUNCTION("GOOGLEFINANCE(A948, ""changepct"")"),-3.81)</f>
        <v>-3.81</v>
      </c>
      <c r="D948" s="9">
        <f>IFERROR(__xludf.DUMMYFUNCTION("GOOGLEFINANCE(A948, ""priceopen"")"),478.1)</f>
        <v>478.1</v>
      </c>
      <c r="E948" s="9">
        <f>IFERROR(__xludf.DUMMYFUNCTION("GOOGLEFINANCE(A948, ""high"")"),481.2)</f>
        <v>481.2</v>
      </c>
      <c r="F948" s="9">
        <f>IFERROR(__xludf.DUMMYFUNCTION("GOOGLEFINANCE(A948, ""low"")"),457.45)</f>
        <v>457.45</v>
      </c>
      <c r="G948" s="9">
        <f>IFERROR(__xludf.DUMMYFUNCTION("GOOGLEFINANCE(A948, ""price"")"),459.9)</f>
        <v>459.9</v>
      </c>
      <c r="H948" s="9">
        <f>IFERROR(__xludf.DUMMYFUNCTION("MAX(INDEX(GOOGLEFINANCE(A948, ""high"", TODAY()-30, TODAY()), 0, 2))"),486.0)</f>
        <v>486</v>
      </c>
      <c r="I948" s="9">
        <f>IFERROR(__xludf.DUMMYFUNCTION("MIN(INDEX(GOOGLEFINANCE(A948, ""low"", TODAY()-30, TODAY()), 0, 2))"),408.3)</f>
        <v>408.3</v>
      </c>
      <c r="J948" s="9">
        <f>IFERROR(__xludf.DUMMYFUNCTION("GOOGLEFINANCE(A948, ""high52"")"),549.0)</f>
        <v>549</v>
      </c>
      <c r="K948" s="9">
        <f>IFERROR(__xludf.DUMMYFUNCTION("GOOGLEFINANCE(A948, ""low52"")"),310.2)</f>
        <v>310.2</v>
      </c>
      <c r="L948" s="9">
        <f t="shared" si="1"/>
        <v>0.162295082</v>
      </c>
      <c r="M948" s="9">
        <f t="shared" si="2"/>
        <v>0.4825918762</v>
      </c>
      <c r="N948" s="9">
        <f t="shared" si="3"/>
        <v>0.05191824243</v>
      </c>
      <c r="O948" s="9">
        <f t="shared" si="4"/>
        <v>0.6640926641</v>
      </c>
      <c r="P948" s="9">
        <f>IFERROR(__xludf.DUMMYFUNCTION("GOOGLEFINANCE(A948, ""pe"")"),28.11)</f>
        <v>28.11</v>
      </c>
      <c r="Q948" s="9">
        <f>IFERROR(__xludf.DUMMYFUNCTION("IFERROR(GOOGLEFINANCE(A948, ""volume"") / GOOGLEFINANCE(A948, ""volumeavg""), 0)"),0.0)</f>
        <v>0</v>
      </c>
      <c r="R948" s="9">
        <f>IFERROR(__xludf.DUMMYFUNCTION("AVERAGE(INDEX(GOOGLEFINANCE(A948, ""price"", TODAY()-30, TODAY()), 0, 2))"),438.5326086956522)</f>
        <v>438.5326087</v>
      </c>
      <c r="S948" s="9">
        <f>IFERROR(__xludf.DUMMYFUNCTION("AVERAGE(INDEX(GOOGLEFINANCE(A948, ""price"", TODAY()-75, TODAY()), 0, 2))"),463.5566037735848)</f>
        <v>463.5566038</v>
      </c>
      <c r="T948" s="9">
        <f>IFERROR(__xludf.DUMMYFUNCTION("AVERAGE(INDEX(GOOGLEFINANCE(A948, ""price"", TODAY()-300, TODAY()), 0, 2))"),434.198514851485)</f>
        <v>434.1985149</v>
      </c>
      <c r="U948" s="9">
        <f t="shared" si="5"/>
        <v>0.04872474904</v>
      </c>
      <c r="V948" s="15">
        <f>IFERROR(__xludf.DUMMYFUNCTION("LET(hist, GOOGLEFINANCE(A948,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rs))))))"),64.63844797178132)</f>
        <v>64.63844797</v>
      </c>
      <c r="W948" s="16" t="str">
        <f>IFERROR(__xludf.DUMMYFUNCTION("IFERROR(GOOGLEFINANCE(A948, ""volume"") / GOOGLEFINANCE(A948, ""volumeavg""), )"),"")</f>
        <v/>
      </c>
      <c r="X948" s="9">
        <f>IFERROR(__xludf.DUMMYFUNCTION("B948 * GOOGLEFINANCE(A948, ""volume"")"),9.81403605E7)</f>
        <v>98140360.5</v>
      </c>
      <c r="Y948" s="9">
        <f>IFERROR(__xludf.DUMMYFUNCTION("IFERROR(((B948 - GOOGLEFINANCE(A948, ""priceopen"")) / GOOGLEFINANCE(A948, ""priceopen"")) * GOOGLEFINANCE(A948, ""volume""), 0)"),-8123.38213762813)</f>
        <v>-8123.382138</v>
      </c>
    </row>
    <row r="949">
      <c r="A949" s="4" t="s">
        <v>2742</v>
      </c>
      <c r="B949" s="7">
        <f>IFERROR(__xludf.DUMMYFUNCTION("GOOGLEFINANCE(A949, ""price"")"),543.0)</f>
        <v>543</v>
      </c>
      <c r="C949" s="7">
        <f>IFERROR(__xludf.DUMMYFUNCTION("GOOGLEFINANCE(A949, ""changepct"")"),-5.37)</f>
        <v>-5.37</v>
      </c>
      <c r="D949" s="9">
        <f>IFERROR(__xludf.DUMMYFUNCTION("GOOGLEFINANCE(A949, ""priceopen"")"),583.95)</f>
        <v>583.95</v>
      </c>
      <c r="E949" s="9">
        <f>IFERROR(__xludf.DUMMYFUNCTION("GOOGLEFINANCE(A949, ""high"")"),590.9)</f>
        <v>590.9</v>
      </c>
      <c r="F949" s="9">
        <f>IFERROR(__xludf.DUMMYFUNCTION("GOOGLEFINANCE(A949, ""low"")"),536.2)</f>
        <v>536.2</v>
      </c>
      <c r="G949" s="9">
        <f>IFERROR(__xludf.DUMMYFUNCTION("GOOGLEFINANCE(A949, ""price"")"),543.0)</f>
        <v>543</v>
      </c>
      <c r="H949" s="9">
        <f>IFERROR(__xludf.DUMMYFUNCTION("MAX(INDEX(GOOGLEFINANCE(A949, ""high"", TODAY()-30, TODAY()), 0, 2))"),650.1)</f>
        <v>650.1</v>
      </c>
      <c r="I949" s="9">
        <f>IFERROR(__xludf.DUMMYFUNCTION("MIN(INDEX(GOOGLEFINANCE(A949, ""low"", TODAY()-30, TODAY()), 0, 2))"),482.3)</f>
        <v>482.3</v>
      </c>
      <c r="J949" s="9">
        <f>IFERROR(__xludf.DUMMYFUNCTION("GOOGLEFINANCE(A949, ""high52"")"),687.2)</f>
        <v>687.2</v>
      </c>
      <c r="K949" s="9">
        <f>IFERROR(__xludf.DUMMYFUNCTION("GOOGLEFINANCE(A949, ""low52"")"),278.2)</f>
        <v>278.2</v>
      </c>
      <c r="L949" s="9">
        <f t="shared" si="1"/>
        <v>0.2098370198</v>
      </c>
      <c r="M949" s="9">
        <f t="shared" si="2"/>
        <v>0.9518332135</v>
      </c>
      <c r="N949" s="9">
        <f t="shared" si="3"/>
        <v>0.1020141738</v>
      </c>
      <c r="O949" s="9">
        <f t="shared" si="4"/>
        <v>0.3617401669</v>
      </c>
      <c r="P949" s="9">
        <f>IFERROR(__xludf.DUMMYFUNCTION("GOOGLEFINANCE(A949, ""pe"")"),15.15)</f>
        <v>15.15</v>
      </c>
      <c r="Q949" s="9">
        <f>IFERROR(__xludf.DUMMYFUNCTION("IFERROR(GOOGLEFINANCE(A949, ""volume"") / GOOGLEFINANCE(A949, ""volumeavg""), 0)"),0.0)</f>
        <v>0</v>
      </c>
      <c r="R949" s="9">
        <f>IFERROR(__xludf.DUMMYFUNCTION("AVERAGE(INDEX(GOOGLEFINANCE(A949, ""price"", TODAY()-30, TODAY()), 0, 2))"),543.7695652173912)</f>
        <v>543.7695652</v>
      </c>
      <c r="S949" s="9">
        <f>IFERROR(__xludf.DUMMYFUNCTION("AVERAGE(INDEX(GOOGLEFINANCE(A949, ""price"", TODAY()-75, TODAY()), 0, 2))"),487.99905660377374)</f>
        <v>487.9990566</v>
      </c>
      <c r="T949" s="9">
        <f>IFERROR(__xludf.DUMMYFUNCTION("AVERAGE(INDEX(GOOGLEFINANCE(A949, ""price"", TODAY()-300, TODAY()), 0, 2))"),421.24405940594056)</f>
        <v>421.2440594</v>
      </c>
      <c r="U949" s="9">
        <f t="shared" si="5"/>
        <v>-0.001415241431</v>
      </c>
      <c r="V949" s="15">
        <f>IFERROR(__xludf.DUMMYFUNCTION("LET(hist, GOOGLEFINANCE(A949,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rs))))))"),54.04069767441863)</f>
        <v>54.04069767</v>
      </c>
      <c r="W949" s="16" t="str">
        <f>IFERROR(__xludf.DUMMYFUNCTION("IFERROR(GOOGLEFINANCE(A949, ""volume"") / GOOGLEFINANCE(A949, ""volumeavg""), )"),"")</f>
        <v/>
      </c>
      <c r="X949" s="9">
        <f>IFERROR(__xludf.DUMMYFUNCTION("B949 * GOOGLEFINANCE(A949, ""volume"")"),5.18842473E8)</f>
        <v>518842473</v>
      </c>
      <c r="Y949" s="9">
        <f>IFERROR(__xludf.DUMMYFUNCTION("IFERROR(((B949 - GOOGLEFINANCE(A949, ""priceopen"")) / GOOGLEFINANCE(A949, ""priceopen"")) * GOOGLEFINANCE(A949, ""volume""), 0)"),-67006.03724633966)</f>
        <v>-67006.03725</v>
      </c>
    </row>
    <row r="950">
      <c r="A950" s="4" t="s">
        <v>2743</v>
      </c>
      <c r="B950" s="7">
        <f>IFERROR(__xludf.DUMMYFUNCTION("GOOGLEFINANCE(A950, ""price"")"),1090.0)</f>
        <v>1090</v>
      </c>
      <c r="C950" s="7">
        <f>IFERROR(__xludf.DUMMYFUNCTION("GOOGLEFINANCE(A950, ""changepct"")"),2.19)</f>
        <v>2.19</v>
      </c>
      <c r="D950" s="9">
        <f>IFERROR(__xludf.DUMMYFUNCTION("GOOGLEFINANCE(A950, ""priceopen"")"),1050.05)</f>
        <v>1050.05</v>
      </c>
      <c r="E950" s="9">
        <f>IFERROR(__xludf.DUMMYFUNCTION("GOOGLEFINANCE(A950, ""high"")"),1092.35)</f>
        <v>1092.35</v>
      </c>
      <c r="F950" s="9">
        <f>IFERROR(__xludf.DUMMYFUNCTION("GOOGLEFINANCE(A950, ""low"")"),1045.0)</f>
        <v>1045</v>
      </c>
      <c r="G950" s="9">
        <f>IFERROR(__xludf.DUMMYFUNCTION("GOOGLEFINANCE(A950, ""price"")"),1090.0)</f>
        <v>1090</v>
      </c>
      <c r="H950" s="9">
        <f>IFERROR(__xludf.DUMMYFUNCTION("MAX(INDEX(GOOGLEFINANCE(A950, ""high"", TODAY()-30, TODAY()), 0, 2))"),1134.95)</f>
        <v>1134.95</v>
      </c>
      <c r="I950" s="9">
        <f>IFERROR(__xludf.DUMMYFUNCTION("MIN(INDEX(GOOGLEFINANCE(A950, ""low"", TODAY()-30, TODAY()), 0, 2))"),890.0)</f>
        <v>890</v>
      </c>
      <c r="J950" s="9">
        <f>IFERROR(__xludf.DUMMYFUNCTION("GOOGLEFINANCE(A950, ""high52"")"),1134.95)</f>
        <v>1134.95</v>
      </c>
      <c r="K950" s="9">
        <f>IFERROR(__xludf.DUMMYFUNCTION("GOOGLEFINANCE(A950, ""low52"")"),551.9)</f>
        <v>551.9</v>
      </c>
      <c r="L950" s="9">
        <f t="shared" si="1"/>
        <v>0.03960526895</v>
      </c>
      <c r="M950" s="9">
        <f t="shared" si="2"/>
        <v>0.9749954702</v>
      </c>
      <c r="N950" s="9">
        <f t="shared" si="3"/>
        <v>0.04531100478</v>
      </c>
      <c r="O950" s="9">
        <f t="shared" si="4"/>
        <v>0.8164931619</v>
      </c>
      <c r="P950" s="9">
        <f>IFERROR(__xludf.DUMMYFUNCTION("GOOGLEFINANCE(A950, ""pe"")"),159.82)</f>
        <v>159.82</v>
      </c>
      <c r="Q950" s="9">
        <f>IFERROR(__xludf.DUMMYFUNCTION("IFERROR(GOOGLEFINANCE(A950, ""volume"") / GOOGLEFINANCE(A950, ""volumeavg""), 0)"),0.0)</f>
        <v>0</v>
      </c>
      <c r="R950" s="9">
        <f>IFERROR(__xludf.DUMMYFUNCTION("AVERAGE(INDEX(GOOGLEFINANCE(A950, ""price"", TODAY()-30, TODAY()), 0, 2))"),1014.6956521739132)</f>
        <v>1014.695652</v>
      </c>
      <c r="S950" s="9">
        <f>IFERROR(__xludf.DUMMYFUNCTION("AVERAGE(INDEX(GOOGLEFINANCE(A950, ""price"", TODAY()-75, TODAY()), 0, 2))"),1008.2773584905658)</f>
        <v>1008.277358</v>
      </c>
      <c r="T950" s="9">
        <f>IFERROR(__xludf.DUMMYFUNCTION("AVERAGE(INDEX(GOOGLEFINANCE(A950, ""price"", TODAY()-300, TODAY()), 0, 2))"),809.2462871287128)</f>
        <v>809.2462871</v>
      </c>
      <c r="U950" s="9">
        <f t="shared" si="5"/>
        <v>0.07421372868</v>
      </c>
      <c r="V950" s="15">
        <f>IFERROR(__xludf.DUMMYFUNCTION("LET(hist, GOOGLEFINANCE(A950,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rs))))))"),66.74916290580873)</f>
        <v>66.74916291</v>
      </c>
      <c r="W950" s="16" t="str">
        <f>IFERROR(__xludf.DUMMYFUNCTION("IFERROR(GOOGLEFINANCE(A950, ""volume"") / GOOGLEFINANCE(A950, ""volumeavg""), )"),"")</f>
        <v/>
      </c>
      <c r="X950" s="9">
        <f>IFERROR(__xludf.DUMMYFUNCTION("B950 * GOOGLEFINANCE(A950, ""volume"")"),1.9978501E8)</f>
        <v>199785010</v>
      </c>
      <c r="Y950" s="9">
        <f>IFERROR(__xludf.DUMMYFUNCTION("IFERROR(((B950 - GOOGLEFINANCE(A950, ""priceopen"")) / GOOGLEFINANCE(A950, ""priceopen"")) * GOOGLEFINANCE(A950, ""volume""), 0)"),6973.377982000865)</f>
        <v>6973.377982</v>
      </c>
    </row>
    <row r="951">
      <c r="A951" s="4" t="s">
        <v>2744</v>
      </c>
      <c r="B951" s="7">
        <f>IFERROR(__xludf.DUMMYFUNCTION("GOOGLEFINANCE(A951, ""price"")"),651.0)</f>
        <v>651</v>
      </c>
      <c r="C951" s="7">
        <f>IFERROR(__xludf.DUMMYFUNCTION("GOOGLEFINANCE(A951, ""changepct"")"),-0.05)</f>
        <v>-0.05</v>
      </c>
      <c r="D951" s="9">
        <f>IFERROR(__xludf.DUMMYFUNCTION("GOOGLEFINANCE(A951, ""priceopen"")"),651.95)</f>
        <v>651.95</v>
      </c>
      <c r="E951" s="9">
        <f>IFERROR(__xludf.DUMMYFUNCTION("GOOGLEFINANCE(A951, ""high"")"),653.85)</f>
        <v>653.85</v>
      </c>
      <c r="F951" s="9">
        <f>IFERROR(__xludf.DUMMYFUNCTION("GOOGLEFINANCE(A951, ""low"")"),649.0)</f>
        <v>649</v>
      </c>
      <c r="G951" s="9">
        <f>IFERROR(__xludf.DUMMYFUNCTION("GOOGLEFINANCE(A951, ""price"")"),651.0)</f>
        <v>651</v>
      </c>
      <c r="H951" s="9">
        <f>IFERROR(__xludf.DUMMYFUNCTION("MAX(INDEX(GOOGLEFINANCE(A951, ""high"", TODAY()-30, TODAY()), 0, 2))"),688.0)</f>
        <v>688</v>
      </c>
      <c r="I951" s="9">
        <f>IFERROR(__xludf.DUMMYFUNCTION("MIN(INDEX(GOOGLEFINANCE(A951, ""low"", TODAY()-30, TODAY()), 0, 2))"),636.4)</f>
        <v>636.4</v>
      </c>
      <c r="J951" s="9">
        <f>IFERROR(__xludf.DUMMYFUNCTION("GOOGLEFINANCE(A951, ""high52"")"),829.8)</f>
        <v>829.8</v>
      </c>
      <c r="K951" s="9">
        <f>IFERROR(__xludf.DUMMYFUNCTION("GOOGLEFINANCE(A951, ""low52"")"),378.4)</f>
        <v>378.4</v>
      </c>
      <c r="L951" s="9">
        <f t="shared" si="1"/>
        <v>0.2154736081</v>
      </c>
      <c r="M951" s="9">
        <f t="shared" si="2"/>
        <v>0.7204016913</v>
      </c>
      <c r="N951" s="9">
        <f t="shared" si="3"/>
        <v>0.007473035439</v>
      </c>
      <c r="O951" s="9">
        <f t="shared" si="4"/>
        <v>0.2829457364</v>
      </c>
      <c r="P951" s="9">
        <f>IFERROR(__xludf.DUMMYFUNCTION("GOOGLEFINANCE(A951, ""pe"")"),76.41)</f>
        <v>76.41</v>
      </c>
      <c r="Q951" s="9">
        <f>IFERROR(__xludf.DUMMYFUNCTION("IFERROR(GOOGLEFINANCE(A951, ""volume"") / GOOGLEFINANCE(A951, ""volumeavg""), 0)"),0.0)</f>
        <v>0</v>
      </c>
      <c r="R951" s="9">
        <f>IFERROR(__xludf.DUMMYFUNCTION("AVERAGE(INDEX(GOOGLEFINANCE(A951, ""price"", TODAY()-30, TODAY()), 0, 2))"),661.5456521739131)</f>
        <v>661.5456522</v>
      </c>
      <c r="S951" s="9">
        <f>IFERROR(__xludf.DUMMYFUNCTION("AVERAGE(INDEX(GOOGLEFINANCE(A951, ""price"", TODAY()-75, TODAY()), 0, 2))"),695.7207547169811)</f>
        <v>695.7207547</v>
      </c>
      <c r="T951" s="9">
        <f>IFERROR(__xludf.DUMMYFUNCTION("AVERAGE(INDEX(GOOGLEFINANCE(A951, ""price"", TODAY()-300, TODAY()), 0, 2))"),567.3264851485152)</f>
        <v>567.3264851</v>
      </c>
      <c r="U951" s="9">
        <f t="shared" si="5"/>
        <v>-0.01594092885</v>
      </c>
      <c r="V951" s="15">
        <f>IFERROR(__xludf.DUMMYFUNCTION("LET(hist, GOOGLEFINANCE(A951,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rs))))))"),41.372141372141314)</f>
        <v>41.37214137</v>
      </c>
      <c r="W951" s="16" t="str">
        <f>IFERROR(__xludf.DUMMYFUNCTION("IFERROR(GOOGLEFINANCE(A951, ""volume"") / GOOGLEFINANCE(A951, ""volumeavg""), )"),"")</f>
        <v/>
      </c>
      <c r="X951" s="9">
        <f>IFERROR(__xludf.DUMMYFUNCTION("B951 * GOOGLEFINANCE(A951, ""volume"")"),5.666955E7)</f>
        <v>56669550</v>
      </c>
      <c r="Y951" s="9">
        <f>IFERROR(__xludf.DUMMYFUNCTION("IFERROR(((B951 - GOOGLEFINANCE(A951, ""priceopen"")) / GOOGLEFINANCE(A951, ""priceopen"")) * GOOGLEFINANCE(A951, ""volume""), 0)"),-126.84638392515369)</f>
        <v>-126.8463839</v>
      </c>
    </row>
    <row r="952">
      <c r="A952" s="4" t="s">
        <v>2745</v>
      </c>
      <c r="B952" s="7">
        <f>IFERROR(__xludf.DUMMYFUNCTION("GOOGLEFINANCE(A952, ""price"")"),275.55)</f>
        <v>275.55</v>
      </c>
      <c r="C952" s="7">
        <f>IFERROR(__xludf.DUMMYFUNCTION("GOOGLEFINANCE(A952, ""changepct"")"),-1.18)</f>
        <v>-1.18</v>
      </c>
      <c r="D952" s="9">
        <f>IFERROR(__xludf.DUMMYFUNCTION("GOOGLEFINANCE(A952, ""priceopen"")"),279.55)</f>
        <v>279.55</v>
      </c>
      <c r="E952" s="9">
        <f>IFERROR(__xludf.DUMMYFUNCTION("GOOGLEFINANCE(A952, ""high"")"),281.5)</f>
        <v>281.5</v>
      </c>
      <c r="F952" s="9">
        <f>IFERROR(__xludf.DUMMYFUNCTION("GOOGLEFINANCE(A952, ""low"")"),275.5)</f>
        <v>275.5</v>
      </c>
      <c r="G952" s="9">
        <f>IFERROR(__xludf.DUMMYFUNCTION("GOOGLEFINANCE(A952, ""price"")"),275.55)</f>
        <v>275.55</v>
      </c>
      <c r="H952" s="9">
        <f>IFERROR(__xludf.DUMMYFUNCTION("MAX(INDEX(GOOGLEFINANCE(A952, ""high"", TODAY()-30, TODAY()), 0, 2))"),334.4)</f>
        <v>334.4</v>
      </c>
      <c r="I952" s="9">
        <f>IFERROR(__xludf.DUMMYFUNCTION("MIN(INDEX(GOOGLEFINANCE(A952, ""low"", TODAY()-30, TODAY()), 0, 2))"),275.5)</f>
        <v>275.5</v>
      </c>
      <c r="J952" s="9">
        <f>IFERROR(__xludf.DUMMYFUNCTION("GOOGLEFINANCE(A952, ""high52"")"),334.4)</f>
        <v>334.4</v>
      </c>
      <c r="K952" s="9">
        <f>IFERROR(__xludf.DUMMYFUNCTION("GOOGLEFINANCE(A952, ""low52"")"),176.42)</f>
        <v>176.42</v>
      </c>
      <c r="L952" s="9">
        <f t="shared" si="1"/>
        <v>0.1759868421</v>
      </c>
      <c r="M952" s="9">
        <f t="shared" si="2"/>
        <v>0.561897744</v>
      </c>
      <c r="N952" s="9">
        <f t="shared" si="3"/>
        <v>0.02177858439</v>
      </c>
      <c r="O952" s="9">
        <f t="shared" si="4"/>
        <v>0.0008488964346</v>
      </c>
      <c r="P952" s="9">
        <f>IFERROR(__xludf.DUMMYFUNCTION("GOOGLEFINANCE(A952, ""pe"")"),34.93)</f>
        <v>34.93</v>
      </c>
      <c r="Q952" s="9">
        <f>IFERROR(__xludf.DUMMYFUNCTION("IFERROR(GOOGLEFINANCE(A952, ""volume"") / GOOGLEFINANCE(A952, ""volumeavg""), 0)"),0.0)</f>
        <v>0</v>
      </c>
      <c r="R952" s="9">
        <f>IFERROR(__xludf.DUMMYFUNCTION("AVERAGE(INDEX(GOOGLEFINANCE(A952, ""price"", TODAY()-30, TODAY()), 0, 2))"),299.44565217391306)</f>
        <v>299.4456522</v>
      </c>
      <c r="S952" s="9">
        <f>IFERROR(__xludf.DUMMYFUNCTION("AVERAGE(INDEX(GOOGLEFINANCE(A952, ""price"", TODAY()-75, TODAY()), 0, 2))"),295.8343396226415)</f>
        <v>295.8343396</v>
      </c>
      <c r="T952" s="9">
        <f>IFERROR(__xludf.DUMMYFUNCTION("AVERAGE(INDEX(GOOGLEFINANCE(A952, ""price"", TODAY()-300, TODAY()), 0, 2))"),261.7192537313431)</f>
        <v>261.7192537</v>
      </c>
      <c r="U952" s="9">
        <f t="shared" si="5"/>
        <v>-0.07979962975</v>
      </c>
      <c r="V952" s="15">
        <f>IFERROR(__xludf.DUMMYFUNCTION("LET(hist, GOOGLEFINANCE(A952,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rs))))))"),17.5655976676385)</f>
        <v>17.56559767</v>
      </c>
      <c r="W952" s="16" t="str">
        <f>IFERROR(__xludf.DUMMYFUNCTION("IFERROR(GOOGLEFINANCE(A952, ""volume"") / GOOGLEFINANCE(A952, ""volumeavg""), )"),"")</f>
        <v/>
      </c>
      <c r="X952" s="9">
        <f>IFERROR(__xludf.DUMMYFUNCTION("B952 * GOOGLEFINANCE(A952, ""volume"")"),1.148519955E7)</f>
        <v>11485199.55</v>
      </c>
      <c r="Y952" s="9">
        <f>IFERROR(__xludf.DUMMYFUNCTION("IFERROR(((B952 - GOOGLEFINANCE(A952, ""priceopen"")) / GOOGLEFINANCE(A952, ""priceopen"")) * GOOGLEFINANCE(A952, ""volume""), 0)"),-596.4013593274906)</f>
        <v>-596.4013593</v>
      </c>
    </row>
    <row r="953">
      <c r="A953" s="4" t="s">
        <v>2746</v>
      </c>
      <c r="B953" s="7">
        <f>IFERROR(__xludf.DUMMYFUNCTION("GOOGLEFINANCE(A953, ""price"")"),498.05)</f>
        <v>498.05</v>
      </c>
      <c r="C953" s="7">
        <f>IFERROR(__xludf.DUMMYFUNCTION("GOOGLEFINANCE(A953, ""changepct"")"),-3.66)</f>
        <v>-3.66</v>
      </c>
      <c r="D953" s="9">
        <f>IFERROR(__xludf.DUMMYFUNCTION("GOOGLEFINANCE(A953, ""priceopen"")"),515.0)</f>
        <v>515</v>
      </c>
      <c r="E953" s="9">
        <f>IFERROR(__xludf.DUMMYFUNCTION("GOOGLEFINANCE(A953, ""high"")"),518.9)</f>
        <v>518.9</v>
      </c>
      <c r="F953" s="9">
        <f>IFERROR(__xludf.DUMMYFUNCTION("GOOGLEFINANCE(A953, ""low"")"),497.25)</f>
        <v>497.25</v>
      </c>
      <c r="G953" s="9">
        <f>IFERROR(__xludf.DUMMYFUNCTION("GOOGLEFINANCE(A953, ""price"")"),498.05)</f>
        <v>498.05</v>
      </c>
      <c r="H953" s="9">
        <f>IFERROR(__xludf.DUMMYFUNCTION("MAX(INDEX(GOOGLEFINANCE(A953, ""high"", TODAY()-30, TODAY()), 0, 2))"),528.0)</f>
        <v>528</v>
      </c>
      <c r="I953" s="9">
        <f>IFERROR(__xludf.DUMMYFUNCTION("MIN(INDEX(GOOGLEFINANCE(A953, ""low"", TODAY()-30, TODAY()), 0, 2))"),393.45)</f>
        <v>393.45</v>
      </c>
      <c r="J953" s="9">
        <f>IFERROR(__xludf.DUMMYFUNCTION("GOOGLEFINANCE(A953, ""high52"")"),528.0)</f>
        <v>528</v>
      </c>
      <c r="K953" s="9">
        <f>IFERROR(__xludf.DUMMYFUNCTION("GOOGLEFINANCE(A953, ""low52"")"),223.8)</f>
        <v>223.8</v>
      </c>
      <c r="L953" s="9">
        <f t="shared" si="1"/>
        <v>0.05672348485</v>
      </c>
      <c r="M953" s="9">
        <f t="shared" si="2"/>
        <v>1.225424486</v>
      </c>
      <c r="N953" s="9">
        <f t="shared" si="3"/>
        <v>0.04353946707</v>
      </c>
      <c r="O953" s="9">
        <f t="shared" si="4"/>
        <v>0.7774061687</v>
      </c>
      <c r="P953" s="9">
        <f>IFERROR(__xludf.DUMMYFUNCTION("GOOGLEFINANCE(A953, ""pe"")"),21.63)</f>
        <v>21.63</v>
      </c>
      <c r="Q953" s="9">
        <f>IFERROR(__xludf.DUMMYFUNCTION("IFERROR(GOOGLEFINANCE(A953, ""volume"") / GOOGLEFINANCE(A953, ""volumeavg""), 0)"),0.0)</f>
        <v>0</v>
      </c>
      <c r="R953" s="9">
        <f>IFERROR(__xludf.DUMMYFUNCTION("AVERAGE(INDEX(GOOGLEFINANCE(A953, ""price"", TODAY()-30, TODAY()), 0, 2))"),450.4739130434783)</f>
        <v>450.473913</v>
      </c>
      <c r="S953" s="9">
        <f>IFERROR(__xludf.DUMMYFUNCTION("AVERAGE(INDEX(GOOGLEFINANCE(A953, ""price"", TODAY()-75, TODAY()), 0, 2))"),428.3018867924529)</f>
        <v>428.3018868</v>
      </c>
      <c r="T953" s="9">
        <f>IFERROR(__xludf.DUMMYFUNCTION("AVERAGE(INDEX(GOOGLEFINANCE(A953, ""price"", TODAY()-300, TODAY()), 0, 2))"),343.5542574257424)</f>
        <v>343.5542574</v>
      </c>
      <c r="U953" s="9">
        <f t="shared" si="5"/>
        <v>0.105613412</v>
      </c>
      <c r="V953" s="15">
        <f>IFERROR(__xludf.DUMMYFUNCTION("LET(hist, GOOGLEFINANCE(A953,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rs))))))"),68.41715976331359)</f>
        <v>68.41715976</v>
      </c>
      <c r="W953" s="16" t="str">
        <f>IFERROR(__xludf.DUMMYFUNCTION("IFERROR(GOOGLEFINANCE(A953, ""volume"") / GOOGLEFINANCE(A953, ""volumeavg""), )"),"")</f>
        <v/>
      </c>
      <c r="X953" s="9">
        <f>IFERROR(__xludf.DUMMYFUNCTION("B953 * GOOGLEFINANCE(A953, ""volume"")"),1.7960380270000002E8)</f>
        <v>179603802.7</v>
      </c>
      <c r="Y953" s="9">
        <f>IFERROR(__xludf.DUMMYFUNCTION("IFERROR(((B953 - GOOGLEFINANCE(A953, ""priceopen"")) / GOOGLEFINANCE(A953, ""priceopen"")) * GOOGLEFINANCE(A953, ""volume""), 0)"),-11868.752038834944)</f>
        <v>-11868.75204</v>
      </c>
    </row>
    <row r="954">
      <c r="A954" s="4" t="s">
        <v>2747</v>
      </c>
      <c r="B954" s="7">
        <f>IFERROR(__xludf.DUMMYFUNCTION("GOOGLEFINANCE(A954, ""price"")"),118.43)</f>
        <v>118.43</v>
      </c>
      <c r="C954" s="7">
        <f>IFERROR(__xludf.DUMMYFUNCTION("GOOGLEFINANCE(A954, ""changepct"")"),-0.16)</f>
        <v>-0.16</v>
      </c>
      <c r="D954" s="9">
        <f>IFERROR(__xludf.DUMMYFUNCTION("GOOGLEFINANCE(A954, ""priceopen"")"),118.98)</f>
        <v>118.98</v>
      </c>
      <c r="E954" s="9">
        <f>IFERROR(__xludf.DUMMYFUNCTION("GOOGLEFINANCE(A954, ""high"")"),118.99)</f>
        <v>118.99</v>
      </c>
      <c r="F954" s="9">
        <f>IFERROR(__xludf.DUMMYFUNCTION("GOOGLEFINANCE(A954, ""low"")"),116.83)</f>
        <v>116.83</v>
      </c>
      <c r="G954" s="9">
        <f>IFERROR(__xludf.DUMMYFUNCTION("GOOGLEFINANCE(A954, ""price"")"),118.43)</f>
        <v>118.43</v>
      </c>
      <c r="H954" s="9">
        <f>IFERROR(__xludf.DUMMYFUNCTION("MAX(INDEX(GOOGLEFINANCE(A954, ""high"", TODAY()-30, TODAY()), 0, 2))"),129.5)</f>
        <v>129.5</v>
      </c>
      <c r="I954" s="9">
        <f>IFERROR(__xludf.DUMMYFUNCTION("MIN(INDEX(GOOGLEFINANCE(A954, ""low"", TODAY()-30, TODAY()), 0, 2))"),113.0)</f>
        <v>113</v>
      </c>
      <c r="J954" s="9">
        <f>IFERROR(__xludf.DUMMYFUNCTION("GOOGLEFINANCE(A954, ""high52"")"),141.32)</f>
        <v>141.32</v>
      </c>
      <c r="K954" s="9">
        <f>IFERROR(__xludf.DUMMYFUNCTION("GOOGLEFINANCE(A954, ""low52"")"),81.42)</f>
        <v>81.42</v>
      </c>
      <c r="L954" s="9">
        <f t="shared" si="1"/>
        <v>0.1619728276</v>
      </c>
      <c r="M954" s="9">
        <f t="shared" si="2"/>
        <v>0.45455662</v>
      </c>
      <c r="N954" s="9">
        <f t="shared" si="3"/>
        <v>0.01848840195</v>
      </c>
      <c r="O954" s="9">
        <f t="shared" si="4"/>
        <v>0.3290909091</v>
      </c>
      <c r="P954" s="9">
        <f>IFERROR(__xludf.DUMMYFUNCTION("GOOGLEFINANCE(A954, ""pe"")"),21.15)</f>
        <v>21.15</v>
      </c>
      <c r="Q954" s="9">
        <f>IFERROR(__xludf.DUMMYFUNCTION("IFERROR(GOOGLEFINANCE(A954, ""volume"") / GOOGLEFINANCE(A954, ""volumeavg""), 0)"),0.0)</f>
        <v>0</v>
      </c>
      <c r="R954" s="9">
        <f>IFERROR(__xludf.DUMMYFUNCTION("AVERAGE(INDEX(GOOGLEFINANCE(A954, ""price"", TODAY()-30, TODAY()), 0, 2))"),119.17521739130434)</f>
        <v>119.1752174</v>
      </c>
      <c r="S954" s="9">
        <f>IFERROR(__xludf.DUMMYFUNCTION("AVERAGE(INDEX(GOOGLEFINANCE(A954, ""price"", TODAY()-75, TODAY()), 0, 2))"),113.67830188679248)</f>
        <v>113.6783019</v>
      </c>
      <c r="T954" s="9">
        <f>IFERROR(__xludf.DUMMYFUNCTION("AVERAGE(INDEX(GOOGLEFINANCE(A954, ""price"", TODAY()-300, TODAY()), 0, 2))"),105.71732673267324)</f>
        <v>105.7173267</v>
      </c>
      <c r="U954" s="9">
        <f t="shared" si="5"/>
        <v>-0.006253123826</v>
      </c>
      <c r="V954" s="15">
        <f>IFERROR(__xludf.DUMMYFUNCTION("LET(hist, GOOGLEFINANCE(A954,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rs))))))"),54.186289900575616)</f>
        <v>54.1862899</v>
      </c>
      <c r="W954" s="16" t="str">
        <f>IFERROR(__xludf.DUMMYFUNCTION("IFERROR(GOOGLEFINANCE(A954, ""volume"") / GOOGLEFINANCE(A954, ""volumeavg""), )"),"")</f>
        <v/>
      </c>
      <c r="X954" s="9">
        <f>IFERROR(__xludf.DUMMYFUNCTION("B954 * GOOGLEFINANCE(A954, ""volume"")"),7.021442311E7)</f>
        <v>70214423.11</v>
      </c>
      <c r="Y954" s="9">
        <f>IFERROR(__xludf.DUMMYFUNCTION("IFERROR(((B954 - GOOGLEFINANCE(A954, ""priceopen"")) / GOOGLEFINANCE(A954, ""priceopen"")) * GOOGLEFINANCE(A954, ""volume""), 0)"),-2740.6484283072646)</f>
        <v>-2740.648428</v>
      </c>
    </row>
    <row r="955">
      <c r="A955" s="4" t="s">
        <v>2748</v>
      </c>
      <c r="B955" s="7">
        <f>IFERROR(__xludf.DUMMYFUNCTION("GOOGLEFINANCE(A955, ""price"")"),132.77)</f>
        <v>132.77</v>
      </c>
      <c r="C955" s="7">
        <f>IFERROR(__xludf.DUMMYFUNCTION("GOOGLEFINANCE(A955, ""changepct"")"),5.47)</f>
        <v>5.47</v>
      </c>
      <c r="D955" s="9">
        <f>IFERROR(__xludf.DUMMYFUNCTION("GOOGLEFINANCE(A955, ""priceopen"")"),127.16)</f>
        <v>127.16</v>
      </c>
      <c r="E955" s="9">
        <f>IFERROR(__xludf.DUMMYFUNCTION("GOOGLEFINANCE(A955, ""high"")"),138.0)</f>
        <v>138</v>
      </c>
      <c r="F955" s="9">
        <f>IFERROR(__xludf.DUMMYFUNCTION("GOOGLEFINANCE(A955, ""low"")"),125.0)</f>
        <v>125</v>
      </c>
      <c r="G955" s="9">
        <f>IFERROR(__xludf.DUMMYFUNCTION("GOOGLEFINANCE(A955, ""price"")"),132.77)</f>
        <v>132.77</v>
      </c>
      <c r="H955" s="9">
        <f>IFERROR(__xludf.DUMMYFUNCTION("MAX(INDEX(GOOGLEFINANCE(A955, ""high"", TODAY()-30, TODAY()), 0, 2))"),154.3)</f>
        <v>154.3</v>
      </c>
      <c r="I955" s="9">
        <f>IFERROR(__xludf.DUMMYFUNCTION("MIN(INDEX(GOOGLEFINANCE(A955, ""low"", TODAY()-30, TODAY()), 0, 2))"),110.41)</f>
        <v>110.41</v>
      </c>
      <c r="J955" s="9">
        <f>IFERROR(__xludf.DUMMYFUNCTION("GOOGLEFINANCE(A955, ""high52"")"),154.3)</f>
        <v>154.3</v>
      </c>
      <c r="K955" s="9">
        <f>IFERROR(__xludf.DUMMYFUNCTION("GOOGLEFINANCE(A955, ""low52"")"),110.41)</f>
        <v>110.41</v>
      </c>
      <c r="L955" s="9">
        <f t="shared" si="1"/>
        <v>0.1395333765</v>
      </c>
      <c r="M955" s="9">
        <f t="shared" si="2"/>
        <v>0.2025178879</v>
      </c>
      <c r="N955" s="9">
        <f t="shared" si="3"/>
        <v>0.104</v>
      </c>
      <c r="O955" s="9">
        <f t="shared" si="4"/>
        <v>0.5094554568</v>
      </c>
      <c r="P955" s="9" t="str">
        <f>IFERROR(__xludf.DUMMYFUNCTION("GOOGLEFINANCE(A955, ""pe"")"),"#N/A")</f>
        <v>#N/A</v>
      </c>
      <c r="Q955" s="9">
        <f>IFERROR(__xludf.DUMMYFUNCTION("IFERROR(GOOGLEFINANCE(A955, ""volume"") / GOOGLEFINANCE(A955, ""volumeavg""), 0)"),0.0)</f>
        <v>0</v>
      </c>
      <c r="R955" s="9">
        <f>IFERROR(__xludf.DUMMYFUNCTION("AVERAGE(INDEX(GOOGLEFINANCE(A955, ""price"", TODAY()-30, TODAY()), 0, 2))"),126.06260869565217)</f>
        <v>126.0626087</v>
      </c>
      <c r="S955" s="9">
        <f>IFERROR(__xludf.DUMMYFUNCTION("AVERAGE(INDEX(GOOGLEFINANCE(A955, ""price"", TODAY()-75, TODAY()), 0, 2))"),129.07878787878792)</f>
        <v>129.0787879</v>
      </c>
      <c r="T955" s="9">
        <f>IFERROR(__xludf.DUMMYFUNCTION("AVERAGE(INDEX(GOOGLEFINANCE(A955, ""price"", TODAY()-300, TODAY()), 0, 2))"),129.07878787878792)</f>
        <v>129.0787879</v>
      </c>
      <c r="U955" s="9">
        <f t="shared" si="5"/>
        <v>0.05320682615</v>
      </c>
      <c r="V955" s="15">
        <f>IFERROR(__xludf.DUMMYFUNCTION("LET(hist, GOOGLEFINANCE(A955,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rs))))))"),55.06230529595016)</f>
        <v>55.0623053</v>
      </c>
      <c r="W955" s="16" t="str">
        <f>IFERROR(__xludf.DUMMYFUNCTION("IFERROR(GOOGLEFINANCE(A955, ""volume"") / GOOGLEFINANCE(A955, ""volumeavg""), )"),"")</f>
        <v/>
      </c>
      <c r="X955" s="9">
        <f>IFERROR(__xludf.DUMMYFUNCTION("B955 * GOOGLEFINANCE(A955, ""volume"")"),2.7023195903000003E8)</f>
        <v>270231959</v>
      </c>
      <c r="Y955" s="9">
        <f>IFERROR(__xludf.DUMMYFUNCTION("IFERROR(((B955 - GOOGLEFINANCE(A955, ""priceopen"")) / GOOGLEFINANCE(A955, ""priceopen"")) * GOOGLEFINANCE(A955, ""volume""), 0)"),89794.36764705904)</f>
        <v>89794.36765</v>
      </c>
    </row>
    <row r="956">
      <c r="A956" s="4" t="s">
        <v>2749</v>
      </c>
      <c r="B956" s="7">
        <f>IFERROR(__xludf.DUMMYFUNCTION("GOOGLEFINANCE(A956, ""price"")"),302.0)</f>
        <v>302</v>
      </c>
      <c r="C956" s="7">
        <f>IFERROR(__xludf.DUMMYFUNCTION("GOOGLEFINANCE(A956, ""changepct"")"),1.24)</f>
        <v>1.24</v>
      </c>
      <c r="D956" s="9">
        <f>IFERROR(__xludf.DUMMYFUNCTION("GOOGLEFINANCE(A956, ""priceopen"")"),304.5)</f>
        <v>304.5</v>
      </c>
      <c r="E956" s="9">
        <f>IFERROR(__xludf.DUMMYFUNCTION("GOOGLEFINANCE(A956, ""high"")"),308.85)</f>
        <v>308.85</v>
      </c>
      <c r="F956" s="9">
        <f>IFERROR(__xludf.DUMMYFUNCTION("GOOGLEFINANCE(A956, ""low"")"),294.5)</f>
        <v>294.5</v>
      </c>
      <c r="G956" s="9">
        <f>IFERROR(__xludf.DUMMYFUNCTION("GOOGLEFINANCE(A956, ""price"")"),302.0)</f>
        <v>302</v>
      </c>
      <c r="H956" s="9">
        <f>IFERROR(__xludf.DUMMYFUNCTION("MAX(INDEX(GOOGLEFINANCE(A956, ""high"", TODAY()-30, TODAY()), 0, 2))"),343.0)</f>
        <v>343</v>
      </c>
      <c r="I956" s="9">
        <f>IFERROR(__xludf.DUMMYFUNCTION("MIN(INDEX(GOOGLEFINANCE(A956, ""low"", TODAY()-30, TODAY()), 0, 2))"),291.05)</f>
        <v>291.05</v>
      </c>
      <c r="J956" s="9">
        <f>IFERROR(__xludf.DUMMYFUNCTION("GOOGLEFINANCE(A956, ""high52"")"),419.0)</f>
        <v>419</v>
      </c>
      <c r="K956" s="9">
        <f>IFERROR(__xludf.DUMMYFUNCTION("GOOGLEFINANCE(A956, ""low52"")"),251.95)</f>
        <v>251.95</v>
      </c>
      <c r="L956" s="9">
        <f t="shared" si="1"/>
        <v>0.2792362768</v>
      </c>
      <c r="M956" s="9">
        <f t="shared" si="2"/>
        <v>0.1986505259</v>
      </c>
      <c r="N956" s="9">
        <f t="shared" si="3"/>
        <v>0.04872665535</v>
      </c>
      <c r="O956" s="9">
        <f t="shared" si="4"/>
        <v>0.2107795958</v>
      </c>
      <c r="P956" s="9">
        <f>IFERROR(__xludf.DUMMYFUNCTION("GOOGLEFINANCE(A956, ""pe"")"),20.41)</f>
        <v>20.41</v>
      </c>
      <c r="Q956" s="9">
        <f>IFERROR(__xludf.DUMMYFUNCTION("IFERROR(GOOGLEFINANCE(A956, ""volume"") / GOOGLEFINANCE(A956, ""volumeavg""), 0)"),0.0)</f>
        <v>0</v>
      </c>
      <c r="R956" s="9">
        <f>IFERROR(__xludf.DUMMYFUNCTION("AVERAGE(INDEX(GOOGLEFINANCE(A956, ""price"", TODAY()-30, TODAY()), 0, 2))"),317.44347826086954)</f>
        <v>317.4434783</v>
      </c>
      <c r="S956" s="9">
        <f>IFERROR(__xludf.DUMMYFUNCTION("AVERAGE(INDEX(GOOGLEFINANCE(A956, ""price"", TODAY()-75, TODAY()), 0, 2))"),338.0915094339623)</f>
        <v>338.0915094</v>
      </c>
      <c r="T956" s="9">
        <f>IFERROR(__xludf.DUMMYFUNCTION("AVERAGE(INDEX(GOOGLEFINANCE(A956, ""price"", TODAY()-300, TODAY()), 0, 2))"),316.4581683168318)</f>
        <v>316.4581683</v>
      </c>
      <c r="U956" s="9">
        <f t="shared" si="5"/>
        <v>-0.04864953706</v>
      </c>
      <c r="V956" s="15">
        <f>IFERROR(__xludf.DUMMYFUNCTION("LET(hist, GOOGLEFINANCE(A956,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rs))))))"),42.8652321630804)</f>
        <v>42.86523216</v>
      </c>
      <c r="W956" s="16" t="str">
        <f>IFERROR(__xludf.DUMMYFUNCTION("IFERROR(GOOGLEFINANCE(A956, ""volume"") / GOOGLEFINANCE(A956, ""volumeavg""), )"),"")</f>
        <v/>
      </c>
      <c r="X956" s="9">
        <f>IFERROR(__xludf.DUMMYFUNCTION("B956 * GOOGLEFINANCE(A956, ""volume"")"),1.2099932E8)</f>
        <v>120999320</v>
      </c>
      <c r="Y956" s="9">
        <f>IFERROR(__xludf.DUMMYFUNCTION("IFERROR(((B956 - GOOGLEFINANCE(A956, ""priceopen"")) / GOOGLEFINANCE(A956, ""priceopen"")) * GOOGLEFINANCE(A956, ""volume""), 0)"),-3289.4909688013136)</f>
        <v>-3289.490969</v>
      </c>
    </row>
    <row r="957">
      <c r="A957" s="4" t="s">
        <v>2750</v>
      </c>
      <c r="B957" s="7">
        <f>IFERROR(__xludf.DUMMYFUNCTION("GOOGLEFINANCE(A957, ""price"")"),1093.3)</f>
        <v>1093.3</v>
      </c>
      <c r="C957" s="7">
        <f>IFERROR(__xludf.DUMMYFUNCTION("GOOGLEFINANCE(A957, ""changepct"")"),-3.07)</f>
        <v>-3.07</v>
      </c>
      <c r="D957" s="9">
        <f>IFERROR(__xludf.DUMMYFUNCTION("GOOGLEFINANCE(A957, ""priceopen"")"),1127.9)</f>
        <v>1127.9</v>
      </c>
      <c r="E957" s="9">
        <f>IFERROR(__xludf.DUMMYFUNCTION("GOOGLEFINANCE(A957, ""high"")"),1147.0)</f>
        <v>1147</v>
      </c>
      <c r="F957" s="9">
        <f>IFERROR(__xludf.DUMMYFUNCTION("GOOGLEFINANCE(A957, ""low"")"),1085.5)</f>
        <v>1085.5</v>
      </c>
      <c r="G957" s="9">
        <f>IFERROR(__xludf.DUMMYFUNCTION("GOOGLEFINANCE(A957, ""price"")"),1093.3)</f>
        <v>1093.3</v>
      </c>
      <c r="H957" s="9">
        <f>IFERROR(__xludf.DUMMYFUNCTION("MAX(INDEX(GOOGLEFINANCE(A957, ""high"", TODAY()-30, TODAY()), 0, 2))"),1520.0)</f>
        <v>1520</v>
      </c>
      <c r="I957" s="9">
        <f>IFERROR(__xludf.DUMMYFUNCTION("MIN(INDEX(GOOGLEFINANCE(A957, ""low"", TODAY()-30, TODAY()), 0, 2))"),995.4)</f>
        <v>995.4</v>
      </c>
      <c r="J957" s="9">
        <f>IFERROR(__xludf.DUMMYFUNCTION("GOOGLEFINANCE(A957, ""high52"")"),1574.8)</f>
        <v>1574.8</v>
      </c>
      <c r="K957" s="9">
        <f>IFERROR(__xludf.DUMMYFUNCTION("GOOGLEFINANCE(A957, ""low52"")"),788.05)</f>
        <v>788.05</v>
      </c>
      <c r="L957" s="9">
        <f t="shared" si="1"/>
        <v>0.3057531115</v>
      </c>
      <c r="M957" s="9">
        <f t="shared" si="2"/>
        <v>0.3873485185</v>
      </c>
      <c r="N957" s="9">
        <f t="shared" si="3"/>
        <v>0.05665591893</v>
      </c>
      <c r="O957" s="9">
        <f t="shared" si="4"/>
        <v>0.1866183759</v>
      </c>
      <c r="P957" s="9">
        <f>IFERROR(__xludf.DUMMYFUNCTION("GOOGLEFINANCE(A957, ""pe"")"),79.03)</f>
        <v>79.03</v>
      </c>
      <c r="Q957" s="9">
        <f>IFERROR(__xludf.DUMMYFUNCTION("IFERROR(GOOGLEFINANCE(A957, ""volume"") / GOOGLEFINANCE(A957, ""volumeavg""), 0)"),0.0)</f>
        <v>0</v>
      </c>
      <c r="R957" s="9">
        <f>IFERROR(__xludf.DUMMYFUNCTION("AVERAGE(INDEX(GOOGLEFINANCE(A957, ""price"", TODAY()-30, TODAY()), 0, 2))"),1304.526086956522)</f>
        <v>1304.526087</v>
      </c>
      <c r="S957" s="9">
        <f>IFERROR(__xludf.DUMMYFUNCTION("AVERAGE(INDEX(GOOGLEFINANCE(A957, ""price"", TODAY()-75, TODAY()), 0, 2))"),1304.9207547169808)</f>
        <v>1304.920755</v>
      </c>
      <c r="T957" s="9">
        <f>IFERROR(__xludf.DUMMYFUNCTION("AVERAGE(INDEX(GOOGLEFINANCE(A957, ""price"", TODAY()-300, TODAY()), 0, 2))"),1083.6658415841582)</f>
        <v>1083.665842</v>
      </c>
      <c r="U957" s="9">
        <f t="shared" si="5"/>
        <v>-0.1619178712</v>
      </c>
      <c r="V957" s="15">
        <f>IFERROR(__xludf.DUMMYFUNCTION("LET(hist, GOOGLEFINANCE(A957,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rs))))))"),32.511120097048135)</f>
        <v>32.5111201</v>
      </c>
      <c r="W957" s="16" t="str">
        <f>IFERROR(__xludf.DUMMYFUNCTION("IFERROR(GOOGLEFINANCE(A957, ""volume"") / GOOGLEFINANCE(A957, ""volumeavg""), )"),"")</f>
        <v/>
      </c>
      <c r="X957" s="9">
        <f>IFERROR(__xludf.DUMMYFUNCTION("B957 * GOOGLEFINANCE(A957, ""volume"")"),5.0536699199999996E7)</f>
        <v>50536699.2</v>
      </c>
      <c r="Y957" s="9">
        <f>IFERROR(__xludf.DUMMYFUNCTION("IFERROR(((B957 - GOOGLEFINANCE(A957, ""priceopen"")) / GOOGLEFINANCE(A957, ""priceopen"")) * GOOGLEFINANCE(A957, ""volume""), 0)"),-1417.9895380796224)</f>
        <v>-1417.989538</v>
      </c>
    </row>
    <row r="958">
      <c r="A958" s="4" t="s">
        <v>2751</v>
      </c>
      <c r="B958" s="7">
        <f>IFERROR(__xludf.DUMMYFUNCTION("GOOGLEFINANCE(A958, ""price"")"),557.0)</f>
        <v>557</v>
      </c>
      <c r="C958" s="7">
        <f>IFERROR(__xludf.DUMMYFUNCTION("GOOGLEFINANCE(A958, ""changepct"")"),1.68)</f>
        <v>1.68</v>
      </c>
      <c r="D958" s="9">
        <f>IFERROR(__xludf.DUMMYFUNCTION("GOOGLEFINANCE(A958, ""priceopen"")"),553.0)</f>
        <v>553</v>
      </c>
      <c r="E958" s="9">
        <f>IFERROR(__xludf.DUMMYFUNCTION("GOOGLEFINANCE(A958, ""high"")"),575.75)</f>
        <v>575.75</v>
      </c>
      <c r="F958" s="9">
        <f>IFERROR(__xludf.DUMMYFUNCTION("GOOGLEFINANCE(A958, ""low"")"),547.8)</f>
        <v>547.8</v>
      </c>
      <c r="G958" s="9">
        <f>IFERROR(__xludf.DUMMYFUNCTION("GOOGLEFINANCE(A958, ""price"")"),557.0)</f>
        <v>557</v>
      </c>
      <c r="H958" s="9">
        <f>IFERROR(__xludf.DUMMYFUNCTION("MAX(INDEX(GOOGLEFINANCE(A958, ""high"", TODAY()-30, TODAY()), 0, 2))"),584.0)</f>
        <v>584</v>
      </c>
      <c r="I958" s="9">
        <f>IFERROR(__xludf.DUMMYFUNCTION("MIN(INDEX(GOOGLEFINANCE(A958, ""low"", TODAY()-30, TODAY()), 0, 2))"),530.6)</f>
        <v>530.6</v>
      </c>
      <c r="J958" s="9">
        <f>IFERROR(__xludf.DUMMYFUNCTION("GOOGLEFINANCE(A958, ""high52"")"),1049.95)</f>
        <v>1049.95</v>
      </c>
      <c r="K958" s="9">
        <f>IFERROR(__xludf.DUMMYFUNCTION("GOOGLEFINANCE(A958, ""low52"")"),429.5)</f>
        <v>429.5</v>
      </c>
      <c r="L958" s="9">
        <f t="shared" si="1"/>
        <v>0.4694985475</v>
      </c>
      <c r="M958" s="9">
        <f t="shared" si="2"/>
        <v>0.2968568102</v>
      </c>
      <c r="N958" s="9">
        <f t="shared" si="3"/>
        <v>0.0510222709</v>
      </c>
      <c r="O958" s="9">
        <f t="shared" si="4"/>
        <v>0.4943820225</v>
      </c>
      <c r="P958" s="9">
        <f>IFERROR(__xludf.DUMMYFUNCTION("GOOGLEFINANCE(A958, ""pe"")"),10.99)</f>
        <v>10.99</v>
      </c>
      <c r="Q958" s="9">
        <f>IFERROR(__xludf.DUMMYFUNCTION("IFERROR(GOOGLEFINANCE(A958, ""volume"") / GOOGLEFINANCE(A958, ""volumeavg""), 0)"),0.0)</f>
        <v>0</v>
      </c>
      <c r="R958" s="9">
        <f>IFERROR(__xludf.DUMMYFUNCTION("AVERAGE(INDEX(GOOGLEFINANCE(A958, ""price"", TODAY()-30, TODAY()), 0, 2))"),547.8282608695652)</f>
        <v>547.8282609</v>
      </c>
      <c r="S958" s="9">
        <f>IFERROR(__xludf.DUMMYFUNCTION("AVERAGE(INDEX(GOOGLEFINANCE(A958, ""price"", TODAY()-75, TODAY()), 0, 2))"),559.3283018867924)</f>
        <v>559.3283019</v>
      </c>
      <c r="T958" s="9">
        <f>IFERROR(__xludf.DUMMYFUNCTION("AVERAGE(INDEX(GOOGLEFINANCE(A958, ""price"", TODAY()-300, TODAY()), 0, 2))"),653.0314356435644)</f>
        <v>653.0314356</v>
      </c>
      <c r="U958" s="9">
        <f t="shared" si="5"/>
        <v>0.01674199706</v>
      </c>
      <c r="V958" s="15">
        <f>IFERROR(__xludf.DUMMYFUNCTION("LET(hist, GOOGLEFINANCE(A958,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rs))))))"),58.04081632653062)</f>
        <v>58.04081633</v>
      </c>
      <c r="W958" s="16" t="str">
        <f>IFERROR(__xludf.DUMMYFUNCTION("IFERROR(GOOGLEFINANCE(A958, ""volume"") / GOOGLEFINANCE(A958, ""volumeavg""), )"),"")</f>
        <v/>
      </c>
      <c r="X958" s="9">
        <f>IFERROR(__xludf.DUMMYFUNCTION("B958 * GOOGLEFINANCE(A958, ""volume"")"),1.29684082E8)</f>
        <v>129684082</v>
      </c>
      <c r="Y958" s="9">
        <f>IFERROR(__xludf.DUMMYFUNCTION("IFERROR(((B958 - GOOGLEFINANCE(A958, ""priceopen"")) / GOOGLEFINANCE(A958, ""priceopen"")) * GOOGLEFINANCE(A958, ""volume""), 0)"),1684.0940325497288)</f>
        <v>1684.094033</v>
      </c>
    </row>
    <row r="959">
      <c r="A959" s="4" t="s">
        <v>2752</v>
      </c>
      <c r="B959" s="7">
        <f>IFERROR(__xludf.DUMMYFUNCTION("GOOGLEFINANCE(A959, ""price"")"),71.8)</f>
        <v>71.8</v>
      </c>
      <c r="C959" s="7">
        <f>IFERROR(__xludf.DUMMYFUNCTION("GOOGLEFINANCE(A959, ""changepct"")"),-0.21)</f>
        <v>-0.21</v>
      </c>
      <c r="D959" s="9">
        <f>IFERROR(__xludf.DUMMYFUNCTION("GOOGLEFINANCE(A959, ""priceopen"")"),72.07)</f>
        <v>72.07</v>
      </c>
      <c r="E959" s="9">
        <f>IFERROR(__xludf.DUMMYFUNCTION("GOOGLEFINANCE(A959, ""high"")"),72.39)</f>
        <v>72.39</v>
      </c>
      <c r="F959" s="9">
        <f>IFERROR(__xludf.DUMMYFUNCTION("GOOGLEFINANCE(A959, ""low"")"),71.33)</f>
        <v>71.33</v>
      </c>
      <c r="G959" s="9">
        <f>IFERROR(__xludf.DUMMYFUNCTION("GOOGLEFINANCE(A959, ""price"")"),71.8)</f>
        <v>71.8</v>
      </c>
      <c r="H959" s="9">
        <f>IFERROR(__xludf.DUMMYFUNCTION("MAX(INDEX(GOOGLEFINANCE(A959, ""high"", TODAY()-30, TODAY()), 0, 2))"),74.57)</f>
        <v>74.57</v>
      </c>
      <c r="I959" s="9">
        <f>IFERROR(__xludf.DUMMYFUNCTION("MIN(INDEX(GOOGLEFINANCE(A959, ""low"", TODAY()-30, TODAY()), 0, 2))"),69.1)</f>
        <v>69.1</v>
      </c>
      <c r="J959" s="9">
        <f>IFERROR(__xludf.DUMMYFUNCTION("GOOGLEFINANCE(A959, ""high52"")"),102.97)</f>
        <v>102.97</v>
      </c>
      <c r="K959" s="9">
        <f>IFERROR(__xludf.DUMMYFUNCTION("GOOGLEFINANCE(A959, ""low52"")"),63.35)</f>
        <v>63.35</v>
      </c>
      <c r="L959" s="9">
        <f t="shared" si="1"/>
        <v>0.302709527</v>
      </c>
      <c r="M959" s="9">
        <f t="shared" si="2"/>
        <v>0.1333859511</v>
      </c>
      <c r="N959" s="9">
        <f t="shared" si="3"/>
        <v>0.0148605075</v>
      </c>
      <c r="O959" s="9">
        <f t="shared" si="4"/>
        <v>0.4936014625</v>
      </c>
      <c r="P959" s="9">
        <f>IFERROR(__xludf.DUMMYFUNCTION("GOOGLEFINANCE(A959, ""pe"")"),16.66)</f>
        <v>16.66</v>
      </c>
      <c r="Q959" s="9">
        <f>IFERROR(__xludf.DUMMYFUNCTION("IFERROR(GOOGLEFINANCE(A959, ""volume"") / GOOGLEFINANCE(A959, ""volumeavg""), 0)"),0.0)</f>
        <v>0</v>
      </c>
      <c r="R959" s="9">
        <f>IFERROR(__xludf.DUMMYFUNCTION("AVERAGE(INDEX(GOOGLEFINANCE(A959, ""price"", TODAY()-30, TODAY()), 0, 2))"),71.97304347826086)</f>
        <v>71.97304348</v>
      </c>
      <c r="S959" s="9">
        <f>IFERROR(__xludf.DUMMYFUNCTION("AVERAGE(INDEX(GOOGLEFINANCE(A959, ""price"", TODAY()-75, TODAY()), 0, 2))"),73.82490566037737)</f>
        <v>73.82490566</v>
      </c>
      <c r="T959" s="9">
        <f>IFERROR(__xludf.DUMMYFUNCTION("AVERAGE(INDEX(GOOGLEFINANCE(A959, ""price"", TODAY()-300, TODAY()), 0, 2))"),79.49500000000006)</f>
        <v>79.495</v>
      </c>
      <c r="U959" s="9">
        <f t="shared" si="5"/>
        <v>-0.002404281796</v>
      </c>
      <c r="V959" s="15">
        <f>IFERROR(__xludf.DUMMYFUNCTION("LET(hist, GOOGLEFINANCE(A959,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rs))))))"),65.23235800344234)</f>
        <v>65.232358</v>
      </c>
      <c r="W959" s="16" t="str">
        <f>IFERROR(__xludf.DUMMYFUNCTION("IFERROR(GOOGLEFINANCE(A959, ""volume"") / GOOGLEFINANCE(A959, ""volumeavg""), )"),"")</f>
        <v/>
      </c>
      <c r="X959" s="9">
        <f>IFERROR(__xludf.DUMMYFUNCTION("B959 * GOOGLEFINANCE(A959, ""volume"")"),2.49134512E7)</f>
        <v>24913451.2</v>
      </c>
      <c r="Y959" s="9">
        <f>IFERROR(__xludf.DUMMYFUNCTION("IFERROR(((B959 - GOOGLEFINANCE(A959, ""priceopen"")) / GOOGLEFINANCE(A959, ""priceopen"")) * GOOGLEFINANCE(A959, ""volume""), 0)"),-1299.9261828777387)</f>
        <v>-1299.926183</v>
      </c>
    </row>
    <row r="960">
      <c r="A960" s="4" t="s">
        <v>2753</v>
      </c>
      <c r="B960" s="7">
        <f>IFERROR(__xludf.DUMMYFUNCTION("GOOGLEFINANCE(A960, ""price"")"),1049.0)</f>
        <v>1049</v>
      </c>
      <c r="C960" s="7">
        <f>IFERROR(__xludf.DUMMYFUNCTION("GOOGLEFINANCE(A960, ""changepct"")"),9.23)</f>
        <v>9.23</v>
      </c>
      <c r="D960" s="9">
        <f>IFERROR(__xludf.DUMMYFUNCTION("GOOGLEFINANCE(A960, ""priceopen"")"),967.4)</f>
        <v>967.4</v>
      </c>
      <c r="E960" s="9">
        <f>IFERROR(__xludf.DUMMYFUNCTION("GOOGLEFINANCE(A960, ""high"")"),1055.0)</f>
        <v>1055</v>
      </c>
      <c r="F960" s="9">
        <f>IFERROR(__xludf.DUMMYFUNCTION("GOOGLEFINANCE(A960, ""low"")"),961.05)</f>
        <v>961.05</v>
      </c>
      <c r="G960" s="9">
        <f>IFERROR(__xludf.DUMMYFUNCTION("GOOGLEFINANCE(A960, ""price"")"),1049.0)</f>
        <v>1049</v>
      </c>
      <c r="H960" s="9">
        <f>IFERROR(__xludf.DUMMYFUNCTION("MAX(INDEX(GOOGLEFINANCE(A960, ""high"", TODAY()-30, TODAY()), 0, 2))"),1055.0)</f>
        <v>1055</v>
      </c>
      <c r="I960" s="9">
        <f>IFERROR(__xludf.DUMMYFUNCTION("MIN(INDEX(GOOGLEFINANCE(A960, ""low"", TODAY()-30, TODAY()), 0, 2))"),900.0)</f>
        <v>900</v>
      </c>
      <c r="J960" s="9">
        <f>IFERROR(__xludf.DUMMYFUNCTION("GOOGLEFINANCE(A960, ""high52"")"),1055.0)</f>
        <v>1055</v>
      </c>
      <c r="K960" s="9">
        <f>IFERROR(__xludf.DUMMYFUNCTION("GOOGLEFINANCE(A960, ""low52"")"),675.0)</f>
        <v>675</v>
      </c>
      <c r="L960" s="9">
        <f t="shared" si="1"/>
        <v>0.005687203791</v>
      </c>
      <c r="M960" s="9">
        <f t="shared" si="2"/>
        <v>0.5540740741</v>
      </c>
      <c r="N960" s="9">
        <f t="shared" si="3"/>
        <v>0.09775766089</v>
      </c>
      <c r="O960" s="9">
        <f t="shared" si="4"/>
        <v>0.9612903226</v>
      </c>
      <c r="P960" s="9">
        <f>IFERROR(__xludf.DUMMYFUNCTION("GOOGLEFINANCE(A960, ""pe"")"),33.02)</f>
        <v>33.02</v>
      </c>
      <c r="Q960" s="9">
        <f>IFERROR(__xludf.DUMMYFUNCTION("IFERROR(GOOGLEFINANCE(A960, ""volume"") / GOOGLEFINANCE(A960, ""volumeavg""), 0)"),0.0)</f>
        <v>0</v>
      </c>
      <c r="R960" s="9">
        <f>IFERROR(__xludf.DUMMYFUNCTION("AVERAGE(INDEX(GOOGLEFINANCE(A960, ""price"", TODAY()-30, TODAY()), 0, 2))"),944.3695652173911)</f>
        <v>944.3695652</v>
      </c>
      <c r="S960" s="9">
        <f>IFERROR(__xludf.DUMMYFUNCTION("AVERAGE(INDEX(GOOGLEFINANCE(A960, ""price"", TODAY()-75, TODAY()), 0, 2))"),952.2698113207545)</f>
        <v>952.2698113</v>
      </c>
      <c r="T960" s="9">
        <f>IFERROR(__xludf.DUMMYFUNCTION("AVERAGE(INDEX(GOOGLEFINANCE(A960, ""price"", TODAY()-300, TODAY()), 0, 2))"),883.5665841584159)</f>
        <v>883.5665842</v>
      </c>
      <c r="U960" s="9">
        <f t="shared" si="5"/>
        <v>0.1107939504</v>
      </c>
      <c r="V960" s="15">
        <f>IFERROR(__xludf.DUMMYFUNCTION("LET(hist, GOOGLEFINANCE(A960,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rs))))))"),76.61701693531933)</f>
        <v>76.61701694</v>
      </c>
      <c r="W960" s="16" t="str">
        <f>IFERROR(__xludf.DUMMYFUNCTION("IFERROR(GOOGLEFINANCE(A960, ""volume"") / GOOGLEFINANCE(A960, ""volumeavg""), )"),"")</f>
        <v/>
      </c>
      <c r="X960" s="9">
        <f>IFERROR(__xludf.DUMMYFUNCTION("B960 * GOOGLEFINANCE(A960, ""volume"")"),7.30641088E8)</f>
        <v>730641088</v>
      </c>
      <c r="Y960" s="9">
        <f>IFERROR(__xludf.DUMMYFUNCTION("IFERROR(((B960 - GOOGLEFINANCE(A960, ""priceopen"")) / GOOGLEFINANCE(A960, ""priceopen"")) * GOOGLEFINANCE(A960, ""volume""), 0)"),58750.65040314246)</f>
        <v>58750.6504</v>
      </c>
    </row>
    <row r="961">
      <c r="A961" s="4" t="s">
        <v>2754</v>
      </c>
      <c r="B961" s="7">
        <f>IFERROR(__xludf.DUMMYFUNCTION("GOOGLEFINANCE(A961, ""price"")"),67.0)</f>
        <v>67</v>
      </c>
      <c r="C961" s="7">
        <f>IFERROR(__xludf.DUMMYFUNCTION("GOOGLEFINANCE(A961, ""changepct"")"),-0.99)</f>
        <v>-0.99</v>
      </c>
      <c r="D961" s="9">
        <f>IFERROR(__xludf.DUMMYFUNCTION("GOOGLEFINANCE(A961, ""priceopen"")"),68.16)</f>
        <v>68.16</v>
      </c>
      <c r="E961" s="9">
        <f>IFERROR(__xludf.DUMMYFUNCTION("GOOGLEFINANCE(A961, ""high"")"),68.16)</f>
        <v>68.16</v>
      </c>
      <c r="F961" s="9">
        <f>IFERROR(__xludf.DUMMYFUNCTION("GOOGLEFINANCE(A961, ""low"")"),66.0)</f>
        <v>66</v>
      </c>
      <c r="G961" s="9">
        <f>IFERROR(__xludf.DUMMYFUNCTION("GOOGLEFINANCE(A961, ""price"")"),67.0)</f>
        <v>67</v>
      </c>
      <c r="H961" s="9">
        <f>IFERROR(__xludf.DUMMYFUNCTION("MAX(INDEX(GOOGLEFINANCE(A961, ""high"", TODAY()-30, TODAY()), 0, 2))"),82.31)</f>
        <v>82.31</v>
      </c>
      <c r="I961" s="9">
        <f>IFERROR(__xludf.DUMMYFUNCTION("MIN(INDEX(GOOGLEFINANCE(A961, ""low"", TODAY()-30, TODAY()), 0, 2))"),66.0)</f>
        <v>66</v>
      </c>
      <c r="J961" s="9">
        <f>IFERROR(__xludf.DUMMYFUNCTION("GOOGLEFINANCE(A961, ""high52"")"),87.4)</f>
        <v>87.4</v>
      </c>
      <c r="K961" s="9">
        <f>IFERROR(__xludf.DUMMYFUNCTION("GOOGLEFINANCE(A961, ""low52"")"),62.09)</f>
        <v>62.09</v>
      </c>
      <c r="L961" s="9">
        <f t="shared" si="1"/>
        <v>0.233409611</v>
      </c>
      <c r="M961" s="9">
        <f t="shared" si="2"/>
        <v>0.07907875664</v>
      </c>
      <c r="N961" s="9">
        <f t="shared" si="3"/>
        <v>0.03272727273</v>
      </c>
      <c r="O961" s="9">
        <f t="shared" si="4"/>
        <v>0.06131207848</v>
      </c>
      <c r="P961" s="9">
        <f>IFERROR(__xludf.DUMMYFUNCTION("GOOGLEFINANCE(A961, ""pe"")"),18.98)</f>
        <v>18.98</v>
      </c>
      <c r="Q961" s="9">
        <f>IFERROR(__xludf.DUMMYFUNCTION("IFERROR(GOOGLEFINANCE(A961, ""volume"") / GOOGLEFINANCE(A961, ""volumeavg""), 0)"),0.0)</f>
        <v>0</v>
      </c>
      <c r="R961" s="9">
        <f>IFERROR(__xludf.DUMMYFUNCTION("AVERAGE(INDEX(GOOGLEFINANCE(A961, ""price"", TODAY()-30, TODAY()), 0, 2))"),74.20565217391304)</f>
        <v>74.20565217</v>
      </c>
      <c r="S961" s="9">
        <f>IFERROR(__xludf.DUMMYFUNCTION("AVERAGE(INDEX(GOOGLEFINANCE(A961, ""price"", TODAY()-75, TODAY()), 0, 2))"),74.95773584905662)</f>
        <v>74.95773585</v>
      </c>
      <c r="T961" s="9">
        <f>IFERROR(__xludf.DUMMYFUNCTION("AVERAGE(INDEX(GOOGLEFINANCE(A961, ""price"", TODAY()-300, TODAY()), 0, 2))"),73.033875)</f>
        <v>73.033875</v>
      </c>
      <c r="U961" s="9">
        <f t="shared" si="5"/>
        <v>-0.09710381841</v>
      </c>
      <c r="V961" s="15">
        <f>IFERROR(__xludf.DUMMYFUNCTION("LET(hist, GOOGLEFINANCE(A961,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rs))))))"),35.74776310183209)</f>
        <v>35.7477631</v>
      </c>
      <c r="W961" s="16" t="str">
        <f>IFERROR(__xludf.DUMMYFUNCTION("IFERROR(GOOGLEFINANCE(A961, ""volume"") / GOOGLEFINANCE(A961, ""volumeavg""), )"),"")</f>
        <v/>
      </c>
      <c r="X961" s="9">
        <f>IFERROR(__xludf.DUMMYFUNCTION("B961 * GOOGLEFINANCE(A961, ""volume"")"),1.717947E7)</f>
        <v>17179470</v>
      </c>
      <c r="Y961" s="9">
        <f>IFERROR(__xludf.DUMMYFUNCTION("IFERROR(((B961 - GOOGLEFINANCE(A961, ""priceopen"")) / GOOGLEFINANCE(A961, ""priceopen"")) * GOOGLEFINANCE(A961, ""volume""), 0)"),-4363.785211267593)</f>
        <v>-4363.785211</v>
      </c>
    </row>
    <row r="962">
      <c r="A962" s="4" t="s">
        <v>2755</v>
      </c>
      <c r="B962" s="7">
        <f>IFERROR(__xludf.DUMMYFUNCTION("GOOGLEFINANCE(A962, ""price"")"),1189.6)</f>
        <v>1189.6</v>
      </c>
      <c r="C962" s="7">
        <f>IFERROR(__xludf.DUMMYFUNCTION("GOOGLEFINANCE(A962, ""changepct"")"),-3.25)</f>
        <v>-3.25</v>
      </c>
      <c r="D962" s="9">
        <f>IFERROR(__xludf.DUMMYFUNCTION("GOOGLEFINANCE(A962, ""priceopen"")"),1259.5)</f>
        <v>1259.5</v>
      </c>
      <c r="E962" s="9">
        <f>IFERROR(__xludf.DUMMYFUNCTION("GOOGLEFINANCE(A962, ""high"")"),1264.0)</f>
        <v>1264</v>
      </c>
      <c r="F962" s="9">
        <f>IFERROR(__xludf.DUMMYFUNCTION("GOOGLEFINANCE(A962, ""low"")"),1169.8)</f>
        <v>1169.8</v>
      </c>
      <c r="G962" s="9">
        <f>IFERROR(__xludf.DUMMYFUNCTION("GOOGLEFINANCE(A962, ""price"")"),1189.6)</f>
        <v>1189.6</v>
      </c>
      <c r="H962" s="9">
        <f>IFERROR(__xludf.DUMMYFUNCTION("MAX(INDEX(GOOGLEFINANCE(A962, ""high"", TODAY()-30, TODAY()), 0, 2))"),1264.0)</f>
        <v>1264</v>
      </c>
      <c r="I962" s="9">
        <f>IFERROR(__xludf.DUMMYFUNCTION("MIN(INDEX(GOOGLEFINANCE(A962, ""low"", TODAY()-30, TODAY()), 0, 2))"),1051.5)</f>
        <v>1051.5</v>
      </c>
      <c r="J962" s="9">
        <f>IFERROR(__xludf.DUMMYFUNCTION("GOOGLEFINANCE(A962, ""high52"")"),1264.0)</f>
        <v>1264</v>
      </c>
      <c r="K962" s="9">
        <f>IFERROR(__xludf.DUMMYFUNCTION("GOOGLEFINANCE(A962, ""low52"")"),740.0)</f>
        <v>740</v>
      </c>
      <c r="L962" s="9">
        <f t="shared" si="1"/>
        <v>0.05886075949</v>
      </c>
      <c r="M962" s="9">
        <f t="shared" si="2"/>
        <v>0.6075675676</v>
      </c>
      <c r="N962" s="9">
        <f t="shared" si="3"/>
        <v>0.08052658574</v>
      </c>
      <c r="O962" s="9">
        <f t="shared" si="4"/>
        <v>0.6498823529</v>
      </c>
      <c r="P962" s="9">
        <f>IFERROR(__xludf.DUMMYFUNCTION("GOOGLEFINANCE(A962, ""pe"")"),83.07)</f>
        <v>83.07</v>
      </c>
      <c r="Q962" s="9">
        <f>IFERROR(__xludf.DUMMYFUNCTION("IFERROR(GOOGLEFINANCE(A962, ""volume"") / GOOGLEFINANCE(A962, ""volumeavg""), 0)"),0.0)</f>
        <v>0</v>
      </c>
      <c r="R962" s="9">
        <f>IFERROR(__xludf.DUMMYFUNCTION("AVERAGE(INDEX(GOOGLEFINANCE(A962, ""price"", TODAY()-30, TODAY()), 0, 2))"),1116.9065217391303)</f>
        <v>1116.906522</v>
      </c>
      <c r="S962" s="9">
        <f>IFERROR(__xludf.DUMMYFUNCTION("AVERAGE(INDEX(GOOGLEFINANCE(A962, ""price"", TODAY()-75, TODAY()), 0, 2))"),1024.9641509433964)</f>
        <v>1024.964151</v>
      </c>
      <c r="T962" s="9">
        <f>IFERROR(__xludf.DUMMYFUNCTION("AVERAGE(INDEX(GOOGLEFINANCE(A962, ""price"", TODAY()-300, TODAY()), 0, 2))"),906.7556930693067)</f>
        <v>906.7556931</v>
      </c>
      <c r="U962" s="9">
        <f t="shared" si="5"/>
        <v>0.06508465735</v>
      </c>
      <c r="V962" s="15">
        <f>IFERROR(__xludf.DUMMYFUNCTION("LET(hist, GOOGLEFINANCE(A962,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rs))))))"),57.147568013190416)</f>
        <v>57.14756801</v>
      </c>
      <c r="W962" s="16" t="str">
        <f>IFERROR(__xludf.DUMMYFUNCTION("IFERROR(GOOGLEFINANCE(A962, ""volume"") / GOOGLEFINANCE(A962, ""volumeavg""), )"),"")</f>
        <v/>
      </c>
      <c r="X962" s="9">
        <f>IFERROR(__xludf.DUMMYFUNCTION("B962 * GOOGLEFINANCE(A962, ""volume"")"),8.378507448E8)</f>
        <v>837850744.8</v>
      </c>
      <c r="Y962" s="9">
        <f>IFERROR(__xludf.DUMMYFUNCTION("IFERROR(((B962 - GOOGLEFINANCE(A962, ""priceopen"")) / GOOGLEFINANCE(A962, ""priceopen"")) * GOOGLEFINANCE(A962, ""volume""), 0)"),-39088.1132989282)</f>
        <v>-39088.1133</v>
      </c>
    </row>
    <row r="963">
      <c r="A963" s="4" t="s">
        <v>2756</v>
      </c>
      <c r="B963" s="7">
        <f>IFERROR(__xludf.DUMMYFUNCTION("GOOGLEFINANCE(A963, ""price"")"),155.99)</f>
        <v>155.99</v>
      </c>
      <c r="C963" s="7">
        <f>IFERROR(__xludf.DUMMYFUNCTION("GOOGLEFINANCE(A963, ""changepct"")"),1.0)</f>
        <v>1</v>
      </c>
      <c r="D963" s="9">
        <f>IFERROR(__xludf.DUMMYFUNCTION("GOOGLEFINANCE(A963, ""priceopen"")"),155.0)</f>
        <v>155</v>
      </c>
      <c r="E963" s="9">
        <f>IFERROR(__xludf.DUMMYFUNCTION("GOOGLEFINANCE(A963, ""high"")"),155.99)</f>
        <v>155.99</v>
      </c>
      <c r="F963" s="9">
        <f>IFERROR(__xludf.DUMMYFUNCTION("GOOGLEFINANCE(A963, ""low"")"),152.2)</f>
        <v>152.2</v>
      </c>
      <c r="G963" s="9">
        <f>IFERROR(__xludf.DUMMYFUNCTION("GOOGLEFINANCE(A963, ""price"")"),155.99)</f>
        <v>155.99</v>
      </c>
      <c r="H963" s="9">
        <f>IFERROR(__xludf.DUMMYFUNCTION("MAX(INDEX(GOOGLEFINANCE(A963, ""high"", TODAY()-30, TODAY()), 0, 2))"),163.68)</f>
        <v>163.68</v>
      </c>
      <c r="I963" s="9">
        <f>IFERROR(__xludf.DUMMYFUNCTION("MIN(INDEX(GOOGLEFINANCE(A963, ""low"", TODAY()-30, TODAY()), 0, 2))"),151.9)</f>
        <v>151.9</v>
      </c>
      <c r="J963" s="9">
        <f>IFERROR(__xludf.DUMMYFUNCTION("GOOGLEFINANCE(A963, ""high52"")"),224.8)</f>
        <v>224.8</v>
      </c>
      <c r="K963" s="9">
        <f>IFERROR(__xludf.DUMMYFUNCTION("GOOGLEFINANCE(A963, ""low52"")"),136.1)</f>
        <v>136.1</v>
      </c>
      <c r="L963" s="9">
        <f t="shared" si="1"/>
        <v>0.306094306</v>
      </c>
      <c r="M963" s="9">
        <f t="shared" si="2"/>
        <v>0.1461425422</v>
      </c>
      <c r="N963" s="9">
        <f t="shared" si="3"/>
        <v>0.02490144547</v>
      </c>
      <c r="O963" s="9">
        <f t="shared" si="4"/>
        <v>0.3471986418</v>
      </c>
      <c r="P963" s="9">
        <f>IFERROR(__xludf.DUMMYFUNCTION("GOOGLEFINANCE(A963, ""pe"")"),30.35)</f>
        <v>30.35</v>
      </c>
      <c r="Q963" s="9">
        <f>IFERROR(__xludf.DUMMYFUNCTION("IFERROR(GOOGLEFINANCE(A963, ""volume"") / GOOGLEFINANCE(A963, ""volumeavg""), 0)"),0.0)</f>
        <v>0</v>
      </c>
      <c r="R963" s="9">
        <f>IFERROR(__xludf.DUMMYFUNCTION("AVERAGE(INDEX(GOOGLEFINANCE(A963, ""price"", TODAY()-30, TODAY()), 0, 2))"),156.8708695652174)</f>
        <v>156.8708696</v>
      </c>
      <c r="S963" s="9">
        <f>IFERROR(__xludf.DUMMYFUNCTION("AVERAGE(INDEX(GOOGLEFINANCE(A963, ""price"", TODAY()-75, TODAY()), 0, 2))"),154.92301886792453)</f>
        <v>154.9230189</v>
      </c>
      <c r="T963" s="9">
        <f>IFERROR(__xludf.DUMMYFUNCTION("AVERAGE(INDEX(GOOGLEFINANCE(A963, ""price"", TODAY()-300, TODAY()), 0, 2))"),164.99678217821784)</f>
        <v>164.9967822</v>
      </c>
      <c r="U963" s="9">
        <f t="shared" si="5"/>
        <v>-0.005615252645</v>
      </c>
      <c r="V963" s="15">
        <f>IFERROR(__xludf.DUMMYFUNCTION("LET(hist, GOOGLEFINANCE(A963,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rs))))))"),44.707429322813994)</f>
        <v>44.70742932</v>
      </c>
      <c r="W963" s="16" t="str">
        <f>IFERROR(__xludf.DUMMYFUNCTION("IFERROR(GOOGLEFINANCE(A963, ""volume"") / GOOGLEFINANCE(A963, ""volumeavg""), )"),"")</f>
        <v/>
      </c>
      <c r="X963" s="9">
        <f>IFERROR(__xludf.DUMMYFUNCTION("B963 * GOOGLEFINANCE(A963, ""volume"")"),4845673.36)</f>
        <v>4845673.36</v>
      </c>
      <c r="Y963" s="9">
        <f>IFERROR(__xludf.DUMMYFUNCTION("IFERROR(((B963 - GOOGLEFINANCE(A963, ""priceopen"")) / GOOGLEFINANCE(A963, ""priceopen"")) * GOOGLEFINANCE(A963, ""volume""), 0)"),198.40877419355022)</f>
        <v>198.4087742</v>
      </c>
    </row>
    <row r="964">
      <c r="A964" s="4" t="s">
        <v>2757</v>
      </c>
      <c r="B964" s="7">
        <f>IFERROR(__xludf.DUMMYFUNCTION("GOOGLEFINANCE(A964, ""price"")"),1568.0)</f>
        <v>1568</v>
      </c>
      <c r="C964" s="7">
        <f>IFERROR(__xludf.DUMMYFUNCTION("GOOGLEFINANCE(A964, ""changepct"")"),-1.83)</f>
        <v>-1.83</v>
      </c>
      <c r="D964" s="9">
        <f>IFERROR(__xludf.DUMMYFUNCTION("GOOGLEFINANCE(A964, ""priceopen"")"),1595.1)</f>
        <v>1595.1</v>
      </c>
      <c r="E964" s="9">
        <f>IFERROR(__xludf.DUMMYFUNCTION("GOOGLEFINANCE(A964, ""high"")"),1610.0)</f>
        <v>1610</v>
      </c>
      <c r="F964" s="9">
        <f>IFERROR(__xludf.DUMMYFUNCTION("GOOGLEFINANCE(A964, ""low"")"),1545.0)</f>
        <v>1545</v>
      </c>
      <c r="G964" s="9">
        <f>IFERROR(__xludf.DUMMYFUNCTION("GOOGLEFINANCE(A964, ""price"")"),1568.0)</f>
        <v>1568</v>
      </c>
      <c r="H964" s="9">
        <f>IFERROR(__xludf.DUMMYFUNCTION("MAX(INDEX(GOOGLEFINANCE(A964, ""high"", TODAY()-30, TODAY()), 0, 2))"),1831.0)</f>
        <v>1831</v>
      </c>
      <c r="I964" s="9">
        <f>IFERROR(__xludf.DUMMYFUNCTION("MIN(INDEX(GOOGLEFINANCE(A964, ""low"", TODAY()-30, TODAY()), 0, 2))"),1540.0)</f>
        <v>1540</v>
      </c>
      <c r="J964" s="9">
        <f>IFERROR(__xludf.DUMMYFUNCTION("GOOGLEFINANCE(A964, ""high52"")"),1875.0)</f>
        <v>1875</v>
      </c>
      <c r="K964" s="9">
        <f>IFERROR(__xludf.DUMMYFUNCTION("GOOGLEFINANCE(A964, ""low52"")"),890.0)</f>
        <v>890</v>
      </c>
      <c r="L964" s="9">
        <f t="shared" si="1"/>
        <v>0.1637333333</v>
      </c>
      <c r="M964" s="9">
        <f t="shared" si="2"/>
        <v>0.7617977528</v>
      </c>
      <c r="N964" s="9">
        <f t="shared" si="3"/>
        <v>0.04207119741</v>
      </c>
      <c r="O964" s="9">
        <f t="shared" si="4"/>
        <v>0.09621993127</v>
      </c>
      <c r="P964" s="9">
        <f>IFERROR(__xludf.DUMMYFUNCTION("GOOGLEFINANCE(A964, ""pe"")"),31.72)</f>
        <v>31.72</v>
      </c>
      <c r="Q964" s="9">
        <f>IFERROR(__xludf.DUMMYFUNCTION("IFERROR(GOOGLEFINANCE(A964, ""volume"") / GOOGLEFINANCE(A964, ""volumeavg""), 0)"),0.0)</f>
        <v>0</v>
      </c>
      <c r="R964" s="9">
        <f>IFERROR(__xludf.DUMMYFUNCTION("AVERAGE(INDEX(GOOGLEFINANCE(A964, ""price"", TODAY()-30, TODAY()), 0, 2))"),1674.321739130435)</f>
        <v>1674.321739</v>
      </c>
      <c r="S964" s="9">
        <f>IFERROR(__xludf.DUMMYFUNCTION("AVERAGE(INDEX(GOOGLEFINANCE(A964, ""price"", TODAY()-75, TODAY()), 0, 2))"),1619.7754716981135)</f>
        <v>1619.775472</v>
      </c>
      <c r="T964" s="9">
        <f>IFERROR(__xludf.DUMMYFUNCTION("AVERAGE(INDEX(GOOGLEFINANCE(A964, ""price"", TODAY()-300, TODAY()), 0, 2))"),1306.2480198019803)</f>
        <v>1306.24802</v>
      </c>
      <c r="U964" s="9">
        <f t="shared" si="5"/>
        <v>-0.06350137888</v>
      </c>
      <c r="V964" s="15">
        <f>IFERROR(__xludf.DUMMYFUNCTION("LET(hist, GOOGLEFINANCE(A964,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rs))))))"),35.4516678841003)</f>
        <v>35.45166788</v>
      </c>
      <c r="W964" s="16" t="str">
        <f>IFERROR(__xludf.DUMMYFUNCTION("IFERROR(GOOGLEFINANCE(A964, ""volume"") / GOOGLEFINANCE(A964, ""volumeavg""), )"),"")</f>
        <v/>
      </c>
      <c r="X964" s="9">
        <f>IFERROR(__xludf.DUMMYFUNCTION("B964 * GOOGLEFINANCE(A964, ""volume"")"),1.39345024E8)</f>
        <v>139345024</v>
      </c>
      <c r="Y964" s="9">
        <f>IFERROR(__xludf.DUMMYFUNCTION("IFERROR(((B964 - GOOGLEFINANCE(A964, ""priceopen"")) / GOOGLEFINANCE(A964, ""priceopen"")) * GOOGLEFINANCE(A964, ""volume""), 0)"),-1509.8255908720407)</f>
        <v>-1509.825591</v>
      </c>
    </row>
    <row r="965">
      <c r="A965" s="4" t="s">
        <v>2758</v>
      </c>
      <c r="B965" s="7">
        <f>IFERROR(__xludf.DUMMYFUNCTION("GOOGLEFINANCE(A965, ""price"")"),1358.0)</f>
        <v>1358</v>
      </c>
      <c r="C965" s="7">
        <f>IFERROR(__xludf.DUMMYFUNCTION("GOOGLEFINANCE(A965, ""changepct"")"),-1.77)</f>
        <v>-1.77</v>
      </c>
      <c r="D965" s="9">
        <f>IFERROR(__xludf.DUMMYFUNCTION("GOOGLEFINANCE(A965, ""priceopen"")"),1387.0)</f>
        <v>1387</v>
      </c>
      <c r="E965" s="9">
        <f>IFERROR(__xludf.DUMMYFUNCTION("GOOGLEFINANCE(A965, ""high"")"),1421.1)</f>
        <v>1421.1</v>
      </c>
      <c r="F965" s="9">
        <f>IFERROR(__xludf.DUMMYFUNCTION("GOOGLEFINANCE(A965, ""low"")"),1347.3)</f>
        <v>1347.3</v>
      </c>
      <c r="G965" s="9">
        <f>IFERROR(__xludf.DUMMYFUNCTION("GOOGLEFINANCE(A965, ""price"")"),1358.0)</f>
        <v>1358</v>
      </c>
      <c r="H965" s="9">
        <f>IFERROR(__xludf.DUMMYFUNCTION("MAX(INDEX(GOOGLEFINANCE(A965, ""high"", TODAY()-30, TODAY()), 0, 2))"),1522.3)</f>
        <v>1522.3</v>
      </c>
      <c r="I965" s="9">
        <f>IFERROR(__xludf.DUMMYFUNCTION("MIN(INDEX(GOOGLEFINANCE(A965, ""low"", TODAY()-30, TODAY()), 0, 2))"),1347.3)</f>
        <v>1347.3</v>
      </c>
      <c r="J965" s="9">
        <f>IFERROR(__xludf.DUMMYFUNCTION("GOOGLEFINANCE(A965, ""high52"")"),1808.0)</f>
        <v>1808</v>
      </c>
      <c r="K965" s="9">
        <f>IFERROR(__xludf.DUMMYFUNCTION("GOOGLEFINANCE(A965, ""low52"")"),705.85)</f>
        <v>705.85</v>
      </c>
      <c r="L965" s="9">
        <f t="shared" si="1"/>
        <v>0.2488938053</v>
      </c>
      <c r="M965" s="9">
        <f t="shared" si="2"/>
        <v>0.9239215131</v>
      </c>
      <c r="N965" s="9">
        <f t="shared" si="3"/>
        <v>0.0547762191</v>
      </c>
      <c r="O965" s="9">
        <f t="shared" si="4"/>
        <v>0.06114285714</v>
      </c>
      <c r="P965" s="9">
        <f>IFERROR(__xludf.DUMMYFUNCTION("GOOGLEFINANCE(A965, ""pe"")"),20.3)</f>
        <v>20.3</v>
      </c>
      <c r="Q965" s="9">
        <f>IFERROR(__xludf.DUMMYFUNCTION("IFERROR(GOOGLEFINANCE(A965, ""volume"") / GOOGLEFINANCE(A965, ""volumeavg""), 0)"),0.0)</f>
        <v>0</v>
      </c>
      <c r="R965" s="9">
        <f>IFERROR(__xludf.DUMMYFUNCTION("AVERAGE(INDEX(GOOGLEFINANCE(A965, ""price"", TODAY()-30, TODAY()), 0, 2))"),1435.482608695652)</f>
        <v>1435.482609</v>
      </c>
      <c r="S965" s="9">
        <f>IFERROR(__xludf.DUMMYFUNCTION("AVERAGE(INDEX(GOOGLEFINANCE(A965, ""price"", TODAY()-75, TODAY()), 0, 2))"),1509.0867924528302)</f>
        <v>1509.086792</v>
      </c>
      <c r="T965" s="9">
        <f>IFERROR(__xludf.DUMMYFUNCTION("AVERAGE(INDEX(GOOGLEFINANCE(A965, ""price"", TODAY()-300, TODAY()), 0, 2))"),1111.188613861387)</f>
        <v>1111.188614</v>
      </c>
      <c r="U965" s="9">
        <f t="shared" si="5"/>
        <v>-0.05397669622</v>
      </c>
      <c r="V965" s="15">
        <f>IFERROR(__xludf.DUMMYFUNCTION("LET(hist, GOOGLEFINANCE(A965,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rs))))))"),37.14544357272179)</f>
        <v>37.14544357</v>
      </c>
      <c r="W965" s="16" t="str">
        <f>IFERROR(__xludf.DUMMYFUNCTION("IFERROR(GOOGLEFINANCE(A965, ""volume"") / GOOGLEFINANCE(A965, ""volumeavg""), )"),"")</f>
        <v/>
      </c>
      <c r="X965" s="9">
        <f>IFERROR(__xludf.DUMMYFUNCTION("B965 * GOOGLEFINANCE(A965, ""volume"")"),1.20752002E8)</f>
        <v>120752002</v>
      </c>
      <c r="Y965" s="9">
        <f>IFERROR(__xludf.DUMMYFUNCTION("IFERROR(((B965 - GOOGLEFINANCE(A965, ""priceopen"")) / GOOGLEFINANCE(A965, ""priceopen"")) * GOOGLEFINANCE(A965, ""volume""), 0)"),-1859.1571737563086)</f>
        <v>-1859.157174</v>
      </c>
    </row>
    <row r="966">
      <c r="A966" s="4" t="s">
        <v>2759</v>
      </c>
      <c r="B966" s="7">
        <f>IFERROR(__xludf.DUMMYFUNCTION("GOOGLEFINANCE(A966, ""price"")"),133.5)</f>
        <v>133.5</v>
      </c>
      <c r="C966" s="7">
        <f>IFERROR(__xludf.DUMMYFUNCTION("GOOGLEFINANCE(A966, ""changepct"")"),-2.44)</f>
        <v>-2.44</v>
      </c>
      <c r="D966" s="9">
        <f>IFERROR(__xludf.DUMMYFUNCTION("GOOGLEFINANCE(A966, ""priceopen"")"),136.84)</f>
        <v>136.84</v>
      </c>
      <c r="E966" s="9">
        <f>IFERROR(__xludf.DUMMYFUNCTION("GOOGLEFINANCE(A966, ""high"")"),137.14)</f>
        <v>137.14</v>
      </c>
      <c r="F966" s="9">
        <f>IFERROR(__xludf.DUMMYFUNCTION("GOOGLEFINANCE(A966, ""low"")"),131.47)</f>
        <v>131.47</v>
      </c>
      <c r="G966" s="9">
        <f>IFERROR(__xludf.DUMMYFUNCTION("GOOGLEFINANCE(A966, ""price"")"),133.5)</f>
        <v>133.5</v>
      </c>
      <c r="H966" s="9">
        <f>IFERROR(__xludf.DUMMYFUNCTION("MAX(INDEX(GOOGLEFINANCE(A966, ""high"", TODAY()-30, TODAY()), 0, 2))"),145.32)</f>
        <v>145.32</v>
      </c>
      <c r="I966" s="9">
        <f>IFERROR(__xludf.DUMMYFUNCTION("MIN(INDEX(GOOGLEFINANCE(A966, ""low"", TODAY()-30, TODAY()), 0, 2))"),117.72)</f>
        <v>117.72</v>
      </c>
      <c r="J966" s="9">
        <f>IFERROR(__xludf.DUMMYFUNCTION("GOOGLEFINANCE(A966, ""high52"")"),220.0)</f>
        <v>220</v>
      </c>
      <c r="K966" s="9">
        <f>IFERROR(__xludf.DUMMYFUNCTION("GOOGLEFINANCE(A966, ""low52"")"),108.65)</f>
        <v>108.65</v>
      </c>
      <c r="L966" s="9">
        <f t="shared" si="1"/>
        <v>0.3931818182</v>
      </c>
      <c r="M966" s="9">
        <f t="shared" si="2"/>
        <v>0.2287160607</v>
      </c>
      <c r="N966" s="9">
        <f t="shared" si="3"/>
        <v>0.04312770974</v>
      </c>
      <c r="O966" s="9">
        <f t="shared" si="4"/>
        <v>0.5717391304</v>
      </c>
      <c r="P966" s="9">
        <f>IFERROR(__xludf.DUMMYFUNCTION("GOOGLEFINANCE(A966, ""pe"")"),8.59)</f>
        <v>8.59</v>
      </c>
      <c r="Q966" s="9">
        <f>IFERROR(__xludf.DUMMYFUNCTION("IFERROR(GOOGLEFINANCE(A966, ""volume"") / GOOGLEFINANCE(A966, ""volumeavg""), 0)"),0.0)</f>
        <v>0</v>
      </c>
      <c r="R966" s="9">
        <f>IFERROR(__xludf.DUMMYFUNCTION("AVERAGE(INDEX(GOOGLEFINANCE(A966, ""price"", TODAY()-30, TODAY()), 0, 2))"),127.07478260869566)</f>
        <v>127.0747826</v>
      </c>
      <c r="S966" s="9">
        <f>IFERROR(__xludf.DUMMYFUNCTION("AVERAGE(INDEX(GOOGLEFINANCE(A966, ""price"", TODAY()-75, TODAY()), 0, 2))"),129.0509433962264)</f>
        <v>129.0509434</v>
      </c>
      <c r="T966" s="9">
        <f>IFERROR(__xludf.DUMMYFUNCTION("AVERAGE(INDEX(GOOGLEFINANCE(A966, ""price"", TODAY()-300, TODAY()), 0, 2))"),140.56440594059396)</f>
        <v>140.5644059</v>
      </c>
      <c r="U966" s="9">
        <f t="shared" si="5"/>
        <v>0.05056248974</v>
      </c>
      <c r="V966" s="15">
        <f>IFERROR(__xludf.DUMMYFUNCTION("LET(hist, GOOGLEFINANCE(A966,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rs))))))"),67.90278125783013)</f>
        <v>67.90278126</v>
      </c>
      <c r="W966" s="16" t="str">
        <f>IFERROR(__xludf.DUMMYFUNCTION("IFERROR(GOOGLEFINANCE(A966, ""volume"") / GOOGLEFINANCE(A966, ""volumeavg""), )"),"")</f>
        <v/>
      </c>
      <c r="X966" s="9">
        <f>IFERROR(__xludf.DUMMYFUNCTION("B966 * GOOGLEFINANCE(A966, ""volume"")"),1.694220465E8)</f>
        <v>169422046.5</v>
      </c>
      <c r="Y966" s="9">
        <f>IFERROR(__xludf.DUMMYFUNCTION("IFERROR(((B966 - GOOGLEFINANCE(A966, ""priceopen"")) / GOOGLEFINANCE(A966, ""priceopen"")) * GOOGLEFINANCE(A966, ""volume""), 0)"),-30975.766296404592)</f>
        <v>-30975.7663</v>
      </c>
    </row>
    <row r="967">
      <c r="A967" s="4" t="s">
        <v>2760</v>
      </c>
      <c r="B967" s="7">
        <f>IFERROR(__xludf.DUMMYFUNCTION("GOOGLEFINANCE(A967, ""price"")"),494.9)</f>
        <v>494.9</v>
      </c>
      <c r="C967" s="7">
        <f>IFERROR(__xludf.DUMMYFUNCTION("GOOGLEFINANCE(A967, ""changepct"")"),-4.2)</f>
        <v>-4.2</v>
      </c>
      <c r="D967" s="9">
        <f>IFERROR(__xludf.DUMMYFUNCTION("GOOGLEFINANCE(A967, ""priceopen"")"),516.95)</f>
        <v>516.95</v>
      </c>
      <c r="E967" s="9">
        <f>IFERROR(__xludf.DUMMYFUNCTION("GOOGLEFINANCE(A967, ""high"")"),519.8)</f>
        <v>519.8</v>
      </c>
      <c r="F967" s="9">
        <f>IFERROR(__xludf.DUMMYFUNCTION("GOOGLEFINANCE(A967, ""low"")"),472.05)</f>
        <v>472.05</v>
      </c>
      <c r="G967" s="9">
        <f>IFERROR(__xludf.DUMMYFUNCTION("GOOGLEFINANCE(A967, ""price"")"),494.9)</f>
        <v>494.9</v>
      </c>
      <c r="H967" s="9">
        <f>IFERROR(__xludf.DUMMYFUNCTION("MAX(INDEX(GOOGLEFINANCE(A967, ""high"", TODAY()-30, TODAY()), 0, 2))"),554.6)</f>
        <v>554.6</v>
      </c>
      <c r="I967" s="9">
        <f>IFERROR(__xludf.DUMMYFUNCTION("MIN(INDEX(GOOGLEFINANCE(A967, ""low"", TODAY()-30, TODAY()), 0, 2))"),367.5)</f>
        <v>367.5</v>
      </c>
      <c r="J967" s="9">
        <f>IFERROR(__xludf.DUMMYFUNCTION("GOOGLEFINANCE(A967, ""high52"")"),554.6)</f>
        <v>554.6</v>
      </c>
      <c r="K967" s="9">
        <f>IFERROR(__xludf.DUMMYFUNCTION("GOOGLEFINANCE(A967, ""low52"")"),292.25)</f>
        <v>292.25</v>
      </c>
      <c r="L967" s="9">
        <f t="shared" si="1"/>
        <v>0.1076451497</v>
      </c>
      <c r="M967" s="9">
        <f t="shared" si="2"/>
        <v>0.6934131737</v>
      </c>
      <c r="N967" s="9">
        <f t="shared" si="3"/>
        <v>0.1011545387</v>
      </c>
      <c r="O967" s="9">
        <f t="shared" si="4"/>
        <v>0.6809192945</v>
      </c>
      <c r="P967" s="9" t="str">
        <f>IFERROR(__xludf.DUMMYFUNCTION("GOOGLEFINANCE(A967, ""pe"")"),"#N/A")</f>
        <v>#N/A</v>
      </c>
      <c r="Q967" s="9">
        <f>IFERROR(__xludf.DUMMYFUNCTION("IFERROR(GOOGLEFINANCE(A967, ""volume"") / GOOGLEFINANCE(A967, ""volumeavg""), 0)"),0.0)</f>
        <v>0</v>
      </c>
      <c r="R967" s="9">
        <f>IFERROR(__xludf.DUMMYFUNCTION("AVERAGE(INDEX(GOOGLEFINANCE(A967, ""price"", TODAY()-30, TODAY()), 0, 2))"),405.2065217391306)</f>
        <v>405.2065217</v>
      </c>
      <c r="S967" s="9">
        <f>IFERROR(__xludf.DUMMYFUNCTION("AVERAGE(INDEX(GOOGLEFINANCE(A967, ""price"", TODAY()-75, TODAY()), 0, 2))"),382.7273584905661)</f>
        <v>382.7273585</v>
      </c>
      <c r="T967" s="9">
        <f>IFERROR(__xludf.DUMMYFUNCTION("AVERAGE(INDEX(GOOGLEFINANCE(A967, ""price"", TODAY()-300, TODAY()), 0, 2))"),376.81343283582095)</f>
        <v>376.8134328</v>
      </c>
      <c r="U967" s="9">
        <f t="shared" si="5"/>
        <v>0.2213525041</v>
      </c>
      <c r="V967" s="15">
        <f>IFERROR(__xludf.DUMMYFUNCTION("LET(hist, GOOGLEFINANCE(A967,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rs))))))"),76.71443193449335)</f>
        <v>76.71443193</v>
      </c>
      <c r="W967" s="16" t="str">
        <f>IFERROR(__xludf.DUMMYFUNCTION("IFERROR(GOOGLEFINANCE(A967, ""volume"") / GOOGLEFINANCE(A967, ""volumeavg""), )"),"")</f>
        <v/>
      </c>
      <c r="X967" s="9">
        <f>IFERROR(__xludf.DUMMYFUNCTION("B967 * GOOGLEFINANCE(A967, ""volume"")"),4.0369438409999996E8)</f>
        <v>403694384.1</v>
      </c>
      <c r="Y967" s="9">
        <f>IFERROR(__xludf.DUMMYFUNCTION("IFERROR(((B967 - GOOGLEFINANCE(A967, ""priceopen"")) / GOOGLEFINANCE(A967, ""priceopen"")) * GOOGLEFINANCE(A967, ""volume""), 0)"),-34793.27488151669)</f>
        <v>-34793.27488</v>
      </c>
    </row>
    <row r="968">
      <c r="A968" s="4" t="s">
        <v>2761</v>
      </c>
      <c r="B968" s="7">
        <f>IFERROR(__xludf.DUMMYFUNCTION("GOOGLEFINANCE(A968, ""price"")"),181.05)</f>
        <v>181.05</v>
      </c>
      <c r="C968" s="7">
        <f>IFERROR(__xludf.DUMMYFUNCTION("GOOGLEFINANCE(A968, ""changepct"")"),-2.31)</f>
        <v>-2.31</v>
      </c>
      <c r="D968" s="9">
        <f>IFERROR(__xludf.DUMMYFUNCTION("GOOGLEFINANCE(A968, ""priceopen"")"),185.4)</f>
        <v>185.4</v>
      </c>
      <c r="E968" s="9">
        <f>IFERROR(__xludf.DUMMYFUNCTION("GOOGLEFINANCE(A968, ""high"")"),186.26)</f>
        <v>186.26</v>
      </c>
      <c r="F968" s="9">
        <f>IFERROR(__xludf.DUMMYFUNCTION("GOOGLEFINANCE(A968, ""low"")"),180.01)</f>
        <v>180.01</v>
      </c>
      <c r="G968" s="9">
        <f>IFERROR(__xludf.DUMMYFUNCTION("GOOGLEFINANCE(A968, ""price"")"),181.05)</f>
        <v>181.05</v>
      </c>
      <c r="H968" s="9">
        <f>IFERROR(__xludf.DUMMYFUNCTION("MAX(INDEX(GOOGLEFINANCE(A968, ""high"", TODAY()-30, TODAY()), 0, 2))"),207.39)</f>
        <v>207.39</v>
      </c>
      <c r="I968" s="9">
        <f>IFERROR(__xludf.DUMMYFUNCTION("MIN(INDEX(GOOGLEFINANCE(A968, ""low"", TODAY()-30, TODAY()), 0, 2))"),180.01)</f>
        <v>180.01</v>
      </c>
      <c r="J968" s="9">
        <f>IFERROR(__xludf.DUMMYFUNCTION("GOOGLEFINANCE(A968, ""high52"")"),387.95)</f>
        <v>387.95</v>
      </c>
      <c r="K968" s="9">
        <f>IFERROR(__xludf.DUMMYFUNCTION("GOOGLEFINANCE(A968, ""low52"")"),173.35)</f>
        <v>173.35</v>
      </c>
      <c r="L968" s="9">
        <f t="shared" si="1"/>
        <v>0.533316149</v>
      </c>
      <c r="M968" s="9">
        <f t="shared" si="2"/>
        <v>0.04441880588</v>
      </c>
      <c r="N968" s="9">
        <f t="shared" si="3"/>
        <v>0.03472029332</v>
      </c>
      <c r="O968" s="9">
        <f t="shared" si="4"/>
        <v>0.03798392988</v>
      </c>
      <c r="P968" s="9">
        <f>IFERROR(__xludf.DUMMYFUNCTION("GOOGLEFINANCE(A968, ""pe"")"),14.42)</f>
        <v>14.42</v>
      </c>
      <c r="Q968" s="9">
        <f>IFERROR(__xludf.DUMMYFUNCTION("IFERROR(GOOGLEFINANCE(A968, ""volume"") / GOOGLEFINANCE(A968, ""volumeavg""), 0)"),0.0)</f>
        <v>0</v>
      </c>
      <c r="R968" s="9">
        <f>IFERROR(__xludf.DUMMYFUNCTION("AVERAGE(INDEX(GOOGLEFINANCE(A968, ""price"", TODAY()-30, TODAY()), 0, 2))"),189.3869565217392)</f>
        <v>189.3869565</v>
      </c>
      <c r="S968" s="9">
        <f>IFERROR(__xludf.DUMMYFUNCTION("AVERAGE(INDEX(GOOGLEFINANCE(A968, ""price"", TODAY()-75, TODAY()), 0, 2))"),199.75056603773575)</f>
        <v>199.750566</v>
      </c>
      <c r="T968" s="9">
        <f>IFERROR(__xludf.DUMMYFUNCTION("AVERAGE(INDEX(GOOGLEFINANCE(A968, ""price"", TODAY()-300, TODAY()), 0, 2))"),235.4969306930693)</f>
        <v>235.4969307</v>
      </c>
      <c r="U968" s="9">
        <f t="shared" si="5"/>
        <v>-0.04402075346</v>
      </c>
      <c r="V968" s="15">
        <f>IFERROR(__xludf.DUMMYFUNCTION("LET(hist, GOOGLEFINANCE(A968,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rs))))))"),45.28875379939209)</f>
        <v>45.2887538</v>
      </c>
      <c r="W968" s="16" t="str">
        <f>IFERROR(__xludf.DUMMYFUNCTION("IFERROR(GOOGLEFINANCE(A968, ""volume"") / GOOGLEFINANCE(A968, ""volumeavg""), )"),"")</f>
        <v/>
      </c>
      <c r="X968" s="9">
        <f>IFERROR(__xludf.DUMMYFUNCTION("B968 * GOOGLEFINANCE(A968, ""volume"")"),4.706883585E7)</f>
        <v>47068835.85</v>
      </c>
      <c r="Y968" s="9">
        <f>IFERROR(__xludf.DUMMYFUNCTION("IFERROR(((B968 - GOOGLEFINANCE(A968, ""priceopen"")) / GOOGLEFINANCE(A968, ""priceopen"")) * GOOGLEFINANCE(A968, ""volume""), 0)"),-6099.783980582516)</f>
        <v>-6099.783981</v>
      </c>
    </row>
    <row r="969">
      <c r="A969" s="4" t="s">
        <v>2762</v>
      </c>
      <c r="B969" s="7">
        <f>IFERROR(__xludf.DUMMYFUNCTION("GOOGLEFINANCE(A969, ""price"")"),517.0)</f>
        <v>517</v>
      </c>
      <c r="C969" s="7">
        <f>IFERROR(__xludf.DUMMYFUNCTION("GOOGLEFINANCE(A969, ""changepct"")"),-2.47)</f>
        <v>-2.47</v>
      </c>
      <c r="D969" s="9">
        <f>IFERROR(__xludf.DUMMYFUNCTION("GOOGLEFINANCE(A969, ""priceopen"")"),531.05)</f>
        <v>531.05</v>
      </c>
      <c r="E969" s="9">
        <f>IFERROR(__xludf.DUMMYFUNCTION("GOOGLEFINANCE(A969, ""high"")"),531.15)</f>
        <v>531.15</v>
      </c>
      <c r="F969" s="9">
        <f>IFERROR(__xludf.DUMMYFUNCTION("GOOGLEFINANCE(A969, ""low"")"),515.7)</f>
        <v>515.7</v>
      </c>
      <c r="G969" s="9">
        <f>IFERROR(__xludf.DUMMYFUNCTION("GOOGLEFINANCE(A969, ""price"")"),517.0)</f>
        <v>517</v>
      </c>
      <c r="H969" s="9">
        <f>IFERROR(__xludf.DUMMYFUNCTION("MAX(INDEX(GOOGLEFINANCE(A969, ""high"", TODAY()-30, TODAY()), 0, 2))"),649.95)</f>
        <v>649.95</v>
      </c>
      <c r="I969" s="9">
        <f>IFERROR(__xludf.DUMMYFUNCTION("MIN(INDEX(GOOGLEFINANCE(A969, ""low"", TODAY()-30, TODAY()), 0, 2))"),515.7)</f>
        <v>515.7</v>
      </c>
      <c r="J969" s="9">
        <f>IFERROR(__xludf.DUMMYFUNCTION("GOOGLEFINANCE(A969, ""high52"")"),921.6)</f>
        <v>921.6</v>
      </c>
      <c r="K969" s="9">
        <f>IFERROR(__xludf.DUMMYFUNCTION("GOOGLEFINANCE(A969, ""low52"")"),410.7)</f>
        <v>410.7</v>
      </c>
      <c r="L969" s="9">
        <f t="shared" si="1"/>
        <v>0.4390190972</v>
      </c>
      <c r="M969" s="9">
        <f t="shared" si="2"/>
        <v>0.258826394</v>
      </c>
      <c r="N969" s="9">
        <f t="shared" si="3"/>
        <v>0.02995927865</v>
      </c>
      <c r="O969" s="9">
        <f t="shared" si="4"/>
        <v>0.009683426443</v>
      </c>
      <c r="P969" s="9">
        <f>IFERROR(__xludf.DUMMYFUNCTION("GOOGLEFINANCE(A969, ""pe"")"),13.11)</f>
        <v>13.11</v>
      </c>
      <c r="Q969" s="9">
        <f>IFERROR(__xludf.DUMMYFUNCTION("IFERROR(GOOGLEFINANCE(A969, ""volume"") / GOOGLEFINANCE(A969, ""volumeavg""), 0)"),0.0)</f>
        <v>0</v>
      </c>
      <c r="R969" s="9">
        <f>IFERROR(__xludf.DUMMYFUNCTION("AVERAGE(INDEX(GOOGLEFINANCE(A969, ""price"", TODAY()-30, TODAY()), 0, 2))"),552.6847826086956)</f>
        <v>552.6847826</v>
      </c>
      <c r="S969" s="9">
        <f>IFERROR(__xludf.DUMMYFUNCTION("AVERAGE(INDEX(GOOGLEFINANCE(A969, ""price"", TODAY()-75, TODAY()), 0, 2))"),540.4386792452829)</f>
        <v>540.4386792</v>
      </c>
      <c r="T969" s="9">
        <f>IFERROR(__xludf.DUMMYFUNCTION("AVERAGE(INDEX(GOOGLEFINANCE(A969, ""price"", TODAY()-300, TODAY()), 0, 2))"),579.3012376237624)</f>
        <v>579.3012376</v>
      </c>
      <c r="U969" s="9">
        <f t="shared" si="5"/>
        <v>-0.06456624776</v>
      </c>
      <c r="V969" s="15">
        <f>IFERROR(__xludf.DUMMYFUNCTION("LET(hist, GOOGLEFINANCE(A969,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rs))))))"),16.351684470008266)</f>
        <v>16.35168447</v>
      </c>
      <c r="W969" s="16" t="str">
        <f>IFERROR(__xludf.DUMMYFUNCTION("IFERROR(GOOGLEFINANCE(A969, ""volume"") / GOOGLEFINANCE(A969, ""volumeavg""), )"),"")</f>
        <v/>
      </c>
      <c r="X969" s="9">
        <f>IFERROR(__xludf.DUMMYFUNCTION("B969 * GOOGLEFINANCE(A969, ""volume"")"),7.5559033E7)</f>
        <v>75559033</v>
      </c>
      <c r="Y969" s="9">
        <f>IFERROR(__xludf.DUMMYFUNCTION("IFERROR(((B969 - GOOGLEFINANCE(A969, ""priceopen"")) / GOOGLEFINANCE(A969, ""priceopen"")) * GOOGLEFINANCE(A969, ""volume""), 0)"),-3866.6668863572045)</f>
        <v>-3866.666886</v>
      </c>
    </row>
    <row r="970">
      <c r="A970" s="4" t="s">
        <v>2763</v>
      </c>
      <c r="B970" s="7">
        <f>IFERROR(__xludf.DUMMYFUNCTION("GOOGLEFINANCE(A970, ""price"")"),114.0)</f>
        <v>114</v>
      </c>
      <c r="C970" s="7">
        <f>IFERROR(__xludf.DUMMYFUNCTION("GOOGLEFINANCE(A970, ""changepct"")"),-2.56)</f>
        <v>-2.56</v>
      </c>
      <c r="D970" s="9">
        <f>IFERROR(__xludf.DUMMYFUNCTION("GOOGLEFINANCE(A970, ""priceopen"")"),116.45)</f>
        <v>116.45</v>
      </c>
      <c r="E970" s="9">
        <f>IFERROR(__xludf.DUMMYFUNCTION("GOOGLEFINANCE(A970, ""high"")"),116.5)</f>
        <v>116.5</v>
      </c>
      <c r="F970" s="9">
        <f>IFERROR(__xludf.DUMMYFUNCTION("GOOGLEFINANCE(A970, ""low"")"),113.0)</f>
        <v>113</v>
      </c>
      <c r="G970" s="9">
        <f>IFERROR(__xludf.DUMMYFUNCTION("GOOGLEFINANCE(A970, ""price"")"),114.0)</f>
        <v>114</v>
      </c>
      <c r="H970" s="9">
        <f>IFERROR(__xludf.DUMMYFUNCTION("MAX(INDEX(GOOGLEFINANCE(A970, ""high"", TODAY()-30, TODAY()), 0, 2))"),133.0)</f>
        <v>133</v>
      </c>
      <c r="I970" s="9">
        <f>IFERROR(__xludf.DUMMYFUNCTION("MIN(INDEX(GOOGLEFINANCE(A970, ""low"", TODAY()-30, TODAY()), 0, 2))"),113.0)</f>
        <v>113</v>
      </c>
      <c r="J970" s="9">
        <f>IFERROR(__xludf.DUMMYFUNCTION("GOOGLEFINANCE(A970, ""high52"")"),214.5)</f>
        <v>214.5</v>
      </c>
      <c r="K970" s="9">
        <f>IFERROR(__xludf.DUMMYFUNCTION("GOOGLEFINANCE(A970, ""low52"")"),101.0)</f>
        <v>101</v>
      </c>
      <c r="L970" s="9">
        <f t="shared" si="1"/>
        <v>0.4685314685</v>
      </c>
      <c r="M970" s="9">
        <f t="shared" si="2"/>
        <v>0.1287128713</v>
      </c>
      <c r="N970" s="9">
        <f t="shared" si="3"/>
        <v>0.03097345133</v>
      </c>
      <c r="O970" s="9">
        <f t="shared" si="4"/>
        <v>0.05</v>
      </c>
      <c r="P970" s="9">
        <f>IFERROR(__xludf.DUMMYFUNCTION("GOOGLEFINANCE(A970, ""pe"")"),1.25)</f>
        <v>1.25</v>
      </c>
      <c r="Q970" s="9">
        <f>IFERROR(__xludf.DUMMYFUNCTION("IFERROR(GOOGLEFINANCE(A970, ""volume"") / GOOGLEFINANCE(A970, ""volumeavg""), 0)"),0.0)</f>
        <v>0</v>
      </c>
      <c r="R970" s="9">
        <f>IFERROR(__xludf.DUMMYFUNCTION("AVERAGE(INDEX(GOOGLEFINANCE(A970, ""price"", TODAY()-30, TODAY()), 0, 2))"),122.38826086956522)</f>
        <v>122.3882609</v>
      </c>
      <c r="S970" s="9">
        <f>IFERROR(__xludf.DUMMYFUNCTION("AVERAGE(INDEX(GOOGLEFINANCE(A970, ""price"", TODAY()-75, TODAY()), 0, 2))"),125.46830188679245)</f>
        <v>125.4683019</v>
      </c>
      <c r="T970" s="9">
        <f>IFERROR(__xludf.DUMMYFUNCTION("AVERAGE(INDEX(GOOGLEFINANCE(A970, ""price"", TODAY()-300, TODAY()), 0, 2))"),145.0194554455446)</f>
        <v>145.0194554</v>
      </c>
      <c r="U970" s="9">
        <f t="shared" si="5"/>
        <v>-0.0685381164</v>
      </c>
      <c r="V970" s="15">
        <f>IFERROR(__xludf.DUMMYFUNCTION("LET(hist, GOOGLEFINANCE(A970,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rs))))))"),27.378640776699)</f>
        <v>27.37864078</v>
      </c>
      <c r="W970" s="16" t="str">
        <f>IFERROR(__xludf.DUMMYFUNCTION("IFERROR(GOOGLEFINANCE(A970, ""volume"") / GOOGLEFINANCE(A970, ""volumeavg""), )"),"")</f>
        <v/>
      </c>
      <c r="X970" s="9">
        <f>IFERROR(__xludf.DUMMYFUNCTION("B970 * GOOGLEFINANCE(A970, ""volume"")"),1.49663076E8)</f>
        <v>149663076</v>
      </c>
      <c r="Y970" s="9">
        <f>IFERROR(__xludf.DUMMYFUNCTION("IFERROR(((B970 - GOOGLEFINANCE(A970, ""priceopen"")) / GOOGLEFINANCE(A970, ""priceopen"")) * GOOGLEFINANCE(A970, ""volume""), 0)"),-27620.809789609306)</f>
        <v>-27620.80979</v>
      </c>
    </row>
    <row r="971">
      <c r="A971" s="4" t="s">
        <v>2764</v>
      </c>
      <c r="B971" s="7">
        <f>IFERROR(__xludf.DUMMYFUNCTION("GOOGLEFINANCE(A971, ""price"")"),496.0)</f>
        <v>496</v>
      </c>
      <c r="C971" s="7">
        <f>IFERROR(__xludf.DUMMYFUNCTION("GOOGLEFINANCE(A971, ""changepct"")"),-0.21)</f>
        <v>-0.21</v>
      </c>
      <c r="D971" s="9">
        <f>IFERROR(__xludf.DUMMYFUNCTION("GOOGLEFINANCE(A971, ""priceopen"")"),498.3)</f>
        <v>498.3</v>
      </c>
      <c r="E971" s="9">
        <f>IFERROR(__xludf.DUMMYFUNCTION("GOOGLEFINANCE(A971, ""high"")"),504.2)</f>
        <v>504.2</v>
      </c>
      <c r="F971" s="9">
        <f>IFERROR(__xludf.DUMMYFUNCTION("GOOGLEFINANCE(A971, ""low"")"),493.0)</f>
        <v>493</v>
      </c>
      <c r="G971" s="9">
        <f>IFERROR(__xludf.DUMMYFUNCTION("GOOGLEFINANCE(A971, ""price"")"),496.0)</f>
        <v>496</v>
      </c>
      <c r="H971" s="9">
        <f>IFERROR(__xludf.DUMMYFUNCTION("MAX(INDEX(GOOGLEFINANCE(A971, ""high"", TODAY()-30, TODAY()), 0, 2))"),516.7)</f>
        <v>516.7</v>
      </c>
      <c r="I971" s="9">
        <f>IFERROR(__xludf.DUMMYFUNCTION("MIN(INDEX(GOOGLEFINANCE(A971, ""low"", TODAY()-30, TODAY()), 0, 2))"),432.0)</f>
        <v>432</v>
      </c>
      <c r="J971" s="9">
        <f>IFERROR(__xludf.DUMMYFUNCTION("GOOGLEFINANCE(A971, ""high52"")"),602.8)</f>
        <v>602.8</v>
      </c>
      <c r="K971" s="9">
        <f>IFERROR(__xludf.DUMMYFUNCTION("GOOGLEFINANCE(A971, ""low52"")"),330.0)</f>
        <v>330</v>
      </c>
      <c r="L971" s="9">
        <f t="shared" si="1"/>
        <v>0.1771731918</v>
      </c>
      <c r="M971" s="9">
        <f t="shared" si="2"/>
        <v>0.503030303</v>
      </c>
      <c r="N971" s="9">
        <f t="shared" si="3"/>
        <v>0.02271805274</v>
      </c>
      <c r="O971" s="9">
        <f t="shared" si="4"/>
        <v>0.7556080283</v>
      </c>
      <c r="P971" s="9">
        <f>IFERROR(__xludf.DUMMYFUNCTION("GOOGLEFINANCE(A971, ""pe"")"),11.3)</f>
        <v>11.3</v>
      </c>
      <c r="Q971" s="9">
        <f>IFERROR(__xludf.DUMMYFUNCTION("IFERROR(GOOGLEFINANCE(A971, ""volume"") / GOOGLEFINANCE(A971, ""volumeavg""), 0)"),0.0)</f>
        <v>0</v>
      </c>
      <c r="R971" s="9">
        <f>IFERROR(__xludf.DUMMYFUNCTION("AVERAGE(INDEX(GOOGLEFINANCE(A971, ""price"", TODAY()-30, TODAY()), 0, 2))"),470.204347826087)</f>
        <v>470.2043478</v>
      </c>
      <c r="S971" s="9">
        <f>IFERROR(__xludf.DUMMYFUNCTION("AVERAGE(INDEX(GOOGLEFINANCE(A971, ""price"", TODAY()-75, TODAY()), 0, 2))"),446.0198113207548)</f>
        <v>446.0198113</v>
      </c>
      <c r="T971" s="9">
        <f>IFERROR(__xludf.DUMMYFUNCTION("AVERAGE(INDEX(GOOGLEFINANCE(A971, ""price"", TODAY()-300, TODAY()), 0, 2))"),458.3316831683165)</f>
        <v>458.3316832</v>
      </c>
      <c r="U971" s="9">
        <f t="shared" si="5"/>
        <v>0.05486051393</v>
      </c>
      <c r="V971" s="15">
        <f>IFERROR(__xludf.DUMMYFUNCTION("LET(hist, GOOGLEFINANCE(A971,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rs))))))"),59.10079767947789)</f>
        <v>59.10079768</v>
      </c>
      <c r="W971" s="16" t="str">
        <f>IFERROR(__xludf.DUMMYFUNCTION("IFERROR(GOOGLEFINANCE(A971, ""volume"") / GOOGLEFINANCE(A971, ""volumeavg""), )"),"")</f>
        <v/>
      </c>
      <c r="X971" s="9">
        <f>IFERROR(__xludf.DUMMYFUNCTION("B971 * GOOGLEFINANCE(A971, ""volume"")"),3.596248E7)</f>
        <v>35962480</v>
      </c>
      <c r="Y971" s="9">
        <f>IFERROR(__xludf.DUMMYFUNCTION("IFERROR(((B971 - GOOGLEFINANCE(A971, ""priceopen"")) / GOOGLEFINANCE(A971, ""priceopen"")) * GOOGLEFINANCE(A971, ""volume""), 0)"),-334.66084687939156)</f>
        <v>-334.6608469</v>
      </c>
    </row>
    <row r="972">
      <c r="A972" s="4" t="s">
        <v>2765</v>
      </c>
      <c r="B972" s="7">
        <f>IFERROR(__xludf.DUMMYFUNCTION("GOOGLEFINANCE(A972, ""price"")"),47.95)</f>
        <v>47.95</v>
      </c>
      <c r="C972" s="7">
        <f>IFERROR(__xludf.DUMMYFUNCTION("GOOGLEFINANCE(A972, ""changepct"")"),-0.27)</f>
        <v>-0.27</v>
      </c>
      <c r="D972" s="9">
        <f>IFERROR(__xludf.DUMMYFUNCTION("GOOGLEFINANCE(A972, ""priceopen"")"),48.37)</f>
        <v>48.37</v>
      </c>
      <c r="E972" s="9">
        <f>IFERROR(__xludf.DUMMYFUNCTION("GOOGLEFINANCE(A972, ""high"")"),48.37)</f>
        <v>48.37</v>
      </c>
      <c r="F972" s="9">
        <f>IFERROR(__xludf.DUMMYFUNCTION("GOOGLEFINANCE(A972, ""low"")"),47.5)</f>
        <v>47.5</v>
      </c>
      <c r="G972" s="9">
        <f>IFERROR(__xludf.DUMMYFUNCTION("GOOGLEFINANCE(A972, ""price"")"),47.95)</f>
        <v>47.95</v>
      </c>
      <c r="H972" s="9">
        <f>IFERROR(__xludf.DUMMYFUNCTION("MAX(INDEX(GOOGLEFINANCE(A972, ""high"", TODAY()-30, TODAY()), 0, 2))"),56.0)</f>
        <v>56</v>
      </c>
      <c r="I972" s="9">
        <f>IFERROR(__xludf.DUMMYFUNCTION("MIN(INDEX(GOOGLEFINANCE(A972, ""low"", TODAY()-30, TODAY()), 0, 2))"),47.5)</f>
        <v>47.5</v>
      </c>
      <c r="J972" s="9">
        <f>IFERROR(__xludf.DUMMYFUNCTION("GOOGLEFINANCE(A972, ""high52"")"),63.25)</f>
        <v>63.25</v>
      </c>
      <c r="K972" s="9">
        <f>IFERROR(__xludf.DUMMYFUNCTION("GOOGLEFINANCE(A972, ""low52"")"),36.0)</f>
        <v>36</v>
      </c>
      <c r="L972" s="9">
        <f t="shared" si="1"/>
        <v>0.2418972332</v>
      </c>
      <c r="M972" s="9">
        <f t="shared" si="2"/>
        <v>0.3319444444</v>
      </c>
      <c r="N972" s="9">
        <f t="shared" si="3"/>
        <v>0.01831578947</v>
      </c>
      <c r="O972" s="9">
        <f t="shared" si="4"/>
        <v>0.05294117647</v>
      </c>
      <c r="P972" s="9">
        <f>IFERROR(__xludf.DUMMYFUNCTION("GOOGLEFINANCE(A972, ""pe"")"),113.4)</f>
        <v>113.4</v>
      </c>
      <c r="Q972" s="9">
        <f>IFERROR(__xludf.DUMMYFUNCTION("IFERROR(GOOGLEFINANCE(A972, ""volume"") / GOOGLEFINANCE(A972, ""volumeavg""), 0)"),0.0)</f>
        <v>0</v>
      </c>
      <c r="R972" s="9">
        <f>IFERROR(__xludf.DUMMYFUNCTION("AVERAGE(INDEX(GOOGLEFINANCE(A972, ""price"", TODAY()-30, TODAY()), 0, 2))"),51.33695652173914)</f>
        <v>51.33695652</v>
      </c>
      <c r="S972" s="9">
        <f>IFERROR(__xludf.DUMMYFUNCTION("AVERAGE(INDEX(GOOGLEFINANCE(A972, ""price"", TODAY()-75, TODAY()), 0, 2))"),52.288490566037744)</f>
        <v>52.28849057</v>
      </c>
      <c r="T972" s="9">
        <f>IFERROR(__xludf.DUMMYFUNCTION("AVERAGE(INDEX(GOOGLEFINANCE(A972, ""price"", TODAY()-300, TODAY()), 0, 2))"),48.723)</f>
        <v>48.723</v>
      </c>
      <c r="U972" s="9">
        <f t="shared" si="5"/>
        <v>-0.06597501588</v>
      </c>
      <c r="V972" s="15">
        <f>IFERROR(__xludf.DUMMYFUNCTION("LET(hist, GOOGLEFINANCE(A972,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rs))))))"),39.50310559006208)</f>
        <v>39.50310559</v>
      </c>
      <c r="W972" s="16" t="str">
        <f>IFERROR(__xludf.DUMMYFUNCTION("IFERROR(GOOGLEFINANCE(A972, ""volume"") / GOOGLEFINANCE(A972, ""volumeavg""), )"),"")</f>
        <v/>
      </c>
      <c r="X972" s="9">
        <f>IFERROR(__xludf.DUMMYFUNCTION("B972 * GOOGLEFINANCE(A972, ""volume"")"),7501825.45)</f>
        <v>7501825.45</v>
      </c>
      <c r="Y972" s="9">
        <f>IFERROR(__xludf.DUMMYFUNCTION("IFERROR(((B972 - GOOGLEFINANCE(A972, ""priceopen"")) / GOOGLEFINANCE(A972, ""priceopen"")) * GOOGLEFINANCE(A972, ""volume""), 0)"),-1358.474674384932)</f>
        <v>-1358.474674</v>
      </c>
    </row>
    <row r="973">
      <c r="A973" s="4" t="s">
        <v>2766</v>
      </c>
      <c r="B973" s="7">
        <f>IFERROR(__xludf.DUMMYFUNCTION("GOOGLEFINANCE(A973, ""price"")"),274.35)</f>
        <v>274.35</v>
      </c>
      <c r="C973" s="7">
        <f>IFERROR(__xludf.DUMMYFUNCTION("GOOGLEFINANCE(A973, ""changepct"")"),0.46)</f>
        <v>0.46</v>
      </c>
      <c r="D973" s="9">
        <f>IFERROR(__xludf.DUMMYFUNCTION("GOOGLEFINANCE(A973, ""priceopen"")"),275.8)</f>
        <v>275.8</v>
      </c>
      <c r="E973" s="9">
        <f>IFERROR(__xludf.DUMMYFUNCTION("GOOGLEFINANCE(A973, ""high"")"),280.95)</f>
        <v>280.95</v>
      </c>
      <c r="F973" s="9">
        <f>IFERROR(__xludf.DUMMYFUNCTION("GOOGLEFINANCE(A973, ""low"")"),272.0)</f>
        <v>272</v>
      </c>
      <c r="G973" s="9">
        <f>IFERROR(__xludf.DUMMYFUNCTION("GOOGLEFINANCE(A973, ""price"")"),274.35)</f>
        <v>274.35</v>
      </c>
      <c r="H973" s="9">
        <f>IFERROR(__xludf.DUMMYFUNCTION("MAX(INDEX(GOOGLEFINANCE(A973, ""high"", TODAY()-30, TODAY()), 0, 2))"),285.0)</f>
        <v>285</v>
      </c>
      <c r="I973" s="9">
        <f>IFERROR(__xludf.DUMMYFUNCTION("MIN(INDEX(GOOGLEFINANCE(A973, ""low"", TODAY()-30, TODAY()), 0, 2))"),257.0)</f>
        <v>257</v>
      </c>
      <c r="J973" s="9">
        <f>IFERROR(__xludf.DUMMYFUNCTION("GOOGLEFINANCE(A973, ""high52"")"),398.0)</f>
        <v>398</v>
      </c>
      <c r="K973" s="9">
        <f>IFERROR(__xludf.DUMMYFUNCTION("GOOGLEFINANCE(A973, ""low52"")"),247.55)</f>
        <v>247.55</v>
      </c>
      <c r="L973" s="9">
        <f t="shared" si="1"/>
        <v>0.310678392</v>
      </c>
      <c r="M973" s="9">
        <f t="shared" si="2"/>
        <v>0.1082609574</v>
      </c>
      <c r="N973" s="9">
        <f t="shared" si="3"/>
        <v>0.03290441176</v>
      </c>
      <c r="O973" s="9">
        <f t="shared" si="4"/>
        <v>0.6196428571</v>
      </c>
      <c r="P973" s="9">
        <f>IFERROR(__xludf.DUMMYFUNCTION("GOOGLEFINANCE(A973, ""pe"")"),40.77)</f>
        <v>40.77</v>
      </c>
      <c r="Q973" s="9">
        <f>IFERROR(__xludf.DUMMYFUNCTION("IFERROR(GOOGLEFINANCE(A973, ""volume"") / GOOGLEFINANCE(A973, ""volumeavg""), 0)"),0.0)</f>
        <v>0</v>
      </c>
      <c r="R973" s="9">
        <f>IFERROR(__xludf.DUMMYFUNCTION("AVERAGE(INDEX(GOOGLEFINANCE(A973, ""price"", TODAY()-30, TODAY()), 0, 2))"),267.34130434782605)</f>
        <v>267.3413043</v>
      </c>
      <c r="S973" s="9">
        <f>IFERROR(__xludf.DUMMYFUNCTION("AVERAGE(INDEX(GOOGLEFINANCE(A973, ""price"", TODAY()-75, TODAY()), 0, 2))"),275.32358490566037)</f>
        <v>275.3235849</v>
      </c>
      <c r="T973" s="9">
        <f>IFERROR(__xludf.DUMMYFUNCTION("AVERAGE(INDEX(GOOGLEFINANCE(A973, ""price"", TODAY()-300, TODAY()), 0, 2))"),298.61641791044775)</f>
        <v>298.6164179</v>
      </c>
      <c r="U973" s="9">
        <f t="shared" si="5"/>
        <v>0.02621628435</v>
      </c>
      <c r="V973" s="15">
        <f>IFERROR(__xludf.DUMMYFUNCTION("LET(hist, GOOGLEFINANCE(A973,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rs))))))"),71.36752136752142)</f>
        <v>71.36752137</v>
      </c>
      <c r="W973" s="16" t="str">
        <f>IFERROR(__xludf.DUMMYFUNCTION("IFERROR(GOOGLEFINANCE(A973, ""volume"") / GOOGLEFINANCE(A973, ""volumeavg""), )"),"")</f>
        <v/>
      </c>
      <c r="X973" s="9">
        <f>IFERROR(__xludf.DUMMYFUNCTION("B973 * GOOGLEFINANCE(A973, ""volume"")"),6.615566160000001E7)</f>
        <v>66155661.6</v>
      </c>
      <c r="Y973" s="9">
        <f>IFERROR(__xludf.DUMMYFUNCTION("IFERROR(((B973 - GOOGLEFINANCE(A973, ""priceopen"")) / GOOGLEFINANCE(A973, ""priceopen"")) * GOOGLEFINANCE(A973, ""volume""), 0)"),-1267.756345177655)</f>
        <v>-1267.756345</v>
      </c>
    </row>
    <row r="974">
      <c r="A974" s="4" t="s">
        <v>2767</v>
      </c>
      <c r="B974" s="7">
        <f>IFERROR(__xludf.DUMMYFUNCTION("GOOGLEFINANCE(A974, ""price"")"),203.7)</f>
        <v>203.7</v>
      </c>
      <c r="C974" s="7">
        <f>IFERROR(__xludf.DUMMYFUNCTION("GOOGLEFINANCE(A974, ""changepct"")"),-3.96)</f>
        <v>-3.96</v>
      </c>
      <c r="D974" s="9">
        <f>IFERROR(__xludf.DUMMYFUNCTION("GOOGLEFINANCE(A974, ""priceopen"")"),213.17)</f>
        <v>213.17</v>
      </c>
      <c r="E974" s="9">
        <f>IFERROR(__xludf.DUMMYFUNCTION("GOOGLEFINANCE(A974, ""high"")"),215.53)</f>
        <v>215.53</v>
      </c>
      <c r="F974" s="9">
        <f>IFERROR(__xludf.DUMMYFUNCTION("GOOGLEFINANCE(A974, ""low"")"),200.1)</f>
        <v>200.1</v>
      </c>
      <c r="G974" s="9">
        <f>IFERROR(__xludf.DUMMYFUNCTION("GOOGLEFINANCE(A974, ""price"")"),203.7)</f>
        <v>203.7</v>
      </c>
      <c r="H974" s="9">
        <f>IFERROR(__xludf.DUMMYFUNCTION("MAX(INDEX(GOOGLEFINANCE(A974, ""high"", TODAY()-30, TODAY()), 0, 2))"),243.0)</f>
        <v>243</v>
      </c>
      <c r="I974" s="9">
        <f>IFERROR(__xludf.DUMMYFUNCTION("MIN(INDEX(GOOGLEFINANCE(A974, ""low"", TODAY()-30, TODAY()), 0, 2))"),197.21)</f>
        <v>197.21</v>
      </c>
      <c r="J974" s="9">
        <f>IFERROR(__xludf.DUMMYFUNCTION("GOOGLEFINANCE(A974, ""high52"")"),243.0)</f>
        <v>243</v>
      </c>
      <c r="K974" s="9">
        <f>IFERROR(__xludf.DUMMYFUNCTION("GOOGLEFINANCE(A974, ""low52"")"),136.5)</f>
        <v>136.5</v>
      </c>
      <c r="L974" s="9">
        <f t="shared" si="1"/>
        <v>0.1617283951</v>
      </c>
      <c r="M974" s="9">
        <f t="shared" si="2"/>
        <v>0.4923076923</v>
      </c>
      <c r="N974" s="9">
        <f t="shared" si="3"/>
        <v>0.07711144428</v>
      </c>
      <c r="O974" s="9">
        <f t="shared" si="4"/>
        <v>0.1417340031</v>
      </c>
      <c r="P974" s="9">
        <f>IFERROR(__xludf.DUMMYFUNCTION("GOOGLEFINANCE(A974, ""pe"")"),201.3)</f>
        <v>201.3</v>
      </c>
      <c r="Q974" s="9">
        <f>IFERROR(__xludf.DUMMYFUNCTION("IFERROR(GOOGLEFINANCE(A974, ""volume"") / GOOGLEFINANCE(A974, ""volumeavg""), 0)"),0.0)</f>
        <v>0</v>
      </c>
      <c r="R974" s="9">
        <f>IFERROR(__xludf.DUMMYFUNCTION("AVERAGE(INDEX(GOOGLEFINANCE(A974, ""price"", TODAY()-30, TODAY()), 0, 2))"),216.1926086956521)</f>
        <v>216.1926087</v>
      </c>
      <c r="S974" s="9">
        <f>IFERROR(__xludf.DUMMYFUNCTION("AVERAGE(INDEX(GOOGLEFINANCE(A974, ""price"", TODAY()-75, TODAY()), 0, 2))"),200.6235849056604)</f>
        <v>200.6235849</v>
      </c>
      <c r="T974" s="9">
        <f>IFERROR(__xludf.DUMMYFUNCTION("AVERAGE(INDEX(GOOGLEFINANCE(A974, ""price"", TODAY()-300, TODAY()), 0, 2))"),181.0521782178218)</f>
        <v>181.0521782</v>
      </c>
      <c r="U974" s="9">
        <f t="shared" si="5"/>
        <v>-0.05778462442</v>
      </c>
      <c r="V974" s="15">
        <f>IFERROR(__xludf.DUMMYFUNCTION("LET(hist, GOOGLEFINANCE(A974,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rs))))))"),38.59694875472682)</f>
        <v>38.59694875</v>
      </c>
      <c r="W974" s="16" t="str">
        <f>IFERROR(__xludf.DUMMYFUNCTION("IFERROR(GOOGLEFINANCE(A974, ""volume"") / GOOGLEFINANCE(A974, ""volumeavg""), )"),"")</f>
        <v/>
      </c>
      <c r="X974" s="9">
        <f>IFERROR(__xludf.DUMMYFUNCTION("B974 * GOOGLEFINANCE(A974, ""volume"")"),2.530860465E8)</f>
        <v>253086046.5</v>
      </c>
      <c r="Y974" s="9">
        <f>IFERROR(__xludf.DUMMYFUNCTION("IFERROR(((B974 - GOOGLEFINANCE(A974, ""priceopen"")) / GOOGLEFINANCE(A974, ""priceopen"")) * GOOGLEFINANCE(A974, ""volume""), 0)"),-55195.16887929821)</f>
        <v>-55195.16888</v>
      </c>
    </row>
    <row r="975">
      <c r="A975" s="4" t="s">
        <v>2768</v>
      </c>
      <c r="B975" s="7">
        <f>IFERROR(__xludf.DUMMYFUNCTION("GOOGLEFINANCE(A975, ""price"")"),377.5)</f>
        <v>377.5</v>
      </c>
      <c r="C975" s="7">
        <f>IFERROR(__xludf.DUMMYFUNCTION("GOOGLEFINANCE(A975, ""changepct"")"),-1.78)</f>
        <v>-1.78</v>
      </c>
      <c r="D975" s="9">
        <f>IFERROR(__xludf.DUMMYFUNCTION("GOOGLEFINANCE(A975, ""priceopen"")"),386.05)</f>
        <v>386.05</v>
      </c>
      <c r="E975" s="9">
        <f>IFERROR(__xludf.DUMMYFUNCTION("GOOGLEFINANCE(A975, ""high"")"),386.05)</f>
        <v>386.05</v>
      </c>
      <c r="F975" s="9">
        <f>IFERROR(__xludf.DUMMYFUNCTION("GOOGLEFINANCE(A975, ""low"")"),375.3)</f>
        <v>375.3</v>
      </c>
      <c r="G975" s="9">
        <f>IFERROR(__xludf.DUMMYFUNCTION("GOOGLEFINANCE(A975, ""price"")"),377.5)</f>
        <v>377.5</v>
      </c>
      <c r="H975" s="9">
        <f>IFERROR(__xludf.DUMMYFUNCTION("MAX(INDEX(GOOGLEFINANCE(A975, ""high"", TODAY()-30, TODAY()), 0, 2))"),405.9)</f>
        <v>405.9</v>
      </c>
      <c r="I975" s="9">
        <f>IFERROR(__xludf.DUMMYFUNCTION("MIN(INDEX(GOOGLEFINANCE(A975, ""low"", TODAY()-30, TODAY()), 0, 2))"),358.25)</f>
        <v>358.25</v>
      </c>
      <c r="J975" s="9">
        <f>IFERROR(__xludf.DUMMYFUNCTION("GOOGLEFINANCE(A975, ""high52"")"),640.85)</f>
        <v>640.85</v>
      </c>
      <c r="K975" s="9">
        <f>IFERROR(__xludf.DUMMYFUNCTION("GOOGLEFINANCE(A975, ""low52"")"),342.0)</f>
        <v>342</v>
      </c>
      <c r="L975" s="9">
        <f t="shared" si="1"/>
        <v>0.4109385972</v>
      </c>
      <c r="M975" s="9">
        <f t="shared" si="2"/>
        <v>0.1038011696</v>
      </c>
      <c r="N975" s="9">
        <f t="shared" si="3"/>
        <v>0.02864375167</v>
      </c>
      <c r="O975" s="9">
        <f t="shared" si="4"/>
        <v>0.4039874082</v>
      </c>
      <c r="P975" s="9">
        <f>IFERROR(__xludf.DUMMYFUNCTION("GOOGLEFINANCE(A975, ""pe"")"),18.41)</f>
        <v>18.41</v>
      </c>
      <c r="Q975" s="9">
        <f>IFERROR(__xludf.DUMMYFUNCTION("IFERROR(GOOGLEFINANCE(A975, ""volume"") / GOOGLEFINANCE(A975, ""volumeavg""), 0)"),0.0)</f>
        <v>0</v>
      </c>
      <c r="R975" s="9">
        <f>IFERROR(__xludf.DUMMYFUNCTION("AVERAGE(INDEX(GOOGLEFINANCE(A975, ""price"", TODAY()-30, TODAY()), 0, 2))"),371.80434782608694)</f>
        <v>371.8043478</v>
      </c>
      <c r="S975" s="9">
        <f>IFERROR(__xludf.DUMMYFUNCTION("AVERAGE(INDEX(GOOGLEFINANCE(A975, ""price"", TODAY()-75, TODAY()), 0, 2))"),379.3688679245283)</f>
        <v>379.3688679</v>
      </c>
      <c r="T975" s="9">
        <f>IFERROR(__xludf.DUMMYFUNCTION("AVERAGE(INDEX(GOOGLEFINANCE(A975, ""price"", TODAY()-300, TODAY()), 0, 2))"),425.1465346534653)</f>
        <v>425.1465347</v>
      </c>
      <c r="U975" s="9">
        <f t="shared" si="5"/>
        <v>0.01531894989</v>
      </c>
      <c r="V975" s="15">
        <f>IFERROR(__xludf.DUMMYFUNCTION("LET(hist, GOOGLEFINANCE(A975,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rs))))))"),56.4053537284895)</f>
        <v>56.40535373</v>
      </c>
      <c r="W975" s="16" t="str">
        <f>IFERROR(__xludf.DUMMYFUNCTION("IFERROR(GOOGLEFINANCE(A975, ""volume"") / GOOGLEFINANCE(A975, ""volumeavg""), )"),"")</f>
        <v/>
      </c>
      <c r="X975" s="9">
        <f>IFERROR(__xludf.DUMMYFUNCTION("B975 * GOOGLEFINANCE(A975, ""volume"")"),7.55479425E7)</f>
        <v>75547942.5</v>
      </c>
      <c r="Y975" s="9">
        <f>IFERROR(__xludf.DUMMYFUNCTION("IFERROR(((B975 - GOOGLEFINANCE(A975, ""priceopen"")) / GOOGLEFINANCE(A975, ""priceopen"")) * GOOGLEFINANCE(A975, ""volume""), 0)"),-4432.290765444896)</f>
        <v>-4432.290765</v>
      </c>
    </row>
    <row r="976">
      <c r="A976" s="4" t="s">
        <v>2769</v>
      </c>
      <c r="B976" s="7">
        <f>IFERROR(__xludf.DUMMYFUNCTION("GOOGLEFINANCE(A976, ""price"")"),1187.0)</f>
        <v>1187</v>
      </c>
      <c r="C976" s="7">
        <f>IFERROR(__xludf.DUMMYFUNCTION("GOOGLEFINANCE(A976, ""changepct"")"),-0.78)</f>
        <v>-0.78</v>
      </c>
      <c r="D976" s="9">
        <f>IFERROR(__xludf.DUMMYFUNCTION("GOOGLEFINANCE(A976, ""priceopen"")"),1205.9)</f>
        <v>1205.9</v>
      </c>
      <c r="E976" s="9">
        <f>IFERROR(__xludf.DUMMYFUNCTION("GOOGLEFINANCE(A976, ""high"")"),1215.0)</f>
        <v>1215</v>
      </c>
      <c r="F976" s="9">
        <f>IFERROR(__xludf.DUMMYFUNCTION("GOOGLEFINANCE(A976, ""low"")"),1171.2)</f>
        <v>1171.2</v>
      </c>
      <c r="G976" s="9">
        <f>IFERROR(__xludf.DUMMYFUNCTION("GOOGLEFINANCE(A976, ""price"")"),1187.0)</f>
        <v>1187</v>
      </c>
      <c r="H976" s="9">
        <f>IFERROR(__xludf.DUMMYFUNCTION("MAX(INDEX(GOOGLEFINANCE(A976, ""high"", TODAY()-30, TODAY()), 0, 2))"),1280.9)</f>
        <v>1280.9</v>
      </c>
      <c r="I976" s="9">
        <f>IFERROR(__xludf.DUMMYFUNCTION("MIN(INDEX(GOOGLEFINANCE(A976, ""low"", TODAY()-30, TODAY()), 0, 2))"),1094.2)</f>
        <v>1094.2</v>
      </c>
      <c r="J976" s="9">
        <f>IFERROR(__xludf.DUMMYFUNCTION("GOOGLEFINANCE(A976, ""high52"")"),1280.9)</f>
        <v>1280.9</v>
      </c>
      <c r="K976" s="9">
        <f>IFERROR(__xludf.DUMMYFUNCTION("GOOGLEFINANCE(A976, ""low52"")"),732.1)</f>
        <v>732.1</v>
      </c>
      <c r="L976" s="9">
        <f t="shared" si="1"/>
        <v>0.07330783043</v>
      </c>
      <c r="M976" s="9">
        <f t="shared" si="2"/>
        <v>0.6213632017</v>
      </c>
      <c r="N976" s="9">
        <f t="shared" si="3"/>
        <v>0.03739754098</v>
      </c>
      <c r="O976" s="9">
        <f t="shared" si="4"/>
        <v>0.4970540975</v>
      </c>
      <c r="P976" s="9">
        <f>IFERROR(__xludf.DUMMYFUNCTION("GOOGLEFINANCE(A976, ""pe"")"),34.39)</f>
        <v>34.39</v>
      </c>
      <c r="Q976" s="9">
        <f>IFERROR(__xludf.DUMMYFUNCTION("IFERROR(GOOGLEFINANCE(A976, ""volume"") / GOOGLEFINANCE(A976, ""volumeavg""), 0)"),0.0)</f>
        <v>0</v>
      </c>
      <c r="R976" s="9">
        <f>IFERROR(__xludf.DUMMYFUNCTION("AVERAGE(INDEX(GOOGLEFINANCE(A976, ""price"", TODAY()-30, TODAY()), 0, 2))"),1179.8304347826088)</f>
        <v>1179.830435</v>
      </c>
      <c r="S976" s="9">
        <f>IFERROR(__xludf.DUMMYFUNCTION("AVERAGE(INDEX(GOOGLEFINANCE(A976, ""price"", TODAY()-75, TODAY()), 0, 2))"),1165.3179245283018)</f>
        <v>1165.317925</v>
      </c>
      <c r="T976" s="9">
        <f>IFERROR(__xludf.DUMMYFUNCTION("AVERAGE(INDEX(GOOGLEFINANCE(A976, ""price"", TODAY()-300, TODAY()), 0, 2))"),972.0049504950495)</f>
        <v>972.0049505</v>
      </c>
      <c r="U976" s="9">
        <f t="shared" si="5"/>
        <v>0.006076775955</v>
      </c>
      <c r="V976" s="15">
        <f>IFERROR(__xludf.DUMMYFUNCTION("LET(hist, GOOGLEFINANCE(A976,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rs))))))"),61.759948236816584)</f>
        <v>61.75994824</v>
      </c>
      <c r="W976" s="16" t="str">
        <f>IFERROR(__xludf.DUMMYFUNCTION("IFERROR(GOOGLEFINANCE(A976, ""volume"") / GOOGLEFINANCE(A976, ""volumeavg""), )"),"")</f>
        <v/>
      </c>
      <c r="X976" s="9">
        <f>IFERROR(__xludf.DUMMYFUNCTION("B976 * GOOGLEFINANCE(A976, ""volume"")"),1.07409256E8)</f>
        <v>107409256</v>
      </c>
      <c r="Y976" s="9">
        <f>IFERROR(__xludf.DUMMYFUNCTION("IFERROR(((B976 - GOOGLEFINANCE(A976, ""priceopen"")) / GOOGLEFINANCE(A976, ""priceopen"")) * GOOGLEFINANCE(A976, ""volume""), 0)"),-1418.213118832414)</f>
        <v>-1418.213119</v>
      </c>
    </row>
    <row r="977">
      <c r="A977" s="4" t="s">
        <v>2770</v>
      </c>
      <c r="B977" s="7">
        <f>IFERROR(__xludf.DUMMYFUNCTION("GOOGLEFINANCE(A977, ""price"")"),167.0)</f>
        <v>167</v>
      </c>
      <c r="C977" s="7">
        <f>IFERROR(__xludf.DUMMYFUNCTION("GOOGLEFINANCE(A977, ""changepct"")"),-1.18)</f>
        <v>-1.18</v>
      </c>
      <c r="D977" s="9">
        <f>IFERROR(__xludf.DUMMYFUNCTION("GOOGLEFINANCE(A977, ""priceopen"")"),169.6)</f>
        <v>169.6</v>
      </c>
      <c r="E977" s="9">
        <f>IFERROR(__xludf.DUMMYFUNCTION("GOOGLEFINANCE(A977, ""high"")"),173.01)</f>
        <v>173.01</v>
      </c>
      <c r="F977" s="9">
        <f>IFERROR(__xludf.DUMMYFUNCTION("GOOGLEFINANCE(A977, ""low"")"),167.0)</f>
        <v>167</v>
      </c>
      <c r="G977" s="9">
        <f>IFERROR(__xludf.DUMMYFUNCTION("GOOGLEFINANCE(A977, ""price"")"),167.0)</f>
        <v>167</v>
      </c>
      <c r="H977" s="9">
        <f>IFERROR(__xludf.DUMMYFUNCTION("MAX(INDEX(GOOGLEFINANCE(A977, ""high"", TODAY()-30, TODAY()), 0, 2))"),179.5)</f>
        <v>179.5</v>
      </c>
      <c r="I977" s="9">
        <f>IFERROR(__xludf.DUMMYFUNCTION("MIN(INDEX(GOOGLEFINANCE(A977, ""low"", TODAY()-30, TODAY()), 0, 2))"),162.03)</f>
        <v>162.03</v>
      </c>
      <c r="J977" s="9">
        <f>IFERROR(__xludf.DUMMYFUNCTION("GOOGLEFINANCE(A977, ""high52"")"),196.45)</f>
        <v>196.45</v>
      </c>
      <c r="K977" s="9">
        <f>IFERROR(__xludf.DUMMYFUNCTION("GOOGLEFINANCE(A977, ""low52"")"),114.61)</f>
        <v>114.61</v>
      </c>
      <c r="L977" s="9">
        <f t="shared" si="1"/>
        <v>0.1499109188</v>
      </c>
      <c r="M977" s="9">
        <f t="shared" si="2"/>
        <v>0.457115435</v>
      </c>
      <c r="N977" s="9">
        <f t="shared" si="3"/>
        <v>0.03598802395</v>
      </c>
      <c r="O977" s="9">
        <f t="shared" si="4"/>
        <v>0.2844876932</v>
      </c>
      <c r="P977" s="9">
        <f>IFERROR(__xludf.DUMMYFUNCTION("GOOGLEFINANCE(A977, ""pe"")"),37.66)</f>
        <v>37.66</v>
      </c>
      <c r="Q977" s="9">
        <f>IFERROR(__xludf.DUMMYFUNCTION("IFERROR(GOOGLEFINANCE(A977, ""volume"") / GOOGLEFINANCE(A977, ""volumeavg""), 0)"),0.0)</f>
        <v>0</v>
      </c>
      <c r="R977" s="9">
        <f>IFERROR(__xludf.DUMMYFUNCTION("AVERAGE(INDEX(GOOGLEFINANCE(A977, ""price"", TODAY()-30, TODAY()), 0, 2))"),171.95478260869567)</f>
        <v>171.9547826</v>
      </c>
      <c r="S977" s="9">
        <f>IFERROR(__xludf.DUMMYFUNCTION("AVERAGE(INDEX(GOOGLEFINANCE(A977, ""price"", TODAY()-75, TODAY()), 0, 2))"),159.6777358490566)</f>
        <v>159.6777358</v>
      </c>
      <c r="T977" s="9">
        <f>IFERROR(__xludf.DUMMYFUNCTION("AVERAGE(INDEX(GOOGLEFINANCE(A977, ""price"", TODAY()-300, TODAY()), 0, 2))"),147.78084158415825)</f>
        <v>147.7808416</v>
      </c>
      <c r="U977" s="9">
        <f t="shared" si="5"/>
        <v>-0.02881445072</v>
      </c>
      <c r="V977" s="15">
        <f>IFERROR(__xludf.DUMMYFUNCTION("LET(hist, GOOGLEFINANCE(A977,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rs))))))"),39.015429831006635)</f>
        <v>39.01542983</v>
      </c>
      <c r="W977" s="16" t="str">
        <f>IFERROR(__xludf.DUMMYFUNCTION("IFERROR(GOOGLEFINANCE(A977, ""volume"") / GOOGLEFINANCE(A977, ""volumeavg""), )"),"")</f>
        <v/>
      </c>
      <c r="X977" s="9">
        <f>IFERROR(__xludf.DUMMYFUNCTION("B977 * GOOGLEFINANCE(A977, ""volume"")"),3.5387968E7)</f>
        <v>35387968</v>
      </c>
      <c r="Y977" s="9">
        <f>IFERROR(__xludf.DUMMYFUNCTION("IFERROR(((B977 - GOOGLEFINANCE(A977, ""priceopen"")) / GOOGLEFINANCE(A977, ""priceopen"")) * GOOGLEFINANCE(A977, ""volume""), 0)"),-3248.5283018867854)</f>
        <v>-3248.528302</v>
      </c>
    </row>
    <row r="978">
      <c r="A978" s="4" t="s">
        <v>2771</v>
      </c>
      <c r="B978" s="7">
        <f>IFERROR(__xludf.DUMMYFUNCTION("GOOGLEFINANCE(A978, ""price"")"),374.0)</f>
        <v>374</v>
      </c>
      <c r="C978" s="7">
        <f>IFERROR(__xludf.DUMMYFUNCTION("GOOGLEFINANCE(A978, ""changepct"")"),-1.25)</f>
        <v>-1.25</v>
      </c>
      <c r="D978" s="9">
        <f>IFERROR(__xludf.DUMMYFUNCTION("GOOGLEFINANCE(A978, ""priceopen"")"),378.75)</f>
        <v>378.75</v>
      </c>
      <c r="E978" s="9">
        <f>IFERROR(__xludf.DUMMYFUNCTION("GOOGLEFINANCE(A978, ""high"")"),383.9)</f>
        <v>383.9</v>
      </c>
      <c r="F978" s="9">
        <f>IFERROR(__xludf.DUMMYFUNCTION("GOOGLEFINANCE(A978, ""low"")"),366.0)</f>
        <v>366</v>
      </c>
      <c r="G978" s="9">
        <f>IFERROR(__xludf.DUMMYFUNCTION("GOOGLEFINANCE(A978, ""price"")"),374.0)</f>
        <v>374</v>
      </c>
      <c r="H978" s="9">
        <f>IFERROR(__xludf.DUMMYFUNCTION("MAX(INDEX(GOOGLEFINANCE(A978, ""high"", TODAY()-30, TODAY()), 0, 2))"),411.3)</f>
        <v>411.3</v>
      </c>
      <c r="I978" s="9">
        <f>IFERROR(__xludf.DUMMYFUNCTION("MIN(INDEX(GOOGLEFINANCE(A978, ""low"", TODAY()-30, TODAY()), 0, 2))"),355.5)</f>
        <v>355.5</v>
      </c>
      <c r="J978" s="9">
        <f>IFERROR(__xludf.DUMMYFUNCTION("GOOGLEFINANCE(A978, ""high52"")"),447.8)</f>
        <v>447.8</v>
      </c>
      <c r="K978" s="9">
        <f>IFERROR(__xludf.DUMMYFUNCTION("GOOGLEFINANCE(A978, ""low52"")"),221.02)</f>
        <v>221.02</v>
      </c>
      <c r="L978" s="9">
        <f t="shared" si="1"/>
        <v>0.1648057168</v>
      </c>
      <c r="M978" s="9">
        <f t="shared" si="2"/>
        <v>0.6921545561</v>
      </c>
      <c r="N978" s="9">
        <f t="shared" si="3"/>
        <v>0.04890710383</v>
      </c>
      <c r="O978" s="9">
        <f t="shared" si="4"/>
        <v>0.3315412186</v>
      </c>
      <c r="P978" s="9">
        <f>IFERROR(__xludf.DUMMYFUNCTION("GOOGLEFINANCE(A978, ""pe"")"),33.27)</f>
        <v>33.27</v>
      </c>
      <c r="Q978" s="9">
        <f>IFERROR(__xludf.DUMMYFUNCTION("IFERROR(GOOGLEFINANCE(A978, ""volume"") / GOOGLEFINANCE(A978, ""volumeavg""), 0)"),0.0)</f>
        <v>0</v>
      </c>
      <c r="R978" s="9">
        <f>IFERROR(__xludf.DUMMYFUNCTION("AVERAGE(INDEX(GOOGLEFINANCE(A978, ""price"", TODAY()-30, TODAY()), 0, 2))"),380.7065217391304)</f>
        <v>380.7065217</v>
      </c>
      <c r="S978" s="9">
        <f>IFERROR(__xludf.DUMMYFUNCTION("AVERAGE(INDEX(GOOGLEFINANCE(A978, ""price"", TODAY()-75, TODAY()), 0, 2))"),383.2037735849057)</f>
        <v>383.2037736</v>
      </c>
      <c r="T978" s="9">
        <f>IFERROR(__xludf.DUMMYFUNCTION("AVERAGE(INDEX(GOOGLEFINANCE(A978, ""price"", TODAY()-300, TODAY()), 0, 2))"),356.8618811881188)</f>
        <v>356.8618812</v>
      </c>
      <c r="U978" s="9">
        <f t="shared" si="5"/>
        <v>-0.01761598858</v>
      </c>
      <c r="V978" s="15">
        <f>IFERROR(__xludf.DUMMYFUNCTION("LET(hist, GOOGLEFINANCE(A978,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rs))))))"),44.012688342585264)</f>
        <v>44.01268834</v>
      </c>
      <c r="W978" s="16" t="str">
        <f>IFERROR(__xludf.DUMMYFUNCTION("IFERROR(GOOGLEFINANCE(A978, ""volume"") / GOOGLEFINANCE(A978, ""volumeavg""), )"),"")</f>
        <v/>
      </c>
      <c r="X978" s="9">
        <f>IFERROR(__xludf.DUMMYFUNCTION("B978 * GOOGLEFINANCE(A978, ""volume"")"),8.6072734E7)</f>
        <v>86072734</v>
      </c>
      <c r="Y978" s="9">
        <f>IFERROR(__xludf.DUMMYFUNCTION("IFERROR(((B978 - GOOGLEFINANCE(A978, ""priceopen"")) / GOOGLEFINANCE(A978, ""priceopen"")) * GOOGLEFINANCE(A978, ""volume""), 0)"),-2886.2567656765677)</f>
        <v>-2886.256766</v>
      </c>
    </row>
    <row r="979">
      <c r="A979" s="4" t="s">
        <v>2772</v>
      </c>
      <c r="B979" s="7">
        <f>IFERROR(__xludf.DUMMYFUNCTION("GOOGLEFINANCE(A979, ""price"")"),242.01)</f>
        <v>242.01</v>
      </c>
      <c r="C979" s="7">
        <f>IFERROR(__xludf.DUMMYFUNCTION("GOOGLEFINANCE(A979, ""changepct"")"),-1.41)</f>
        <v>-1.41</v>
      </c>
      <c r="D979" s="9">
        <f>IFERROR(__xludf.DUMMYFUNCTION("GOOGLEFINANCE(A979, ""priceopen"")"),247.28)</f>
        <v>247.28</v>
      </c>
      <c r="E979" s="9">
        <f>IFERROR(__xludf.DUMMYFUNCTION("GOOGLEFINANCE(A979, ""high"")"),247.28)</f>
        <v>247.28</v>
      </c>
      <c r="F979" s="9">
        <f>IFERROR(__xludf.DUMMYFUNCTION("GOOGLEFINANCE(A979, ""low"")"),240.47)</f>
        <v>240.47</v>
      </c>
      <c r="G979" s="9">
        <f>IFERROR(__xludf.DUMMYFUNCTION("GOOGLEFINANCE(A979, ""price"")"),242.01)</f>
        <v>242.01</v>
      </c>
      <c r="H979" s="9">
        <f>IFERROR(__xludf.DUMMYFUNCTION("MAX(INDEX(GOOGLEFINANCE(A979, ""high"", TODAY()-30, TODAY()), 0, 2))"),257.0)</f>
        <v>257</v>
      </c>
      <c r="I979" s="9">
        <f>IFERROR(__xludf.DUMMYFUNCTION("MIN(INDEX(GOOGLEFINANCE(A979, ""low"", TODAY()-30, TODAY()), 0, 2))"),225.03)</f>
        <v>225.03</v>
      </c>
      <c r="J979" s="9">
        <f>IFERROR(__xludf.DUMMYFUNCTION("GOOGLEFINANCE(A979, ""high52"")"),443.9)</f>
        <v>443.9</v>
      </c>
      <c r="K979" s="9">
        <f>IFERROR(__xludf.DUMMYFUNCTION("GOOGLEFINANCE(A979, ""low52"")"),203.3)</f>
        <v>203.3</v>
      </c>
      <c r="L979" s="9">
        <f t="shared" si="1"/>
        <v>0.4548096418</v>
      </c>
      <c r="M979" s="9">
        <f t="shared" si="2"/>
        <v>0.1904082636</v>
      </c>
      <c r="N979" s="9">
        <f t="shared" si="3"/>
        <v>0.0283195409</v>
      </c>
      <c r="O979" s="9">
        <f t="shared" si="4"/>
        <v>0.5311229277</v>
      </c>
      <c r="P979" s="9">
        <f>IFERROR(__xludf.DUMMYFUNCTION("GOOGLEFINANCE(A979, ""pe"")"),13.29)</f>
        <v>13.29</v>
      </c>
      <c r="Q979" s="9">
        <f>IFERROR(__xludf.DUMMYFUNCTION("IFERROR(GOOGLEFINANCE(A979, ""volume"") / GOOGLEFINANCE(A979, ""volumeavg""), 0)"),0.0)</f>
        <v>0</v>
      </c>
      <c r="R979" s="9">
        <f>IFERROR(__xludf.DUMMYFUNCTION("AVERAGE(INDEX(GOOGLEFINANCE(A979, ""price"", TODAY()-30, TODAY()), 0, 2))"),240.66391304347823)</f>
        <v>240.663913</v>
      </c>
      <c r="S979" s="9">
        <f>IFERROR(__xludf.DUMMYFUNCTION("AVERAGE(INDEX(GOOGLEFINANCE(A979, ""price"", TODAY()-75, TODAY()), 0, 2))"),233.27358490566039)</f>
        <v>233.2735849</v>
      </c>
      <c r="T979" s="9">
        <f>IFERROR(__xludf.DUMMYFUNCTION("AVERAGE(INDEX(GOOGLEFINANCE(A979, ""price"", TODAY()-300, TODAY()), 0, 2))"),314.4794554455445)</f>
        <v>314.4794554</v>
      </c>
      <c r="U979" s="9">
        <f t="shared" si="5"/>
        <v>0.005593223095</v>
      </c>
      <c r="V979" s="15">
        <f>IFERROR(__xludf.DUMMYFUNCTION("LET(hist, GOOGLEFINANCE(A979,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rs))))))"),62.022517088862074)</f>
        <v>62.02251709</v>
      </c>
      <c r="W979" s="16" t="str">
        <f>IFERROR(__xludf.DUMMYFUNCTION("IFERROR(GOOGLEFINANCE(A979, ""volume"") / GOOGLEFINANCE(A979, ""volumeavg""), )"),"")</f>
        <v/>
      </c>
      <c r="X979" s="9">
        <f>IFERROR(__xludf.DUMMYFUNCTION("B979 * GOOGLEFINANCE(A979, ""volume"")"),1.940508783E7)</f>
        <v>19405087.83</v>
      </c>
      <c r="Y979" s="9">
        <f>IFERROR(__xludf.DUMMYFUNCTION("IFERROR(((B979 - GOOGLEFINANCE(A979, ""priceopen"")) / GOOGLEFINANCE(A979, ""priceopen"")) * GOOGLEFINANCE(A979, ""volume""), 0)"),-1708.8499272080267)</f>
        <v>-1708.849927</v>
      </c>
    </row>
    <row r="980">
      <c r="A980" s="4" t="s">
        <v>2773</v>
      </c>
      <c r="B980" s="7">
        <f>IFERROR(__xludf.DUMMYFUNCTION("GOOGLEFINANCE(A980, ""price"")"),206.93)</f>
        <v>206.93</v>
      </c>
      <c r="C980" s="7">
        <f>IFERROR(__xludf.DUMMYFUNCTION("GOOGLEFINANCE(A980, ""changepct"")"),-0.49)</f>
        <v>-0.49</v>
      </c>
      <c r="D980" s="9">
        <f>IFERROR(__xludf.DUMMYFUNCTION("GOOGLEFINANCE(A980, ""priceopen"")"),213.0)</f>
        <v>213</v>
      </c>
      <c r="E980" s="9">
        <f>IFERROR(__xludf.DUMMYFUNCTION("GOOGLEFINANCE(A980, ""high"")"),217.98)</f>
        <v>217.98</v>
      </c>
      <c r="F980" s="9">
        <f>IFERROR(__xludf.DUMMYFUNCTION("GOOGLEFINANCE(A980, ""low"")"),203.5)</f>
        <v>203.5</v>
      </c>
      <c r="G980" s="9">
        <f>IFERROR(__xludf.DUMMYFUNCTION("GOOGLEFINANCE(A980, ""price"")"),206.93)</f>
        <v>206.93</v>
      </c>
      <c r="H980" s="9">
        <f>IFERROR(__xludf.DUMMYFUNCTION("MAX(INDEX(GOOGLEFINANCE(A980, ""high"", TODAY()-30, TODAY()), 0, 2))"),227.92)</f>
        <v>227.92</v>
      </c>
      <c r="I980" s="9">
        <f>IFERROR(__xludf.DUMMYFUNCTION("MIN(INDEX(GOOGLEFINANCE(A980, ""low"", TODAY()-30, TODAY()), 0, 2))"),197.01)</f>
        <v>197.01</v>
      </c>
      <c r="J980" s="9">
        <f>IFERROR(__xludf.DUMMYFUNCTION("GOOGLEFINANCE(A980, ""high52"")"),239.96)</f>
        <v>239.96</v>
      </c>
      <c r="K980" s="9">
        <f>IFERROR(__xludf.DUMMYFUNCTION("GOOGLEFINANCE(A980, ""low52"")"),172.9)</f>
        <v>172.9</v>
      </c>
      <c r="L980" s="9">
        <f t="shared" si="1"/>
        <v>0.1376479413</v>
      </c>
      <c r="M980" s="9">
        <f t="shared" si="2"/>
        <v>0.1968189705</v>
      </c>
      <c r="N980" s="9">
        <f t="shared" si="3"/>
        <v>0.07115479115</v>
      </c>
      <c r="O980" s="9">
        <f t="shared" si="4"/>
        <v>0.3209317373</v>
      </c>
      <c r="P980" s="9">
        <f>IFERROR(__xludf.DUMMYFUNCTION("GOOGLEFINANCE(A980, ""pe"")"),559.27)</f>
        <v>559.27</v>
      </c>
      <c r="Q980" s="9">
        <f>IFERROR(__xludf.DUMMYFUNCTION("IFERROR(GOOGLEFINANCE(A980, ""volume"") / GOOGLEFINANCE(A980, ""volumeavg""), 0)"),0.0)</f>
        <v>0</v>
      </c>
      <c r="R980" s="9">
        <f>IFERROR(__xludf.DUMMYFUNCTION("AVERAGE(INDEX(GOOGLEFINANCE(A980, ""price"", TODAY()-30, TODAY()), 0, 2))"),205.82565217391303)</f>
        <v>205.8256522</v>
      </c>
      <c r="S980" s="9">
        <f>IFERROR(__xludf.DUMMYFUNCTION("AVERAGE(INDEX(GOOGLEFINANCE(A980, ""price"", TODAY()-75, TODAY()), 0, 2))"),206.0641509433963)</f>
        <v>206.0641509</v>
      </c>
      <c r="T980" s="9">
        <f>IFERROR(__xludf.DUMMYFUNCTION("AVERAGE(INDEX(GOOGLEFINANCE(A980, ""price"", TODAY()-300, TODAY()), 0, 2))"),202.88925)</f>
        <v>202.88925</v>
      </c>
      <c r="U980" s="9">
        <f t="shared" si="5"/>
        <v>0.005365452821</v>
      </c>
      <c r="V980" s="15">
        <f>IFERROR(__xludf.DUMMYFUNCTION("LET(hist, GOOGLEFINANCE(A980,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rs))))))"),45.27761877504292)</f>
        <v>45.27761878</v>
      </c>
      <c r="W980" s="16" t="str">
        <f>IFERROR(__xludf.DUMMYFUNCTION("IFERROR(GOOGLEFINANCE(A980, ""volume"") / GOOGLEFINANCE(A980, ""volumeavg""), )"),"")</f>
        <v/>
      </c>
      <c r="X980" s="9">
        <f>IFERROR(__xludf.DUMMYFUNCTION("B980 * GOOGLEFINANCE(A980, ""volume"")"),6.158174721E7)</f>
        <v>61581747.21</v>
      </c>
      <c r="Y980" s="9">
        <f>IFERROR(__xludf.DUMMYFUNCTION("IFERROR(((B980 - GOOGLEFINANCE(A980, ""priceopen"")) / GOOGLEFINANCE(A980, ""priceopen"")) * GOOGLEFINANCE(A980, ""volume""), 0)"),-8480.815915492949)</f>
        <v>-8480.815915</v>
      </c>
    </row>
    <row r="981">
      <c r="A981" s="4" t="s">
        <v>2774</v>
      </c>
      <c r="B981" s="7">
        <f>IFERROR(__xludf.DUMMYFUNCTION("GOOGLEFINANCE(A981, ""price"")"),813.65)</f>
        <v>813.65</v>
      </c>
      <c r="C981" s="7">
        <f>IFERROR(__xludf.DUMMYFUNCTION("GOOGLEFINANCE(A981, ""changepct"")"),0.92)</f>
        <v>0.92</v>
      </c>
      <c r="D981" s="9">
        <f>IFERROR(__xludf.DUMMYFUNCTION("GOOGLEFINANCE(A981, ""priceopen"")"),808.2)</f>
        <v>808.2</v>
      </c>
      <c r="E981" s="9">
        <f>IFERROR(__xludf.DUMMYFUNCTION("GOOGLEFINANCE(A981, ""high"")"),816.0)</f>
        <v>816</v>
      </c>
      <c r="F981" s="9">
        <f>IFERROR(__xludf.DUMMYFUNCTION("GOOGLEFINANCE(A981, ""low"")"),790.5)</f>
        <v>790.5</v>
      </c>
      <c r="G981" s="9">
        <f>IFERROR(__xludf.DUMMYFUNCTION("GOOGLEFINANCE(A981, ""price"")"),813.65)</f>
        <v>813.65</v>
      </c>
      <c r="H981" s="9">
        <f>IFERROR(__xludf.DUMMYFUNCTION("MAX(INDEX(GOOGLEFINANCE(A981, ""high"", TODAY()-30, TODAY()), 0, 2))"),839.0)</f>
        <v>839</v>
      </c>
      <c r="I981" s="9">
        <f>IFERROR(__xludf.DUMMYFUNCTION("MIN(INDEX(GOOGLEFINANCE(A981, ""low"", TODAY()-30, TODAY()), 0, 2))"),660.0)</f>
        <v>660</v>
      </c>
      <c r="J981" s="9">
        <f>IFERROR(__xludf.DUMMYFUNCTION("GOOGLEFINANCE(A981, ""high52"")"),839.0)</f>
        <v>839</v>
      </c>
      <c r="K981" s="9">
        <f>IFERROR(__xludf.DUMMYFUNCTION("GOOGLEFINANCE(A981, ""low52"")"),380.0)</f>
        <v>380</v>
      </c>
      <c r="L981" s="9">
        <f t="shared" si="1"/>
        <v>0.03021454112</v>
      </c>
      <c r="M981" s="9">
        <f t="shared" si="2"/>
        <v>1.141184211</v>
      </c>
      <c r="N981" s="9">
        <f t="shared" si="3"/>
        <v>0.03225806452</v>
      </c>
      <c r="O981" s="9">
        <f t="shared" si="4"/>
        <v>0.8583798883</v>
      </c>
      <c r="P981" s="9">
        <f>IFERROR(__xludf.DUMMYFUNCTION("GOOGLEFINANCE(A981, ""pe"")"),20.39)</f>
        <v>20.39</v>
      </c>
      <c r="Q981" s="9">
        <f>IFERROR(__xludf.DUMMYFUNCTION("IFERROR(GOOGLEFINANCE(A981, ""volume"") / GOOGLEFINANCE(A981, ""volumeavg""), 0)"),0.0)</f>
        <v>0</v>
      </c>
      <c r="R981" s="9">
        <f>IFERROR(__xludf.DUMMYFUNCTION("AVERAGE(INDEX(GOOGLEFINANCE(A981, ""price"", TODAY()-30, TODAY()), 0, 2))"),728.7565217391304)</f>
        <v>728.7565217</v>
      </c>
      <c r="S981" s="9">
        <f>IFERROR(__xludf.DUMMYFUNCTION("AVERAGE(INDEX(GOOGLEFINANCE(A981, ""price"", TODAY()-75, TODAY()), 0, 2))"),684.8943396226415)</f>
        <v>684.8943396</v>
      </c>
      <c r="T981" s="9">
        <f>IFERROR(__xludf.DUMMYFUNCTION("AVERAGE(INDEX(GOOGLEFINANCE(A981, ""price"", TODAY()-300, TODAY()), 0, 2))"),540.2648514851483)</f>
        <v>540.2648515</v>
      </c>
      <c r="U981" s="9">
        <f t="shared" si="5"/>
        <v>0.1164908659</v>
      </c>
      <c r="V981" s="15">
        <f>IFERROR(__xludf.DUMMYFUNCTION("LET(hist, GOOGLEFINANCE(A981,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rs))))))"),75.23792422337942)</f>
        <v>75.23792422</v>
      </c>
      <c r="W981" s="16" t="str">
        <f>IFERROR(__xludf.DUMMYFUNCTION("IFERROR(GOOGLEFINANCE(A981, ""volume"") / GOOGLEFINANCE(A981, ""volumeavg""), )"),"")</f>
        <v/>
      </c>
      <c r="X981" s="9">
        <f>IFERROR(__xludf.DUMMYFUNCTION("B981 * GOOGLEFINANCE(A981, ""volume"")"),1.1363110439999999E8)</f>
        <v>113631104.4</v>
      </c>
      <c r="Y981" s="9">
        <f>IFERROR(__xludf.DUMMYFUNCTION("IFERROR(((B981 - GOOGLEFINANCE(A981, ""priceopen"")) / GOOGLEFINANCE(A981, ""priceopen"")) * GOOGLEFINANCE(A981, ""volume""), 0)"),941.7535263548508)</f>
        <v>941.7535264</v>
      </c>
    </row>
    <row r="982">
      <c r="A982" s="4" t="s">
        <v>2775</v>
      </c>
      <c r="B982" s="7">
        <f>IFERROR(__xludf.DUMMYFUNCTION("GOOGLEFINANCE(A982, ""price"")"),83.51)</f>
        <v>83.51</v>
      </c>
      <c r="C982" s="7">
        <f>IFERROR(__xludf.DUMMYFUNCTION("GOOGLEFINANCE(A982, ""changepct"")"),0.47)</f>
        <v>0.47</v>
      </c>
      <c r="D982" s="9">
        <f>IFERROR(__xludf.DUMMYFUNCTION("GOOGLEFINANCE(A982, ""priceopen"")"),82.6)</f>
        <v>82.6</v>
      </c>
      <c r="E982" s="9">
        <f>IFERROR(__xludf.DUMMYFUNCTION("GOOGLEFINANCE(A982, ""high"")"),84.0)</f>
        <v>84</v>
      </c>
      <c r="F982" s="9">
        <f>IFERROR(__xludf.DUMMYFUNCTION("GOOGLEFINANCE(A982, ""low"")"),80.81)</f>
        <v>80.81</v>
      </c>
      <c r="G982" s="9">
        <f>IFERROR(__xludf.DUMMYFUNCTION("GOOGLEFINANCE(A982, ""price"")"),83.51)</f>
        <v>83.51</v>
      </c>
      <c r="H982" s="9">
        <f>IFERROR(__xludf.DUMMYFUNCTION("MAX(INDEX(GOOGLEFINANCE(A982, ""high"", TODAY()-30, TODAY()), 0, 2))"),85.7)</f>
        <v>85.7</v>
      </c>
      <c r="I982" s="9">
        <f>IFERROR(__xludf.DUMMYFUNCTION("MIN(INDEX(GOOGLEFINANCE(A982, ""low"", TODAY()-30, TODAY()), 0, 2))"),60.51)</f>
        <v>60.51</v>
      </c>
      <c r="J982" s="9">
        <f>IFERROR(__xludf.DUMMYFUNCTION("GOOGLEFINANCE(A982, ""high52"")"),85.7)</f>
        <v>85.7</v>
      </c>
      <c r="K982" s="9">
        <f>IFERROR(__xludf.DUMMYFUNCTION("GOOGLEFINANCE(A982, ""low52"")"),36.26)</f>
        <v>36.26</v>
      </c>
      <c r="L982" s="9">
        <f t="shared" si="1"/>
        <v>0.02555425904</v>
      </c>
      <c r="M982" s="9">
        <f t="shared" si="2"/>
        <v>1.303088803</v>
      </c>
      <c r="N982" s="9">
        <f t="shared" si="3"/>
        <v>0.03947531246</v>
      </c>
      <c r="O982" s="9">
        <f t="shared" si="4"/>
        <v>0.9130607384</v>
      </c>
      <c r="P982" s="9">
        <f>IFERROR(__xludf.DUMMYFUNCTION("GOOGLEFINANCE(A982, ""pe"")"),19.42)</f>
        <v>19.42</v>
      </c>
      <c r="Q982" s="9">
        <f>IFERROR(__xludf.DUMMYFUNCTION("IFERROR(GOOGLEFINANCE(A982, ""volume"") / GOOGLEFINANCE(A982, ""volumeavg""), 0)"),0.0)</f>
        <v>0</v>
      </c>
      <c r="R982" s="9">
        <f>IFERROR(__xludf.DUMMYFUNCTION("AVERAGE(INDEX(GOOGLEFINANCE(A982, ""price"", TODAY()-30, TODAY()), 0, 2))"),74.5904347826087)</f>
        <v>74.59043478</v>
      </c>
      <c r="S982" s="9">
        <f>IFERROR(__xludf.DUMMYFUNCTION("AVERAGE(INDEX(GOOGLEFINANCE(A982, ""price"", TODAY()-75, TODAY()), 0, 2))"),62.315283018867916)</f>
        <v>62.31528302</v>
      </c>
      <c r="T982" s="9">
        <f>IFERROR(__xludf.DUMMYFUNCTION("AVERAGE(INDEX(GOOGLEFINANCE(A982, ""price"", TODAY()-300, TODAY()), 0, 2))"),51.64955445544553)</f>
        <v>51.64955446</v>
      </c>
      <c r="U982" s="9">
        <f t="shared" si="5"/>
        <v>0.11958055</v>
      </c>
      <c r="V982" s="15">
        <f>IFERROR(__xludf.DUMMYFUNCTION("LET(hist, GOOGLEFINANCE(A982,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rs))))))"),70.76753580609622)</f>
        <v>70.76753581</v>
      </c>
      <c r="W982" s="16" t="str">
        <f>IFERROR(__xludf.DUMMYFUNCTION("IFERROR(GOOGLEFINANCE(A982, ""volume"") / GOOGLEFINANCE(A982, ""volumeavg""), )"),"")</f>
        <v/>
      </c>
      <c r="X982" s="9">
        <f>IFERROR(__xludf.DUMMYFUNCTION("B982 * GOOGLEFINANCE(A982, ""volume"")"),1.9475534120000002E8)</f>
        <v>194755341.2</v>
      </c>
      <c r="Y982" s="9">
        <f>IFERROR(__xludf.DUMMYFUNCTION("IFERROR(((B982 - GOOGLEFINANCE(A982, ""priceopen"")) / GOOGLEFINANCE(A982, ""priceopen"")) * GOOGLEFINANCE(A982, ""volume""), 0)"),25692.847457627424)</f>
        <v>25692.84746</v>
      </c>
    </row>
    <row r="983">
      <c r="A983" s="4" t="s">
        <v>2776</v>
      </c>
      <c r="B983" s="7">
        <f>IFERROR(__xludf.DUMMYFUNCTION("GOOGLEFINANCE(A983, ""price"")"),755.0)</f>
        <v>755</v>
      </c>
      <c r="C983" s="7">
        <f>IFERROR(__xludf.DUMMYFUNCTION("GOOGLEFINANCE(A983, ""changepct"")"),-3.09)</f>
        <v>-3.09</v>
      </c>
      <c r="D983" s="9">
        <f>IFERROR(__xludf.DUMMYFUNCTION("GOOGLEFINANCE(A983, ""priceopen"")"),775.5)</f>
        <v>775.5</v>
      </c>
      <c r="E983" s="9">
        <f>IFERROR(__xludf.DUMMYFUNCTION("GOOGLEFINANCE(A983, ""high"")"),779.3)</f>
        <v>779.3</v>
      </c>
      <c r="F983" s="9">
        <f>IFERROR(__xludf.DUMMYFUNCTION("GOOGLEFINANCE(A983, ""low"")"),745.1)</f>
        <v>745.1</v>
      </c>
      <c r="G983" s="9">
        <f>IFERROR(__xludf.DUMMYFUNCTION("GOOGLEFINANCE(A983, ""price"")"),755.0)</f>
        <v>755</v>
      </c>
      <c r="H983" s="9">
        <f>IFERROR(__xludf.DUMMYFUNCTION("MAX(INDEX(GOOGLEFINANCE(A983, ""high"", TODAY()-30, TODAY()), 0, 2))"),869.0)</f>
        <v>869</v>
      </c>
      <c r="I983" s="9">
        <f>IFERROR(__xludf.DUMMYFUNCTION("MIN(INDEX(GOOGLEFINANCE(A983, ""low"", TODAY()-30, TODAY()), 0, 2))"),730.0)</f>
        <v>730</v>
      </c>
      <c r="J983" s="9">
        <f>IFERROR(__xludf.DUMMYFUNCTION("GOOGLEFINANCE(A983, ""high52"")"),907.0)</f>
        <v>907</v>
      </c>
      <c r="K983" s="9">
        <f>IFERROR(__xludf.DUMMYFUNCTION("GOOGLEFINANCE(A983, ""low52"")"),471.2)</f>
        <v>471.2</v>
      </c>
      <c r="L983" s="9">
        <f t="shared" si="1"/>
        <v>0.1675854465</v>
      </c>
      <c r="M983" s="9">
        <f t="shared" si="2"/>
        <v>0.6022920204</v>
      </c>
      <c r="N983" s="9">
        <f t="shared" si="3"/>
        <v>0.04589987921</v>
      </c>
      <c r="O983" s="9">
        <f t="shared" si="4"/>
        <v>0.1798561151</v>
      </c>
      <c r="P983" s="9">
        <f>IFERROR(__xludf.DUMMYFUNCTION("GOOGLEFINANCE(A983, ""pe"")"),15.83)</f>
        <v>15.83</v>
      </c>
      <c r="Q983" s="9">
        <f>IFERROR(__xludf.DUMMYFUNCTION("IFERROR(GOOGLEFINANCE(A983, ""volume"") / GOOGLEFINANCE(A983, ""volumeavg""), 0)"),0.0)</f>
        <v>0</v>
      </c>
      <c r="R983" s="9">
        <f>IFERROR(__xludf.DUMMYFUNCTION("AVERAGE(INDEX(GOOGLEFINANCE(A983, ""price"", TODAY()-30, TODAY()), 0, 2))"),789.5717391304348)</f>
        <v>789.5717391</v>
      </c>
      <c r="S983" s="9">
        <f>IFERROR(__xludf.DUMMYFUNCTION("AVERAGE(INDEX(GOOGLEFINANCE(A983, ""price"", TODAY()-75, TODAY()), 0, 2))"),799.2169811320751)</f>
        <v>799.2169811</v>
      </c>
      <c r="T983" s="9">
        <f>IFERROR(__xludf.DUMMYFUNCTION("AVERAGE(INDEX(GOOGLEFINANCE(A983, ""price"", TODAY()-300, TODAY()), 0, 2))"),606.0358910891089)</f>
        <v>606.0358911</v>
      </c>
      <c r="U983" s="9">
        <f t="shared" si="5"/>
        <v>-0.04378543129</v>
      </c>
      <c r="V983" s="15">
        <f>IFERROR(__xludf.DUMMYFUNCTION("LET(hist, GOOGLEFINANCE(A983,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rs))))))"),40.42759961127309)</f>
        <v>40.42759961</v>
      </c>
      <c r="W983" s="16" t="str">
        <f>IFERROR(__xludf.DUMMYFUNCTION("IFERROR(GOOGLEFINANCE(A983, ""volume"") / GOOGLEFINANCE(A983, ""volumeavg""), )"),"")</f>
        <v/>
      </c>
      <c r="X983" s="9">
        <f>IFERROR(__xludf.DUMMYFUNCTION("B983 * GOOGLEFINANCE(A983, ""volume"")"),6.182695E7)</f>
        <v>61826950</v>
      </c>
      <c r="Y983" s="9">
        <f>IFERROR(__xludf.DUMMYFUNCTION("IFERROR(((B983 - GOOGLEFINANCE(A983, ""priceopen"")) / GOOGLEFINANCE(A983, ""priceopen"")) * GOOGLEFINANCE(A983, ""volume""), 0)"),-2164.7259832366217)</f>
        <v>-2164.725983</v>
      </c>
    </row>
    <row r="984">
      <c r="A984" s="4" t="s">
        <v>2777</v>
      </c>
      <c r="B984" s="7">
        <f>IFERROR(__xludf.DUMMYFUNCTION("GOOGLEFINANCE(A984, ""price"")"),498.0)</f>
        <v>498</v>
      </c>
      <c r="C984" s="7">
        <f>IFERROR(__xludf.DUMMYFUNCTION("GOOGLEFINANCE(A984, ""changepct"")"),-2.19)</f>
        <v>-2.19</v>
      </c>
      <c r="D984" s="9">
        <f>IFERROR(__xludf.DUMMYFUNCTION("GOOGLEFINANCE(A984, ""priceopen"")"),509.15)</f>
        <v>509.15</v>
      </c>
      <c r="E984" s="9">
        <f>IFERROR(__xludf.DUMMYFUNCTION("GOOGLEFINANCE(A984, ""high"")"),510.75)</f>
        <v>510.75</v>
      </c>
      <c r="F984" s="9">
        <f>IFERROR(__xludf.DUMMYFUNCTION("GOOGLEFINANCE(A984, ""low"")"),484.25)</f>
        <v>484.25</v>
      </c>
      <c r="G984" s="9">
        <f>IFERROR(__xludf.DUMMYFUNCTION("GOOGLEFINANCE(A984, ""price"")"),498.0)</f>
        <v>498</v>
      </c>
      <c r="H984" s="9">
        <f>IFERROR(__xludf.DUMMYFUNCTION("MAX(INDEX(GOOGLEFINANCE(A984, ""high"", TODAY()-30, TODAY()), 0, 2))"),592.6)</f>
        <v>592.6</v>
      </c>
      <c r="I984" s="9">
        <f>IFERROR(__xludf.DUMMYFUNCTION("MIN(INDEX(GOOGLEFINANCE(A984, ""low"", TODAY()-30, TODAY()), 0, 2))"),479.2)</f>
        <v>479.2</v>
      </c>
      <c r="J984" s="9">
        <f>IFERROR(__xludf.DUMMYFUNCTION("GOOGLEFINANCE(A984, ""high52"")"),794.85)</f>
        <v>794.85</v>
      </c>
      <c r="K984" s="9">
        <f>IFERROR(__xludf.DUMMYFUNCTION("GOOGLEFINANCE(A984, ""low52"")"),416.0)</f>
        <v>416</v>
      </c>
      <c r="L984" s="9">
        <f t="shared" si="1"/>
        <v>0.3734666918</v>
      </c>
      <c r="M984" s="9">
        <f t="shared" si="2"/>
        <v>0.1971153846</v>
      </c>
      <c r="N984" s="9">
        <f t="shared" si="3"/>
        <v>0.05472379969</v>
      </c>
      <c r="O984" s="9">
        <f t="shared" si="4"/>
        <v>0.1657848325</v>
      </c>
      <c r="P984" s="9">
        <f>IFERROR(__xludf.DUMMYFUNCTION("GOOGLEFINANCE(A984, ""pe"")"),23.17)</f>
        <v>23.17</v>
      </c>
      <c r="Q984" s="9">
        <f>IFERROR(__xludf.DUMMYFUNCTION("IFERROR(GOOGLEFINANCE(A984, ""volume"") / GOOGLEFINANCE(A984, ""volumeavg""), 0)"),0.0)</f>
        <v>0</v>
      </c>
      <c r="R984" s="9">
        <f>IFERROR(__xludf.DUMMYFUNCTION("AVERAGE(INDEX(GOOGLEFINANCE(A984, ""price"", TODAY()-30, TODAY()), 0, 2))"),521.4826086956522)</f>
        <v>521.4826087</v>
      </c>
      <c r="S984" s="9">
        <f>IFERROR(__xludf.DUMMYFUNCTION("AVERAGE(INDEX(GOOGLEFINANCE(A984, ""price"", TODAY()-75, TODAY()), 0, 2))"),535.2433962264149)</f>
        <v>535.2433962</v>
      </c>
      <c r="T984" s="9">
        <f>IFERROR(__xludf.DUMMYFUNCTION("AVERAGE(INDEX(GOOGLEFINANCE(A984, ""price"", TODAY()-300, TODAY()), 0, 2))"),562.5774752475246)</f>
        <v>562.5774752</v>
      </c>
      <c r="U984" s="9">
        <f t="shared" si="5"/>
        <v>-0.04503047332</v>
      </c>
      <c r="V984" s="15">
        <f>IFERROR(__xludf.DUMMYFUNCTION("LET(hist, GOOGLEFINANCE(A984,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rs))))))"),38.67256637168139)</f>
        <v>38.67256637</v>
      </c>
      <c r="W984" s="16" t="str">
        <f>IFERROR(__xludf.DUMMYFUNCTION("IFERROR(GOOGLEFINANCE(A984, ""volume"") / GOOGLEFINANCE(A984, ""volumeavg""), )"),"")</f>
        <v/>
      </c>
      <c r="X984" s="9">
        <f>IFERROR(__xludf.DUMMYFUNCTION("B984 * GOOGLEFINANCE(A984, ""volume"")"),8.2553958E7)</f>
        <v>82553958</v>
      </c>
      <c r="Y984" s="9">
        <f>IFERROR(__xludf.DUMMYFUNCTION("IFERROR(((B984 - GOOGLEFINANCE(A984, ""priceopen"")) / GOOGLEFINANCE(A984, ""priceopen"")) * GOOGLEFINANCE(A984, ""volume""), 0)"),-3630.2595502307695)</f>
        <v>-3630.25955</v>
      </c>
    </row>
    <row r="985">
      <c r="A985" s="4" t="s">
        <v>2778</v>
      </c>
      <c r="B985" s="7">
        <f>IFERROR(__xludf.DUMMYFUNCTION("GOOGLEFINANCE(A985, ""price"")"),1105.4)</f>
        <v>1105.4</v>
      </c>
      <c r="C985" s="7">
        <f>IFERROR(__xludf.DUMMYFUNCTION("GOOGLEFINANCE(A985, ""changepct"")"),0.92)</f>
        <v>0.92</v>
      </c>
      <c r="D985" s="9">
        <f>IFERROR(__xludf.DUMMYFUNCTION("GOOGLEFINANCE(A985, ""priceopen"")"),1096.0)</f>
        <v>1096</v>
      </c>
      <c r="E985" s="9">
        <f>IFERROR(__xludf.DUMMYFUNCTION("GOOGLEFINANCE(A985, ""high"")"),1116.8)</f>
        <v>1116.8</v>
      </c>
      <c r="F985" s="9">
        <f>IFERROR(__xludf.DUMMYFUNCTION("GOOGLEFINANCE(A985, ""low"")"),1091.0)</f>
        <v>1091</v>
      </c>
      <c r="G985" s="9">
        <f>IFERROR(__xludf.DUMMYFUNCTION("GOOGLEFINANCE(A985, ""price"")"),1105.4)</f>
        <v>1105.4</v>
      </c>
      <c r="H985" s="9">
        <f>IFERROR(__xludf.DUMMYFUNCTION("MAX(INDEX(GOOGLEFINANCE(A985, ""high"", TODAY()-30, TODAY()), 0, 2))"),1319.8)</f>
        <v>1319.8</v>
      </c>
      <c r="I985" s="9">
        <f>IFERROR(__xludf.DUMMYFUNCTION("MIN(INDEX(GOOGLEFINANCE(A985, ""low"", TODAY()-30, TODAY()), 0, 2))"),1028.7)</f>
        <v>1028.7</v>
      </c>
      <c r="J985" s="9">
        <f>IFERROR(__xludf.DUMMYFUNCTION("GOOGLEFINANCE(A985, ""high52"")"),1323.9)</f>
        <v>1323.9</v>
      </c>
      <c r="K985" s="9">
        <f>IFERROR(__xludf.DUMMYFUNCTION("GOOGLEFINANCE(A985, ""low52"")"),608.5)</f>
        <v>608.5</v>
      </c>
      <c r="L985" s="9">
        <f t="shared" si="1"/>
        <v>0.1650426769</v>
      </c>
      <c r="M985" s="9">
        <f t="shared" si="2"/>
        <v>0.8165981923</v>
      </c>
      <c r="N985" s="9">
        <f t="shared" si="3"/>
        <v>0.02364802933</v>
      </c>
      <c r="O985" s="9">
        <f t="shared" si="4"/>
        <v>0.2634833391</v>
      </c>
      <c r="P985" s="9">
        <f>IFERROR(__xludf.DUMMYFUNCTION("GOOGLEFINANCE(A985, ""pe"")"),25.67)</f>
        <v>25.67</v>
      </c>
      <c r="Q985" s="9">
        <f>IFERROR(__xludf.DUMMYFUNCTION("IFERROR(GOOGLEFINANCE(A985, ""volume"") / GOOGLEFINANCE(A985, ""volumeavg""), 0)"),0.0)</f>
        <v>0</v>
      </c>
      <c r="R985" s="9">
        <f>IFERROR(__xludf.DUMMYFUNCTION("AVERAGE(INDEX(GOOGLEFINANCE(A985, ""price"", TODAY()-30, TODAY()), 0, 2))"),1151.8826086956522)</f>
        <v>1151.882609</v>
      </c>
      <c r="S985" s="9">
        <f>IFERROR(__xludf.DUMMYFUNCTION("AVERAGE(INDEX(GOOGLEFINANCE(A985, ""price"", TODAY()-75, TODAY()), 0, 2))"),1094.0537735849057)</f>
        <v>1094.053774</v>
      </c>
      <c r="T985" s="9">
        <f>IFERROR(__xludf.DUMMYFUNCTION("AVERAGE(INDEX(GOOGLEFINANCE(A985, ""price"", TODAY()-300, TODAY()), 0, 2))"),873.0012376237621)</f>
        <v>873.0012376</v>
      </c>
      <c r="U985" s="9">
        <f t="shared" si="5"/>
        <v>-0.04035359883</v>
      </c>
      <c r="V985" s="15">
        <f>IFERROR(__xludf.DUMMYFUNCTION("LET(hist, GOOGLEFINANCE(A985,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rs))))))"),47.81715459681561)</f>
        <v>47.8171546</v>
      </c>
      <c r="W985" s="16" t="str">
        <f>IFERROR(__xludf.DUMMYFUNCTION("IFERROR(GOOGLEFINANCE(A985, ""volume"") / GOOGLEFINANCE(A985, ""volumeavg""), )"),"")</f>
        <v/>
      </c>
      <c r="X985" s="9">
        <f>IFERROR(__xludf.DUMMYFUNCTION("B985 * GOOGLEFINANCE(A985, ""volume"")"),2.3714146200000003E7)</f>
        <v>23714146.2</v>
      </c>
      <c r="Y985" s="9">
        <f>IFERROR(__xludf.DUMMYFUNCTION("IFERROR(((B985 - GOOGLEFINANCE(A985, ""priceopen"")) / GOOGLEFINANCE(A985, ""priceopen"")) * GOOGLEFINANCE(A985, ""volume""), 0)"),183.99470802919885)</f>
        <v>183.994708</v>
      </c>
    </row>
    <row r="986">
      <c r="A986" s="4" t="s">
        <v>2779</v>
      </c>
      <c r="B986" s="7">
        <f>IFERROR(__xludf.DUMMYFUNCTION("GOOGLEFINANCE(A986, ""price"")"),1050.0)</f>
        <v>1050</v>
      </c>
      <c r="C986" s="7">
        <f>IFERROR(__xludf.DUMMYFUNCTION("GOOGLEFINANCE(A986, ""changepct"")"),-0.87)</f>
        <v>-0.87</v>
      </c>
      <c r="D986" s="9">
        <f>IFERROR(__xludf.DUMMYFUNCTION("GOOGLEFINANCE(A986, ""priceopen"")"),1059.5)</f>
        <v>1059.5</v>
      </c>
      <c r="E986" s="9">
        <f>IFERROR(__xludf.DUMMYFUNCTION("GOOGLEFINANCE(A986, ""high"")"),1067.9)</f>
        <v>1067.9</v>
      </c>
      <c r="F986" s="9">
        <f>IFERROR(__xludf.DUMMYFUNCTION("GOOGLEFINANCE(A986, ""low"")"),1027.7)</f>
        <v>1027.7</v>
      </c>
      <c r="G986" s="9">
        <f>IFERROR(__xludf.DUMMYFUNCTION("GOOGLEFINANCE(A986, ""price"")"),1050.0)</f>
        <v>1050</v>
      </c>
      <c r="H986" s="9">
        <f>IFERROR(__xludf.DUMMYFUNCTION("MAX(INDEX(GOOGLEFINANCE(A986, ""high"", TODAY()-30, TODAY()), 0, 2))"),1161.5)</f>
        <v>1161.5</v>
      </c>
      <c r="I986" s="9">
        <f>IFERROR(__xludf.DUMMYFUNCTION("MIN(INDEX(GOOGLEFINANCE(A986, ""low"", TODAY()-30, TODAY()), 0, 2))"),961.5)</f>
        <v>961.5</v>
      </c>
      <c r="J986" s="9">
        <f>IFERROR(__xludf.DUMMYFUNCTION("GOOGLEFINANCE(A986, ""high52"")"),1286.0)</f>
        <v>1286</v>
      </c>
      <c r="K986" s="9">
        <f>IFERROR(__xludf.DUMMYFUNCTION("GOOGLEFINANCE(A986, ""low52"")"),538.0)</f>
        <v>538</v>
      </c>
      <c r="L986" s="9">
        <f t="shared" si="1"/>
        <v>0.1835147745</v>
      </c>
      <c r="M986" s="9">
        <f t="shared" si="2"/>
        <v>0.9516728625</v>
      </c>
      <c r="N986" s="9">
        <f t="shared" si="3"/>
        <v>0.03911647368</v>
      </c>
      <c r="O986" s="9">
        <f t="shared" si="4"/>
        <v>0.4425</v>
      </c>
      <c r="P986" s="9">
        <f>IFERROR(__xludf.DUMMYFUNCTION("GOOGLEFINANCE(A986, ""pe"")"),59.59)</f>
        <v>59.59</v>
      </c>
      <c r="Q986" s="9">
        <f>IFERROR(__xludf.DUMMYFUNCTION("IFERROR(GOOGLEFINANCE(A986, ""volume"") / GOOGLEFINANCE(A986, ""volumeavg""), 0)"),0.0)</f>
        <v>0</v>
      </c>
      <c r="R986" s="9">
        <f>IFERROR(__xludf.DUMMYFUNCTION("AVERAGE(INDEX(GOOGLEFINANCE(A986, ""price"", TODAY()-30, TODAY()), 0, 2))"),1056.708695652174)</f>
        <v>1056.708696</v>
      </c>
      <c r="S986" s="9">
        <f>IFERROR(__xludf.DUMMYFUNCTION("AVERAGE(INDEX(GOOGLEFINANCE(A986, ""price"", TODAY()-75, TODAY()), 0, 2))"),1091.031132075472)</f>
        <v>1091.031132</v>
      </c>
      <c r="T986" s="9">
        <f>IFERROR(__xludf.DUMMYFUNCTION("AVERAGE(INDEX(GOOGLEFINANCE(A986, ""price"", TODAY()-300, TODAY()), 0, 2))"),969.8999999999995)</f>
        <v>969.9</v>
      </c>
      <c r="U986" s="9">
        <f t="shared" si="5"/>
        <v>-0.006348670811</v>
      </c>
      <c r="V986" s="15">
        <f>IFERROR(__xludf.DUMMYFUNCTION("LET(hist, GOOGLEFINANCE(A986,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rs))))))"),58.39228295819934)</f>
        <v>58.39228296</v>
      </c>
      <c r="W986" s="16" t="str">
        <f>IFERROR(__xludf.DUMMYFUNCTION("IFERROR(GOOGLEFINANCE(A986, ""volume"") / GOOGLEFINANCE(A986, ""volumeavg""), )"),"")</f>
        <v/>
      </c>
      <c r="X986" s="9">
        <f>IFERROR(__xludf.DUMMYFUNCTION("B986 * GOOGLEFINANCE(A986, ""volume"")"),8.438745E7)</f>
        <v>84387450</v>
      </c>
      <c r="Y986" s="9">
        <f>IFERROR(__xludf.DUMMYFUNCTION("IFERROR(((B986 - GOOGLEFINANCE(A986, ""priceopen"")) / GOOGLEFINANCE(A986, ""priceopen"")) * GOOGLEFINANCE(A986, ""volume""), 0)"),-720.6281264747522)</f>
        <v>-720.6281265</v>
      </c>
    </row>
    <row r="987">
      <c r="A987" s="4" t="s">
        <v>2780</v>
      </c>
      <c r="B987" s="7">
        <f>IFERROR(__xludf.DUMMYFUNCTION("GOOGLEFINANCE(A987, ""price"")"),490.2)</f>
        <v>490.2</v>
      </c>
      <c r="C987" s="7">
        <f>IFERROR(__xludf.DUMMYFUNCTION("GOOGLEFINANCE(A987, ""changepct"")"),-4.22)</f>
        <v>-4.22</v>
      </c>
      <c r="D987" s="9">
        <f>IFERROR(__xludf.DUMMYFUNCTION("GOOGLEFINANCE(A987, ""priceopen"")"),499.9)</f>
        <v>499.9</v>
      </c>
      <c r="E987" s="9">
        <f>IFERROR(__xludf.DUMMYFUNCTION("GOOGLEFINANCE(A987, ""high"")"),504.95)</f>
        <v>504.95</v>
      </c>
      <c r="F987" s="9">
        <f>IFERROR(__xludf.DUMMYFUNCTION("GOOGLEFINANCE(A987, ""low"")"),473.9)</f>
        <v>473.9</v>
      </c>
      <c r="G987" s="9">
        <f>IFERROR(__xludf.DUMMYFUNCTION("GOOGLEFINANCE(A987, ""price"")"),490.2)</f>
        <v>490.2</v>
      </c>
      <c r="H987" s="9">
        <f>IFERROR(__xludf.DUMMYFUNCTION("MAX(INDEX(GOOGLEFINANCE(A987, ""high"", TODAY()-30, TODAY()), 0, 2))"),548.0)</f>
        <v>548</v>
      </c>
      <c r="I987" s="9">
        <f>IFERROR(__xludf.DUMMYFUNCTION("MIN(INDEX(GOOGLEFINANCE(A987, ""low"", TODAY()-30, TODAY()), 0, 2))"),473.9)</f>
        <v>473.9</v>
      </c>
      <c r="J987" s="9">
        <f>IFERROR(__xludf.DUMMYFUNCTION("GOOGLEFINANCE(A987, ""high52"")"),572.85)</f>
        <v>572.85</v>
      </c>
      <c r="K987" s="9">
        <f>IFERROR(__xludf.DUMMYFUNCTION("GOOGLEFINANCE(A987, ""low52"")"),327.1)</f>
        <v>327.1</v>
      </c>
      <c r="L987" s="9">
        <f t="shared" si="1"/>
        <v>0.144278607</v>
      </c>
      <c r="M987" s="9">
        <f t="shared" si="2"/>
        <v>0.4986242739</v>
      </c>
      <c r="N987" s="9">
        <f t="shared" si="3"/>
        <v>0.06552015193</v>
      </c>
      <c r="O987" s="9">
        <f t="shared" si="4"/>
        <v>0.2199730094</v>
      </c>
      <c r="P987" s="9">
        <f>IFERROR(__xludf.DUMMYFUNCTION("GOOGLEFINANCE(A987, ""pe"")"),40.95)</f>
        <v>40.95</v>
      </c>
      <c r="Q987" s="9">
        <f>IFERROR(__xludf.DUMMYFUNCTION("IFERROR(GOOGLEFINANCE(A987, ""volume"") / GOOGLEFINANCE(A987, ""volumeavg""), 0)"),0.0)</f>
        <v>0</v>
      </c>
      <c r="R987" s="9">
        <f>IFERROR(__xludf.DUMMYFUNCTION("AVERAGE(INDEX(GOOGLEFINANCE(A987, ""price"", TODAY()-30, TODAY()), 0, 2))"),509.904347826087)</f>
        <v>509.9043478</v>
      </c>
      <c r="S987" s="9">
        <f>IFERROR(__xludf.DUMMYFUNCTION("AVERAGE(INDEX(GOOGLEFINANCE(A987, ""price"", TODAY()-75, TODAY()), 0, 2))"),495.2405660377358)</f>
        <v>495.240566</v>
      </c>
      <c r="T987" s="9">
        <f>IFERROR(__xludf.DUMMYFUNCTION("AVERAGE(INDEX(GOOGLEFINANCE(A987, ""price"", TODAY()-300, TODAY()), 0, 2))"),437.7007425742575)</f>
        <v>437.7007426</v>
      </c>
      <c r="U987" s="9">
        <f t="shared" si="5"/>
        <v>-0.03864322379</v>
      </c>
      <c r="V987" s="15">
        <f>IFERROR(__xludf.DUMMYFUNCTION("LET(hist, GOOGLEFINANCE(A987,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rs))))))"),42.09968186638387)</f>
        <v>42.09968187</v>
      </c>
      <c r="W987" s="16" t="str">
        <f>IFERROR(__xludf.DUMMYFUNCTION("IFERROR(GOOGLEFINANCE(A987, ""volume"") / GOOGLEFINANCE(A987, ""volumeavg""), )"),"")</f>
        <v/>
      </c>
      <c r="X987" s="9">
        <f>IFERROR(__xludf.DUMMYFUNCTION("B987 * GOOGLEFINANCE(A987, ""volume"")"),1.701327336E8)</f>
        <v>170132733.6</v>
      </c>
      <c r="Y987" s="9">
        <f>IFERROR(__xludf.DUMMYFUNCTION("IFERROR(((B987 - GOOGLEFINANCE(A987, ""priceopen"")) / GOOGLEFINANCE(A987, ""priceopen"")) * GOOGLEFINANCE(A987, ""volume""), 0)"),-6734.466093218635)</f>
        <v>-6734.466093</v>
      </c>
    </row>
    <row r="988">
      <c r="A988" s="4" t="s">
        <v>2781</v>
      </c>
      <c r="B988" s="7">
        <f>IFERROR(__xludf.DUMMYFUNCTION("GOOGLEFINANCE(A988, ""price"")"),1530.0)</f>
        <v>1530</v>
      </c>
      <c r="C988" s="7">
        <f>IFERROR(__xludf.DUMMYFUNCTION("GOOGLEFINANCE(A988, ""changepct"")"),-0.33)</f>
        <v>-0.33</v>
      </c>
      <c r="D988" s="9">
        <f>IFERROR(__xludf.DUMMYFUNCTION("GOOGLEFINANCE(A988, ""priceopen"")"),1435.0)</f>
        <v>1435</v>
      </c>
      <c r="E988" s="9">
        <f>IFERROR(__xludf.DUMMYFUNCTION("GOOGLEFINANCE(A988, ""high"")"),1575.0)</f>
        <v>1575</v>
      </c>
      <c r="F988" s="9">
        <f>IFERROR(__xludf.DUMMYFUNCTION("GOOGLEFINANCE(A988, ""low"")"),1416.3)</f>
        <v>1416.3</v>
      </c>
      <c r="G988" s="9">
        <f>IFERROR(__xludf.DUMMYFUNCTION("GOOGLEFINANCE(A988, ""price"")"),1530.0)</f>
        <v>1530</v>
      </c>
      <c r="H988" s="9">
        <f>IFERROR(__xludf.DUMMYFUNCTION("MAX(INDEX(GOOGLEFINANCE(A988, ""high"", TODAY()-30, TODAY()), 0, 2))"),1666.0)</f>
        <v>1666</v>
      </c>
      <c r="I988" s="9">
        <f>IFERROR(__xludf.DUMMYFUNCTION("MIN(INDEX(GOOGLEFINANCE(A988, ""low"", TODAY()-30, TODAY()), 0, 2))"),1416.3)</f>
        <v>1416.3</v>
      </c>
      <c r="J988" s="9">
        <f>IFERROR(__xludf.DUMMYFUNCTION("GOOGLEFINANCE(A988, ""high52"")"),2388.3)</f>
        <v>2388.3</v>
      </c>
      <c r="K988" s="9">
        <f>IFERROR(__xludf.DUMMYFUNCTION("GOOGLEFINANCE(A988, ""low52"")"),846.6)</f>
        <v>846.6</v>
      </c>
      <c r="L988" s="9">
        <f t="shared" si="1"/>
        <v>0.3593769627</v>
      </c>
      <c r="M988" s="9">
        <f t="shared" si="2"/>
        <v>0.8072289157</v>
      </c>
      <c r="N988" s="9">
        <f t="shared" si="3"/>
        <v>0.1120525312</v>
      </c>
      <c r="O988" s="9">
        <f t="shared" si="4"/>
        <v>0.4553464157</v>
      </c>
      <c r="P988" s="9">
        <f>IFERROR(__xludf.DUMMYFUNCTION("GOOGLEFINANCE(A988, ""pe"")"),74.34)</f>
        <v>74.34</v>
      </c>
      <c r="Q988" s="9">
        <f>IFERROR(__xludf.DUMMYFUNCTION("IFERROR(GOOGLEFINANCE(A988, ""volume"") / GOOGLEFINANCE(A988, ""volumeavg""), 0)"),0.0)</f>
        <v>0</v>
      </c>
      <c r="R988" s="9">
        <f>IFERROR(__xludf.DUMMYFUNCTION("AVERAGE(INDEX(GOOGLEFINANCE(A988, ""price"", TODAY()-30, TODAY()), 0, 2))"),1546.3434782608697)</f>
        <v>1546.343478</v>
      </c>
      <c r="S988" s="9">
        <f>IFERROR(__xludf.DUMMYFUNCTION("AVERAGE(INDEX(GOOGLEFINANCE(A988, ""price"", TODAY()-75, TODAY()), 0, 2))"),1550.311320754717)</f>
        <v>1550.311321</v>
      </c>
      <c r="T988" s="9">
        <f>IFERROR(__xludf.DUMMYFUNCTION("AVERAGE(INDEX(GOOGLEFINANCE(A988, ""price"", TODAY()-300, TODAY()), 0, 2))"),1399.321534653465)</f>
        <v>1399.321535</v>
      </c>
      <c r="U988" s="9">
        <f t="shared" si="5"/>
        <v>-0.01056911255</v>
      </c>
      <c r="V988" s="15">
        <f>IFERROR(__xludf.DUMMYFUNCTION("LET(hist, GOOGLEFINANCE(A988,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rs))))))"),51.33630289532296)</f>
        <v>51.3363029</v>
      </c>
      <c r="W988" s="16" t="str">
        <f>IFERROR(__xludf.DUMMYFUNCTION("IFERROR(GOOGLEFINANCE(A988, ""volume"") / GOOGLEFINANCE(A988, ""volumeavg""), )"),"")</f>
        <v/>
      </c>
      <c r="X988" s="9">
        <f>IFERROR(__xludf.DUMMYFUNCTION("B988 * GOOGLEFINANCE(A988, ""volume"")"),1.1332404E8)</f>
        <v>113324040</v>
      </c>
      <c r="Y988" s="9">
        <f>IFERROR(__xludf.DUMMYFUNCTION("IFERROR(((B988 - GOOGLEFINANCE(A988, ""priceopen"")) / GOOGLEFINANCE(A988, ""priceopen"")) * GOOGLEFINANCE(A988, ""volume""), 0)"),4903.456445993032)</f>
        <v>4903.456446</v>
      </c>
    </row>
    <row r="989">
      <c r="A989" s="4" t="s">
        <v>2782</v>
      </c>
      <c r="B989" s="7">
        <f>IFERROR(__xludf.DUMMYFUNCTION("GOOGLEFINANCE(A989, ""price"")"),1068.0)</f>
        <v>1068</v>
      </c>
      <c r="C989" s="7">
        <f>IFERROR(__xludf.DUMMYFUNCTION("GOOGLEFINANCE(A989, ""changepct"")"),1.8)</f>
        <v>1.8</v>
      </c>
      <c r="D989" s="9">
        <f>IFERROR(__xludf.DUMMYFUNCTION("GOOGLEFINANCE(A989, ""priceopen"")"),1050.0)</f>
        <v>1050</v>
      </c>
      <c r="E989" s="9">
        <f>IFERROR(__xludf.DUMMYFUNCTION("GOOGLEFINANCE(A989, ""high"")"),1074.0)</f>
        <v>1074</v>
      </c>
      <c r="F989" s="9">
        <f>IFERROR(__xludf.DUMMYFUNCTION("GOOGLEFINANCE(A989, ""low"")"),1037.7)</f>
        <v>1037.7</v>
      </c>
      <c r="G989" s="9">
        <f>IFERROR(__xludf.DUMMYFUNCTION("GOOGLEFINANCE(A989, ""price"")"),1068.0)</f>
        <v>1068</v>
      </c>
      <c r="H989" s="9">
        <f>IFERROR(__xludf.DUMMYFUNCTION("MAX(INDEX(GOOGLEFINANCE(A989, ""high"", TODAY()-30, TODAY()), 0, 2))"),1268.0)</f>
        <v>1268</v>
      </c>
      <c r="I989" s="9">
        <f>IFERROR(__xludf.DUMMYFUNCTION("MIN(INDEX(GOOGLEFINANCE(A989, ""low"", TODAY()-30, TODAY()), 0, 2))"),1022.0)</f>
        <v>1022</v>
      </c>
      <c r="J989" s="9">
        <f>IFERROR(__xludf.DUMMYFUNCTION("GOOGLEFINANCE(A989, ""high52"")"),1479.9)</f>
        <v>1479.9</v>
      </c>
      <c r="K989" s="9">
        <f>IFERROR(__xludf.DUMMYFUNCTION("GOOGLEFINANCE(A989, ""low52"")"),653.55)</f>
        <v>653.55</v>
      </c>
      <c r="L989" s="9">
        <f t="shared" si="1"/>
        <v>0.2783296169</v>
      </c>
      <c r="M989" s="9">
        <f t="shared" si="2"/>
        <v>0.6341519394</v>
      </c>
      <c r="N989" s="9">
        <f t="shared" si="3"/>
        <v>0.03498120844</v>
      </c>
      <c r="O989" s="9">
        <f t="shared" si="4"/>
        <v>0.1869918699</v>
      </c>
      <c r="P989" s="9">
        <f>IFERROR(__xludf.DUMMYFUNCTION("GOOGLEFINANCE(A989, ""pe"")"),50.78)</f>
        <v>50.78</v>
      </c>
      <c r="Q989" s="9">
        <f>IFERROR(__xludf.DUMMYFUNCTION("IFERROR(GOOGLEFINANCE(A989, ""volume"") / GOOGLEFINANCE(A989, ""volumeavg""), 0)"),0.0)</f>
        <v>0</v>
      </c>
      <c r="R989" s="9">
        <f>IFERROR(__xludf.DUMMYFUNCTION("AVERAGE(INDEX(GOOGLEFINANCE(A989, ""price"", TODAY()-30, TODAY()), 0, 2))"),1153.1239130434783)</f>
        <v>1153.123913</v>
      </c>
      <c r="S989" s="9">
        <f>IFERROR(__xludf.DUMMYFUNCTION("AVERAGE(INDEX(GOOGLEFINANCE(A989, ""price"", TODAY()-75, TODAY()), 0, 2))"),1038.6254716981132)</f>
        <v>1038.625472</v>
      </c>
      <c r="T989" s="9">
        <f>IFERROR(__xludf.DUMMYFUNCTION("AVERAGE(INDEX(GOOGLEFINANCE(A989, ""price"", TODAY()-300, TODAY()), 0, 2))"),946.7227722772273)</f>
        <v>946.7227723</v>
      </c>
      <c r="U989" s="9">
        <f t="shared" si="5"/>
        <v>-0.07382026518</v>
      </c>
      <c r="V989" s="15">
        <f>IFERROR(__xludf.DUMMYFUNCTION("LET(hist, GOOGLEFINANCE(A989,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rs))))))"),26.409048067860482)</f>
        <v>26.40904807</v>
      </c>
      <c r="W989" s="16" t="str">
        <f>IFERROR(__xludf.DUMMYFUNCTION("IFERROR(GOOGLEFINANCE(A989, ""volume"") / GOOGLEFINANCE(A989, ""volumeavg""), )"),"")</f>
        <v/>
      </c>
      <c r="X989" s="9">
        <f>IFERROR(__xludf.DUMMYFUNCTION("B989 * GOOGLEFINANCE(A989, ""volume"")"),9.099894E7)</f>
        <v>90998940</v>
      </c>
      <c r="Y989" s="9">
        <f>IFERROR(__xludf.DUMMYFUNCTION("IFERROR(((B989 - GOOGLEFINANCE(A989, ""priceopen"")) / GOOGLEFINANCE(A989, ""priceopen"")) * GOOGLEFINANCE(A989, ""volume""), 0)"),1460.6571428571428)</f>
        <v>1460.657143</v>
      </c>
    </row>
    <row r="990">
      <c r="A990" s="4" t="s">
        <v>2783</v>
      </c>
      <c r="B990" s="7">
        <f>IFERROR(__xludf.DUMMYFUNCTION("GOOGLEFINANCE(A990, ""price"")"),599.9)</f>
        <v>599.9</v>
      </c>
      <c r="C990" s="7">
        <f>IFERROR(__xludf.DUMMYFUNCTION("GOOGLEFINANCE(A990, ""changepct"")"),-2.76)</f>
        <v>-2.76</v>
      </c>
      <c r="D990" s="9">
        <f>IFERROR(__xludf.DUMMYFUNCTION("GOOGLEFINANCE(A990, ""priceopen"")"),618.0)</f>
        <v>618</v>
      </c>
      <c r="E990" s="9">
        <f>IFERROR(__xludf.DUMMYFUNCTION("GOOGLEFINANCE(A990, ""high"")"),623.85)</f>
        <v>623.85</v>
      </c>
      <c r="F990" s="9">
        <f>IFERROR(__xludf.DUMMYFUNCTION("GOOGLEFINANCE(A990, ""low"")"),591.0)</f>
        <v>591</v>
      </c>
      <c r="G990" s="9">
        <f>IFERROR(__xludf.DUMMYFUNCTION("GOOGLEFINANCE(A990, ""price"")"),599.9)</f>
        <v>599.9</v>
      </c>
      <c r="H990" s="9">
        <f>IFERROR(__xludf.DUMMYFUNCTION("MAX(INDEX(GOOGLEFINANCE(A990, ""high"", TODAY()-30, TODAY()), 0, 2))"),712.0)</f>
        <v>712</v>
      </c>
      <c r="I990" s="9">
        <f>IFERROR(__xludf.DUMMYFUNCTION("MIN(INDEX(GOOGLEFINANCE(A990, ""low"", TODAY()-30, TODAY()), 0, 2))"),501.1)</f>
        <v>501.1</v>
      </c>
      <c r="J990" s="9">
        <f>IFERROR(__xludf.DUMMYFUNCTION("GOOGLEFINANCE(A990, ""high52"")"),712.0)</f>
        <v>712</v>
      </c>
      <c r="K990" s="9">
        <f>IFERROR(__xludf.DUMMYFUNCTION("GOOGLEFINANCE(A990, ""low52"")"),310.45)</f>
        <v>310.45</v>
      </c>
      <c r="L990" s="9">
        <f t="shared" si="1"/>
        <v>0.1574438202</v>
      </c>
      <c r="M990" s="9">
        <f t="shared" si="2"/>
        <v>0.932356257</v>
      </c>
      <c r="N990" s="9">
        <f t="shared" si="3"/>
        <v>0.05558375635</v>
      </c>
      <c r="O990" s="9">
        <f t="shared" si="4"/>
        <v>0.4684684685</v>
      </c>
      <c r="P990" s="9">
        <f>IFERROR(__xludf.DUMMYFUNCTION("GOOGLEFINANCE(A990, ""pe"")"),19.3)</f>
        <v>19.3</v>
      </c>
      <c r="Q990" s="9">
        <f>IFERROR(__xludf.DUMMYFUNCTION("IFERROR(GOOGLEFINANCE(A990, ""volume"") / GOOGLEFINANCE(A990, ""volumeavg""), 0)"),0.0)</f>
        <v>0</v>
      </c>
      <c r="R990" s="9">
        <f>IFERROR(__xludf.DUMMYFUNCTION("AVERAGE(INDEX(GOOGLEFINANCE(A990, ""price"", TODAY()-30, TODAY()), 0, 2))"),586.3630434782609)</f>
        <v>586.3630435</v>
      </c>
      <c r="S990" s="9">
        <f>IFERROR(__xludf.DUMMYFUNCTION("AVERAGE(INDEX(GOOGLEFINANCE(A990, ""price"", TODAY()-75, TODAY()), 0, 2))"),547.502830188679)</f>
        <v>547.5028302</v>
      </c>
      <c r="T990" s="9">
        <f>IFERROR(__xludf.DUMMYFUNCTION("AVERAGE(INDEX(GOOGLEFINANCE(A990, ""price"", TODAY()-300, TODAY()), 0, 2))"),427.6378712871288)</f>
        <v>427.6378713</v>
      </c>
      <c r="U990" s="9">
        <f t="shared" si="5"/>
        <v>0.02308630578</v>
      </c>
      <c r="V990" s="15">
        <f>IFERROR(__xludf.DUMMYFUNCTION("LET(hist, GOOGLEFINANCE(A990,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rs))))))"),58.105970739422695)</f>
        <v>58.10597074</v>
      </c>
      <c r="W990" s="16" t="str">
        <f>IFERROR(__xludf.DUMMYFUNCTION("IFERROR(GOOGLEFINANCE(A990, ""volume"") / GOOGLEFINANCE(A990, ""volumeavg""), )"),"")</f>
        <v/>
      </c>
      <c r="X990" s="9">
        <f>IFERROR(__xludf.DUMMYFUNCTION("B990 * GOOGLEFINANCE(A990, ""volume"")"),1.732481205E8)</f>
        <v>173248120.5</v>
      </c>
      <c r="Y990" s="9">
        <f>IFERROR(__xludf.DUMMYFUNCTION("IFERROR(((B990 - GOOGLEFINANCE(A990, ""priceopen"")) / GOOGLEFINANCE(A990, ""priceopen"")) * GOOGLEFINANCE(A990, ""volume""), 0)"),-8458.235436893214)</f>
        <v>-8458.235437</v>
      </c>
    </row>
    <row r="991">
      <c r="A991" s="4" t="s">
        <v>2784</v>
      </c>
      <c r="B991" s="7">
        <f>IFERROR(__xludf.DUMMYFUNCTION("GOOGLEFINANCE(A991, ""price"")"),400.0)</f>
        <v>400</v>
      </c>
      <c r="C991" s="7">
        <f>IFERROR(__xludf.DUMMYFUNCTION("GOOGLEFINANCE(A991, ""changepct"")"),0.15)</f>
        <v>0.15</v>
      </c>
      <c r="D991" s="9">
        <f>IFERROR(__xludf.DUMMYFUNCTION("GOOGLEFINANCE(A991, ""priceopen"")"),401.15)</f>
        <v>401.15</v>
      </c>
      <c r="E991" s="9">
        <f>IFERROR(__xludf.DUMMYFUNCTION("GOOGLEFINANCE(A991, ""high"")"),401.5)</f>
        <v>401.5</v>
      </c>
      <c r="F991" s="9">
        <f>IFERROR(__xludf.DUMMYFUNCTION("GOOGLEFINANCE(A991, ""low"")"),392.8)</f>
        <v>392.8</v>
      </c>
      <c r="G991" s="9">
        <f>IFERROR(__xludf.DUMMYFUNCTION("GOOGLEFINANCE(A991, ""price"")"),400.0)</f>
        <v>400</v>
      </c>
      <c r="H991" s="9">
        <f>IFERROR(__xludf.DUMMYFUNCTION("MAX(INDEX(GOOGLEFINANCE(A991, ""high"", TODAY()-30, TODAY()), 0, 2))"),446.95)</f>
        <v>446.95</v>
      </c>
      <c r="I991" s="9">
        <f>IFERROR(__xludf.DUMMYFUNCTION("MIN(INDEX(GOOGLEFINANCE(A991, ""low"", TODAY()-30, TODAY()), 0, 2))"),388.45)</f>
        <v>388.45</v>
      </c>
      <c r="J991" s="9">
        <f>IFERROR(__xludf.DUMMYFUNCTION("GOOGLEFINANCE(A991, ""high52"")"),598.9)</f>
        <v>598.9</v>
      </c>
      <c r="K991" s="9">
        <f>IFERROR(__xludf.DUMMYFUNCTION("GOOGLEFINANCE(A991, ""low52"")"),388.45)</f>
        <v>388.45</v>
      </c>
      <c r="L991" s="9">
        <f t="shared" si="1"/>
        <v>0.3321088663</v>
      </c>
      <c r="M991" s="9">
        <f t="shared" si="2"/>
        <v>0.02973355644</v>
      </c>
      <c r="N991" s="9">
        <f t="shared" si="3"/>
        <v>0.02214867617</v>
      </c>
      <c r="O991" s="9">
        <f t="shared" si="4"/>
        <v>0.1974358974</v>
      </c>
      <c r="P991" s="9">
        <f>IFERROR(__xludf.DUMMYFUNCTION("GOOGLEFINANCE(A991, ""pe"")"),48.13)</f>
        <v>48.13</v>
      </c>
      <c r="Q991" s="9">
        <f>IFERROR(__xludf.DUMMYFUNCTION("IFERROR(GOOGLEFINANCE(A991, ""volume"") / GOOGLEFINANCE(A991, ""volumeavg""), 0)"),0.0)</f>
        <v>0</v>
      </c>
      <c r="R991" s="9">
        <f>IFERROR(__xludf.DUMMYFUNCTION("AVERAGE(INDEX(GOOGLEFINANCE(A991, ""price"", TODAY()-30, TODAY()), 0, 2))"),417.35652173913047)</f>
        <v>417.3565217</v>
      </c>
      <c r="S991" s="9">
        <f>IFERROR(__xludf.DUMMYFUNCTION("AVERAGE(INDEX(GOOGLEFINANCE(A991, ""price"", TODAY()-75, TODAY()), 0, 2))"),432.60188679245283)</f>
        <v>432.6018868</v>
      </c>
      <c r="T991" s="9">
        <f>IFERROR(__xludf.DUMMYFUNCTION("AVERAGE(INDEX(GOOGLEFINANCE(A991, ""price"", TODAY()-300, TODAY()), 0, 2))"),454.2306930693071)</f>
        <v>454.2306931</v>
      </c>
      <c r="U991" s="9">
        <f t="shared" si="5"/>
        <v>-0.0415867989</v>
      </c>
      <c r="V991" s="15">
        <f>IFERROR(__xludf.DUMMYFUNCTION("LET(hist, GOOGLEFINANCE(A991,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rs))))))"),36.05560382276278)</f>
        <v>36.05560382</v>
      </c>
      <c r="W991" s="16" t="str">
        <f>IFERROR(__xludf.DUMMYFUNCTION("IFERROR(GOOGLEFINANCE(A991, ""volume"") / GOOGLEFINANCE(A991, ""volumeavg""), )"),"")</f>
        <v/>
      </c>
      <c r="X991" s="9">
        <f>IFERROR(__xludf.DUMMYFUNCTION("B991 * GOOGLEFINANCE(A991, ""volume"")"),4436800.0)</f>
        <v>4436800</v>
      </c>
      <c r="Y991" s="9">
        <f>IFERROR(__xludf.DUMMYFUNCTION("IFERROR(((B991 - GOOGLEFINANCE(A991, ""priceopen"")) / GOOGLEFINANCE(A991, ""priceopen"")) * GOOGLEFINANCE(A991, ""volume""), 0)"),-31.79808051850866)</f>
        <v>-31.79808052</v>
      </c>
    </row>
    <row r="992">
      <c r="A992" s="4" t="s">
        <v>2785</v>
      </c>
      <c r="B992" s="7">
        <f>IFERROR(__xludf.DUMMYFUNCTION("GOOGLEFINANCE(A992, ""price"")"),333.2)</f>
        <v>333.2</v>
      </c>
      <c r="C992" s="7">
        <f>IFERROR(__xludf.DUMMYFUNCTION("GOOGLEFINANCE(A992, ""changepct"")"),1.46)</f>
        <v>1.46</v>
      </c>
      <c r="D992" s="9">
        <f>IFERROR(__xludf.DUMMYFUNCTION("GOOGLEFINANCE(A992, ""priceopen"")"),331.2)</f>
        <v>331.2</v>
      </c>
      <c r="E992" s="9">
        <f>IFERROR(__xludf.DUMMYFUNCTION("GOOGLEFINANCE(A992, ""high"")"),333.2)</f>
        <v>333.2</v>
      </c>
      <c r="F992" s="9">
        <f>IFERROR(__xludf.DUMMYFUNCTION("GOOGLEFINANCE(A992, ""low"")"),324.9)</f>
        <v>324.9</v>
      </c>
      <c r="G992" s="9">
        <f>IFERROR(__xludf.DUMMYFUNCTION("GOOGLEFINANCE(A992, ""price"")"),333.2)</f>
        <v>333.2</v>
      </c>
      <c r="H992" s="9">
        <f>IFERROR(__xludf.DUMMYFUNCTION("MAX(INDEX(GOOGLEFINANCE(A992, ""high"", TODAY()-30, TODAY()), 0, 2))"),345.5)</f>
        <v>345.5</v>
      </c>
      <c r="I992" s="9">
        <f>IFERROR(__xludf.DUMMYFUNCTION("MIN(INDEX(GOOGLEFINANCE(A992, ""low"", TODAY()-30, TODAY()), 0, 2))"),295.05)</f>
        <v>295.05</v>
      </c>
      <c r="J992" s="9">
        <f>IFERROR(__xludf.DUMMYFUNCTION("GOOGLEFINANCE(A992, ""high52"")"),345.5)</f>
        <v>345.5</v>
      </c>
      <c r="K992" s="9">
        <f>IFERROR(__xludf.DUMMYFUNCTION("GOOGLEFINANCE(A992, ""low52"")"),176.02)</f>
        <v>176.02</v>
      </c>
      <c r="L992" s="9">
        <f t="shared" si="1"/>
        <v>0.03560057887</v>
      </c>
      <c r="M992" s="9">
        <f t="shared" si="2"/>
        <v>0.8929667083</v>
      </c>
      <c r="N992" s="9">
        <f t="shared" si="3"/>
        <v>0.02554632195</v>
      </c>
      <c r="O992" s="9">
        <f t="shared" si="4"/>
        <v>0.7561942517</v>
      </c>
      <c r="P992" s="9">
        <f>IFERROR(__xludf.DUMMYFUNCTION("GOOGLEFINANCE(A992, ""pe"")"),37.2)</f>
        <v>37.2</v>
      </c>
      <c r="Q992" s="9">
        <f>IFERROR(__xludf.DUMMYFUNCTION("IFERROR(GOOGLEFINANCE(A992, ""volume"") / GOOGLEFINANCE(A992, ""volumeavg""), 0)"),0.0)</f>
        <v>0</v>
      </c>
      <c r="R992" s="9">
        <f>IFERROR(__xludf.DUMMYFUNCTION("AVERAGE(INDEX(GOOGLEFINANCE(A992, ""price"", TODAY()-30, TODAY()), 0, 2))"),315.7869565217391)</f>
        <v>315.7869565</v>
      </c>
      <c r="S992" s="9">
        <f>IFERROR(__xludf.DUMMYFUNCTION("AVERAGE(INDEX(GOOGLEFINANCE(A992, ""price"", TODAY()-75, TODAY()), 0, 2))"),303.95094339622636)</f>
        <v>303.9509434</v>
      </c>
      <c r="T992" s="9">
        <f>IFERROR(__xludf.DUMMYFUNCTION("AVERAGE(INDEX(GOOGLEFINANCE(A992, ""price"", TODAY()-300, TODAY()), 0, 2))"),252.55554455445554)</f>
        <v>252.5555446</v>
      </c>
      <c r="U992" s="9">
        <f t="shared" si="5"/>
        <v>0.05514174388</v>
      </c>
      <c r="V992" s="15">
        <f>IFERROR(__xludf.DUMMYFUNCTION("LET(hist, GOOGLEFINANCE(A992,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rs))))))"),60.69844789356984)</f>
        <v>60.69844789</v>
      </c>
      <c r="W992" s="16" t="str">
        <f>IFERROR(__xludf.DUMMYFUNCTION("IFERROR(GOOGLEFINANCE(A992, ""volume"") / GOOGLEFINANCE(A992, ""volumeavg""), )"),"")</f>
        <v/>
      </c>
      <c r="X992" s="9">
        <f>IFERROR(__xludf.DUMMYFUNCTION("B992 * GOOGLEFINANCE(A992, ""volume"")"),3.79971284E7)</f>
        <v>37997128.4</v>
      </c>
      <c r="Y992" s="9">
        <f>IFERROR(__xludf.DUMMYFUNCTION("IFERROR(((B992 - GOOGLEFINANCE(A992, ""priceopen"")) / GOOGLEFINANCE(A992, ""priceopen"")) * GOOGLEFINANCE(A992, ""volume""), 0)"),688.6292270531401)</f>
        <v>688.6292271</v>
      </c>
    </row>
    <row r="993">
      <c r="A993" s="4" t="s">
        <v>2786</v>
      </c>
      <c r="B993" s="7">
        <f>IFERROR(__xludf.DUMMYFUNCTION("GOOGLEFINANCE(A993, ""price"")"),73.45)</f>
        <v>73.45</v>
      </c>
      <c r="C993" s="7">
        <f>IFERROR(__xludf.DUMMYFUNCTION("GOOGLEFINANCE(A993, ""changepct"")"),-4.47)</f>
        <v>-4.47</v>
      </c>
      <c r="D993" s="9">
        <f>IFERROR(__xludf.DUMMYFUNCTION("GOOGLEFINANCE(A993, ""priceopen"")"),77.09)</f>
        <v>77.09</v>
      </c>
      <c r="E993" s="9">
        <f>IFERROR(__xludf.DUMMYFUNCTION("GOOGLEFINANCE(A993, ""high"")"),77.57)</f>
        <v>77.57</v>
      </c>
      <c r="F993" s="9">
        <f>IFERROR(__xludf.DUMMYFUNCTION("GOOGLEFINANCE(A993, ""low"")"),72.56)</f>
        <v>72.56</v>
      </c>
      <c r="G993" s="9">
        <f>IFERROR(__xludf.DUMMYFUNCTION("GOOGLEFINANCE(A993, ""price"")"),73.45)</f>
        <v>73.45</v>
      </c>
      <c r="H993" s="9">
        <f>IFERROR(__xludf.DUMMYFUNCTION("MAX(INDEX(GOOGLEFINANCE(A993, ""high"", TODAY()-30, TODAY()), 0, 2))"),83.5)</f>
        <v>83.5</v>
      </c>
      <c r="I993" s="9">
        <f>IFERROR(__xludf.DUMMYFUNCTION("MIN(INDEX(GOOGLEFINANCE(A993, ""low"", TODAY()-30, TODAY()), 0, 2))"),51.38)</f>
        <v>51.38</v>
      </c>
      <c r="J993" s="9">
        <f>IFERROR(__xludf.DUMMYFUNCTION("GOOGLEFINANCE(A993, ""high52"")"),83.5)</f>
        <v>83.5</v>
      </c>
      <c r="K993" s="9">
        <f>IFERROR(__xludf.DUMMYFUNCTION("GOOGLEFINANCE(A993, ""low52"")"),33.05)</f>
        <v>33.05</v>
      </c>
      <c r="L993" s="9">
        <f t="shared" si="1"/>
        <v>0.1203592814</v>
      </c>
      <c r="M993" s="9">
        <f t="shared" si="2"/>
        <v>1.222390318</v>
      </c>
      <c r="N993" s="9">
        <f t="shared" si="3"/>
        <v>0.0690463065</v>
      </c>
      <c r="O993" s="9">
        <f t="shared" si="4"/>
        <v>0.6871108344</v>
      </c>
      <c r="P993" s="9">
        <f>IFERROR(__xludf.DUMMYFUNCTION("GOOGLEFINANCE(A993, ""pe"")"),28.69)</f>
        <v>28.69</v>
      </c>
      <c r="Q993" s="9">
        <f>IFERROR(__xludf.DUMMYFUNCTION("IFERROR(GOOGLEFINANCE(A993, ""volume"") / GOOGLEFINANCE(A993, ""volumeavg""), 0)"),0.0)</f>
        <v>0</v>
      </c>
      <c r="R993" s="9">
        <f>IFERROR(__xludf.DUMMYFUNCTION("AVERAGE(INDEX(GOOGLEFINANCE(A993, ""price"", TODAY()-30, TODAY()), 0, 2))"),63.32826086956523)</f>
        <v>63.32826087</v>
      </c>
      <c r="S993" s="9">
        <f>IFERROR(__xludf.DUMMYFUNCTION("AVERAGE(INDEX(GOOGLEFINANCE(A993, ""price"", TODAY()-75, TODAY()), 0, 2))"),57.11924528301886)</f>
        <v>57.11924528</v>
      </c>
      <c r="T993" s="9">
        <f>IFERROR(__xludf.DUMMYFUNCTION("AVERAGE(INDEX(GOOGLEFINANCE(A993, ""price"", TODAY()-300, TODAY()), 0, 2))"),45.63123762376236)</f>
        <v>45.63123762</v>
      </c>
      <c r="U993" s="9">
        <f t="shared" si="5"/>
        <v>0.1598297346</v>
      </c>
      <c r="V993" s="15">
        <f>IFERROR(__xludf.DUMMYFUNCTION("LET(hist, GOOGLEFINANCE(A993,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rs))))))"),76.15135673388099)</f>
        <v>76.15135673</v>
      </c>
      <c r="W993" s="16" t="str">
        <f>IFERROR(__xludf.DUMMYFUNCTION("IFERROR(GOOGLEFINANCE(A993, ""volume"") / GOOGLEFINANCE(A993, ""volumeavg""), )"),"")</f>
        <v/>
      </c>
      <c r="X993" s="9">
        <f>IFERROR(__xludf.DUMMYFUNCTION("B993 * GOOGLEFINANCE(A993, ""volume"")"),9.7600000095E8)</f>
        <v>976000001</v>
      </c>
      <c r="Y993" s="9">
        <f>IFERROR(__xludf.DUMMYFUNCTION("IFERROR(((B993 - GOOGLEFINANCE(A993, ""priceopen"")) / GOOGLEFINANCE(A993, ""priceopen"")) * GOOGLEFINANCE(A993, ""volume""), 0)"),-627424.3305227656)</f>
        <v>-627424.3305</v>
      </c>
    </row>
    <row r="994">
      <c r="A994" s="4" t="s">
        <v>2787</v>
      </c>
      <c r="B994" s="7">
        <f>IFERROR(__xludf.DUMMYFUNCTION("GOOGLEFINANCE(A994, ""price"")"),295.4)</f>
        <v>295.4</v>
      </c>
      <c r="C994" s="7">
        <f>IFERROR(__xludf.DUMMYFUNCTION("GOOGLEFINANCE(A994, ""changepct"")"),-2.51)</f>
        <v>-2.51</v>
      </c>
      <c r="D994" s="9">
        <f>IFERROR(__xludf.DUMMYFUNCTION("GOOGLEFINANCE(A994, ""priceopen"")"),300.0)</f>
        <v>300</v>
      </c>
      <c r="E994" s="9">
        <f>IFERROR(__xludf.DUMMYFUNCTION("GOOGLEFINANCE(A994, ""high"")"),304.3)</f>
        <v>304.3</v>
      </c>
      <c r="F994" s="9">
        <f>IFERROR(__xludf.DUMMYFUNCTION("GOOGLEFINANCE(A994, ""low"")"),291.15)</f>
        <v>291.15</v>
      </c>
      <c r="G994" s="9">
        <f>IFERROR(__xludf.DUMMYFUNCTION("GOOGLEFINANCE(A994, ""price"")"),295.4)</f>
        <v>295.4</v>
      </c>
      <c r="H994" s="9">
        <f>IFERROR(__xludf.DUMMYFUNCTION("MAX(INDEX(GOOGLEFINANCE(A994, ""high"", TODAY()-30, TODAY()), 0, 2))"),325.0)</f>
        <v>325</v>
      </c>
      <c r="I994" s="9">
        <f>IFERROR(__xludf.DUMMYFUNCTION("MIN(INDEX(GOOGLEFINANCE(A994, ""low"", TODAY()-30, TODAY()), 0, 2))"),291.1)</f>
        <v>291.1</v>
      </c>
      <c r="J994" s="9">
        <f>IFERROR(__xludf.DUMMYFUNCTION("GOOGLEFINANCE(A994, ""high52"")"),390.0)</f>
        <v>390</v>
      </c>
      <c r="K994" s="9">
        <f>IFERROR(__xludf.DUMMYFUNCTION("GOOGLEFINANCE(A994, ""low52"")"),205.1)</f>
        <v>205.1</v>
      </c>
      <c r="L994" s="9">
        <f t="shared" si="1"/>
        <v>0.2425641026</v>
      </c>
      <c r="M994" s="9">
        <f t="shared" si="2"/>
        <v>0.4402730375</v>
      </c>
      <c r="N994" s="9">
        <f t="shared" si="3"/>
        <v>0.04516572214</v>
      </c>
      <c r="O994" s="9">
        <f t="shared" si="4"/>
        <v>0.1268436578</v>
      </c>
      <c r="P994" s="9">
        <f>IFERROR(__xludf.DUMMYFUNCTION("GOOGLEFINANCE(A994, ""pe"")"),39.18)</f>
        <v>39.18</v>
      </c>
      <c r="Q994" s="9">
        <f>IFERROR(__xludf.DUMMYFUNCTION("IFERROR(GOOGLEFINANCE(A994, ""volume"") / GOOGLEFINANCE(A994, ""volumeavg""), 0)"),0.0)</f>
        <v>0</v>
      </c>
      <c r="R994" s="9">
        <f>IFERROR(__xludf.DUMMYFUNCTION("AVERAGE(INDEX(GOOGLEFINANCE(A994, ""price"", TODAY()-30, TODAY()), 0, 2))"),308.33260869565214)</f>
        <v>308.3326087</v>
      </c>
      <c r="S994" s="9">
        <f>IFERROR(__xludf.DUMMYFUNCTION("AVERAGE(INDEX(GOOGLEFINANCE(A994, ""price"", TODAY()-75, TODAY()), 0, 2))"),291.1179245283019)</f>
        <v>291.1179245</v>
      </c>
      <c r="T994" s="9">
        <f>IFERROR(__xludf.DUMMYFUNCTION("AVERAGE(INDEX(GOOGLEFINANCE(A994, ""price"", TODAY()-300, TODAY()), 0, 2))"),279.48698019801986)</f>
        <v>279.4869802</v>
      </c>
      <c r="U994" s="9">
        <f t="shared" si="5"/>
        <v>-0.04194369434</v>
      </c>
      <c r="V994" s="15">
        <f>IFERROR(__xludf.DUMMYFUNCTION("LET(hist, GOOGLEFINANCE(A994,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rs))))))"),48.55233853006681)</f>
        <v>48.55233853</v>
      </c>
      <c r="W994" s="16" t="str">
        <f>IFERROR(__xludf.DUMMYFUNCTION("IFERROR(GOOGLEFINANCE(A994, ""volume"") / GOOGLEFINANCE(A994, ""volumeavg""), )"),"")</f>
        <v/>
      </c>
      <c r="X994" s="9">
        <f>IFERROR(__xludf.DUMMYFUNCTION("B994 * GOOGLEFINANCE(A994, ""volume"")"),3.77140134E7)</f>
        <v>37714013.4</v>
      </c>
      <c r="Y994" s="9">
        <f>IFERROR(__xludf.DUMMYFUNCTION("IFERROR(((B994 - GOOGLEFINANCE(A994, ""priceopen"")) / GOOGLEFINANCE(A994, ""priceopen"")) * GOOGLEFINANCE(A994, ""volume""), 0)"),-1957.6220000000096)</f>
        <v>-1957.622</v>
      </c>
    </row>
    <row r="995">
      <c r="A995" s="4" t="s">
        <v>2788</v>
      </c>
      <c r="B995" s="7">
        <f>IFERROR(__xludf.DUMMYFUNCTION("GOOGLEFINANCE(A995, ""price"")"),240.3)</f>
        <v>240.3</v>
      </c>
      <c r="C995" s="7">
        <f>IFERROR(__xludf.DUMMYFUNCTION("GOOGLEFINANCE(A995, ""changepct"")"),-1.9)</f>
        <v>-1.9</v>
      </c>
      <c r="D995" s="9">
        <f>IFERROR(__xludf.DUMMYFUNCTION("GOOGLEFINANCE(A995, ""priceopen"")"),244.0)</f>
        <v>244</v>
      </c>
      <c r="E995" s="9">
        <f>IFERROR(__xludf.DUMMYFUNCTION("GOOGLEFINANCE(A995, ""high"")"),244.95)</f>
        <v>244.95</v>
      </c>
      <c r="F995" s="9">
        <f>IFERROR(__xludf.DUMMYFUNCTION("GOOGLEFINANCE(A995, ""low"")"),239.1)</f>
        <v>239.1</v>
      </c>
      <c r="G995" s="9">
        <f>IFERROR(__xludf.DUMMYFUNCTION("GOOGLEFINANCE(A995, ""price"")"),240.3)</f>
        <v>240.3</v>
      </c>
      <c r="H995" s="9">
        <f>IFERROR(__xludf.DUMMYFUNCTION("MAX(INDEX(GOOGLEFINANCE(A995, ""high"", TODAY()-30, TODAY()), 0, 2))"),283.4)</f>
        <v>283.4</v>
      </c>
      <c r="I995" s="9">
        <f>IFERROR(__xludf.DUMMYFUNCTION("MIN(INDEX(GOOGLEFINANCE(A995, ""low"", TODAY()-30, TODAY()), 0, 2))"),236.5)</f>
        <v>236.5</v>
      </c>
      <c r="J995" s="9">
        <f>IFERROR(__xludf.DUMMYFUNCTION("GOOGLEFINANCE(A995, ""high52"")"),496.9)</f>
        <v>496.9</v>
      </c>
      <c r="K995" s="9">
        <f>IFERROR(__xludf.DUMMYFUNCTION("GOOGLEFINANCE(A995, ""low52"")"),213.52)</f>
        <v>213.52</v>
      </c>
      <c r="L995" s="9">
        <f t="shared" si="1"/>
        <v>0.5164016905</v>
      </c>
      <c r="M995" s="9">
        <f t="shared" si="2"/>
        <v>0.1254215062</v>
      </c>
      <c r="N995" s="9">
        <f t="shared" si="3"/>
        <v>0.02446675031</v>
      </c>
      <c r="O995" s="9">
        <f t="shared" si="4"/>
        <v>0.08102345416</v>
      </c>
      <c r="P995" s="9">
        <f>IFERROR(__xludf.DUMMYFUNCTION("GOOGLEFINANCE(A995, ""pe"")"),15.04)</f>
        <v>15.04</v>
      </c>
      <c r="Q995" s="9">
        <f>IFERROR(__xludf.DUMMYFUNCTION("IFERROR(GOOGLEFINANCE(A995, ""volume"") / GOOGLEFINANCE(A995, ""volumeavg""), 0)"),0.0)</f>
        <v>0</v>
      </c>
      <c r="R995" s="9">
        <f>IFERROR(__xludf.DUMMYFUNCTION("AVERAGE(INDEX(GOOGLEFINANCE(A995, ""price"", TODAY()-30, TODAY()), 0, 2))"),253.19000000000008)</f>
        <v>253.19</v>
      </c>
      <c r="S995" s="9">
        <f>IFERROR(__xludf.DUMMYFUNCTION("AVERAGE(INDEX(GOOGLEFINANCE(A995, ""price"", TODAY()-75, TODAY()), 0, 2))"),250.24867924528303)</f>
        <v>250.2486792</v>
      </c>
      <c r="T995" s="9">
        <f>IFERROR(__xludf.DUMMYFUNCTION("AVERAGE(INDEX(GOOGLEFINANCE(A995, ""price"", TODAY()-300, TODAY()), 0, 2))"),319.3687623762376)</f>
        <v>319.3687624</v>
      </c>
      <c r="U995" s="9">
        <f t="shared" si="5"/>
        <v>-0.05091038351</v>
      </c>
      <c r="V995" s="15">
        <f>IFERROR(__xludf.DUMMYFUNCTION("LET(hist, GOOGLEFINANCE(A995,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rs))))))"),43.88076812840357)</f>
        <v>43.88076813</v>
      </c>
      <c r="W995" s="16" t="str">
        <f>IFERROR(__xludf.DUMMYFUNCTION("IFERROR(GOOGLEFINANCE(A995, ""volume"") / GOOGLEFINANCE(A995, ""volumeavg""), )"),"")</f>
        <v/>
      </c>
      <c r="X995" s="9">
        <f>IFERROR(__xludf.DUMMYFUNCTION("B995 * GOOGLEFINANCE(A995, ""volume"")"),5.34047526E7)</f>
        <v>53404752.6</v>
      </c>
      <c r="Y995" s="9">
        <f>IFERROR(__xludf.DUMMYFUNCTION("IFERROR(((B995 - GOOGLEFINANCE(A995, ""priceopen"")) / GOOGLEFINANCE(A995, ""priceopen"")) * GOOGLEFINANCE(A995, ""volume""), 0)"),-3370.063114754088)</f>
        <v>-3370.063115</v>
      </c>
    </row>
    <row r="996">
      <c r="A996" s="4" t="s">
        <v>2789</v>
      </c>
      <c r="B996" s="7">
        <f>IFERROR(__xludf.DUMMYFUNCTION("GOOGLEFINANCE(A996, ""price"")"),884.25)</f>
        <v>884.25</v>
      </c>
      <c r="C996" s="7">
        <f>IFERROR(__xludf.DUMMYFUNCTION("GOOGLEFINANCE(A996, ""changepct"")"),-2.08)</f>
        <v>-2.08</v>
      </c>
      <c r="D996" s="9">
        <f>IFERROR(__xludf.DUMMYFUNCTION("GOOGLEFINANCE(A996, ""priceopen"")"),900.0)</f>
        <v>900</v>
      </c>
      <c r="E996" s="9">
        <f>IFERROR(__xludf.DUMMYFUNCTION("GOOGLEFINANCE(A996, ""high"")"),905.3)</f>
        <v>905.3</v>
      </c>
      <c r="F996" s="9">
        <f>IFERROR(__xludf.DUMMYFUNCTION("GOOGLEFINANCE(A996, ""low"")"),876.05)</f>
        <v>876.05</v>
      </c>
      <c r="G996" s="9">
        <f>IFERROR(__xludf.DUMMYFUNCTION("GOOGLEFINANCE(A996, ""price"")"),884.25)</f>
        <v>884.25</v>
      </c>
      <c r="H996" s="9">
        <f>IFERROR(__xludf.DUMMYFUNCTION("MAX(INDEX(GOOGLEFINANCE(A996, ""high"", TODAY()-30, TODAY()), 0, 2))"),970.0)</f>
        <v>970</v>
      </c>
      <c r="I996" s="9">
        <f>IFERROR(__xludf.DUMMYFUNCTION("MIN(INDEX(GOOGLEFINANCE(A996, ""low"", TODAY()-30, TODAY()), 0, 2))"),876.05)</f>
        <v>876.05</v>
      </c>
      <c r="J996" s="9">
        <f>IFERROR(__xludf.DUMMYFUNCTION("GOOGLEFINANCE(A996, ""high52"")"),1179.0)</f>
        <v>1179</v>
      </c>
      <c r="K996" s="9">
        <f>IFERROR(__xludf.DUMMYFUNCTION("GOOGLEFINANCE(A996, ""low52"")"),551.9)</f>
        <v>551.9</v>
      </c>
      <c r="L996" s="9">
        <f t="shared" si="1"/>
        <v>0.25</v>
      </c>
      <c r="M996" s="9">
        <f t="shared" si="2"/>
        <v>0.6021924262</v>
      </c>
      <c r="N996" s="9">
        <f t="shared" si="3"/>
        <v>0.03338850522</v>
      </c>
      <c r="O996" s="9">
        <f t="shared" si="4"/>
        <v>0.08728046833</v>
      </c>
      <c r="P996" s="9" t="str">
        <f>IFERROR(__xludf.DUMMYFUNCTION("GOOGLEFINANCE(A996, ""pe"")"),"#N/A")</f>
        <v>#N/A</v>
      </c>
      <c r="Q996" s="9">
        <f>IFERROR(__xludf.DUMMYFUNCTION("IFERROR(GOOGLEFINANCE(A996, ""volume"") / GOOGLEFINANCE(A996, ""volumeavg""), 0)"),0.0)</f>
        <v>0</v>
      </c>
      <c r="R996" s="9">
        <f>IFERROR(__xludf.DUMMYFUNCTION("AVERAGE(INDEX(GOOGLEFINANCE(A996, ""price"", TODAY()-30, TODAY()), 0, 2))"),913.9869565217389)</f>
        <v>913.9869565</v>
      </c>
      <c r="S996" s="9">
        <f>IFERROR(__xludf.DUMMYFUNCTION("AVERAGE(INDEX(GOOGLEFINANCE(A996, ""price"", TODAY()-75, TODAY()), 0, 2))"),896.6481132075471)</f>
        <v>896.6481132</v>
      </c>
      <c r="T996" s="9">
        <f>IFERROR(__xludf.DUMMYFUNCTION("AVERAGE(INDEX(GOOGLEFINANCE(A996, ""price"", TODAY()-300, TODAY()), 0, 2))"),820.4289603960394)</f>
        <v>820.4289604</v>
      </c>
      <c r="U996" s="9">
        <f t="shared" si="5"/>
        <v>-0.03253542768</v>
      </c>
      <c r="V996" s="15">
        <f>IFERROR(__xludf.DUMMYFUNCTION("LET(hist, GOOGLEFINANCE(A996,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rs))))))"),45.64922743290863)</f>
        <v>45.64922743</v>
      </c>
      <c r="W996" s="16" t="str">
        <f>IFERROR(__xludf.DUMMYFUNCTION("IFERROR(GOOGLEFINANCE(A996, ""volume"") / GOOGLEFINANCE(A996, ""volumeavg""), )"),"")</f>
        <v/>
      </c>
      <c r="X996" s="9">
        <f>IFERROR(__xludf.DUMMYFUNCTION("B996 * GOOGLEFINANCE(A996, ""volume"")"),3.04765605E7)</f>
        <v>30476560.5</v>
      </c>
      <c r="Y996" s="9">
        <f>IFERROR(__xludf.DUMMYFUNCTION("IFERROR(((B996 - GOOGLEFINANCE(A996, ""priceopen"")) / GOOGLEFINANCE(A996, ""priceopen"")) * GOOGLEFINANCE(A996, ""volume""), 0)"),-603.1550000000001)</f>
        <v>-603.155</v>
      </c>
    </row>
    <row r="997">
      <c r="A997" s="4" t="s">
        <v>2790</v>
      </c>
      <c r="B997" s="7">
        <f>IFERROR(__xludf.DUMMYFUNCTION("GOOGLEFINANCE(A997, ""price"")"),378.0)</f>
        <v>378</v>
      </c>
      <c r="C997" s="7">
        <f>IFERROR(__xludf.DUMMYFUNCTION("GOOGLEFINANCE(A997, ""changepct"")"),0.47)</f>
        <v>0.47</v>
      </c>
      <c r="D997" s="9">
        <f>IFERROR(__xludf.DUMMYFUNCTION("GOOGLEFINANCE(A997, ""priceopen"")"),376.25)</f>
        <v>376.25</v>
      </c>
      <c r="E997" s="9">
        <f>IFERROR(__xludf.DUMMYFUNCTION("GOOGLEFINANCE(A997, ""high"")"),390.0)</f>
        <v>390</v>
      </c>
      <c r="F997" s="9">
        <f>IFERROR(__xludf.DUMMYFUNCTION("GOOGLEFINANCE(A997, ""low"")"),375.35)</f>
        <v>375.35</v>
      </c>
      <c r="G997" s="9">
        <f>IFERROR(__xludf.DUMMYFUNCTION("GOOGLEFINANCE(A997, ""price"")"),378.0)</f>
        <v>378</v>
      </c>
      <c r="H997" s="9">
        <f>IFERROR(__xludf.DUMMYFUNCTION("MAX(INDEX(GOOGLEFINANCE(A997, ""high"", TODAY()-30, TODAY()), 0, 2))"),403.8)</f>
        <v>403.8</v>
      </c>
      <c r="I997" s="9">
        <f>IFERROR(__xludf.DUMMYFUNCTION("MIN(INDEX(GOOGLEFINANCE(A997, ""low"", TODAY()-30, TODAY()), 0, 2))"),346.55)</f>
        <v>346.55</v>
      </c>
      <c r="J997" s="9">
        <f>IFERROR(__xludf.DUMMYFUNCTION("GOOGLEFINANCE(A997, ""high52"")"),403.8)</f>
        <v>403.8</v>
      </c>
      <c r="K997" s="9">
        <f>IFERROR(__xludf.DUMMYFUNCTION("GOOGLEFINANCE(A997, ""low52"")"),235.45)</f>
        <v>235.45</v>
      </c>
      <c r="L997" s="9">
        <f t="shared" si="1"/>
        <v>0.06389301634</v>
      </c>
      <c r="M997" s="9">
        <f t="shared" si="2"/>
        <v>0.6054363984</v>
      </c>
      <c r="N997" s="9">
        <f t="shared" si="3"/>
        <v>0.03903023844</v>
      </c>
      <c r="O997" s="9">
        <f t="shared" si="4"/>
        <v>0.5493449782</v>
      </c>
      <c r="P997" s="9">
        <f>IFERROR(__xludf.DUMMYFUNCTION("GOOGLEFINANCE(A997, ""pe"")"),16.57)</f>
        <v>16.57</v>
      </c>
      <c r="Q997" s="9">
        <f>IFERROR(__xludf.DUMMYFUNCTION("IFERROR(GOOGLEFINANCE(A997, ""volume"") / GOOGLEFINANCE(A997, ""volumeavg""), 0)"),0.0)</f>
        <v>0</v>
      </c>
      <c r="R997" s="9">
        <f>IFERROR(__xludf.DUMMYFUNCTION("AVERAGE(INDEX(GOOGLEFINANCE(A997, ""price"", TODAY()-30, TODAY()), 0, 2))"),375.795652173913)</f>
        <v>375.7956522</v>
      </c>
      <c r="S997" s="9">
        <f>IFERROR(__xludf.DUMMYFUNCTION("AVERAGE(INDEX(GOOGLEFINANCE(A997, ""price"", TODAY()-75, TODAY()), 0, 2))"),357.16603773584916)</f>
        <v>357.1660377</v>
      </c>
      <c r="T997" s="9">
        <f>IFERROR(__xludf.DUMMYFUNCTION("AVERAGE(INDEX(GOOGLEFINANCE(A997, ""price"", TODAY()-300, TODAY()), 0, 2))"),312.025)</f>
        <v>312.025</v>
      </c>
      <c r="U997" s="9">
        <f t="shared" si="5"/>
        <v>0.00586581514</v>
      </c>
      <c r="V997" s="15">
        <f>IFERROR(__xludf.DUMMYFUNCTION("LET(hist, GOOGLEFINANCE(A997,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rs))))))"),60.70541480377547)</f>
        <v>60.7054148</v>
      </c>
      <c r="W997" s="16" t="str">
        <f>IFERROR(__xludf.DUMMYFUNCTION("IFERROR(GOOGLEFINANCE(A997, ""volume"") / GOOGLEFINANCE(A997, ""volumeavg""), )"),"")</f>
        <v/>
      </c>
      <c r="X997" s="9">
        <f>IFERROR(__xludf.DUMMYFUNCTION("B997 * GOOGLEFINANCE(A997, ""volume"")"),6.2470548E7)</f>
        <v>62470548</v>
      </c>
      <c r="Y997" s="9">
        <f>IFERROR(__xludf.DUMMYFUNCTION("IFERROR(((B997 - GOOGLEFINANCE(A997, ""priceopen"")) / GOOGLEFINANCE(A997, ""priceopen"")) * GOOGLEFINANCE(A997, ""volume""), 0)"),768.6790697674419)</f>
        <v>768.6790698</v>
      </c>
    </row>
    <row r="998">
      <c r="A998" s="4" t="s">
        <v>2791</v>
      </c>
      <c r="B998" s="7">
        <f>IFERROR(__xludf.DUMMYFUNCTION("GOOGLEFINANCE(A998, ""price"")"),181.38)</f>
        <v>181.38</v>
      </c>
      <c r="C998" s="7">
        <f>IFERROR(__xludf.DUMMYFUNCTION("GOOGLEFINANCE(A998, ""changepct"")"),5.65)</f>
        <v>5.65</v>
      </c>
      <c r="D998" s="9">
        <f>IFERROR(__xludf.DUMMYFUNCTION("GOOGLEFINANCE(A998, ""priceopen"")"),171.99)</f>
        <v>171.99</v>
      </c>
      <c r="E998" s="9">
        <f>IFERROR(__xludf.DUMMYFUNCTION("GOOGLEFINANCE(A998, ""high"")"),185.0)</f>
        <v>185</v>
      </c>
      <c r="F998" s="9">
        <f>IFERROR(__xludf.DUMMYFUNCTION("GOOGLEFINANCE(A998, ""low"")"),171.74)</f>
        <v>171.74</v>
      </c>
      <c r="G998" s="9">
        <f>IFERROR(__xludf.DUMMYFUNCTION("GOOGLEFINANCE(A998, ""price"")"),181.38)</f>
        <v>181.38</v>
      </c>
      <c r="H998" s="9">
        <f>IFERROR(__xludf.DUMMYFUNCTION("MAX(INDEX(GOOGLEFINANCE(A998, ""high"", TODAY()-30, TODAY()), 0, 2))"),218.7)</f>
        <v>218.7</v>
      </c>
      <c r="I998" s="9">
        <f>IFERROR(__xludf.DUMMYFUNCTION("MIN(INDEX(GOOGLEFINANCE(A998, ""low"", TODAY()-30, TODAY()), 0, 2))"),170.02)</f>
        <v>170.02</v>
      </c>
      <c r="J998" s="9">
        <f>IFERROR(__xludf.DUMMYFUNCTION("GOOGLEFINANCE(A998, ""high52"")"),460.8)</f>
        <v>460.8</v>
      </c>
      <c r="K998" s="9">
        <f>IFERROR(__xludf.DUMMYFUNCTION("GOOGLEFINANCE(A998, ""low52"")"),170.02)</f>
        <v>170.02</v>
      </c>
      <c r="L998" s="9">
        <f t="shared" si="1"/>
        <v>0.6063802083</v>
      </c>
      <c r="M998" s="9">
        <f t="shared" si="2"/>
        <v>0.06681566874</v>
      </c>
      <c r="N998" s="9">
        <f t="shared" si="3"/>
        <v>0.07720973565</v>
      </c>
      <c r="O998" s="9">
        <f t="shared" si="4"/>
        <v>0.2333607231</v>
      </c>
      <c r="P998" s="9" t="str">
        <f>IFERROR(__xludf.DUMMYFUNCTION("GOOGLEFINANCE(A998, ""pe"")"),"#N/A")</f>
        <v>#N/A</v>
      </c>
      <c r="Q998" s="9">
        <f>IFERROR(__xludf.DUMMYFUNCTION("IFERROR(GOOGLEFINANCE(A998, ""volume"") / GOOGLEFINANCE(A998, ""volumeavg""), 0)"),0.0)</f>
        <v>0</v>
      </c>
      <c r="R998" s="9">
        <f>IFERROR(__xludf.DUMMYFUNCTION("AVERAGE(INDEX(GOOGLEFINANCE(A998, ""price"", TODAY()-30, TODAY()), 0, 2))"),195.47478260869565)</f>
        <v>195.4747826</v>
      </c>
      <c r="S998" s="9">
        <f>IFERROR(__xludf.DUMMYFUNCTION("AVERAGE(INDEX(GOOGLEFINANCE(A998, ""price"", TODAY()-75, TODAY()), 0, 2))"),201.65849056603773)</f>
        <v>201.6584906</v>
      </c>
      <c r="T998" s="9">
        <f>IFERROR(__xludf.DUMMYFUNCTION("AVERAGE(INDEX(GOOGLEFINANCE(A998, ""price"", TODAY()-300, TODAY()), 0, 2))"),256.86742574257454)</f>
        <v>256.8674257</v>
      </c>
      <c r="U998" s="9">
        <f t="shared" si="5"/>
        <v>-0.07210537554</v>
      </c>
      <c r="V998" s="15">
        <f>IFERROR(__xludf.DUMMYFUNCTION("LET(hist, GOOGLEFINANCE(A998,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rs))))))"),29.201268307413542)</f>
        <v>29.20126831</v>
      </c>
      <c r="W998" s="16" t="str">
        <f>IFERROR(__xludf.DUMMYFUNCTION("IFERROR(GOOGLEFINANCE(A998, ""volume"") / GOOGLEFINANCE(A998, ""volumeavg""), )"),"")</f>
        <v/>
      </c>
      <c r="X998" s="9">
        <f>IFERROR(__xludf.DUMMYFUNCTION("B998 * GOOGLEFINANCE(A998, ""volume"")"),1.513960722E8)</f>
        <v>151396072.2</v>
      </c>
      <c r="Y998" s="9">
        <f>IFERROR(__xludf.DUMMYFUNCTION("IFERROR(((B998 - GOOGLEFINANCE(A998, ""priceopen"")) / GOOGLEFINANCE(A998, ""priceopen"")) * GOOGLEFINANCE(A998, ""volume""), 0)"),45570.90005232855)</f>
        <v>45570.90005</v>
      </c>
    </row>
    <row r="999">
      <c r="A999" s="4" t="s">
        <v>2792</v>
      </c>
      <c r="B999" s="7">
        <f>IFERROR(__xludf.DUMMYFUNCTION("GOOGLEFINANCE(A999, ""price"")"),580.0)</f>
        <v>580</v>
      </c>
      <c r="C999" s="7">
        <f>IFERROR(__xludf.DUMMYFUNCTION("GOOGLEFINANCE(A999, ""changepct"")"),-0.34)</f>
        <v>-0.34</v>
      </c>
      <c r="D999" s="9">
        <f>IFERROR(__xludf.DUMMYFUNCTION("GOOGLEFINANCE(A999, ""priceopen"")"),581.0)</f>
        <v>581</v>
      </c>
      <c r="E999" s="9">
        <f>IFERROR(__xludf.DUMMYFUNCTION("GOOGLEFINANCE(A999, ""high"")"),587.9)</f>
        <v>587.9</v>
      </c>
      <c r="F999" s="9">
        <f>IFERROR(__xludf.DUMMYFUNCTION("GOOGLEFINANCE(A999, ""low"")"),570.0)</f>
        <v>570</v>
      </c>
      <c r="G999" s="9">
        <f>IFERROR(__xludf.DUMMYFUNCTION("GOOGLEFINANCE(A999, ""price"")"),580.0)</f>
        <v>580</v>
      </c>
      <c r="H999" s="9">
        <f>IFERROR(__xludf.DUMMYFUNCTION("MAX(INDEX(GOOGLEFINANCE(A999, ""high"", TODAY()-30, TODAY()), 0, 2))"),672.5)</f>
        <v>672.5</v>
      </c>
      <c r="I999" s="9">
        <f>IFERROR(__xludf.DUMMYFUNCTION("MIN(INDEX(GOOGLEFINANCE(A999, ""low"", TODAY()-30, TODAY()), 0, 2))"),554.0)</f>
        <v>554</v>
      </c>
      <c r="J999" s="9">
        <f>IFERROR(__xludf.DUMMYFUNCTION("GOOGLEFINANCE(A999, ""high52"")"),672.5)</f>
        <v>672.5</v>
      </c>
      <c r="K999" s="9">
        <f>IFERROR(__xludf.DUMMYFUNCTION("GOOGLEFINANCE(A999, ""low52"")"),341.55)</f>
        <v>341.55</v>
      </c>
      <c r="L999" s="9">
        <f t="shared" si="1"/>
        <v>0.1375464684</v>
      </c>
      <c r="M999" s="9">
        <f t="shared" si="2"/>
        <v>0.6981408286</v>
      </c>
      <c r="N999" s="9">
        <f t="shared" si="3"/>
        <v>0.03140350877</v>
      </c>
      <c r="O999" s="9">
        <f t="shared" si="4"/>
        <v>0.2194092827</v>
      </c>
      <c r="P999" s="9">
        <f>IFERROR(__xludf.DUMMYFUNCTION("GOOGLEFINANCE(A999, ""pe"")"),24.0)</f>
        <v>24</v>
      </c>
      <c r="Q999" s="9">
        <f>IFERROR(__xludf.DUMMYFUNCTION("IFERROR(GOOGLEFINANCE(A999, ""volume"") / GOOGLEFINANCE(A999, ""volumeavg""), 0)"),0.0)</f>
        <v>0</v>
      </c>
      <c r="R999" s="9">
        <f>IFERROR(__xludf.DUMMYFUNCTION("AVERAGE(INDEX(GOOGLEFINANCE(A999, ""price"", TODAY()-30, TODAY()), 0, 2))"),612.5195652173912)</f>
        <v>612.5195652</v>
      </c>
      <c r="S999" s="9">
        <f>IFERROR(__xludf.DUMMYFUNCTION("AVERAGE(INDEX(GOOGLEFINANCE(A999, ""price"", TODAY()-75, TODAY()), 0, 2))"),570.1556603773585)</f>
        <v>570.1556604</v>
      </c>
      <c r="T999" s="9">
        <f>IFERROR(__xludf.DUMMYFUNCTION("AVERAGE(INDEX(GOOGLEFINANCE(A999, ""price"", TODAY()-300, TODAY()), 0, 2))"),488.8168316831685)</f>
        <v>488.8168317</v>
      </c>
      <c r="U999" s="9">
        <f t="shared" si="5"/>
        <v>-0.05309147179</v>
      </c>
      <c r="V999" s="15">
        <f>IFERROR(__xludf.DUMMYFUNCTION("LET(hist, GOOGLEFINANCE(A999, ""price"", TODAY()-30, TODAY()), prices, QUERY(hist, ""select Col2 offset 1"", 0), count, ROWS(prices), IF(count&lt;15, NA(), LET(changes, MAP(SEQUENCE(count-1), LAMBDA(i, INDEX(prices, i+1) - INDEX(prices, i))), gains, MAP(chan"&amp;"ges, LAMBDA(c, MAX(c, 0))), losses, MAP(changes, LAMBDA(c, MAX(-c, 0))), avg_gain, AVERAGE(CHOOSEROWS(gains, SEQUENCE(14, 1, count-14))), avg_loss, AVERAGE(CHOOSEROWS(losses, SEQUENCE(14, 1, count-14))), rs, IFERROR(avg_gain / avg_loss, 0), IF(avg_loss=0,"&amp;" 100, 100 - (100 / (1 + rs))))))"),26.602924634420674)</f>
        <v>26.60292463</v>
      </c>
      <c r="W999" s="16" t="str">
        <f>IFERROR(__xludf.DUMMYFUNCTION("IFERROR(GOOGLEFINANCE(A999, ""volume"") / GOOGLEFINANCE(A999, ""volumeavg""), )"),"")</f>
        <v/>
      </c>
      <c r="X999" s="9">
        <f>IFERROR(__xludf.DUMMYFUNCTION("B999 * GOOGLEFINANCE(A999, ""volume"")"),1.578876E7)</f>
        <v>15788760</v>
      </c>
      <c r="Y999" s="9">
        <f>IFERROR(__xludf.DUMMYFUNCTION("IFERROR(((B999 - GOOGLEFINANCE(A999, ""priceopen"")) / GOOGLEFINANCE(A999, ""priceopen"")) * GOOGLEFINANCE(A999, ""volume""), 0)"),-46.85370051635112)</f>
        <v>-46.85370052</v>
      </c>
    </row>
    <row r="1000">
      <c r="A1000" s="4" t="s">
        <v>2793</v>
      </c>
      <c r="B1000" s="7">
        <f>IFERROR(__xludf.DUMMYFUNCTION("GOOGLEFINANCE(A1000, ""price"")"),360.0)</f>
        <v>360</v>
      </c>
      <c r="C1000" s="7">
        <f>IFERROR(__xludf.DUMMYFUNCTION("GOOGLEFINANCE(A1000, ""changepct"")"),-0.72)</f>
        <v>-0.72</v>
      </c>
      <c r="D1000" s="9">
        <f>IFERROR(__xludf.DUMMYFUNCTION("GOOGLEFINANCE(A1000, ""priceopen"")"),365.0)</f>
        <v>365</v>
      </c>
      <c r="E1000" s="9">
        <f>IFERROR(__xludf.DUMMYFUNCTION("GOOGLEFINANCE(A1000, ""high"")"),365.0)</f>
        <v>365</v>
      </c>
      <c r="F1000" s="9">
        <f>IFERROR(__xludf.DUMMYFUNCTION("GOOGLEFINANCE(A1000, ""low"")"),353.7)</f>
        <v>353.7</v>
      </c>
      <c r="G1000" s="9">
        <f>IFERROR(__xludf.DUMMYFUNCTION("GOOGLEFINANCE(A1000, ""price"")"),360.0)</f>
        <v>360</v>
      </c>
      <c r="H1000" s="9">
        <f>IFERROR(__xludf.DUMMYFUNCTION("MAX(INDEX(GOOGLEFINANCE(A1000, ""high"", TODAY()-30, TODAY()), 0, 2))"),368.0)</f>
        <v>368</v>
      </c>
      <c r="I1000" s="9">
        <f>IFERROR(__xludf.DUMMYFUNCTION("MIN(INDEX(GOOGLEFINANCE(A1000, ""low"", TODAY()-30, TODAY()), 0, 2))"),319.1)</f>
        <v>319.1</v>
      </c>
      <c r="J1000" s="9">
        <f>IFERROR(__xludf.DUMMYFUNCTION("GOOGLEFINANCE(A1000, ""high52"")"),540.0)</f>
        <v>540</v>
      </c>
      <c r="K1000" s="9">
        <f>IFERROR(__xludf.DUMMYFUNCTION("GOOGLEFINANCE(A1000, ""low52"")"),292.55)</f>
        <v>292.55</v>
      </c>
      <c r="L1000" s="9">
        <f t="shared" si="1"/>
        <v>0.3333333333</v>
      </c>
      <c r="M1000" s="9">
        <f t="shared" si="2"/>
        <v>0.2305588788</v>
      </c>
      <c r="N1000" s="9">
        <f t="shared" si="3"/>
        <v>0.03194797851</v>
      </c>
      <c r="O1000" s="9">
        <f t="shared" si="4"/>
        <v>0.836400818</v>
      </c>
      <c r="P1000" s="9">
        <f>IFERROR(__xludf.DUMMYFUNCTION("GOOGLEFINANCE(A1000, ""pe"")"),24.62)</f>
        <v>24.62</v>
      </c>
      <c r="Q1000" s="9">
        <f>IFERROR(__xludf.DUMMYFUNCTION("IFERROR(GOOGLEFINANCE(A1000, ""volume"") / GOOGLEFINANCE(A1000, ""volumeavg""), 0)"),0.0)</f>
        <v>0</v>
      </c>
      <c r="R1000" s="9">
        <f>IFERROR(__xludf.DUMMYFUNCTION("AVERAGE(INDEX(GOOGLEFINANCE(A1000, ""price"", TODAY()-30, TODAY()), 0, 2))"),338.28695652173917)</f>
        <v>338.2869565</v>
      </c>
      <c r="S1000" s="9">
        <f>IFERROR(__xludf.DUMMYFUNCTION("AVERAGE(INDEX(GOOGLEFINANCE(A1000, ""price"", TODAY()-75, TODAY()), 0, 2))"),331.47547169811315)</f>
        <v>331.4754717</v>
      </c>
      <c r="T1000" s="9">
        <f>IFERROR(__xludf.DUMMYFUNCTION("AVERAGE(INDEX(GOOGLEFINANCE(A1000, ""price"", TODAY()-300, TODAY()), 0, 2))"),380.2514925373133)</f>
        <v>380.2514925</v>
      </c>
      <c r="U1000" s="9">
        <f t="shared" si="5"/>
        <v>0.06418528134</v>
      </c>
      <c r="V1000" s="15">
        <f>IFERROR(__xludf.DUMMYFUNCTION("LET(hist, GOOGLEFINANCE(A1000,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rs))))))"),72.43902439024386)</f>
        <v>72.43902439</v>
      </c>
      <c r="W1000" s="16" t="str">
        <f>IFERROR(__xludf.DUMMYFUNCTION("IFERROR(GOOGLEFINANCE(A1000, ""volume"") / GOOGLEFINANCE(A1000, ""volumeavg""), )"),"")</f>
        <v/>
      </c>
      <c r="X1000" s="9">
        <f>IFERROR(__xludf.DUMMYFUNCTION("B1000 * GOOGLEFINANCE(A1000, ""volume"")"),6.651684E7)</f>
        <v>66516840</v>
      </c>
      <c r="Y1000" s="9">
        <f>IFERROR(__xludf.DUMMYFUNCTION("IFERROR(((B1000 - GOOGLEFINANCE(A1000, ""priceopen"")) / GOOGLEFINANCE(A1000, ""priceopen"")) * GOOGLEFINANCE(A1000, ""volume""), 0)"),-2531.0821917808216)</f>
        <v>-2531.082192</v>
      </c>
    </row>
    <row r="1001">
      <c r="A1001" s="4" t="s">
        <v>2794</v>
      </c>
      <c r="B1001" s="7">
        <f>IFERROR(__xludf.DUMMYFUNCTION("GOOGLEFINANCE(A1001, ""price"")"),533.0)</f>
        <v>533</v>
      </c>
      <c r="C1001" s="7">
        <f>IFERROR(__xludf.DUMMYFUNCTION("GOOGLEFINANCE(A1001, ""changepct"")"),0.08)</f>
        <v>0.08</v>
      </c>
      <c r="D1001" s="9">
        <f>IFERROR(__xludf.DUMMYFUNCTION("GOOGLEFINANCE(A1001, ""priceopen"")"),536.5)</f>
        <v>536.5</v>
      </c>
      <c r="E1001" s="9">
        <f>IFERROR(__xludf.DUMMYFUNCTION("GOOGLEFINANCE(A1001, ""high"")"),536.5)</f>
        <v>536.5</v>
      </c>
      <c r="F1001" s="9">
        <f>IFERROR(__xludf.DUMMYFUNCTION("GOOGLEFINANCE(A1001, ""low"")"),520.05)</f>
        <v>520.05</v>
      </c>
      <c r="G1001" s="9">
        <f>IFERROR(__xludf.DUMMYFUNCTION("GOOGLEFINANCE(A1001, ""price"")"),533.0)</f>
        <v>533</v>
      </c>
      <c r="H1001" s="9">
        <f>IFERROR(__xludf.DUMMYFUNCTION("MAX(INDEX(GOOGLEFINANCE(A1001, ""high"", TODAY()-30, TODAY()), 0, 2))"),568.05)</f>
        <v>568.05</v>
      </c>
      <c r="I1001" s="9">
        <f>IFERROR(__xludf.DUMMYFUNCTION("MIN(INDEX(GOOGLEFINANCE(A1001, ""low"", TODAY()-30, TODAY()), 0, 2))"),490.1)</f>
        <v>490.1</v>
      </c>
      <c r="J1001" s="9">
        <f>IFERROR(__xludf.DUMMYFUNCTION("GOOGLEFINANCE(A1001, ""high52"")"),595.0)</f>
        <v>595</v>
      </c>
      <c r="K1001" s="9">
        <f>IFERROR(__xludf.DUMMYFUNCTION("GOOGLEFINANCE(A1001, ""low52"")"),408.35)</f>
        <v>408.35</v>
      </c>
      <c r="L1001" s="9">
        <f t="shared" si="1"/>
        <v>0.1042016807</v>
      </c>
      <c r="M1001" s="9">
        <f t="shared" si="2"/>
        <v>0.3052528468</v>
      </c>
      <c r="N1001" s="9">
        <f t="shared" si="3"/>
        <v>0.03163157389</v>
      </c>
      <c r="O1001" s="9">
        <f t="shared" si="4"/>
        <v>0.5503527903</v>
      </c>
      <c r="P1001" s="9">
        <f>IFERROR(__xludf.DUMMYFUNCTION("GOOGLEFINANCE(A1001, ""pe"")"),23.14)</f>
        <v>23.14</v>
      </c>
      <c r="Q1001" s="9">
        <f>IFERROR(__xludf.DUMMYFUNCTION("IFERROR(GOOGLEFINANCE(A1001, ""volume"") / GOOGLEFINANCE(A1001, ""volumeavg""), 0)"),0.0)</f>
        <v>0</v>
      </c>
      <c r="R1001" s="9">
        <f>IFERROR(__xludf.DUMMYFUNCTION("AVERAGE(INDEX(GOOGLEFINANCE(A1001, ""price"", TODAY()-30, TODAY()), 0, 2))"),509.89130434782606)</f>
        <v>509.8913043</v>
      </c>
      <c r="S1001" s="9">
        <f>IFERROR(__xludf.DUMMYFUNCTION("AVERAGE(INDEX(GOOGLEFINANCE(A1001, ""price"", TODAY()-75, TODAY()), 0, 2))"),489.0726415094339)</f>
        <v>489.0726415</v>
      </c>
      <c r="T1001" s="9">
        <f>IFERROR(__xludf.DUMMYFUNCTION("AVERAGE(INDEX(GOOGLEFINANCE(A1001, ""price"", TODAY()-300, TODAY()), 0, 2))"),485.568316831683)</f>
        <v>485.5683168</v>
      </c>
      <c r="U1001" s="9">
        <f t="shared" si="5"/>
        <v>0.04532082712</v>
      </c>
      <c r="V1001" s="15">
        <f>IFERROR(__xludf.DUMMYFUNCTION("LET(hist, GOOGLEFINANCE(A1001,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rs))))))"),58.186397984886646)</f>
        <v>58.18639798</v>
      </c>
      <c r="W1001" s="16" t="str">
        <f>IFERROR(__xludf.DUMMYFUNCTION("IFERROR(GOOGLEFINANCE(A1001, ""volume"") / GOOGLEFINANCE(A1001, ""volumeavg""), )"),"")</f>
        <v/>
      </c>
      <c r="X1001" s="9">
        <f>IFERROR(__xludf.DUMMYFUNCTION("B1001 * GOOGLEFINANCE(A1001, ""volume"")"),9046609.0)</f>
        <v>9046609</v>
      </c>
      <c r="Y1001" s="9">
        <f>IFERROR(__xludf.DUMMYFUNCTION("IFERROR(((B1001 - GOOGLEFINANCE(A1001, ""priceopen"")) / GOOGLEFINANCE(A1001, ""priceopen"")) * GOOGLEFINANCE(A1001, ""volume""), 0)"),-110.72786579683131)</f>
        <v>-110.7278658</v>
      </c>
    </row>
    <row r="1002">
      <c r="A1002" s="4" t="s">
        <v>2795</v>
      </c>
      <c r="B1002" s="7">
        <f>IFERROR(__xludf.DUMMYFUNCTION("GOOGLEFINANCE(A1002, ""price"")"),538.0)</f>
        <v>538</v>
      </c>
      <c r="C1002" s="7">
        <f>IFERROR(__xludf.DUMMYFUNCTION("GOOGLEFINANCE(A1002, ""changepct"")"),-4.64)</f>
        <v>-4.64</v>
      </c>
      <c r="D1002" s="9">
        <f>IFERROR(__xludf.DUMMYFUNCTION("GOOGLEFINANCE(A1002, ""priceopen"")"),563.0)</f>
        <v>563</v>
      </c>
      <c r="E1002" s="9">
        <f>IFERROR(__xludf.DUMMYFUNCTION("GOOGLEFINANCE(A1002, ""high"")"),569.0)</f>
        <v>569</v>
      </c>
      <c r="F1002" s="9">
        <f>IFERROR(__xludf.DUMMYFUNCTION("GOOGLEFINANCE(A1002, ""low"")"),535.5)</f>
        <v>535.5</v>
      </c>
      <c r="G1002" s="9">
        <f>IFERROR(__xludf.DUMMYFUNCTION("GOOGLEFINANCE(A1002, ""price"")"),538.0)</f>
        <v>538</v>
      </c>
      <c r="H1002" s="9">
        <f>IFERROR(__xludf.DUMMYFUNCTION("MAX(INDEX(GOOGLEFINANCE(A1002, ""high"", TODAY()-30, TODAY()), 0, 2))"),599.0)</f>
        <v>599</v>
      </c>
      <c r="I1002" s="9">
        <f>IFERROR(__xludf.DUMMYFUNCTION("MIN(INDEX(GOOGLEFINANCE(A1002, ""low"", TODAY()-30, TODAY()), 0, 2))"),518.45)</f>
        <v>518.45</v>
      </c>
      <c r="J1002" s="9">
        <f>IFERROR(__xludf.DUMMYFUNCTION("GOOGLEFINANCE(A1002, ""high52"")"),599.0)</f>
        <v>599</v>
      </c>
      <c r="K1002" s="9">
        <f>IFERROR(__xludf.DUMMYFUNCTION("GOOGLEFINANCE(A1002, ""low52"")"),302.2)</f>
        <v>302.2</v>
      </c>
      <c r="L1002" s="9">
        <f t="shared" si="1"/>
        <v>0.101836394</v>
      </c>
      <c r="M1002" s="9">
        <f t="shared" si="2"/>
        <v>0.7802779616</v>
      </c>
      <c r="N1002" s="9">
        <f t="shared" si="3"/>
        <v>0.06255835668</v>
      </c>
      <c r="O1002" s="9">
        <f t="shared" si="4"/>
        <v>0.2427063935</v>
      </c>
      <c r="P1002" s="9">
        <f>IFERROR(__xludf.DUMMYFUNCTION("GOOGLEFINANCE(A1002, ""pe"")"),14.28)</f>
        <v>14.28</v>
      </c>
      <c r="Q1002" s="9">
        <f>IFERROR(__xludf.DUMMYFUNCTION("IFERROR(GOOGLEFINANCE(A1002, ""volume"") / GOOGLEFINANCE(A1002, ""volumeavg""), 0)"),0.0)</f>
        <v>0</v>
      </c>
      <c r="R1002" s="9">
        <f>IFERROR(__xludf.DUMMYFUNCTION("AVERAGE(INDEX(GOOGLEFINANCE(A1002, ""price"", TODAY()-30, TODAY()), 0, 2))"),551.3630434782608)</f>
        <v>551.3630435</v>
      </c>
      <c r="S1002" s="9">
        <f>IFERROR(__xludf.DUMMYFUNCTION("AVERAGE(INDEX(GOOGLEFINANCE(A1002, ""price"", TODAY()-75, TODAY()), 0, 2))"),546.9405660377358)</f>
        <v>546.940566</v>
      </c>
      <c r="T1002" s="9">
        <f>IFERROR(__xludf.DUMMYFUNCTION("AVERAGE(INDEX(GOOGLEFINANCE(A1002, ""price"", TODAY()-300, TODAY()), 0, 2))"),413.0720297029704)</f>
        <v>413.0720297</v>
      </c>
      <c r="U1002" s="9">
        <f t="shared" si="5"/>
        <v>-0.02423637862</v>
      </c>
      <c r="V1002" s="15">
        <f>IFERROR(__xludf.DUMMYFUNCTION("LET(hist, GOOGLEFINANCE(A1002,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rs))))))"),52.972258916776745)</f>
        <v>52.97225892</v>
      </c>
      <c r="W1002" s="16" t="str">
        <f>IFERROR(__xludf.DUMMYFUNCTION("IFERROR(GOOGLEFINANCE(A1002, ""volume"") / GOOGLEFINANCE(A1002, ""volumeavg""), )"),"")</f>
        <v/>
      </c>
      <c r="X1002" s="9">
        <f>IFERROR(__xludf.DUMMYFUNCTION("B1002 * GOOGLEFINANCE(A1002, ""volume"")"),6.242145E7)</f>
        <v>62421450</v>
      </c>
      <c r="Y1002" s="9">
        <f>IFERROR(__xludf.DUMMYFUNCTION("IFERROR(((B1002 - GOOGLEFINANCE(A1002, ""priceopen"")) / GOOGLEFINANCE(A1002, ""priceopen"")) * GOOGLEFINANCE(A1002, ""volume""), 0)"),-5152.08703374778)</f>
        <v>-5152.087034</v>
      </c>
    </row>
    <row r="1003">
      <c r="A1003" s="4" t="s">
        <v>2796</v>
      </c>
      <c r="B1003" s="7">
        <f>IFERROR(__xludf.DUMMYFUNCTION("GOOGLEFINANCE(A1003, ""price"")"),517.0)</f>
        <v>517</v>
      </c>
      <c r="C1003" s="7">
        <f>IFERROR(__xludf.DUMMYFUNCTION("GOOGLEFINANCE(A1003, ""changepct"")"),1.58)</f>
        <v>1.58</v>
      </c>
      <c r="D1003" s="9">
        <f>IFERROR(__xludf.DUMMYFUNCTION("GOOGLEFINANCE(A1003, ""priceopen"")"),509.45)</f>
        <v>509.45</v>
      </c>
      <c r="E1003" s="9">
        <f>IFERROR(__xludf.DUMMYFUNCTION("GOOGLEFINANCE(A1003, ""high"")"),528.6)</f>
        <v>528.6</v>
      </c>
      <c r="F1003" s="9">
        <f>IFERROR(__xludf.DUMMYFUNCTION("GOOGLEFINANCE(A1003, ""low"")"),504.1)</f>
        <v>504.1</v>
      </c>
      <c r="G1003" s="9">
        <f>IFERROR(__xludf.DUMMYFUNCTION("GOOGLEFINANCE(A1003, ""price"")"),517.0)</f>
        <v>517</v>
      </c>
      <c r="H1003" s="9">
        <f>IFERROR(__xludf.DUMMYFUNCTION("MAX(INDEX(GOOGLEFINANCE(A1003, ""high"", TODAY()-30, TODAY()), 0, 2))"),576.0)</f>
        <v>576</v>
      </c>
      <c r="I1003" s="9">
        <f>IFERROR(__xludf.DUMMYFUNCTION("MIN(INDEX(GOOGLEFINANCE(A1003, ""low"", TODAY()-30, TODAY()), 0, 2))"),492.25)</f>
        <v>492.25</v>
      </c>
      <c r="J1003" s="9">
        <f>IFERROR(__xludf.DUMMYFUNCTION("GOOGLEFINANCE(A1003, ""high52"")"),667.55)</f>
        <v>667.55</v>
      </c>
      <c r="K1003" s="9">
        <f>IFERROR(__xludf.DUMMYFUNCTION("GOOGLEFINANCE(A1003, ""low52"")"),405.0)</f>
        <v>405</v>
      </c>
      <c r="L1003" s="9">
        <f t="shared" si="1"/>
        <v>0.2255261778</v>
      </c>
      <c r="M1003" s="9">
        <f t="shared" si="2"/>
        <v>0.2765432099</v>
      </c>
      <c r="N1003" s="9">
        <f t="shared" si="3"/>
        <v>0.04860146796</v>
      </c>
      <c r="O1003" s="9">
        <f t="shared" si="4"/>
        <v>0.2955223881</v>
      </c>
      <c r="P1003" s="9">
        <f>IFERROR(__xludf.DUMMYFUNCTION("GOOGLEFINANCE(A1003, ""pe"")"),22.13)</f>
        <v>22.13</v>
      </c>
      <c r="Q1003" s="9">
        <f>IFERROR(__xludf.DUMMYFUNCTION("IFERROR(GOOGLEFINANCE(A1003, ""volume"") / GOOGLEFINANCE(A1003, ""volumeavg""), 0)"),0.0)</f>
        <v>0</v>
      </c>
      <c r="R1003" s="9">
        <f>IFERROR(__xludf.DUMMYFUNCTION("AVERAGE(INDEX(GOOGLEFINANCE(A1003, ""price"", TODAY()-30, TODAY()), 0, 2))"),539.6304347826086)</f>
        <v>539.6304348</v>
      </c>
      <c r="S1003" s="9">
        <f>IFERROR(__xludf.DUMMYFUNCTION("AVERAGE(INDEX(GOOGLEFINANCE(A1003, ""price"", TODAY()-75, TODAY()), 0, 2))"),539.7924528301887)</f>
        <v>539.7924528</v>
      </c>
      <c r="T1003" s="9">
        <f>IFERROR(__xludf.DUMMYFUNCTION("AVERAGE(INDEX(GOOGLEFINANCE(A1003, ""price"", TODAY()-300, TODAY()), 0, 2))"),530.6301980198014)</f>
        <v>530.630198</v>
      </c>
      <c r="U1003" s="9">
        <f t="shared" si="5"/>
        <v>-0.04193691335</v>
      </c>
      <c r="V1003" s="15">
        <f>IFERROR(__xludf.DUMMYFUNCTION("LET(hist, GOOGLEFINANCE(A1003,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rs))))))"),40.77481840193703)</f>
        <v>40.7748184</v>
      </c>
      <c r="W1003" s="16" t="str">
        <f>IFERROR(__xludf.DUMMYFUNCTION("IFERROR(GOOGLEFINANCE(A1003, ""volume"") / GOOGLEFINANCE(A1003, ""volumeavg""), )"),"")</f>
        <v/>
      </c>
      <c r="X1003" s="9">
        <f>IFERROR(__xludf.DUMMYFUNCTION("B1003 * GOOGLEFINANCE(A1003, ""volume"")"),2.13029333E8)</f>
        <v>213029333</v>
      </c>
      <c r="Y1003" s="9">
        <f>IFERROR(__xludf.DUMMYFUNCTION("IFERROR(((B1003 - GOOGLEFINANCE(A1003, ""priceopen"")) / GOOGLEFINANCE(A1003, ""priceopen"")) * GOOGLEFINANCE(A1003, ""volume""), 0)"),6106.526548238306)</f>
        <v>6106.526548</v>
      </c>
    </row>
    <row r="1004">
      <c r="A1004" s="4" t="s">
        <v>2797</v>
      </c>
      <c r="B1004" s="7">
        <f>IFERROR(__xludf.DUMMYFUNCTION("GOOGLEFINANCE(A1004, ""price"")"),1715.0)</f>
        <v>1715</v>
      </c>
      <c r="C1004" s="7">
        <f>IFERROR(__xludf.DUMMYFUNCTION("GOOGLEFINANCE(A1004, ""changepct"")"),1.49)</f>
        <v>1.49</v>
      </c>
      <c r="D1004" s="9">
        <f>IFERROR(__xludf.DUMMYFUNCTION("GOOGLEFINANCE(A1004, ""priceopen"")"),1698.0)</f>
        <v>1698</v>
      </c>
      <c r="E1004" s="9">
        <f>IFERROR(__xludf.DUMMYFUNCTION("GOOGLEFINANCE(A1004, ""high"")"),1721.4)</f>
        <v>1721.4</v>
      </c>
      <c r="F1004" s="9">
        <f>IFERROR(__xludf.DUMMYFUNCTION("GOOGLEFINANCE(A1004, ""low"")"),1680.2)</f>
        <v>1680.2</v>
      </c>
      <c r="G1004" s="9">
        <f>IFERROR(__xludf.DUMMYFUNCTION("GOOGLEFINANCE(A1004, ""price"")"),1715.0)</f>
        <v>1715</v>
      </c>
      <c r="H1004" s="9">
        <f>IFERROR(__xludf.DUMMYFUNCTION("MAX(INDEX(GOOGLEFINANCE(A1004, ""high"", TODAY()-30, TODAY()), 0, 2))"),1920.0)</f>
        <v>1920</v>
      </c>
      <c r="I1004" s="9">
        <f>IFERROR(__xludf.DUMMYFUNCTION("MIN(INDEX(GOOGLEFINANCE(A1004, ""low"", TODAY()-30, TODAY()), 0, 2))"),1660.1)</f>
        <v>1660.1</v>
      </c>
      <c r="J1004" s="9">
        <f>IFERROR(__xludf.DUMMYFUNCTION("GOOGLEFINANCE(A1004, ""high52"")"),2762.6)</f>
        <v>2762.6</v>
      </c>
      <c r="K1004" s="9">
        <f>IFERROR(__xludf.DUMMYFUNCTION("GOOGLEFINANCE(A1004, ""low52"")"),1600.0)</f>
        <v>1600</v>
      </c>
      <c r="L1004" s="9">
        <f t="shared" si="1"/>
        <v>0.3792079925</v>
      </c>
      <c r="M1004" s="9">
        <f t="shared" si="2"/>
        <v>0.071875</v>
      </c>
      <c r="N1004" s="9">
        <f t="shared" si="3"/>
        <v>0.02452089037</v>
      </c>
      <c r="O1004" s="9">
        <f t="shared" si="4"/>
        <v>0.2112350904</v>
      </c>
      <c r="P1004" s="9">
        <f>IFERROR(__xludf.DUMMYFUNCTION("GOOGLEFINANCE(A1004, ""pe"")"),21.33)</f>
        <v>21.33</v>
      </c>
      <c r="Q1004" s="9">
        <f>IFERROR(__xludf.DUMMYFUNCTION("IFERROR(GOOGLEFINANCE(A1004, ""volume"") / GOOGLEFINANCE(A1004, ""volumeavg""), 0)"),0.0)</f>
        <v>0</v>
      </c>
      <c r="R1004" s="9">
        <f>IFERROR(__xludf.DUMMYFUNCTION("AVERAGE(INDEX(GOOGLEFINANCE(A1004, ""price"", TODAY()-30, TODAY()), 0, 2))"),1808.1000000000001)</f>
        <v>1808.1</v>
      </c>
      <c r="S1004" s="9">
        <f>IFERROR(__xludf.DUMMYFUNCTION("AVERAGE(INDEX(GOOGLEFINANCE(A1004, ""price"", TODAY()-75, TODAY()), 0, 2))"),1818.698113207547)</f>
        <v>1818.698113</v>
      </c>
      <c r="T1004" s="9">
        <f>IFERROR(__xludf.DUMMYFUNCTION("AVERAGE(INDEX(GOOGLEFINANCE(A1004, ""price"", TODAY()-300, TODAY()), 0, 2))"),2011.5791044776115)</f>
        <v>2011.579104</v>
      </c>
      <c r="U1004" s="9">
        <f t="shared" si="5"/>
        <v>-0.05149051491</v>
      </c>
      <c r="V1004" s="15">
        <f>IFERROR(__xludf.DUMMYFUNCTION("LET(hist, GOOGLEFINANCE(A1004,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rs))))))"),33.303221921108104)</f>
        <v>33.30322192</v>
      </c>
      <c r="W1004" s="16" t="str">
        <f>IFERROR(__xludf.DUMMYFUNCTION("IFERROR(GOOGLEFINANCE(A1004, ""volume"") / GOOGLEFINANCE(A1004, ""volumeavg""), )"),"")</f>
        <v/>
      </c>
      <c r="X1004" s="9">
        <f>IFERROR(__xludf.DUMMYFUNCTION("B1004 * GOOGLEFINANCE(A1004, ""volume"")"),7.201971E7)</f>
        <v>72019710</v>
      </c>
      <c r="Y1004" s="9">
        <f>IFERROR(__xludf.DUMMYFUNCTION("IFERROR(((B1004 - GOOGLEFINANCE(A1004, ""priceopen"")) / GOOGLEFINANCE(A1004, ""priceopen"")) * GOOGLEFINANCE(A1004, ""volume""), 0)"),420.434628975265)</f>
        <v>420.434629</v>
      </c>
    </row>
    <row r="1005">
      <c r="A1005" s="4" t="s">
        <v>2798</v>
      </c>
      <c r="B1005" s="7">
        <f>IFERROR(__xludf.DUMMYFUNCTION("GOOGLEFINANCE(A1005, ""price"")"),469.8)</f>
        <v>469.8</v>
      </c>
      <c r="C1005" s="7">
        <f>IFERROR(__xludf.DUMMYFUNCTION("GOOGLEFINANCE(A1005, ""changepct"")"),-2.43)</f>
        <v>-2.43</v>
      </c>
      <c r="D1005" s="9">
        <f>IFERROR(__xludf.DUMMYFUNCTION("GOOGLEFINANCE(A1005, ""priceopen"")"),479.1)</f>
        <v>479.1</v>
      </c>
      <c r="E1005" s="9">
        <f>IFERROR(__xludf.DUMMYFUNCTION("GOOGLEFINANCE(A1005, ""high"")"),480.3)</f>
        <v>480.3</v>
      </c>
      <c r="F1005" s="9">
        <f>IFERROR(__xludf.DUMMYFUNCTION("GOOGLEFINANCE(A1005, ""low"")"),468.8)</f>
        <v>468.8</v>
      </c>
      <c r="G1005" s="9">
        <f>IFERROR(__xludf.DUMMYFUNCTION("GOOGLEFINANCE(A1005, ""price"")"),469.8)</f>
        <v>469.8</v>
      </c>
      <c r="H1005" s="9">
        <f>IFERROR(__xludf.DUMMYFUNCTION("MAX(INDEX(GOOGLEFINANCE(A1005, ""high"", TODAY()-30, TODAY()), 0, 2))"),522.5)</f>
        <v>522.5</v>
      </c>
      <c r="I1005" s="9">
        <f>IFERROR(__xludf.DUMMYFUNCTION("MIN(INDEX(GOOGLEFINANCE(A1005, ""low"", TODAY()-30, TODAY()), 0, 2))"),456.2)</f>
        <v>456.2</v>
      </c>
      <c r="J1005" s="9">
        <f>IFERROR(__xludf.DUMMYFUNCTION("GOOGLEFINANCE(A1005, ""high52"")"),659.0)</f>
        <v>659</v>
      </c>
      <c r="K1005" s="9">
        <f>IFERROR(__xludf.DUMMYFUNCTION("GOOGLEFINANCE(A1005, ""low52"")"),455.0)</f>
        <v>455</v>
      </c>
      <c r="L1005" s="9">
        <f t="shared" si="1"/>
        <v>0.2871016692</v>
      </c>
      <c r="M1005" s="9">
        <f t="shared" si="2"/>
        <v>0.03252747253</v>
      </c>
      <c r="N1005" s="9">
        <f t="shared" si="3"/>
        <v>0.02453071672</v>
      </c>
      <c r="O1005" s="9">
        <f t="shared" si="4"/>
        <v>0.2051282051</v>
      </c>
      <c r="P1005" s="9">
        <f>IFERROR(__xludf.DUMMYFUNCTION("GOOGLEFINANCE(A1005, ""pe"")"),36.62)</f>
        <v>36.62</v>
      </c>
      <c r="Q1005" s="9">
        <f>IFERROR(__xludf.DUMMYFUNCTION("IFERROR(GOOGLEFINANCE(A1005, ""volume"") / GOOGLEFINANCE(A1005, ""volumeavg""), 0)"),0.0)</f>
        <v>0</v>
      </c>
      <c r="R1005" s="9">
        <f>IFERROR(__xludf.DUMMYFUNCTION("AVERAGE(INDEX(GOOGLEFINANCE(A1005, ""price"", TODAY()-30, TODAY()), 0, 2))"),476.6065217391304)</f>
        <v>476.6065217</v>
      </c>
      <c r="S1005" s="9">
        <f>IFERROR(__xludf.DUMMYFUNCTION("AVERAGE(INDEX(GOOGLEFINANCE(A1005, ""price"", TODAY()-75, TODAY()), 0, 2))"),480.1056603773584)</f>
        <v>480.1056604</v>
      </c>
      <c r="T1005" s="9">
        <f>IFERROR(__xludf.DUMMYFUNCTION("AVERAGE(INDEX(GOOGLEFINANCE(A1005, ""price"", TODAY()-300, TODAY()), 0, 2))"),513.0717821782177)</f>
        <v>513.0717822</v>
      </c>
      <c r="U1005" s="9">
        <f t="shared" si="5"/>
        <v>-0.01428121821</v>
      </c>
      <c r="V1005" s="15">
        <f>IFERROR(__xludf.DUMMYFUNCTION("LET(hist, GOOGLEFINANCE(A1005,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rs))))))"),52.43195002231147)</f>
        <v>52.43195002</v>
      </c>
      <c r="W1005" s="16" t="str">
        <f>IFERROR(__xludf.DUMMYFUNCTION("IFERROR(GOOGLEFINANCE(A1005, ""volume"") / GOOGLEFINANCE(A1005, ""volumeavg""), )"),"")</f>
        <v/>
      </c>
      <c r="X1005" s="9">
        <f>IFERROR(__xludf.DUMMYFUNCTION("B1005 * GOOGLEFINANCE(A1005, ""volume"")"),6.7050325800000004E7)</f>
        <v>67050325.8</v>
      </c>
      <c r="Y1005" s="9">
        <f>IFERROR(__xludf.DUMMYFUNCTION("IFERROR(((B1005 - GOOGLEFINANCE(A1005, ""priceopen"")) / GOOGLEFINANCE(A1005, ""priceopen"")) * GOOGLEFINANCE(A1005, ""volume""), 0)"),-2770.413901064499)</f>
        <v>-2770.413901</v>
      </c>
    </row>
    <row r="1006">
      <c r="A1006" s="4" t="s">
        <v>2799</v>
      </c>
      <c r="B1006" s="7">
        <f>IFERROR(__xludf.DUMMYFUNCTION("GOOGLEFINANCE(A1006, ""price"")"),253.35)</f>
        <v>253.35</v>
      </c>
      <c r="C1006" s="7">
        <f>IFERROR(__xludf.DUMMYFUNCTION("GOOGLEFINANCE(A1006, ""changepct"")"),4.99)</f>
        <v>4.99</v>
      </c>
      <c r="D1006" s="9">
        <f>IFERROR(__xludf.DUMMYFUNCTION("GOOGLEFINANCE(A1006, ""priceopen"")"),229.25)</f>
        <v>229.25</v>
      </c>
      <c r="E1006" s="9">
        <f>IFERROR(__xludf.DUMMYFUNCTION("GOOGLEFINANCE(A1006, ""high"")"),253.35)</f>
        <v>253.35</v>
      </c>
      <c r="F1006" s="9">
        <f>IFERROR(__xludf.DUMMYFUNCTION("GOOGLEFINANCE(A1006, ""low"")"),229.25)</f>
        <v>229.25</v>
      </c>
      <c r="G1006" s="9">
        <f>IFERROR(__xludf.DUMMYFUNCTION("GOOGLEFINANCE(A1006, ""price"")"),253.35)</f>
        <v>253.35</v>
      </c>
      <c r="H1006" s="9">
        <f>IFERROR(__xludf.DUMMYFUNCTION("MAX(INDEX(GOOGLEFINANCE(A1006, ""high"", TODAY()-30, TODAY()), 0, 2))"),279.0)</f>
        <v>279</v>
      </c>
      <c r="I1006" s="9">
        <f>IFERROR(__xludf.DUMMYFUNCTION("MIN(INDEX(GOOGLEFINANCE(A1006, ""low"", TODAY()-30, TODAY()), 0, 2))"),200.15)</f>
        <v>200.15</v>
      </c>
      <c r="J1006" s="9">
        <f>IFERROR(__xludf.DUMMYFUNCTION("GOOGLEFINANCE(A1006, ""high52"")"),360.36)</f>
        <v>360.36</v>
      </c>
      <c r="K1006" s="9">
        <f>IFERROR(__xludf.DUMMYFUNCTION("GOOGLEFINANCE(A1006, ""low52"")"),97.02)</f>
        <v>97.02</v>
      </c>
      <c r="L1006" s="9">
        <f t="shared" si="1"/>
        <v>0.296953047</v>
      </c>
      <c r="M1006" s="9">
        <f t="shared" si="2"/>
        <v>1.611317254</v>
      </c>
      <c r="N1006" s="9">
        <f t="shared" si="3"/>
        <v>0.1051254089</v>
      </c>
      <c r="O1006" s="9">
        <f t="shared" si="4"/>
        <v>0.6746987952</v>
      </c>
      <c r="P1006" s="9">
        <f>IFERROR(__xludf.DUMMYFUNCTION("GOOGLEFINANCE(A1006, ""pe"")"),47.44)</f>
        <v>47.44</v>
      </c>
      <c r="Q1006" s="9">
        <f>IFERROR(__xludf.DUMMYFUNCTION("IFERROR(GOOGLEFINANCE(A1006, ""volume"") / GOOGLEFINANCE(A1006, ""volumeavg""), 0)"),0.0)</f>
        <v>0</v>
      </c>
      <c r="R1006" s="9">
        <f>IFERROR(__xludf.DUMMYFUNCTION("AVERAGE(INDEX(GOOGLEFINANCE(A1006, ""price"", TODAY()-30, TODAY()), 0, 2))"),243.03217391304347)</f>
        <v>243.0321739</v>
      </c>
      <c r="S1006" s="9">
        <f>IFERROR(__xludf.DUMMYFUNCTION("AVERAGE(INDEX(GOOGLEFINANCE(A1006, ""price"", TODAY()-75, TODAY()), 0, 2))"),210.91264150943402)</f>
        <v>210.9126415</v>
      </c>
      <c r="T1006" s="9">
        <f>IFERROR(__xludf.DUMMYFUNCTION("AVERAGE(INDEX(GOOGLEFINANCE(A1006, ""price"", TODAY()-300, TODAY()), 0, 2))"),178.40787128712864)</f>
        <v>178.4078713</v>
      </c>
      <c r="U1006" s="9">
        <f t="shared" si="5"/>
        <v>0.04245456855</v>
      </c>
      <c r="V1006" s="15">
        <f>IFERROR(__xludf.DUMMYFUNCTION("LET(hist, GOOGLEFINANCE(A1006,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rs))))))"),50.06233816054474)</f>
        <v>50.06233816</v>
      </c>
      <c r="W1006" s="16" t="str">
        <f>IFERROR(__xludf.DUMMYFUNCTION("IFERROR(GOOGLEFINANCE(A1006, ""volume"") / GOOGLEFINANCE(A1006, ""volumeavg""), )"),"")</f>
        <v/>
      </c>
      <c r="X1006" s="9">
        <f>IFERROR(__xludf.DUMMYFUNCTION("B1006 * GOOGLEFINANCE(A1006, ""volume"")"),2.217760029E8)</f>
        <v>221776002.9</v>
      </c>
      <c r="Y1006" s="9">
        <f>IFERROR(__xludf.DUMMYFUNCTION("IFERROR(((B1006 - GOOGLEFINANCE(A1006, ""priceopen"")) / GOOGLEFINANCE(A1006, ""priceopen"")) * GOOGLEFINANCE(A1006, ""volume""), 0)"),92024.04972737184)</f>
        <v>92024.04973</v>
      </c>
    </row>
    <row r="1007">
      <c r="A1007" s="4" t="s">
        <v>2800</v>
      </c>
      <c r="B1007" s="7">
        <f>IFERROR(__xludf.DUMMYFUNCTION("GOOGLEFINANCE(A1007, ""price"")"),1236.4)</f>
        <v>1236.4</v>
      </c>
      <c r="C1007" s="7">
        <f>IFERROR(__xludf.DUMMYFUNCTION("GOOGLEFINANCE(A1007, ""changepct"")"),-2.65)</f>
        <v>-2.65</v>
      </c>
      <c r="D1007" s="9">
        <f>IFERROR(__xludf.DUMMYFUNCTION("GOOGLEFINANCE(A1007, ""priceopen"")"),1269.9)</f>
        <v>1269.9</v>
      </c>
      <c r="E1007" s="9">
        <f>IFERROR(__xludf.DUMMYFUNCTION("GOOGLEFINANCE(A1007, ""high"")"),1275.9)</f>
        <v>1275.9</v>
      </c>
      <c r="F1007" s="9">
        <f>IFERROR(__xludf.DUMMYFUNCTION("GOOGLEFINANCE(A1007, ""low"")"),1234.3)</f>
        <v>1234.3</v>
      </c>
      <c r="G1007" s="9">
        <f>IFERROR(__xludf.DUMMYFUNCTION("GOOGLEFINANCE(A1007, ""price"")"),1236.4)</f>
        <v>1236.4</v>
      </c>
      <c r="H1007" s="9">
        <f>IFERROR(__xludf.DUMMYFUNCTION("MAX(INDEX(GOOGLEFINANCE(A1007, ""high"", TODAY()-30, TODAY()), 0, 2))"),1380.0)</f>
        <v>1380</v>
      </c>
      <c r="I1007" s="9">
        <f>IFERROR(__xludf.DUMMYFUNCTION("MIN(INDEX(GOOGLEFINANCE(A1007, ""low"", TODAY()-30, TODAY()), 0, 2))"),1175.6)</f>
        <v>1175.6</v>
      </c>
      <c r="J1007" s="9">
        <f>IFERROR(__xludf.DUMMYFUNCTION("GOOGLEFINANCE(A1007, ""high52"")"),1380.0)</f>
        <v>1380</v>
      </c>
      <c r="K1007" s="9">
        <f>IFERROR(__xludf.DUMMYFUNCTION("GOOGLEFINANCE(A1007, ""low52"")"),636.0)</f>
        <v>636</v>
      </c>
      <c r="L1007" s="9">
        <f t="shared" si="1"/>
        <v>0.104057971</v>
      </c>
      <c r="M1007" s="9">
        <f t="shared" si="2"/>
        <v>0.9440251572</v>
      </c>
      <c r="N1007" s="9">
        <f t="shared" si="3"/>
        <v>0.03370331362</v>
      </c>
      <c r="O1007" s="9">
        <f t="shared" si="4"/>
        <v>0.2974559687</v>
      </c>
      <c r="P1007" s="9">
        <f>IFERROR(__xludf.DUMMYFUNCTION("GOOGLEFINANCE(A1007, ""pe"")"),22.76)</f>
        <v>22.76</v>
      </c>
      <c r="Q1007" s="9">
        <f>IFERROR(__xludf.DUMMYFUNCTION("IFERROR(GOOGLEFINANCE(A1007, ""volume"") / GOOGLEFINANCE(A1007, ""volumeavg""), 0)"),0.0)</f>
        <v>0</v>
      </c>
      <c r="R1007" s="9">
        <f>IFERROR(__xludf.DUMMYFUNCTION("AVERAGE(INDEX(GOOGLEFINANCE(A1007, ""price"", TODAY()-30, TODAY()), 0, 2))"),1263.2173913043478)</f>
        <v>1263.217391</v>
      </c>
      <c r="S1007" s="9">
        <f>IFERROR(__xludf.DUMMYFUNCTION("AVERAGE(INDEX(GOOGLEFINANCE(A1007, ""price"", TODAY()-75, TODAY()), 0, 2))"),1153.1339622641506)</f>
        <v>1153.133962</v>
      </c>
      <c r="T1007" s="9">
        <f>IFERROR(__xludf.DUMMYFUNCTION("AVERAGE(INDEX(GOOGLEFINANCE(A1007, ""price"", TODAY()-300, TODAY()), 0, 2))"),1037.1253472222224)</f>
        <v>1037.125347</v>
      </c>
      <c r="U1007" s="9">
        <f t="shared" si="5"/>
        <v>-0.02122943485</v>
      </c>
      <c r="V1007" s="15">
        <f>IFERROR(__xludf.DUMMYFUNCTION("LET(hist, GOOGLEFINANCE(A1007,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rs))))))"),49.69646799116997)</f>
        <v>49.69646799</v>
      </c>
      <c r="W1007" s="16" t="str">
        <f>IFERROR(__xludf.DUMMYFUNCTION("IFERROR(GOOGLEFINANCE(A1007, ""volume"") / GOOGLEFINANCE(A1007, ""volumeavg""), )"),"")</f>
        <v/>
      </c>
      <c r="X1007" s="9">
        <f>IFERROR(__xludf.DUMMYFUNCTION("B1007 * GOOGLEFINANCE(A1007, ""volume"")"),4.6180776400000006E7)</f>
        <v>46180776.4</v>
      </c>
      <c r="Y1007" s="9">
        <f>IFERROR(__xludf.DUMMYFUNCTION("IFERROR(((B1007 - GOOGLEFINANCE(A1007, ""priceopen"")) / GOOGLEFINANCE(A1007, ""priceopen"")) * GOOGLEFINANCE(A1007, ""volume""), 0)"),-985.3204976769823)</f>
        <v>-985.3204977</v>
      </c>
    </row>
    <row r="1008">
      <c r="A1008" s="4" t="s">
        <v>2801</v>
      </c>
      <c r="B1008" s="7">
        <f>IFERROR(__xludf.DUMMYFUNCTION("GOOGLEFINANCE(A1008, ""price"")"),3862.6)</f>
        <v>3862.6</v>
      </c>
      <c r="C1008" s="7">
        <f>IFERROR(__xludf.DUMMYFUNCTION("GOOGLEFINANCE(A1008, ""changepct"")"),-2.08)</f>
        <v>-2.08</v>
      </c>
      <c r="D1008" s="9">
        <f>IFERROR(__xludf.DUMMYFUNCTION("GOOGLEFINANCE(A1008, ""priceopen"")"),3951.1)</f>
        <v>3951.1</v>
      </c>
      <c r="E1008" s="9">
        <f>IFERROR(__xludf.DUMMYFUNCTION("GOOGLEFINANCE(A1008, ""high"")"),3951.1)</f>
        <v>3951.1</v>
      </c>
      <c r="F1008" s="9">
        <f>IFERROR(__xludf.DUMMYFUNCTION("GOOGLEFINANCE(A1008, ""low"")"),3853.0)</f>
        <v>3853</v>
      </c>
      <c r="G1008" s="9">
        <f>IFERROR(__xludf.DUMMYFUNCTION("GOOGLEFINANCE(A1008, ""price"")"),3862.6)</f>
        <v>3862.6</v>
      </c>
      <c r="H1008" s="9">
        <f>IFERROR(__xludf.DUMMYFUNCTION("MAX(INDEX(GOOGLEFINANCE(A1008, ""high"", TODAY()-30, TODAY()), 0, 2))"),4349.9)</f>
        <v>4349.9</v>
      </c>
      <c r="I1008" s="9">
        <f>IFERROR(__xludf.DUMMYFUNCTION("MIN(INDEX(GOOGLEFINANCE(A1008, ""low"", TODAY()-30, TODAY()), 0, 2))"),3853.0)</f>
        <v>3853</v>
      </c>
      <c r="J1008" s="9">
        <f>IFERROR(__xludf.DUMMYFUNCTION("GOOGLEFINANCE(A1008, ""high52"")"),4775.8)</f>
        <v>4775.8</v>
      </c>
      <c r="K1008" s="9">
        <f>IFERROR(__xludf.DUMMYFUNCTION("GOOGLEFINANCE(A1008, ""low52"")"),2780.1)</f>
        <v>2780.1</v>
      </c>
      <c r="L1008" s="9">
        <f t="shared" si="1"/>
        <v>0.1912140374</v>
      </c>
      <c r="M1008" s="9">
        <f t="shared" si="2"/>
        <v>0.3893744829</v>
      </c>
      <c r="N1008" s="9">
        <f t="shared" si="3"/>
        <v>0.02546067999</v>
      </c>
      <c r="O1008" s="9">
        <f t="shared" si="4"/>
        <v>0.01931978265</v>
      </c>
      <c r="P1008" s="9">
        <f>IFERROR(__xludf.DUMMYFUNCTION("GOOGLEFINANCE(A1008, ""pe"")"),41.52)</f>
        <v>41.52</v>
      </c>
      <c r="Q1008" s="9">
        <f>IFERROR(__xludf.DUMMYFUNCTION("IFERROR(GOOGLEFINANCE(A1008, ""volume"") / GOOGLEFINANCE(A1008, ""volumeavg""), 0)"),0.0)</f>
        <v>0</v>
      </c>
      <c r="R1008" s="9">
        <f>IFERROR(__xludf.DUMMYFUNCTION("AVERAGE(INDEX(GOOGLEFINANCE(A1008, ""price"", TODAY()-30, TODAY()), 0, 2))"),4008.152173913042)</f>
        <v>4008.152174</v>
      </c>
      <c r="S1008" s="9">
        <f>IFERROR(__xludf.DUMMYFUNCTION("AVERAGE(INDEX(GOOGLEFINANCE(A1008, ""price"", TODAY()-75, TODAY()), 0, 2))"),4049.167924528304)</f>
        <v>4049.167925</v>
      </c>
      <c r="T1008" s="9">
        <f>IFERROR(__xludf.DUMMYFUNCTION("AVERAGE(INDEX(GOOGLEFINANCE(A1008, ""price"", TODAY()-300, TODAY()), 0, 2))"),4031.3064356435634)</f>
        <v>4031.306436</v>
      </c>
      <c r="U1008" s="9">
        <f t="shared" si="5"/>
        <v>-0.0363140339</v>
      </c>
      <c r="V1008" s="15">
        <f>IFERROR(__xludf.DUMMYFUNCTION("LET(hist, GOOGLEFINANCE(A1008,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rs))))))"),41.866175567833054)</f>
        <v>41.86617557</v>
      </c>
      <c r="W1008" s="16" t="str">
        <f>IFERROR(__xludf.DUMMYFUNCTION("IFERROR(GOOGLEFINANCE(A1008, ""volume"") / GOOGLEFINANCE(A1008, ""volumeavg""), )"),"")</f>
        <v/>
      </c>
      <c r="X1008" s="9">
        <f>IFERROR(__xludf.DUMMYFUNCTION("B1008 * GOOGLEFINANCE(A1008, ""volume"")"),1.1858182E7)</f>
        <v>11858182</v>
      </c>
      <c r="Y1008" s="9">
        <f>IFERROR(__xludf.DUMMYFUNCTION("IFERROR(((B1008 - GOOGLEFINANCE(A1008, ""priceopen"")) / GOOGLEFINANCE(A1008, ""priceopen"")) * GOOGLEFINANCE(A1008, ""volume""), 0)"),-68.76439472551948)</f>
        <v>-68.76439473</v>
      </c>
    </row>
    <row r="1009">
      <c r="A1009" s="4" t="s">
        <v>2802</v>
      </c>
      <c r="B1009" s="7">
        <f>IFERROR(__xludf.DUMMYFUNCTION("GOOGLEFINANCE(A1009, ""price"")"),1421.1)</f>
        <v>1421.1</v>
      </c>
      <c r="C1009" s="7">
        <f>IFERROR(__xludf.DUMMYFUNCTION("GOOGLEFINANCE(A1009, ""changepct"")"),-3.12)</f>
        <v>-3.12</v>
      </c>
      <c r="D1009" s="9">
        <f>IFERROR(__xludf.DUMMYFUNCTION("GOOGLEFINANCE(A1009, ""priceopen"")"),1470.0)</f>
        <v>1470</v>
      </c>
      <c r="E1009" s="9">
        <f>IFERROR(__xludf.DUMMYFUNCTION("GOOGLEFINANCE(A1009, ""high"")"),1526.9)</f>
        <v>1526.9</v>
      </c>
      <c r="F1009" s="9">
        <f>IFERROR(__xludf.DUMMYFUNCTION("GOOGLEFINANCE(A1009, ""low"")"),1395.0)</f>
        <v>1395</v>
      </c>
      <c r="G1009" s="9">
        <f>IFERROR(__xludf.DUMMYFUNCTION("GOOGLEFINANCE(A1009, ""price"")"),1421.1)</f>
        <v>1421.1</v>
      </c>
      <c r="H1009" s="9">
        <f>IFERROR(__xludf.DUMMYFUNCTION("MAX(INDEX(GOOGLEFINANCE(A1009, ""high"", TODAY()-30, TODAY()), 0, 2))"),1548.0)</f>
        <v>1548</v>
      </c>
      <c r="I1009" s="9">
        <f>IFERROR(__xludf.DUMMYFUNCTION("MIN(INDEX(GOOGLEFINANCE(A1009, ""low"", TODAY()-30, TODAY()), 0, 2))"),1148.95)</f>
        <v>1148.95</v>
      </c>
      <c r="J1009" s="9">
        <f>IFERROR(__xludf.DUMMYFUNCTION("GOOGLEFINANCE(A1009, ""high52"")"),1719.9)</f>
        <v>1719.9</v>
      </c>
      <c r="K1009" s="9">
        <f>IFERROR(__xludf.DUMMYFUNCTION("GOOGLEFINANCE(A1009, ""low52"")"),866.1)</f>
        <v>866.1</v>
      </c>
      <c r="L1009" s="9">
        <f t="shared" si="1"/>
        <v>0.1737310309</v>
      </c>
      <c r="M1009" s="9">
        <f t="shared" si="2"/>
        <v>0.6408036024</v>
      </c>
      <c r="N1009" s="9">
        <f t="shared" si="3"/>
        <v>0.09455197133</v>
      </c>
      <c r="O1009" s="9">
        <f t="shared" si="4"/>
        <v>0.6819947375</v>
      </c>
      <c r="P1009" s="9">
        <f>IFERROR(__xludf.DUMMYFUNCTION("GOOGLEFINANCE(A1009, ""pe"")"),13.53)</f>
        <v>13.53</v>
      </c>
      <c r="Q1009" s="9">
        <f>IFERROR(__xludf.DUMMYFUNCTION("IFERROR(GOOGLEFINANCE(A1009, ""volume"") / GOOGLEFINANCE(A1009, ""volumeavg""), 0)"),0.0)</f>
        <v>0</v>
      </c>
      <c r="R1009" s="9">
        <f>IFERROR(__xludf.DUMMYFUNCTION("AVERAGE(INDEX(GOOGLEFINANCE(A1009, ""price"", TODAY()-30, TODAY()), 0, 2))"),1382.463043478261)</f>
        <v>1382.463043</v>
      </c>
      <c r="S1009" s="9">
        <f>IFERROR(__xludf.DUMMYFUNCTION("AVERAGE(INDEX(GOOGLEFINANCE(A1009, ""price"", TODAY()-75, TODAY()), 0, 2))"),1137.866037735849)</f>
        <v>1137.866038</v>
      </c>
      <c r="T1009" s="9">
        <f>IFERROR(__xludf.DUMMYFUNCTION("AVERAGE(INDEX(GOOGLEFINANCE(A1009, ""price"", TODAY()-300, TODAY()), 0, 2))"),1229.2430348258702)</f>
        <v>1229.243035</v>
      </c>
      <c r="U1009" s="9">
        <f t="shared" si="5"/>
        <v>0.02794791275</v>
      </c>
      <c r="V1009" s="15">
        <f>IFERROR(__xludf.DUMMYFUNCTION("LET(hist, GOOGLEFINANCE(A1009,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rs))))))"),56.028815848716775)</f>
        <v>56.02881585</v>
      </c>
      <c r="W1009" s="16" t="str">
        <f>IFERROR(__xludf.DUMMYFUNCTION("IFERROR(GOOGLEFINANCE(A1009, ""volume"") / GOOGLEFINANCE(A1009, ""volumeavg""), )"),"")</f>
        <v/>
      </c>
      <c r="X1009" s="9">
        <f>IFERROR(__xludf.DUMMYFUNCTION("B1009 * GOOGLEFINANCE(A1009, ""volume"")"),7.98132393E7)</f>
        <v>79813239.3</v>
      </c>
      <c r="Y1009" s="9">
        <f>IFERROR(__xludf.DUMMYFUNCTION("IFERROR(((B1009 - GOOGLEFINANCE(A1009, ""priceopen"")) / GOOGLEFINANCE(A1009, ""priceopen"")) * GOOGLEFINANCE(A1009, ""volume""), 0)"),-1868.2793877551053)</f>
        <v>-1868.279388</v>
      </c>
    </row>
    <row r="1010">
      <c r="A1010" s="4" t="s">
        <v>2803</v>
      </c>
      <c r="B1010" s="7">
        <f>IFERROR(__xludf.DUMMYFUNCTION("GOOGLEFINANCE(A1010, ""price"")"),174.37)</f>
        <v>174.37</v>
      </c>
      <c r="C1010" s="7">
        <f>IFERROR(__xludf.DUMMYFUNCTION("GOOGLEFINANCE(A1010, ""changepct"")"),-0.27)</f>
        <v>-0.27</v>
      </c>
      <c r="D1010" s="9">
        <f>IFERROR(__xludf.DUMMYFUNCTION("GOOGLEFINANCE(A1010, ""priceopen"")"),174.0)</f>
        <v>174</v>
      </c>
      <c r="E1010" s="9">
        <f>IFERROR(__xludf.DUMMYFUNCTION("GOOGLEFINANCE(A1010, ""high"")"),178.0)</f>
        <v>178</v>
      </c>
      <c r="F1010" s="9">
        <f>IFERROR(__xludf.DUMMYFUNCTION("GOOGLEFINANCE(A1010, ""low"")"),174.0)</f>
        <v>174</v>
      </c>
      <c r="G1010" s="9">
        <f>IFERROR(__xludf.DUMMYFUNCTION("GOOGLEFINANCE(A1010, ""price"")"),174.37)</f>
        <v>174.37</v>
      </c>
      <c r="H1010" s="9">
        <f>IFERROR(__xludf.DUMMYFUNCTION("MAX(INDEX(GOOGLEFINANCE(A1010, ""high"", TODAY()-30, TODAY()), 0, 2))"),180.89)</f>
        <v>180.89</v>
      </c>
      <c r="I1010" s="9">
        <f>IFERROR(__xludf.DUMMYFUNCTION("MIN(INDEX(GOOGLEFINANCE(A1010, ""low"", TODAY()-30, TODAY()), 0, 2))"),170.01)</f>
        <v>170.01</v>
      </c>
      <c r="J1010" s="9">
        <f>IFERROR(__xludf.DUMMYFUNCTION("GOOGLEFINANCE(A1010, ""high52"")"),180.89)</f>
        <v>180.89</v>
      </c>
      <c r="K1010" s="9">
        <f>IFERROR(__xludf.DUMMYFUNCTION("GOOGLEFINANCE(A1010, ""low52"")"),86.0)</f>
        <v>86</v>
      </c>
      <c r="L1010" s="9">
        <f t="shared" si="1"/>
        <v>0.03604400464</v>
      </c>
      <c r="M1010" s="9">
        <f t="shared" si="2"/>
        <v>1.02755814</v>
      </c>
      <c r="N1010" s="9">
        <f t="shared" si="3"/>
        <v>0.02298850575</v>
      </c>
      <c r="O1010" s="9">
        <f t="shared" si="4"/>
        <v>0.4007352941</v>
      </c>
      <c r="P1010" s="9">
        <f>IFERROR(__xludf.DUMMYFUNCTION("GOOGLEFINANCE(A1010, ""pe"")"),33.82)</f>
        <v>33.82</v>
      </c>
      <c r="Q1010" s="9">
        <f>IFERROR(__xludf.DUMMYFUNCTION("IFERROR(GOOGLEFINANCE(A1010, ""volume"") / GOOGLEFINANCE(A1010, ""volumeavg""), 0)"),0.0)</f>
        <v>0</v>
      </c>
      <c r="R1010" s="9">
        <f>IFERROR(__xludf.DUMMYFUNCTION("AVERAGE(INDEX(GOOGLEFINANCE(A1010, ""price"", TODAY()-30, TODAY()), 0, 2))"),176.14434782608694)</f>
        <v>176.1443478</v>
      </c>
      <c r="S1010" s="9">
        <f>IFERROR(__xludf.DUMMYFUNCTION("AVERAGE(INDEX(GOOGLEFINANCE(A1010, ""price"", TODAY()-75, TODAY()), 0, 2))"),172.8415094339623)</f>
        <v>172.8415094</v>
      </c>
      <c r="T1010" s="9">
        <f>IFERROR(__xludf.DUMMYFUNCTION("AVERAGE(INDEX(GOOGLEFINANCE(A1010, ""price"", TODAY()-300, TODAY()), 0, 2))"),161.58524999999995)</f>
        <v>161.58525</v>
      </c>
      <c r="U1010" s="9">
        <f t="shared" si="5"/>
        <v>-0.01007326007</v>
      </c>
      <c r="V1010" s="15">
        <f>IFERROR(__xludf.DUMMYFUNCTION("LET(hist, GOOGLEFINANCE(A1010,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rs))))))"),48.148148148148145)</f>
        <v>48.14814815</v>
      </c>
      <c r="W1010" s="16" t="str">
        <f>IFERROR(__xludf.DUMMYFUNCTION("IFERROR(GOOGLEFINANCE(A1010, ""volume"") / GOOGLEFINANCE(A1010, ""volumeavg""), )"),"")</f>
        <v/>
      </c>
      <c r="X1010" s="9">
        <f>IFERROR(__xludf.DUMMYFUNCTION("B1010 * GOOGLEFINANCE(A1010, ""volume"")"),5949678.7700000005)</f>
        <v>5949678.77</v>
      </c>
      <c r="Y1010" s="9">
        <f>IFERROR(__xludf.DUMMYFUNCTION("IFERROR(((B1010 - GOOGLEFINANCE(A1010, ""priceopen"")) / GOOGLEFINANCE(A1010, ""priceopen"")) * GOOGLEFINANCE(A1010, ""volume""), 0)"),72.55614942528825)</f>
        <v>72.55614943</v>
      </c>
    </row>
    <row r="1011">
      <c r="A1011" s="4" t="s">
        <v>2804</v>
      </c>
      <c r="B1011" s="7">
        <f>IFERROR(__xludf.DUMMYFUNCTION("GOOGLEFINANCE(A1011, ""price"")"),261.1)</f>
        <v>261.1</v>
      </c>
      <c r="C1011" s="7">
        <f>IFERROR(__xludf.DUMMYFUNCTION("GOOGLEFINANCE(A1011, ""changepct"")"),-1.64)</f>
        <v>-1.64</v>
      </c>
      <c r="D1011" s="9">
        <f>IFERROR(__xludf.DUMMYFUNCTION("GOOGLEFINANCE(A1011, ""priceopen"")"),266.45)</f>
        <v>266.45</v>
      </c>
      <c r="E1011" s="9">
        <f>IFERROR(__xludf.DUMMYFUNCTION("GOOGLEFINANCE(A1011, ""high"")"),266.45)</f>
        <v>266.45</v>
      </c>
      <c r="F1011" s="9">
        <f>IFERROR(__xludf.DUMMYFUNCTION("GOOGLEFINANCE(A1011, ""low"")"),260.2)</f>
        <v>260.2</v>
      </c>
      <c r="G1011" s="9">
        <f>IFERROR(__xludf.DUMMYFUNCTION("GOOGLEFINANCE(A1011, ""price"")"),261.1)</f>
        <v>261.1</v>
      </c>
      <c r="H1011" s="9">
        <f>IFERROR(__xludf.DUMMYFUNCTION("MAX(INDEX(GOOGLEFINANCE(A1011, ""high"", TODAY()-30, TODAY()), 0, 2))"),330.75)</f>
        <v>330.75</v>
      </c>
      <c r="I1011" s="9">
        <f>IFERROR(__xludf.DUMMYFUNCTION("MIN(INDEX(GOOGLEFINANCE(A1011, ""low"", TODAY()-30, TODAY()), 0, 2))"),255.85)</f>
        <v>255.85</v>
      </c>
      <c r="J1011" s="9">
        <f>IFERROR(__xludf.DUMMYFUNCTION("GOOGLEFINANCE(A1011, ""high52"")"),346.95)</f>
        <v>346.95</v>
      </c>
      <c r="K1011" s="9">
        <f>IFERROR(__xludf.DUMMYFUNCTION("GOOGLEFINANCE(A1011, ""low52"")"),153.1)</f>
        <v>153.1</v>
      </c>
      <c r="L1011" s="9">
        <f t="shared" si="1"/>
        <v>0.2474419945</v>
      </c>
      <c r="M1011" s="9">
        <f t="shared" si="2"/>
        <v>0.7054212933</v>
      </c>
      <c r="N1011" s="9">
        <f t="shared" si="3"/>
        <v>0.02401998463</v>
      </c>
      <c r="O1011" s="9">
        <f t="shared" si="4"/>
        <v>0.07009345794</v>
      </c>
      <c r="P1011" s="9">
        <f>IFERROR(__xludf.DUMMYFUNCTION("GOOGLEFINANCE(A1011, ""pe"")"),31.22)</f>
        <v>31.22</v>
      </c>
      <c r="Q1011" s="9">
        <f>IFERROR(__xludf.DUMMYFUNCTION("IFERROR(GOOGLEFINANCE(A1011, ""volume"") / GOOGLEFINANCE(A1011, ""volumeavg""), 0)"),0.0)</f>
        <v>0</v>
      </c>
      <c r="R1011" s="9">
        <f>IFERROR(__xludf.DUMMYFUNCTION("AVERAGE(INDEX(GOOGLEFINANCE(A1011, ""price"", TODAY()-30, TODAY()), 0, 2))"),287.88260869565215)</f>
        <v>287.8826087</v>
      </c>
      <c r="S1011" s="9">
        <f>IFERROR(__xludf.DUMMYFUNCTION("AVERAGE(INDEX(GOOGLEFINANCE(A1011, ""price"", TODAY()-75, TODAY()), 0, 2))"),293.1792452830189)</f>
        <v>293.1792453</v>
      </c>
      <c r="T1011" s="9">
        <f>IFERROR(__xludf.DUMMYFUNCTION("AVERAGE(INDEX(GOOGLEFINANCE(A1011, ""price"", TODAY()-300, TODAY()), 0, 2))"),234.06376237623758)</f>
        <v>234.0637624</v>
      </c>
      <c r="U1011" s="9">
        <f t="shared" si="5"/>
        <v>-0.09303309018</v>
      </c>
      <c r="V1011" s="15">
        <f>IFERROR(__xludf.DUMMYFUNCTION("LET(hist, GOOGLEFINANCE(A1011,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rs))))))"),33.95967002749771)</f>
        <v>33.95967003</v>
      </c>
      <c r="W1011" s="16" t="str">
        <f>IFERROR(__xludf.DUMMYFUNCTION("IFERROR(GOOGLEFINANCE(A1011, ""volume"") / GOOGLEFINANCE(A1011, ""volumeavg""), )"),"")</f>
        <v/>
      </c>
      <c r="X1011" s="9">
        <f>IFERROR(__xludf.DUMMYFUNCTION("B1011 * GOOGLEFINANCE(A1011, ""volume"")"),1.861643E7)</f>
        <v>18616430</v>
      </c>
      <c r="Y1011" s="9">
        <f>IFERROR(__xludf.DUMMYFUNCTION("IFERROR(((B1011 - GOOGLEFINANCE(A1011, ""priceopen"")) / GOOGLEFINANCE(A1011, ""priceopen"")) * GOOGLEFINANCE(A1011, ""volume""), 0)"),-1431.6194407956375)</f>
        <v>-1431.619441</v>
      </c>
    </row>
    <row r="1012">
      <c r="A1012" s="4" t="s">
        <v>2805</v>
      </c>
      <c r="B1012" s="7">
        <f>IFERROR(__xludf.DUMMYFUNCTION("GOOGLEFINANCE(A1012, ""price"")"),134.15)</f>
        <v>134.15</v>
      </c>
      <c r="C1012" s="7">
        <f>IFERROR(__xludf.DUMMYFUNCTION("GOOGLEFINANCE(A1012, ""changepct"")"),1.05)</f>
        <v>1.05</v>
      </c>
      <c r="D1012" s="9">
        <f>IFERROR(__xludf.DUMMYFUNCTION("GOOGLEFINANCE(A1012, ""priceopen"")"),132.6)</f>
        <v>132.6</v>
      </c>
      <c r="E1012" s="9">
        <f>IFERROR(__xludf.DUMMYFUNCTION("GOOGLEFINANCE(A1012, ""high"")"),136.01)</f>
        <v>136.01</v>
      </c>
      <c r="F1012" s="9">
        <f>IFERROR(__xludf.DUMMYFUNCTION("GOOGLEFINANCE(A1012, ""low"")"),131.22)</f>
        <v>131.22</v>
      </c>
      <c r="G1012" s="9">
        <f>IFERROR(__xludf.DUMMYFUNCTION("GOOGLEFINANCE(A1012, ""price"")"),134.15)</f>
        <v>134.15</v>
      </c>
      <c r="H1012" s="9">
        <f>IFERROR(__xludf.DUMMYFUNCTION("MAX(INDEX(GOOGLEFINANCE(A1012, ""high"", TODAY()-30, TODAY()), 0, 2))"),156.0)</f>
        <v>156</v>
      </c>
      <c r="I1012" s="9">
        <f>IFERROR(__xludf.DUMMYFUNCTION("MIN(INDEX(GOOGLEFINANCE(A1012, ""low"", TODAY()-30, TODAY()), 0, 2))"),125.81)</f>
        <v>125.81</v>
      </c>
      <c r="J1012" s="9">
        <f>IFERROR(__xludf.DUMMYFUNCTION("GOOGLEFINANCE(A1012, ""high52"")"),168.5)</f>
        <v>168.5</v>
      </c>
      <c r="K1012" s="9">
        <f>IFERROR(__xludf.DUMMYFUNCTION("GOOGLEFINANCE(A1012, ""low52"")"),121.5)</f>
        <v>121.5</v>
      </c>
      <c r="L1012" s="9">
        <f t="shared" si="1"/>
        <v>0.2038575668</v>
      </c>
      <c r="M1012" s="9">
        <f t="shared" si="2"/>
        <v>0.1041152263</v>
      </c>
      <c r="N1012" s="9">
        <f t="shared" si="3"/>
        <v>0.03650358177</v>
      </c>
      <c r="O1012" s="9">
        <f t="shared" si="4"/>
        <v>0.276250414</v>
      </c>
      <c r="P1012" s="9">
        <f>IFERROR(__xludf.DUMMYFUNCTION("GOOGLEFINANCE(A1012, ""pe"")"),8.81)</f>
        <v>8.81</v>
      </c>
      <c r="Q1012" s="9">
        <f>IFERROR(__xludf.DUMMYFUNCTION("IFERROR(GOOGLEFINANCE(A1012, ""volume"") / GOOGLEFINANCE(A1012, ""volumeavg""), 0)"),0.0)</f>
        <v>0</v>
      </c>
      <c r="R1012" s="9">
        <f>IFERROR(__xludf.DUMMYFUNCTION("AVERAGE(INDEX(GOOGLEFINANCE(A1012, ""price"", TODAY()-30, TODAY()), 0, 2))"),139.78347826086957)</f>
        <v>139.7834783</v>
      </c>
      <c r="S1012" s="9">
        <f>IFERROR(__xludf.DUMMYFUNCTION("AVERAGE(INDEX(GOOGLEFINANCE(A1012, ""price"", TODAY()-75, TODAY()), 0, 2))"),141.64641509433963)</f>
        <v>141.6464151</v>
      </c>
      <c r="T1012" s="9">
        <f>IFERROR(__xludf.DUMMYFUNCTION("AVERAGE(INDEX(GOOGLEFINANCE(A1012, ""price"", TODAY()-300, TODAY()), 0, 2))"),144.7176732673268)</f>
        <v>144.7176733</v>
      </c>
      <c r="U1012" s="9">
        <f t="shared" si="5"/>
        <v>-0.04030146002</v>
      </c>
      <c r="V1012" s="15">
        <f>IFERROR(__xludf.DUMMYFUNCTION("LET(hist, GOOGLEFINANCE(A1012,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rs))))))"),41.12004950495052)</f>
        <v>41.1200495</v>
      </c>
      <c r="W1012" s="16" t="str">
        <f>IFERROR(__xludf.DUMMYFUNCTION("IFERROR(GOOGLEFINANCE(A1012, ""volume"") / GOOGLEFINANCE(A1012, ""volumeavg""), )"),"")</f>
        <v/>
      </c>
      <c r="X1012" s="9">
        <f>IFERROR(__xludf.DUMMYFUNCTION("B1012 * GOOGLEFINANCE(A1012, ""volume"")"),3.4206506050000004E7)</f>
        <v>34206506.05</v>
      </c>
      <c r="Y1012" s="9">
        <f>IFERROR(__xludf.DUMMYFUNCTION("IFERROR(((B1012 - GOOGLEFINANCE(A1012, ""priceopen"")) / GOOGLEFINANCE(A1012, ""priceopen"")) * GOOGLEFINANCE(A1012, ""volume""), 0)"),2980.6172699849394)</f>
        <v>2980.61727</v>
      </c>
    </row>
    <row r="1013">
      <c r="A1013" s="4" t="s">
        <v>2806</v>
      </c>
      <c r="B1013" s="7">
        <f>IFERROR(__xludf.DUMMYFUNCTION("GOOGLEFINANCE(A1013, ""price"")"),324.0)</f>
        <v>324</v>
      </c>
      <c r="C1013" s="7">
        <f>IFERROR(__xludf.DUMMYFUNCTION("GOOGLEFINANCE(A1013, ""changepct"")"),-14.65)</f>
        <v>-14.65</v>
      </c>
      <c r="D1013" s="9">
        <f>IFERROR(__xludf.DUMMYFUNCTION("GOOGLEFINANCE(A1013, ""priceopen"")"),351.0)</f>
        <v>351</v>
      </c>
      <c r="E1013" s="9">
        <f>IFERROR(__xludf.DUMMYFUNCTION("GOOGLEFINANCE(A1013, ""high"")"),366.0)</f>
        <v>366</v>
      </c>
      <c r="F1013" s="9">
        <f>IFERROR(__xludf.DUMMYFUNCTION("GOOGLEFINANCE(A1013, ""low"")"),321.0)</f>
        <v>321</v>
      </c>
      <c r="G1013" s="9">
        <f>IFERROR(__xludf.DUMMYFUNCTION("GOOGLEFINANCE(A1013, ""price"")"),324.0)</f>
        <v>324</v>
      </c>
      <c r="H1013" s="9">
        <f>IFERROR(__xludf.DUMMYFUNCTION("MAX(INDEX(GOOGLEFINANCE(A1013, ""high"", TODAY()-30, TODAY()), 0, 2))"),485.0)</f>
        <v>485</v>
      </c>
      <c r="I1013" s="9">
        <f>IFERROR(__xludf.DUMMYFUNCTION("MIN(INDEX(GOOGLEFINANCE(A1013, ""low"", TODAY()-30, TODAY()), 0, 2))"),321.0)</f>
        <v>321</v>
      </c>
      <c r="J1013" s="9">
        <f>IFERROR(__xludf.DUMMYFUNCTION("GOOGLEFINANCE(A1013, ""high52"")"),661.95)</f>
        <v>661.95</v>
      </c>
      <c r="K1013" s="9">
        <f>IFERROR(__xludf.DUMMYFUNCTION("GOOGLEFINANCE(A1013, ""low52"")"),250.0)</f>
        <v>250</v>
      </c>
      <c r="L1013" s="9">
        <f t="shared" si="1"/>
        <v>0.5105370496</v>
      </c>
      <c r="M1013" s="9">
        <f t="shared" si="2"/>
        <v>0.296</v>
      </c>
      <c r="N1013" s="9">
        <f t="shared" si="3"/>
        <v>0.1401869159</v>
      </c>
      <c r="O1013" s="9">
        <f t="shared" si="4"/>
        <v>0.01829268293</v>
      </c>
      <c r="P1013" s="9">
        <f>IFERROR(__xludf.DUMMYFUNCTION("GOOGLEFINANCE(A1013, ""pe"")"),45.0)</f>
        <v>45</v>
      </c>
      <c r="Q1013" s="9">
        <f>IFERROR(__xludf.DUMMYFUNCTION("IFERROR(GOOGLEFINANCE(A1013, ""volume"") / GOOGLEFINANCE(A1013, ""volumeavg""), 0)"),0.0)</f>
        <v>0</v>
      </c>
      <c r="R1013" s="9">
        <f>IFERROR(__xludf.DUMMYFUNCTION("AVERAGE(INDEX(GOOGLEFINANCE(A1013, ""price"", TODAY()-30, TODAY()), 0, 2))"),420.9369565217391)</f>
        <v>420.9369565</v>
      </c>
      <c r="S1013" s="9">
        <f>IFERROR(__xludf.DUMMYFUNCTION("AVERAGE(INDEX(GOOGLEFINANCE(A1013, ""price"", TODAY()-75, TODAY()), 0, 2))"),398.0132075471699)</f>
        <v>398.0132075</v>
      </c>
      <c r="T1013" s="9">
        <f>IFERROR(__xludf.DUMMYFUNCTION("AVERAGE(INDEX(GOOGLEFINANCE(A1013, ""price"", TODAY()-300, TODAY()), 0, 2))"),394.87772277227725)</f>
        <v>394.8777228</v>
      </c>
      <c r="U1013" s="9">
        <f t="shared" si="5"/>
        <v>-0.2302885385</v>
      </c>
      <c r="V1013" s="15">
        <f>IFERROR(__xludf.DUMMYFUNCTION("LET(hist, GOOGLEFINANCE(A1013,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rs))))))"),30.944986690328292)</f>
        <v>30.94498669</v>
      </c>
      <c r="W1013" s="16" t="str">
        <f>IFERROR(__xludf.DUMMYFUNCTION("IFERROR(GOOGLEFINANCE(A1013, ""volume"") / GOOGLEFINANCE(A1013, ""volumeavg""), )"),"")</f>
        <v/>
      </c>
      <c r="X1013" s="9">
        <f>IFERROR(__xludf.DUMMYFUNCTION("B1013 * GOOGLEFINANCE(A1013, ""volume"")"),7.36617564E8)</f>
        <v>736617564</v>
      </c>
      <c r="Y1013" s="9">
        <f>IFERROR(__xludf.DUMMYFUNCTION("IFERROR(((B1013 - GOOGLEFINANCE(A1013, ""priceopen"")) / GOOGLEFINANCE(A1013, ""priceopen"")) * GOOGLEFINANCE(A1013, ""volume""), 0)"),-174885.46153846156)</f>
        <v>-174885.4615</v>
      </c>
    </row>
    <row r="1014">
      <c r="A1014" s="4" t="s">
        <v>2807</v>
      </c>
      <c r="B1014" s="7">
        <f>IFERROR(__xludf.DUMMYFUNCTION("GOOGLEFINANCE(A1014, ""price"")"),75.25)</f>
        <v>75.25</v>
      </c>
      <c r="C1014" s="7">
        <f>IFERROR(__xludf.DUMMYFUNCTION("GOOGLEFINANCE(A1014, ""changepct"")"),-2.01)</f>
        <v>-2.01</v>
      </c>
      <c r="D1014" s="9">
        <f>IFERROR(__xludf.DUMMYFUNCTION("GOOGLEFINANCE(A1014, ""priceopen"")"),76.79)</f>
        <v>76.79</v>
      </c>
      <c r="E1014" s="9">
        <f>IFERROR(__xludf.DUMMYFUNCTION("GOOGLEFINANCE(A1014, ""high"")"),77.43)</f>
        <v>77.43</v>
      </c>
      <c r="F1014" s="9">
        <f>IFERROR(__xludf.DUMMYFUNCTION("GOOGLEFINANCE(A1014, ""low"")"),75.05)</f>
        <v>75.05</v>
      </c>
      <c r="G1014" s="9">
        <f>IFERROR(__xludf.DUMMYFUNCTION("GOOGLEFINANCE(A1014, ""price"")"),75.25)</f>
        <v>75.25</v>
      </c>
      <c r="H1014" s="9">
        <f>IFERROR(__xludf.DUMMYFUNCTION("MAX(INDEX(GOOGLEFINANCE(A1014, ""high"", TODAY()-30, TODAY()), 0, 2))"),80.5)</f>
        <v>80.5</v>
      </c>
      <c r="I1014" s="9">
        <f>IFERROR(__xludf.DUMMYFUNCTION("MIN(INDEX(GOOGLEFINANCE(A1014, ""low"", TODAY()-30, TODAY()), 0, 2))"),70.1)</f>
        <v>70.1</v>
      </c>
      <c r="J1014" s="9">
        <f>IFERROR(__xludf.DUMMYFUNCTION("GOOGLEFINANCE(A1014, ""high52"")"),87.2)</f>
        <v>87.2</v>
      </c>
      <c r="K1014" s="9">
        <f>IFERROR(__xludf.DUMMYFUNCTION("GOOGLEFINANCE(A1014, ""low52"")"),40.25)</f>
        <v>40.25</v>
      </c>
      <c r="L1014" s="9">
        <f t="shared" si="1"/>
        <v>0.1370412844</v>
      </c>
      <c r="M1014" s="9">
        <f t="shared" si="2"/>
        <v>0.8695652174</v>
      </c>
      <c r="N1014" s="9">
        <f t="shared" si="3"/>
        <v>0.03171219187</v>
      </c>
      <c r="O1014" s="9">
        <f t="shared" si="4"/>
        <v>0.4951923077</v>
      </c>
      <c r="P1014" s="9">
        <f>IFERROR(__xludf.DUMMYFUNCTION("GOOGLEFINANCE(A1014, ""pe"")"),24.35)</f>
        <v>24.35</v>
      </c>
      <c r="Q1014" s="9">
        <f>IFERROR(__xludf.DUMMYFUNCTION("IFERROR(GOOGLEFINANCE(A1014, ""volume"") / GOOGLEFINANCE(A1014, ""volumeavg""), 0)"),0.0)</f>
        <v>0</v>
      </c>
      <c r="R1014" s="9">
        <f>IFERROR(__xludf.DUMMYFUNCTION("AVERAGE(INDEX(GOOGLEFINANCE(A1014, ""price"", TODAY()-30, TODAY()), 0, 2))"),75.54652173913043)</f>
        <v>75.54652174</v>
      </c>
      <c r="S1014" s="9">
        <f>IFERROR(__xludf.DUMMYFUNCTION("AVERAGE(INDEX(GOOGLEFINANCE(A1014, ""price"", TODAY()-75, TODAY()), 0, 2))"),75.66660377358491)</f>
        <v>75.66660377</v>
      </c>
      <c r="T1014" s="9">
        <f>IFERROR(__xludf.DUMMYFUNCTION("AVERAGE(INDEX(GOOGLEFINANCE(A1014, ""price"", TODAY()-300, TODAY()), 0, 2))"),67.41482587064677)</f>
        <v>67.41482587</v>
      </c>
      <c r="U1014" s="9">
        <f t="shared" si="5"/>
        <v>-0.003925021726</v>
      </c>
      <c r="V1014" s="15">
        <f>IFERROR(__xludf.DUMMYFUNCTION("LET(hist, GOOGLEFINANCE(A1014,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rs))))))"),60.694006309148264)</f>
        <v>60.69400631</v>
      </c>
      <c r="W1014" s="16" t="str">
        <f>IFERROR(__xludf.DUMMYFUNCTION("IFERROR(GOOGLEFINANCE(A1014, ""volume"") / GOOGLEFINANCE(A1014, ""volumeavg""), )"),"")</f>
        <v/>
      </c>
      <c r="X1014" s="9">
        <f>IFERROR(__xludf.DUMMYFUNCTION("B1014 * GOOGLEFINANCE(A1014, ""volume"")"),7.67452175E7)</f>
        <v>76745217.5</v>
      </c>
      <c r="Y1014" s="9">
        <f>IFERROR(__xludf.DUMMYFUNCTION("IFERROR(((B1014 - GOOGLEFINANCE(A1014, ""priceopen"")) / GOOGLEFINANCE(A1014, ""priceopen"")) * GOOGLEFINANCE(A1014, ""volume""), 0)"),-20453.181403828705)</f>
        <v>-20453.1814</v>
      </c>
    </row>
    <row r="1015">
      <c r="A1015" s="4" t="s">
        <v>2808</v>
      </c>
      <c r="B1015" s="7">
        <f>IFERROR(__xludf.DUMMYFUNCTION("GOOGLEFINANCE(A1015, ""price"")"),330.0)</f>
        <v>330</v>
      </c>
      <c r="C1015" s="7">
        <f>IFERROR(__xludf.DUMMYFUNCTION("GOOGLEFINANCE(A1015, ""changepct"")"),-0.81)</f>
        <v>-0.81</v>
      </c>
      <c r="D1015" s="9">
        <f>IFERROR(__xludf.DUMMYFUNCTION("GOOGLEFINANCE(A1015, ""priceopen"")"),332.6)</f>
        <v>332.6</v>
      </c>
      <c r="E1015" s="9">
        <f>IFERROR(__xludf.DUMMYFUNCTION("GOOGLEFINANCE(A1015, ""high"")"),341.0)</f>
        <v>341</v>
      </c>
      <c r="F1015" s="9">
        <f>IFERROR(__xludf.DUMMYFUNCTION("GOOGLEFINANCE(A1015, ""low"")"),326.45)</f>
        <v>326.45</v>
      </c>
      <c r="G1015" s="9">
        <f>IFERROR(__xludf.DUMMYFUNCTION("GOOGLEFINANCE(A1015, ""price"")"),330.0)</f>
        <v>330</v>
      </c>
      <c r="H1015" s="9">
        <f>IFERROR(__xludf.DUMMYFUNCTION("MAX(INDEX(GOOGLEFINANCE(A1015, ""high"", TODAY()-30, TODAY()), 0, 2))"),351.7)</f>
        <v>351.7</v>
      </c>
      <c r="I1015" s="9">
        <f>IFERROR(__xludf.DUMMYFUNCTION("MIN(INDEX(GOOGLEFINANCE(A1015, ""low"", TODAY()-30, TODAY()), 0, 2))"),277.0)</f>
        <v>277</v>
      </c>
      <c r="J1015" s="9">
        <f>IFERROR(__xludf.DUMMYFUNCTION("GOOGLEFINANCE(A1015, ""high52"")"),351.7)</f>
        <v>351.7</v>
      </c>
      <c r="K1015" s="9">
        <f>IFERROR(__xludf.DUMMYFUNCTION("GOOGLEFINANCE(A1015, ""low52"")"),206.4)</f>
        <v>206.4</v>
      </c>
      <c r="L1015" s="9">
        <f t="shared" si="1"/>
        <v>0.06170031277</v>
      </c>
      <c r="M1015" s="9">
        <f t="shared" si="2"/>
        <v>0.5988372093</v>
      </c>
      <c r="N1015" s="9">
        <f t="shared" si="3"/>
        <v>0.04457037831</v>
      </c>
      <c r="O1015" s="9">
        <f t="shared" si="4"/>
        <v>0.7095046854</v>
      </c>
      <c r="P1015" s="9">
        <f>IFERROR(__xludf.DUMMYFUNCTION("GOOGLEFINANCE(A1015, ""pe"")"),22.25)</f>
        <v>22.25</v>
      </c>
      <c r="Q1015" s="9">
        <f>IFERROR(__xludf.DUMMYFUNCTION("IFERROR(GOOGLEFINANCE(A1015, ""volume"") / GOOGLEFINANCE(A1015, ""volumeavg""), 0)"),0.0)</f>
        <v>0</v>
      </c>
      <c r="R1015" s="9">
        <f>IFERROR(__xludf.DUMMYFUNCTION("AVERAGE(INDEX(GOOGLEFINANCE(A1015, ""price"", TODAY()-30, TODAY()), 0, 2))"),309.2413043478262)</f>
        <v>309.2413043</v>
      </c>
      <c r="S1015" s="9">
        <f>IFERROR(__xludf.DUMMYFUNCTION("AVERAGE(INDEX(GOOGLEFINANCE(A1015, ""price"", TODAY()-75, TODAY()), 0, 2))"),290.4792452830189)</f>
        <v>290.4792453</v>
      </c>
      <c r="T1015" s="9">
        <f>IFERROR(__xludf.DUMMYFUNCTION("AVERAGE(INDEX(GOOGLEFINANCE(A1015, ""price"", TODAY()-300, TODAY()), 0, 2))"),273.8272772277227)</f>
        <v>273.8272772</v>
      </c>
      <c r="U1015" s="9">
        <f t="shared" si="5"/>
        <v>0.06712782335</v>
      </c>
      <c r="V1015" s="15">
        <f>IFERROR(__xludf.DUMMYFUNCTION("LET(hist, GOOGLEFINANCE(A1015,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rs))))))"),73.13019390581721)</f>
        <v>73.13019391</v>
      </c>
      <c r="W1015" s="16" t="str">
        <f>IFERROR(__xludf.DUMMYFUNCTION("IFERROR(GOOGLEFINANCE(A1015, ""volume"") / GOOGLEFINANCE(A1015, ""volumeavg""), )"),"")</f>
        <v/>
      </c>
      <c r="X1015" s="9">
        <f>IFERROR(__xludf.DUMMYFUNCTION("B1015 * GOOGLEFINANCE(A1015, ""volume"")"),4.073091E7)</f>
        <v>40730910</v>
      </c>
      <c r="Y1015" s="9">
        <f>IFERROR(__xludf.DUMMYFUNCTION("IFERROR(((B1015 - GOOGLEFINANCE(A1015, ""priceopen"")) / GOOGLEFINANCE(A1015, ""priceopen"")) * GOOGLEFINANCE(A1015, ""volume""), 0)"),-964.85327720987)</f>
        <v>-964.8532772</v>
      </c>
    </row>
    <row r="1016">
      <c r="A1016" s="4" t="s">
        <v>2809</v>
      </c>
      <c r="B1016" s="7">
        <f>IFERROR(__xludf.DUMMYFUNCTION("GOOGLEFINANCE(A1016, ""price"")"),174.85)</f>
        <v>174.85</v>
      </c>
      <c r="C1016" s="7">
        <f>IFERROR(__xludf.DUMMYFUNCTION("GOOGLEFINANCE(A1016, ""changepct"")"),1.13)</f>
        <v>1.13</v>
      </c>
      <c r="D1016" s="9">
        <f>IFERROR(__xludf.DUMMYFUNCTION("GOOGLEFINANCE(A1016, ""priceopen"")"),173.85)</f>
        <v>173.85</v>
      </c>
      <c r="E1016" s="9">
        <f>IFERROR(__xludf.DUMMYFUNCTION("GOOGLEFINANCE(A1016, ""high"")"),174.9)</f>
        <v>174.9</v>
      </c>
      <c r="F1016" s="9">
        <f>IFERROR(__xludf.DUMMYFUNCTION("GOOGLEFINANCE(A1016, ""low"")"),171.0)</f>
        <v>171</v>
      </c>
      <c r="G1016" s="9">
        <f>IFERROR(__xludf.DUMMYFUNCTION("GOOGLEFINANCE(A1016, ""price"")"),174.85)</f>
        <v>174.85</v>
      </c>
      <c r="H1016" s="9">
        <f>IFERROR(__xludf.DUMMYFUNCTION("MAX(INDEX(GOOGLEFINANCE(A1016, ""high"", TODAY()-30, TODAY()), 0, 2))"),181.64)</f>
        <v>181.64</v>
      </c>
      <c r="I1016" s="9">
        <f>IFERROR(__xludf.DUMMYFUNCTION("MIN(INDEX(GOOGLEFINANCE(A1016, ""low"", TODAY()-30, TODAY()), 0, 2))"),171.0)</f>
        <v>171</v>
      </c>
      <c r="J1016" s="9">
        <f>IFERROR(__xludf.DUMMYFUNCTION("GOOGLEFINANCE(A1016, ""high52"")"),238.2)</f>
        <v>238.2</v>
      </c>
      <c r="K1016" s="9">
        <f>IFERROR(__xludf.DUMMYFUNCTION("GOOGLEFINANCE(A1016, ""low52"")"),148.36)</f>
        <v>148.36</v>
      </c>
      <c r="L1016" s="9">
        <f t="shared" si="1"/>
        <v>0.2659529807</v>
      </c>
      <c r="M1016" s="9">
        <f t="shared" si="2"/>
        <v>0.1785521704</v>
      </c>
      <c r="N1016" s="9">
        <f t="shared" si="3"/>
        <v>0.02280701754</v>
      </c>
      <c r="O1016" s="9">
        <f t="shared" si="4"/>
        <v>0.3618421053</v>
      </c>
      <c r="P1016" s="9">
        <f>IFERROR(__xludf.DUMMYFUNCTION("GOOGLEFINANCE(A1016, ""pe"")"),10.71)</f>
        <v>10.71</v>
      </c>
      <c r="Q1016" s="9">
        <f>IFERROR(__xludf.DUMMYFUNCTION("IFERROR(GOOGLEFINANCE(A1016, ""volume"") / GOOGLEFINANCE(A1016, ""volumeavg""), 0)"),0.0)</f>
        <v>0</v>
      </c>
      <c r="R1016" s="9">
        <f>IFERROR(__xludf.DUMMYFUNCTION("AVERAGE(INDEX(GOOGLEFINANCE(A1016, ""price"", TODAY()-30, TODAY()), 0, 2))"),176.29695652173908)</f>
        <v>176.2969565</v>
      </c>
      <c r="S1016" s="9">
        <f>IFERROR(__xludf.DUMMYFUNCTION("AVERAGE(INDEX(GOOGLEFINANCE(A1016, ""price"", TODAY()-75, TODAY()), 0, 2))"),178.12792452830186)</f>
        <v>178.1279245</v>
      </c>
      <c r="T1016" s="9">
        <f>IFERROR(__xludf.DUMMYFUNCTION("AVERAGE(INDEX(GOOGLEFINANCE(A1016, ""price"", TODAY()-300, TODAY()), 0, 2))"),180.0370297029704)</f>
        <v>180.0370297</v>
      </c>
      <c r="U1016" s="9">
        <f t="shared" si="5"/>
        <v>-0.008207495752</v>
      </c>
      <c r="V1016" s="15">
        <f>IFERROR(__xludf.DUMMYFUNCTION("LET(hist, GOOGLEFINANCE(A1016,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rs))))))"),47.25366876310274)</f>
        <v>47.25366876</v>
      </c>
      <c r="W1016" s="16" t="str">
        <f>IFERROR(__xludf.DUMMYFUNCTION("IFERROR(GOOGLEFINANCE(A1016, ""volume"") / GOOGLEFINANCE(A1016, ""volumeavg""), )"),"")</f>
        <v/>
      </c>
      <c r="X1016" s="9">
        <f>IFERROR(__xludf.DUMMYFUNCTION("B1016 * GOOGLEFINANCE(A1016, ""volume"")"),3.053353095E7)</f>
        <v>30533530.95</v>
      </c>
      <c r="Y1016" s="9">
        <f>IFERROR(__xludf.DUMMYFUNCTION("IFERROR(((B1016 - GOOGLEFINANCE(A1016, ""priceopen"")) / GOOGLEFINANCE(A1016, ""priceopen"")) * GOOGLEFINANCE(A1016, ""volume""), 0)"),1004.4693701466782)</f>
        <v>1004.46937</v>
      </c>
    </row>
    <row r="1017">
      <c r="A1017" s="4" t="s">
        <v>2810</v>
      </c>
      <c r="B1017" s="7">
        <f>IFERROR(__xludf.DUMMYFUNCTION("GOOGLEFINANCE(A1017, ""price"")"),1225.0)</f>
        <v>1225</v>
      </c>
      <c r="C1017" s="7">
        <f>IFERROR(__xludf.DUMMYFUNCTION("GOOGLEFINANCE(A1017, ""changepct"")"),13.81)</f>
        <v>13.81</v>
      </c>
      <c r="D1017" s="9">
        <f>IFERROR(__xludf.DUMMYFUNCTION("GOOGLEFINANCE(A1017, ""priceopen"")"),1188.8)</f>
        <v>1188.8</v>
      </c>
      <c r="E1017" s="9">
        <f>IFERROR(__xludf.DUMMYFUNCTION("GOOGLEFINANCE(A1017, ""high"")"),1288.0)</f>
        <v>1288</v>
      </c>
      <c r="F1017" s="9">
        <f>IFERROR(__xludf.DUMMYFUNCTION("GOOGLEFINANCE(A1017, ""low"")"),1176.95)</f>
        <v>1176.95</v>
      </c>
      <c r="G1017" s="9">
        <f>IFERROR(__xludf.DUMMYFUNCTION("GOOGLEFINANCE(A1017, ""price"")"),1225.0)</f>
        <v>1225</v>
      </c>
      <c r="H1017" s="9">
        <f>IFERROR(__xludf.DUMMYFUNCTION("MAX(INDEX(GOOGLEFINANCE(A1017, ""high"", TODAY()-30, TODAY()), 0, 2))"),1288.0)</f>
        <v>1288</v>
      </c>
      <c r="I1017" s="9">
        <f>IFERROR(__xludf.DUMMYFUNCTION("MIN(INDEX(GOOGLEFINANCE(A1017, ""low"", TODAY()-30, TODAY()), 0, 2))"),890.0)</f>
        <v>890</v>
      </c>
      <c r="J1017" s="9">
        <f>IFERROR(__xludf.DUMMYFUNCTION("GOOGLEFINANCE(A1017, ""high52"")"),1288.0)</f>
        <v>1288</v>
      </c>
      <c r="K1017" s="9">
        <f>IFERROR(__xludf.DUMMYFUNCTION("GOOGLEFINANCE(A1017, ""low52"")"),573.7)</f>
        <v>573.7</v>
      </c>
      <c r="L1017" s="9">
        <f t="shared" si="1"/>
        <v>0.04891304348</v>
      </c>
      <c r="M1017" s="9">
        <f t="shared" si="2"/>
        <v>1.135262332</v>
      </c>
      <c r="N1017" s="9">
        <f t="shared" si="3"/>
        <v>0.09435405072</v>
      </c>
      <c r="O1017" s="9">
        <f t="shared" si="4"/>
        <v>0.8417085427</v>
      </c>
      <c r="P1017" s="9">
        <f>IFERROR(__xludf.DUMMYFUNCTION("GOOGLEFINANCE(A1017, ""pe"")"),79.86)</f>
        <v>79.86</v>
      </c>
      <c r="Q1017" s="9">
        <f>IFERROR(__xludf.DUMMYFUNCTION("IFERROR(GOOGLEFINANCE(A1017, ""volume"") / GOOGLEFINANCE(A1017, ""volumeavg""), 0)"),0.0)</f>
        <v>0</v>
      </c>
      <c r="R1017" s="9">
        <f>IFERROR(__xludf.DUMMYFUNCTION("AVERAGE(INDEX(GOOGLEFINANCE(A1017, ""price"", TODAY()-30, TODAY()), 0, 2))"),979.8543478260872)</f>
        <v>979.8543478</v>
      </c>
      <c r="S1017" s="9">
        <f>IFERROR(__xludf.DUMMYFUNCTION("AVERAGE(INDEX(GOOGLEFINANCE(A1017, ""price"", TODAY()-75, TODAY()), 0, 2))"),918.3537735849053)</f>
        <v>918.3537736</v>
      </c>
      <c r="T1017" s="9">
        <f>IFERROR(__xludf.DUMMYFUNCTION("AVERAGE(INDEX(GOOGLEFINANCE(A1017, ""price"", TODAY()-300, TODAY()), 0, 2))"),725.5356435643567)</f>
        <v>725.5356436</v>
      </c>
      <c r="U1017" s="9">
        <f t="shared" si="5"/>
        <v>0.2501858084</v>
      </c>
      <c r="V1017" s="15">
        <f>IFERROR(__xludf.DUMMYFUNCTION("LET(hist, GOOGLEFINANCE(A1017,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rs))))))"),90.03999999999999)</f>
        <v>90.04</v>
      </c>
      <c r="W1017" s="16" t="str">
        <f>IFERROR(__xludf.DUMMYFUNCTION("IFERROR(GOOGLEFINANCE(A1017, ""volume"") / GOOGLEFINANCE(A1017, ""volumeavg""), )"),"")</f>
        <v/>
      </c>
      <c r="X1017" s="9">
        <f>IFERROR(__xludf.DUMMYFUNCTION("B1017 * GOOGLEFINANCE(A1017, ""volume"")"),3.32860185E9)</f>
        <v>3328601850</v>
      </c>
      <c r="Y1017" s="9">
        <f>IFERROR(__xludf.DUMMYFUNCTION("IFERROR(((B1017 - GOOGLEFINANCE(A1017, ""priceopen"")) / GOOGLEFINANCE(A1017, ""priceopen"")) * GOOGLEFINANCE(A1017, ""volume""), 0)"),82741.90881561249)</f>
        <v>82741.90882</v>
      </c>
    </row>
    <row r="1018">
      <c r="A1018" s="4" t="s">
        <v>2811</v>
      </c>
      <c r="B1018" s="7">
        <f>IFERROR(__xludf.DUMMYFUNCTION("GOOGLEFINANCE(A1018, ""price"")"),190.74)</f>
        <v>190.74</v>
      </c>
      <c r="C1018" s="7">
        <f>IFERROR(__xludf.DUMMYFUNCTION("GOOGLEFINANCE(A1018, ""changepct"")"),-1.39)</f>
        <v>-1.39</v>
      </c>
      <c r="D1018" s="9">
        <f>IFERROR(__xludf.DUMMYFUNCTION("GOOGLEFINANCE(A1018, ""priceopen"")"),193.43)</f>
        <v>193.43</v>
      </c>
      <c r="E1018" s="9">
        <f>IFERROR(__xludf.DUMMYFUNCTION("GOOGLEFINANCE(A1018, ""high"")"),193.9)</f>
        <v>193.9</v>
      </c>
      <c r="F1018" s="9">
        <f>IFERROR(__xludf.DUMMYFUNCTION("GOOGLEFINANCE(A1018, ""low"")"),186.5)</f>
        <v>186.5</v>
      </c>
      <c r="G1018" s="9">
        <f>IFERROR(__xludf.DUMMYFUNCTION("GOOGLEFINANCE(A1018, ""price"")"),190.74)</f>
        <v>190.74</v>
      </c>
      <c r="H1018" s="9">
        <f>IFERROR(__xludf.DUMMYFUNCTION("MAX(INDEX(GOOGLEFINANCE(A1018, ""high"", TODAY()-30, TODAY()), 0, 2))"),202.85)</f>
        <v>202.85</v>
      </c>
      <c r="I1018" s="9">
        <f>IFERROR(__xludf.DUMMYFUNCTION("MIN(INDEX(GOOGLEFINANCE(A1018, ""low"", TODAY()-30, TODAY()), 0, 2))"),176.1)</f>
        <v>176.1</v>
      </c>
      <c r="J1018" s="9">
        <f>IFERROR(__xludf.DUMMYFUNCTION("GOOGLEFINANCE(A1018, ""high52"")"),321.95)</f>
        <v>321.95</v>
      </c>
      <c r="K1018" s="9">
        <f>IFERROR(__xludf.DUMMYFUNCTION("GOOGLEFINANCE(A1018, ""low52"")"),128.5)</f>
        <v>128.5</v>
      </c>
      <c r="L1018" s="9">
        <f t="shared" si="1"/>
        <v>0.4075477559</v>
      </c>
      <c r="M1018" s="9">
        <f t="shared" si="2"/>
        <v>0.4843579767</v>
      </c>
      <c r="N1018" s="9">
        <f t="shared" si="3"/>
        <v>0.03967828418</v>
      </c>
      <c r="O1018" s="9">
        <f t="shared" si="4"/>
        <v>0.5472897196</v>
      </c>
      <c r="P1018" s="9">
        <f>IFERROR(__xludf.DUMMYFUNCTION("GOOGLEFINANCE(A1018, ""pe"")"),30.67)</f>
        <v>30.67</v>
      </c>
      <c r="Q1018" s="9">
        <f>IFERROR(__xludf.DUMMYFUNCTION("IFERROR(GOOGLEFINANCE(A1018, ""volume"") / GOOGLEFINANCE(A1018, ""volumeavg""), 0)"),0.0)</f>
        <v>0</v>
      </c>
      <c r="R1018" s="9">
        <f>IFERROR(__xludf.DUMMYFUNCTION("AVERAGE(INDEX(GOOGLEFINANCE(A1018, ""price"", TODAY()-30, TODAY()), 0, 2))"),189.61913043478265)</f>
        <v>189.6191304</v>
      </c>
      <c r="S1018" s="9">
        <f>IFERROR(__xludf.DUMMYFUNCTION("AVERAGE(INDEX(GOOGLEFINANCE(A1018, ""price"", TODAY()-75, TODAY()), 0, 2))"),186.33132075471698)</f>
        <v>186.3313208</v>
      </c>
      <c r="T1018" s="9">
        <f>IFERROR(__xludf.DUMMYFUNCTION("AVERAGE(INDEX(GOOGLEFINANCE(A1018, ""price"", TODAY()-300, TODAY()), 0, 2))"),205.78975247524758)</f>
        <v>205.7897525</v>
      </c>
      <c r="U1018" s="9">
        <f t="shared" si="5"/>
        <v>0.00591116288</v>
      </c>
      <c r="V1018" s="15">
        <f>IFERROR(__xludf.DUMMYFUNCTION("LET(hist, GOOGLEFINANCE(A1018,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rs))))))"),63.47589952477935)</f>
        <v>63.47589952</v>
      </c>
      <c r="W1018" s="16" t="str">
        <f>IFERROR(__xludf.DUMMYFUNCTION("IFERROR(GOOGLEFINANCE(A1018, ""volume"") / GOOGLEFINANCE(A1018, ""volumeavg""), )"),"")</f>
        <v/>
      </c>
      <c r="X1018" s="9">
        <f>IFERROR(__xludf.DUMMYFUNCTION("B1018 * GOOGLEFINANCE(A1018, ""volume"")"),4.444737924E7)</f>
        <v>44447379.24</v>
      </c>
      <c r="Y1018" s="9">
        <f>IFERROR(__xludf.DUMMYFUNCTION("IFERROR(((B1018 - GOOGLEFINANCE(A1018, ""priceopen"")) / GOOGLEFINANCE(A1018, ""priceopen"")) * GOOGLEFINANCE(A1018, ""volume""), 0)"),-3240.655224112079)</f>
        <v>-3240.655224</v>
      </c>
    </row>
    <row r="1019">
      <c r="A1019" s="4" t="s">
        <v>2812</v>
      </c>
      <c r="B1019" s="7">
        <f>IFERROR(__xludf.DUMMYFUNCTION("GOOGLEFINANCE(A1019, ""price"")"),306.45)</f>
        <v>306.45</v>
      </c>
      <c r="C1019" s="7">
        <f>IFERROR(__xludf.DUMMYFUNCTION("GOOGLEFINANCE(A1019, ""changepct"")"),1.27)</f>
        <v>1.27</v>
      </c>
      <c r="D1019" s="9">
        <f>IFERROR(__xludf.DUMMYFUNCTION("GOOGLEFINANCE(A1019, ""priceopen"")"),302.2)</f>
        <v>302.2</v>
      </c>
      <c r="E1019" s="9">
        <f>IFERROR(__xludf.DUMMYFUNCTION("GOOGLEFINANCE(A1019, ""high"")"),314.6)</f>
        <v>314.6</v>
      </c>
      <c r="F1019" s="9">
        <f>IFERROR(__xludf.DUMMYFUNCTION("GOOGLEFINANCE(A1019, ""low"")"),295.15)</f>
        <v>295.15</v>
      </c>
      <c r="G1019" s="9">
        <f>IFERROR(__xludf.DUMMYFUNCTION("GOOGLEFINANCE(A1019, ""price"")"),306.45)</f>
        <v>306.45</v>
      </c>
      <c r="H1019" s="9">
        <f>IFERROR(__xludf.DUMMYFUNCTION("MAX(INDEX(GOOGLEFINANCE(A1019, ""high"", TODAY()-30, TODAY()), 0, 2))"),320.0)</f>
        <v>320</v>
      </c>
      <c r="I1019" s="9">
        <f>IFERROR(__xludf.DUMMYFUNCTION("MIN(INDEX(GOOGLEFINANCE(A1019, ""low"", TODAY()-30, TODAY()), 0, 2))"),265.6)</f>
        <v>265.6</v>
      </c>
      <c r="J1019" s="9">
        <f>IFERROR(__xludf.DUMMYFUNCTION("GOOGLEFINANCE(A1019, ""high52"")"),345.45)</f>
        <v>345.45</v>
      </c>
      <c r="K1019" s="9">
        <f>IFERROR(__xludf.DUMMYFUNCTION("GOOGLEFINANCE(A1019, ""low52"")"),200.65)</f>
        <v>200.65</v>
      </c>
      <c r="L1019" s="9">
        <f t="shared" si="1"/>
        <v>0.1128962223</v>
      </c>
      <c r="M1019" s="9">
        <f t="shared" si="2"/>
        <v>0.5272863195</v>
      </c>
      <c r="N1019" s="9">
        <f t="shared" si="3"/>
        <v>0.06589869558</v>
      </c>
      <c r="O1019" s="9">
        <f t="shared" si="4"/>
        <v>0.7509191176</v>
      </c>
      <c r="P1019" s="9">
        <f>IFERROR(__xludf.DUMMYFUNCTION("GOOGLEFINANCE(A1019, ""pe"")"),537.63)</f>
        <v>537.63</v>
      </c>
      <c r="Q1019" s="9">
        <f>IFERROR(__xludf.DUMMYFUNCTION("IFERROR(GOOGLEFINANCE(A1019, ""volume"") / GOOGLEFINANCE(A1019, ""volumeavg""), 0)"),0.0)</f>
        <v>0</v>
      </c>
      <c r="R1019" s="9">
        <f>IFERROR(__xludf.DUMMYFUNCTION("AVERAGE(INDEX(GOOGLEFINANCE(A1019, ""price"", TODAY()-30, TODAY()), 0, 2))"),293.61304347826086)</f>
        <v>293.6130435</v>
      </c>
      <c r="S1019" s="9">
        <f>IFERROR(__xludf.DUMMYFUNCTION("AVERAGE(INDEX(GOOGLEFINANCE(A1019, ""price"", TODAY()-75, TODAY()), 0, 2))"),301.82641509433955)</f>
        <v>301.8264151</v>
      </c>
      <c r="T1019" s="9">
        <f>IFERROR(__xludf.DUMMYFUNCTION("AVERAGE(INDEX(GOOGLEFINANCE(A1019, ""price"", TODAY()-300, TODAY()), 0, 2))"),277.2157920792079)</f>
        <v>277.2157921</v>
      </c>
      <c r="U1019" s="9">
        <f t="shared" si="5"/>
        <v>0.04372066162</v>
      </c>
      <c r="V1019" s="15">
        <f>IFERROR(__xludf.DUMMYFUNCTION("LET(hist, GOOGLEFINANCE(A1019,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rs))))))"),59.62211336599023)</f>
        <v>59.62211337</v>
      </c>
      <c r="W1019" s="16" t="str">
        <f>IFERROR(__xludf.DUMMYFUNCTION("IFERROR(GOOGLEFINANCE(A1019, ""volume"") / GOOGLEFINANCE(A1019, ""volumeavg""), )"),"")</f>
        <v/>
      </c>
      <c r="X1019" s="9">
        <f>IFERROR(__xludf.DUMMYFUNCTION("B1019 * GOOGLEFINANCE(A1019, ""volume"")"),6.244684875E7)</f>
        <v>62446848.75</v>
      </c>
      <c r="Y1019" s="9">
        <f>IFERROR(__xludf.DUMMYFUNCTION("IFERROR(((B1019 - GOOGLEFINANCE(A1019, ""priceopen"")) / GOOGLEFINANCE(A1019, ""priceopen"")) * GOOGLEFINANCE(A1019, ""volume""), 0)"),2865.7966578424885)</f>
        <v>2865.796658</v>
      </c>
    </row>
    <row r="1020">
      <c r="A1020" s="4" t="s">
        <v>2813</v>
      </c>
      <c r="B1020" s="7">
        <f>IFERROR(__xludf.DUMMYFUNCTION("GOOGLEFINANCE(A1020, ""price"")"),268.1)</f>
        <v>268.1</v>
      </c>
      <c r="C1020" s="7">
        <f>IFERROR(__xludf.DUMMYFUNCTION("GOOGLEFINANCE(A1020, ""changepct"")"),-1.09)</f>
        <v>-1.09</v>
      </c>
      <c r="D1020" s="9">
        <f>IFERROR(__xludf.DUMMYFUNCTION("GOOGLEFINANCE(A1020, ""priceopen"")"),270.9)</f>
        <v>270.9</v>
      </c>
      <c r="E1020" s="9">
        <f>IFERROR(__xludf.DUMMYFUNCTION("GOOGLEFINANCE(A1020, ""high"")"),271.05)</f>
        <v>271.05</v>
      </c>
      <c r="F1020" s="9">
        <f>IFERROR(__xludf.DUMMYFUNCTION("GOOGLEFINANCE(A1020, ""low"")"),266.1)</f>
        <v>266.1</v>
      </c>
      <c r="G1020" s="9">
        <f>IFERROR(__xludf.DUMMYFUNCTION("GOOGLEFINANCE(A1020, ""price"")"),268.1)</f>
        <v>268.1</v>
      </c>
      <c r="H1020" s="9">
        <f>IFERROR(__xludf.DUMMYFUNCTION("MAX(INDEX(GOOGLEFINANCE(A1020, ""high"", TODAY()-30, TODAY()), 0, 2))"),285.2)</f>
        <v>285.2</v>
      </c>
      <c r="I1020" s="9">
        <f>IFERROR(__xludf.DUMMYFUNCTION("MIN(INDEX(GOOGLEFINANCE(A1020, ""low"", TODAY()-30, TODAY()), 0, 2))"),251.5)</f>
        <v>251.5</v>
      </c>
      <c r="J1020" s="9">
        <f>IFERROR(__xludf.DUMMYFUNCTION("GOOGLEFINANCE(A1020, ""high52"")"),358.0)</f>
        <v>358</v>
      </c>
      <c r="K1020" s="9">
        <f>IFERROR(__xludf.DUMMYFUNCTION("GOOGLEFINANCE(A1020, ""low52"")"),205.0)</f>
        <v>205</v>
      </c>
      <c r="L1020" s="9">
        <f t="shared" si="1"/>
        <v>0.2511173184</v>
      </c>
      <c r="M1020" s="9">
        <f t="shared" si="2"/>
        <v>0.307804878</v>
      </c>
      <c r="N1020" s="9">
        <f t="shared" si="3"/>
        <v>0.01860202931</v>
      </c>
      <c r="O1020" s="9">
        <f t="shared" si="4"/>
        <v>0.4925816024</v>
      </c>
      <c r="P1020" s="9">
        <f>IFERROR(__xludf.DUMMYFUNCTION("GOOGLEFINANCE(A1020, ""pe"")"),29.05)</f>
        <v>29.05</v>
      </c>
      <c r="Q1020" s="9">
        <f>IFERROR(__xludf.DUMMYFUNCTION("IFERROR(GOOGLEFINANCE(A1020, ""volume"") / GOOGLEFINANCE(A1020, ""volumeavg""), 0)"),0.0)</f>
        <v>0</v>
      </c>
      <c r="R1020" s="9">
        <f>IFERROR(__xludf.DUMMYFUNCTION("AVERAGE(INDEX(GOOGLEFINANCE(A1020, ""price"", TODAY()-30, TODAY()), 0, 2))"),267.2804347826087)</f>
        <v>267.2804348</v>
      </c>
      <c r="S1020" s="9">
        <f>IFERROR(__xludf.DUMMYFUNCTION("AVERAGE(INDEX(GOOGLEFINANCE(A1020, ""price"", TODAY()-75, TODAY()), 0, 2))"),272.2396226415094)</f>
        <v>272.2396226</v>
      </c>
      <c r="T1020" s="9">
        <f>IFERROR(__xludf.DUMMYFUNCTION("AVERAGE(INDEX(GOOGLEFINANCE(A1020, ""price"", TODAY()-300, TODAY()), 0, 2))"),265.12123762376245)</f>
        <v>265.1212376</v>
      </c>
      <c r="U1020" s="9">
        <f t="shared" si="5"/>
        <v>0.003066312048</v>
      </c>
      <c r="V1020" s="15">
        <f>IFERROR(__xludf.DUMMYFUNCTION("LET(hist, GOOGLEFINANCE(A1020,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rs))))))"),63.62637362637365)</f>
        <v>63.62637363</v>
      </c>
      <c r="W1020" s="16" t="str">
        <f>IFERROR(__xludf.DUMMYFUNCTION("IFERROR(GOOGLEFINANCE(A1020, ""volume"") / GOOGLEFINANCE(A1020, ""volumeavg""), )"),"")</f>
        <v/>
      </c>
      <c r="X1020" s="9">
        <f>IFERROR(__xludf.DUMMYFUNCTION("B1020 * GOOGLEFINANCE(A1020, ""volume"")"),3.3512231900000002E7)</f>
        <v>33512231.9</v>
      </c>
      <c r="Y1020" s="9">
        <f>IFERROR(__xludf.DUMMYFUNCTION("IFERROR(((B1020 - GOOGLEFINANCE(A1020, ""priceopen"")) / GOOGLEFINANCE(A1020, ""priceopen"")) * GOOGLEFINANCE(A1020, ""volume""), 0)"),-1291.9793281653538)</f>
        <v>-1291.979328</v>
      </c>
    </row>
    <row r="1021">
      <c r="A1021" s="4" t="s">
        <v>2814</v>
      </c>
      <c r="B1021" s="7">
        <f>IFERROR(__xludf.DUMMYFUNCTION("GOOGLEFINANCE(A1021, ""price"")"),135.0)</f>
        <v>135</v>
      </c>
      <c r="C1021" s="7">
        <f>IFERROR(__xludf.DUMMYFUNCTION("GOOGLEFINANCE(A1021, ""changepct"")"),0.75)</f>
        <v>0.75</v>
      </c>
      <c r="D1021" s="9">
        <f>IFERROR(__xludf.DUMMYFUNCTION("GOOGLEFINANCE(A1021, ""priceopen"")"),133.99)</f>
        <v>133.99</v>
      </c>
      <c r="E1021" s="9">
        <f>IFERROR(__xludf.DUMMYFUNCTION("GOOGLEFINANCE(A1021, ""high"")"),135.68)</f>
        <v>135.68</v>
      </c>
      <c r="F1021" s="9">
        <f>IFERROR(__xludf.DUMMYFUNCTION("GOOGLEFINANCE(A1021, ""low"")"),132.01)</f>
        <v>132.01</v>
      </c>
      <c r="G1021" s="9">
        <f>IFERROR(__xludf.DUMMYFUNCTION("GOOGLEFINANCE(A1021, ""price"")"),135.0)</f>
        <v>135</v>
      </c>
      <c r="H1021" s="9">
        <f>IFERROR(__xludf.DUMMYFUNCTION("MAX(INDEX(GOOGLEFINANCE(A1021, ""high"", TODAY()-30, TODAY()), 0, 2))"),154.3)</f>
        <v>154.3</v>
      </c>
      <c r="I1021" s="9">
        <f>IFERROR(__xludf.DUMMYFUNCTION("MIN(INDEX(GOOGLEFINANCE(A1021, ""low"", TODAY()-30, TODAY()), 0, 2))"),132.01)</f>
        <v>132.01</v>
      </c>
      <c r="J1021" s="9">
        <f>IFERROR(__xludf.DUMMYFUNCTION("GOOGLEFINANCE(A1021, ""high52"")"),232.7)</f>
        <v>232.7</v>
      </c>
      <c r="K1021" s="9">
        <f>IFERROR(__xludf.DUMMYFUNCTION("GOOGLEFINANCE(A1021, ""low52"")"),132.01)</f>
        <v>132.01</v>
      </c>
      <c r="L1021" s="9">
        <f t="shared" si="1"/>
        <v>0.4198538891</v>
      </c>
      <c r="M1021" s="9">
        <f t="shared" si="2"/>
        <v>0.02264979926</v>
      </c>
      <c r="N1021" s="9">
        <f t="shared" si="3"/>
        <v>0.02780092417</v>
      </c>
      <c r="O1021" s="9">
        <f t="shared" si="4"/>
        <v>0.1341408703</v>
      </c>
      <c r="P1021" s="9">
        <f>IFERROR(__xludf.DUMMYFUNCTION("GOOGLEFINANCE(A1021, ""pe"")"),450.0)</f>
        <v>450</v>
      </c>
      <c r="Q1021" s="9">
        <f>IFERROR(__xludf.DUMMYFUNCTION("IFERROR(GOOGLEFINANCE(A1021, ""volume"") / GOOGLEFINANCE(A1021, ""volumeavg""), 0)"),0.0)</f>
        <v>0</v>
      </c>
      <c r="R1021" s="9">
        <f>IFERROR(__xludf.DUMMYFUNCTION("AVERAGE(INDEX(GOOGLEFINANCE(A1021, ""price"", TODAY()-30, TODAY()), 0, 2))"),145.93478260869566)</f>
        <v>145.9347826</v>
      </c>
      <c r="S1021" s="9">
        <f>IFERROR(__xludf.DUMMYFUNCTION("AVERAGE(INDEX(GOOGLEFINANCE(A1021, ""price"", TODAY()-75, TODAY()), 0, 2))"),152.51264150943396)</f>
        <v>152.5126415</v>
      </c>
      <c r="T1021" s="9">
        <f>IFERROR(__xludf.DUMMYFUNCTION("AVERAGE(INDEX(GOOGLEFINANCE(A1021, ""price"", TODAY()-300, TODAY()), 0, 2))"),173.4286633663366)</f>
        <v>173.4286634</v>
      </c>
      <c r="U1021" s="9">
        <f t="shared" si="5"/>
        <v>-0.07492924177</v>
      </c>
      <c r="V1021" s="15">
        <f>IFERROR(__xludf.DUMMYFUNCTION("LET(hist, GOOGLEFINANCE(A1021,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rs))))))"),27.87037037037034)</f>
        <v>27.87037037</v>
      </c>
      <c r="W1021" s="16" t="str">
        <f>IFERROR(__xludf.DUMMYFUNCTION("IFERROR(GOOGLEFINANCE(A1021, ""volume"") / GOOGLEFINANCE(A1021, ""volumeavg""), )"),"")</f>
        <v/>
      </c>
      <c r="X1021" s="9">
        <f>IFERROR(__xludf.DUMMYFUNCTION("B1021 * GOOGLEFINANCE(A1021, ""volume"")"),6.796629E7)</f>
        <v>67966290</v>
      </c>
      <c r="Y1021" s="9">
        <f>IFERROR(__xludf.DUMMYFUNCTION("IFERROR(((B1021 - GOOGLEFINANCE(A1021, ""priceopen"")) / GOOGLEFINANCE(A1021, ""priceopen"")) * GOOGLEFINANCE(A1021, ""volume""), 0)"),3794.9738040151906)</f>
        <v>3794.973804</v>
      </c>
    </row>
    <row r="1022">
      <c r="A1022" s="4" t="s">
        <v>2815</v>
      </c>
      <c r="B1022" s="7">
        <f>IFERROR(__xludf.DUMMYFUNCTION("GOOGLEFINANCE(A1022, ""price"")"),989.3)</f>
        <v>989.3</v>
      </c>
      <c r="C1022" s="7">
        <f>IFERROR(__xludf.DUMMYFUNCTION("GOOGLEFINANCE(A1022, ""changepct"")"),1.02)</f>
        <v>1.02</v>
      </c>
      <c r="D1022" s="9">
        <f>IFERROR(__xludf.DUMMYFUNCTION("GOOGLEFINANCE(A1022, ""priceopen"")"),980.0)</f>
        <v>980</v>
      </c>
      <c r="E1022" s="9">
        <f>IFERROR(__xludf.DUMMYFUNCTION("GOOGLEFINANCE(A1022, ""high"")"),1024.0)</f>
        <v>1024</v>
      </c>
      <c r="F1022" s="9">
        <f>IFERROR(__xludf.DUMMYFUNCTION("GOOGLEFINANCE(A1022, ""low"")"),967.25)</f>
        <v>967.25</v>
      </c>
      <c r="G1022" s="9">
        <f>IFERROR(__xludf.DUMMYFUNCTION("GOOGLEFINANCE(A1022, ""price"")"),989.3)</f>
        <v>989.3</v>
      </c>
      <c r="H1022" s="9">
        <f>IFERROR(__xludf.DUMMYFUNCTION("MAX(INDEX(GOOGLEFINANCE(A1022, ""high"", TODAY()-30, TODAY()), 0, 2))"),1079.0)</f>
        <v>1079</v>
      </c>
      <c r="I1022" s="9">
        <f>IFERROR(__xludf.DUMMYFUNCTION("MIN(INDEX(GOOGLEFINANCE(A1022, ""low"", TODAY()-30, TODAY()), 0, 2))"),905.4)</f>
        <v>905.4</v>
      </c>
      <c r="J1022" s="9">
        <f>IFERROR(__xludf.DUMMYFUNCTION("GOOGLEFINANCE(A1022, ""high52"")"),1146.2)</f>
        <v>1146.2</v>
      </c>
      <c r="K1022" s="9">
        <f>IFERROR(__xludf.DUMMYFUNCTION("GOOGLEFINANCE(A1022, ""low52"")"),692.6)</f>
        <v>692.6</v>
      </c>
      <c r="L1022" s="9">
        <f t="shared" si="1"/>
        <v>0.1368871052</v>
      </c>
      <c r="M1022" s="9">
        <f t="shared" si="2"/>
        <v>0.4283857927</v>
      </c>
      <c r="N1022" s="9">
        <f t="shared" si="3"/>
        <v>0.05867149134</v>
      </c>
      <c r="O1022" s="9">
        <f t="shared" si="4"/>
        <v>0.4832949309</v>
      </c>
      <c r="P1022" s="9">
        <f>IFERROR(__xludf.DUMMYFUNCTION("GOOGLEFINANCE(A1022, ""pe"")"),32.32)</f>
        <v>32.32</v>
      </c>
      <c r="Q1022" s="9">
        <f>IFERROR(__xludf.DUMMYFUNCTION("IFERROR(GOOGLEFINANCE(A1022, ""volume"") / GOOGLEFINANCE(A1022, ""volumeavg""), 0)"),0.0)</f>
        <v>0</v>
      </c>
      <c r="R1022" s="9">
        <f>IFERROR(__xludf.DUMMYFUNCTION("AVERAGE(INDEX(GOOGLEFINANCE(A1022, ""price"", TODAY()-30, TODAY()), 0, 2))"),960.8782608695652)</f>
        <v>960.8782609</v>
      </c>
      <c r="S1022" s="9">
        <f>IFERROR(__xludf.DUMMYFUNCTION("AVERAGE(INDEX(GOOGLEFINANCE(A1022, ""price"", TODAY()-75, TODAY()), 0, 2))"),949.0745283018867)</f>
        <v>949.0745283</v>
      </c>
      <c r="T1022" s="9">
        <f>IFERROR(__xludf.DUMMYFUNCTION("AVERAGE(INDEX(GOOGLEFINANCE(A1022, ""price"", TODAY()-300, TODAY()), 0, 2))"),895.6165841584158)</f>
        <v>895.6165842</v>
      </c>
      <c r="U1022" s="9">
        <f t="shared" si="5"/>
        <v>0.02957891784</v>
      </c>
      <c r="V1022" s="15">
        <f>IFERROR(__xludf.DUMMYFUNCTION("LET(hist, GOOGLEFINANCE(A1022,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rs))))))"),65.18711923411664)</f>
        <v>65.18711923</v>
      </c>
      <c r="W1022" s="16" t="str">
        <f>IFERROR(__xludf.DUMMYFUNCTION("IFERROR(GOOGLEFINANCE(A1022, ""volume"") / GOOGLEFINANCE(A1022, ""volumeavg""), )"),"")</f>
        <v/>
      </c>
      <c r="X1022" s="9">
        <f>IFERROR(__xludf.DUMMYFUNCTION("B1022 * GOOGLEFINANCE(A1022, ""volume"")"),1.511284359E8)</f>
        <v>151128435.9</v>
      </c>
      <c r="Y1022" s="9">
        <f>IFERROR(__xludf.DUMMYFUNCTION("IFERROR(((B1022 - GOOGLEFINANCE(A1022, ""priceopen"")) / GOOGLEFINANCE(A1022, ""priceopen"")) * GOOGLEFINANCE(A1022, ""volume""), 0)"),1449.689693877544)</f>
        <v>1449.689694</v>
      </c>
    </row>
    <row r="1023">
      <c r="A1023" s="4" t="s">
        <v>2816</v>
      </c>
      <c r="B1023" s="7">
        <f>IFERROR(__xludf.DUMMYFUNCTION("GOOGLEFINANCE(A1023, ""price"")"),803.95)</f>
        <v>803.95</v>
      </c>
      <c r="C1023" s="7">
        <f>IFERROR(__xludf.DUMMYFUNCTION("GOOGLEFINANCE(A1023, ""changepct"")"),-1.08)</f>
        <v>-1.08</v>
      </c>
      <c r="D1023" s="9">
        <f>IFERROR(__xludf.DUMMYFUNCTION("GOOGLEFINANCE(A1023, ""priceopen"")"),820.0)</f>
        <v>820</v>
      </c>
      <c r="E1023" s="9">
        <f>IFERROR(__xludf.DUMMYFUNCTION("GOOGLEFINANCE(A1023, ""high"")"),820.85)</f>
        <v>820.85</v>
      </c>
      <c r="F1023" s="9">
        <f>IFERROR(__xludf.DUMMYFUNCTION("GOOGLEFINANCE(A1023, ""low"")"),800.0)</f>
        <v>800</v>
      </c>
      <c r="G1023" s="9">
        <f>IFERROR(__xludf.DUMMYFUNCTION("GOOGLEFINANCE(A1023, ""price"")"),803.95)</f>
        <v>803.95</v>
      </c>
      <c r="H1023" s="9">
        <f>IFERROR(__xludf.DUMMYFUNCTION("MAX(INDEX(GOOGLEFINANCE(A1023, ""high"", TODAY()-30, TODAY()), 0, 2))"),919.3)</f>
        <v>919.3</v>
      </c>
      <c r="I1023" s="9">
        <f>IFERROR(__xludf.DUMMYFUNCTION("MIN(INDEX(GOOGLEFINANCE(A1023, ""low"", TODAY()-30, TODAY()), 0, 2))"),787.2)</f>
        <v>787.2</v>
      </c>
      <c r="J1023" s="9">
        <f>IFERROR(__xludf.DUMMYFUNCTION("GOOGLEFINANCE(A1023, ""high52"")"),933.65)</f>
        <v>933.65</v>
      </c>
      <c r="K1023" s="9">
        <f>IFERROR(__xludf.DUMMYFUNCTION("GOOGLEFINANCE(A1023, ""low52"")"),357.0)</f>
        <v>357</v>
      </c>
      <c r="L1023" s="9">
        <f t="shared" si="1"/>
        <v>0.1389171531</v>
      </c>
      <c r="M1023" s="9">
        <f t="shared" si="2"/>
        <v>1.251960784</v>
      </c>
      <c r="N1023" s="9">
        <f t="shared" si="3"/>
        <v>0.0260625</v>
      </c>
      <c r="O1023" s="9">
        <f t="shared" si="4"/>
        <v>0.1267978804</v>
      </c>
      <c r="P1023" s="9">
        <f>IFERROR(__xludf.DUMMYFUNCTION("GOOGLEFINANCE(A1023, ""pe"")"),21.42)</f>
        <v>21.42</v>
      </c>
      <c r="Q1023" s="9">
        <f>IFERROR(__xludf.DUMMYFUNCTION("IFERROR(GOOGLEFINANCE(A1023, ""volume"") / GOOGLEFINANCE(A1023, ""volumeavg""), 0)"),0.0)</f>
        <v>0</v>
      </c>
      <c r="R1023" s="9">
        <f>IFERROR(__xludf.DUMMYFUNCTION("AVERAGE(INDEX(GOOGLEFINANCE(A1023, ""price"", TODAY()-30, TODAY()), 0, 2))"),840.0956521739129)</f>
        <v>840.0956522</v>
      </c>
      <c r="S1023" s="9">
        <f>IFERROR(__xludf.DUMMYFUNCTION("AVERAGE(INDEX(GOOGLEFINANCE(A1023, ""price"", TODAY()-75, TODAY()), 0, 2))"),828.1896226415095)</f>
        <v>828.1896226</v>
      </c>
      <c r="T1023" s="9">
        <f>IFERROR(__xludf.DUMMYFUNCTION("AVERAGE(INDEX(GOOGLEFINANCE(A1023, ""price"", TODAY()-300, TODAY()), 0, 2))"),616.7403465346538)</f>
        <v>616.7403465</v>
      </c>
      <c r="U1023" s="9">
        <f t="shared" si="5"/>
        <v>-0.0430256389</v>
      </c>
      <c r="V1023" s="15">
        <f>IFERROR(__xludf.DUMMYFUNCTION("LET(hist, GOOGLEFINANCE(A1023,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rs))))))"),34.69251336898395)</f>
        <v>34.69251337</v>
      </c>
      <c r="W1023" s="16" t="str">
        <f>IFERROR(__xludf.DUMMYFUNCTION("IFERROR(GOOGLEFINANCE(A1023, ""volume"") / GOOGLEFINANCE(A1023, ""volumeavg""), )"),"")</f>
        <v/>
      </c>
      <c r="X1023" s="9">
        <f>IFERROR(__xludf.DUMMYFUNCTION("B1023 * GOOGLEFINANCE(A1023, ""volume"")"),5.4963649650000006E7)</f>
        <v>54963649.65</v>
      </c>
      <c r="Y1023" s="9">
        <f>IFERROR(__xludf.DUMMYFUNCTION("IFERROR(((B1023 - GOOGLEFINANCE(A1023, ""priceopen"")) / GOOGLEFINANCE(A1023, ""priceopen"")) * GOOGLEFINANCE(A1023, ""volume""), 0)"),-1338.1589634146303)</f>
        <v>-1338.158963</v>
      </c>
    </row>
    <row r="1024">
      <c r="A1024" s="4" t="s">
        <v>2817</v>
      </c>
      <c r="B1024" s="7">
        <f>IFERROR(__xludf.DUMMYFUNCTION("GOOGLEFINANCE(A1024, ""price"")"),120.45)</f>
        <v>120.45</v>
      </c>
      <c r="C1024" s="7">
        <f>IFERROR(__xludf.DUMMYFUNCTION("GOOGLEFINANCE(A1024, ""changepct"")"),-1.7)</f>
        <v>-1.7</v>
      </c>
      <c r="D1024" s="9">
        <f>IFERROR(__xludf.DUMMYFUNCTION("GOOGLEFINANCE(A1024, ""priceopen"")"),122.5)</f>
        <v>122.5</v>
      </c>
      <c r="E1024" s="9">
        <f>IFERROR(__xludf.DUMMYFUNCTION("GOOGLEFINANCE(A1024, ""high"")"),122.86)</f>
        <v>122.86</v>
      </c>
      <c r="F1024" s="9">
        <f>IFERROR(__xludf.DUMMYFUNCTION("GOOGLEFINANCE(A1024, ""low"")"),120.1)</f>
        <v>120.1</v>
      </c>
      <c r="G1024" s="9">
        <f>IFERROR(__xludf.DUMMYFUNCTION("GOOGLEFINANCE(A1024, ""price"")"),120.45)</f>
        <v>120.45</v>
      </c>
      <c r="H1024" s="9">
        <f>IFERROR(__xludf.DUMMYFUNCTION("MAX(INDEX(GOOGLEFINANCE(A1024, ""high"", TODAY()-30, TODAY()), 0, 2))"),138.5)</f>
        <v>138.5</v>
      </c>
      <c r="I1024" s="9">
        <f>IFERROR(__xludf.DUMMYFUNCTION("MIN(INDEX(GOOGLEFINANCE(A1024, ""low"", TODAY()-30, TODAY()), 0, 2))"),102.0)</f>
        <v>102</v>
      </c>
      <c r="J1024" s="9">
        <f>IFERROR(__xludf.DUMMYFUNCTION("GOOGLEFINANCE(A1024, ""high52"")"),138.5)</f>
        <v>138.5</v>
      </c>
      <c r="K1024" s="9">
        <f>IFERROR(__xludf.DUMMYFUNCTION("GOOGLEFINANCE(A1024, ""low52"")"),74.2)</f>
        <v>74.2</v>
      </c>
      <c r="L1024" s="9">
        <f t="shared" si="1"/>
        <v>0.1303249097</v>
      </c>
      <c r="M1024" s="9">
        <f t="shared" si="2"/>
        <v>0.6233153639</v>
      </c>
      <c r="N1024" s="9">
        <f t="shared" si="3"/>
        <v>0.02298084929</v>
      </c>
      <c r="O1024" s="9">
        <f t="shared" si="4"/>
        <v>0.5054794521</v>
      </c>
      <c r="P1024" s="9">
        <f>IFERROR(__xludf.DUMMYFUNCTION("GOOGLEFINANCE(A1024, ""pe"")"),14.98)</f>
        <v>14.98</v>
      </c>
      <c r="Q1024" s="9">
        <f>IFERROR(__xludf.DUMMYFUNCTION("IFERROR(GOOGLEFINANCE(A1024, ""volume"") / GOOGLEFINANCE(A1024, ""volumeavg""), 0)"),0.0)</f>
        <v>0</v>
      </c>
      <c r="R1024" s="9">
        <f>IFERROR(__xludf.DUMMYFUNCTION("AVERAGE(INDEX(GOOGLEFINANCE(A1024, ""price"", TODAY()-30, TODAY()), 0, 2))"),117.61000000000001)</f>
        <v>117.61</v>
      </c>
      <c r="S1024" s="9">
        <f>IFERROR(__xludf.DUMMYFUNCTION("AVERAGE(INDEX(GOOGLEFINANCE(A1024, ""price"", TODAY()-75, TODAY()), 0, 2))"),107.20056603773584)</f>
        <v>107.200566</v>
      </c>
      <c r="T1024" s="9">
        <f>IFERROR(__xludf.DUMMYFUNCTION("AVERAGE(INDEX(GOOGLEFINANCE(A1024, ""price"", TODAY()-300, TODAY()), 0, 2))"),94.61316831683165)</f>
        <v>94.61316832</v>
      </c>
      <c r="U1024" s="9">
        <f t="shared" si="5"/>
        <v>0.0241476065</v>
      </c>
      <c r="V1024" s="15">
        <f>IFERROR(__xludf.DUMMYFUNCTION("LET(hist, GOOGLEFINANCE(A1024,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rs))))))"),54.17402269861286)</f>
        <v>54.1740227</v>
      </c>
      <c r="W1024" s="16" t="str">
        <f>IFERROR(__xludf.DUMMYFUNCTION("IFERROR(GOOGLEFINANCE(A1024, ""volume"") / GOOGLEFINANCE(A1024, ""volumeavg""), )"),"")</f>
        <v/>
      </c>
      <c r="X1024" s="9">
        <f>IFERROR(__xludf.DUMMYFUNCTION("B1024 * GOOGLEFINANCE(A1024, ""volume"")"),9.394919325E7)</f>
        <v>93949193.25</v>
      </c>
      <c r="Y1024" s="9">
        <f>IFERROR(__xludf.DUMMYFUNCTION("IFERROR(((B1024 - GOOGLEFINANCE(A1024, ""priceopen"")) / GOOGLEFINANCE(A1024, ""priceopen"")) * GOOGLEFINANCE(A1024, ""volume""), 0)"),-13052.810204081614)</f>
        <v>-13052.8102</v>
      </c>
    </row>
    <row r="1025">
      <c r="A1025" s="4" t="s">
        <v>2818</v>
      </c>
      <c r="B1025" s="7">
        <f>IFERROR(__xludf.DUMMYFUNCTION("GOOGLEFINANCE(A1025, ""price"")"),179.4)</f>
        <v>179.4</v>
      </c>
      <c r="C1025" s="7">
        <f>IFERROR(__xludf.DUMMYFUNCTION("GOOGLEFINANCE(A1025, ""changepct"")"),0.88)</f>
        <v>0.88</v>
      </c>
      <c r="D1025" s="9">
        <f>IFERROR(__xludf.DUMMYFUNCTION("GOOGLEFINANCE(A1025, ""priceopen"")"),177.6)</f>
        <v>177.6</v>
      </c>
      <c r="E1025" s="9">
        <f>IFERROR(__xludf.DUMMYFUNCTION("GOOGLEFINANCE(A1025, ""high"")"),182.32)</f>
        <v>182.32</v>
      </c>
      <c r="F1025" s="9">
        <f>IFERROR(__xludf.DUMMYFUNCTION("GOOGLEFINANCE(A1025, ""low"")"),175.41)</f>
        <v>175.41</v>
      </c>
      <c r="G1025" s="9">
        <f>IFERROR(__xludf.DUMMYFUNCTION("GOOGLEFINANCE(A1025, ""price"")"),179.4)</f>
        <v>179.4</v>
      </c>
      <c r="H1025" s="9">
        <f>IFERROR(__xludf.DUMMYFUNCTION("MAX(INDEX(GOOGLEFINANCE(A1025, ""high"", TODAY()-30, TODAY()), 0, 2))"),203.5)</f>
        <v>203.5</v>
      </c>
      <c r="I1025" s="9">
        <f>IFERROR(__xludf.DUMMYFUNCTION("MIN(INDEX(GOOGLEFINANCE(A1025, ""low"", TODAY()-30, TODAY()), 0, 2))"),175.41)</f>
        <v>175.41</v>
      </c>
      <c r="J1025" s="9">
        <f>IFERROR(__xludf.DUMMYFUNCTION("GOOGLEFINANCE(A1025, ""high52"")"),351.52)</f>
        <v>351.52</v>
      </c>
      <c r="K1025" s="9">
        <f>IFERROR(__xludf.DUMMYFUNCTION("GOOGLEFINANCE(A1025, ""low52"")"),171.55)</f>
        <v>171.55</v>
      </c>
      <c r="L1025" s="9">
        <f t="shared" si="1"/>
        <v>0.4896449704</v>
      </c>
      <c r="M1025" s="9">
        <f t="shared" si="2"/>
        <v>0.04575925386</v>
      </c>
      <c r="N1025" s="9">
        <f t="shared" si="3"/>
        <v>0.03939342113</v>
      </c>
      <c r="O1025" s="9">
        <f t="shared" si="4"/>
        <v>0.1420434318</v>
      </c>
      <c r="P1025" s="9">
        <f>IFERROR(__xludf.DUMMYFUNCTION("GOOGLEFINANCE(A1025, ""pe"")"),8.99)</f>
        <v>8.99</v>
      </c>
      <c r="Q1025" s="9">
        <f>IFERROR(__xludf.DUMMYFUNCTION("IFERROR(GOOGLEFINANCE(A1025, ""volume"") / GOOGLEFINANCE(A1025, ""volumeavg""), 0)"),0.0)</f>
        <v>0</v>
      </c>
      <c r="R1025" s="9">
        <f>IFERROR(__xludf.DUMMYFUNCTION("AVERAGE(INDEX(GOOGLEFINANCE(A1025, ""price"", TODAY()-30, TODAY()), 0, 2))"),191.2839130434783)</f>
        <v>191.283913</v>
      </c>
      <c r="S1025" s="9">
        <f>IFERROR(__xludf.DUMMYFUNCTION("AVERAGE(INDEX(GOOGLEFINANCE(A1025, ""price"", TODAY()-75, TODAY()), 0, 2))"),189.3271698113208)</f>
        <v>189.3271698</v>
      </c>
      <c r="T1025" s="9">
        <f>IFERROR(__xludf.DUMMYFUNCTION("AVERAGE(INDEX(GOOGLEFINANCE(A1025, ""price"", TODAY()-300, TODAY()), 0, 2))"),229.47683168316829)</f>
        <v>229.4768317</v>
      </c>
      <c r="U1025" s="9">
        <f t="shared" si="5"/>
        <v>-0.06212709085</v>
      </c>
      <c r="V1025" s="15">
        <f>IFERROR(__xludf.DUMMYFUNCTION("LET(hist, GOOGLEFINANCE(A1025,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rs))))))"),27.00582131106053)</f>
        <v>27.00582131</v>
      </c>
      <c r="W1025" s="16" t="str">
        <f>IFERROR(__xludf.DUMMYFUNCTION("IFERROR(GOOGLEFINANCE(A1025, ""volume"") / GOOGLEFINANCE(A1025, ""volumeavg""), )"),"")</f>
        <v/>
      </c>
      <c r="X1025" s="9">
        <f>IFERROR(__xludf.DUMMYFUNCTION("B1025 * GOOGLEFINANCE(A1025, ""volume"")"),8.05941942E7)</f>
        <v>80594194.2</v>
      </c>
      <c r="Y1025" s="9">
        <f>IFERROR(__xludf.DUMMYFUNCTION("IFERROR(((B1025 - GOOGLEFINANCE(A1025, ""priceopen"")) / GOOGLEFINANCE(A1025, ""priceopen"")) * GOOGLEFINANCE(A1025, ""volume""), 0)"),4553.138513513542)</f>
        <v>4553.138514</v>
      </c>
    </row>
    <row r="1026">
      <c r="A1026" s="4" t="s">
        <v>2819</v>
      </c>
      <c r="B1026" s="7">
        <f>IFERROR(__xludf.DUMMYFUNCTION("GOOGLEFINANCE(A1026, ""price"")"),4401.0)</f>
        <v>4401</v>
      </c>
      <c r="C1026" s="7">
        <f>IFERROR(__xludf.DUMMYFUNCTION("GOOGLEFINANCE(A1026, ""changepct"")"),19.73)</f>
        <v>19.73</v>
      </c>
      <c r="D1026" s="9">
        <f>IFERROR(__xludf.DUMMYFUNCTION("GOOGLEFINANCE(A1026, ""priceopen"")"),3788.0)</f>
        <v>3788</v>
      </c>
      <c r="E1026" s="9">
        <f>IFERROR(__xludf.DUMMYFUNCTION("GOOGLEFINANCE(A1026, ""high"")"),4410.9)</f>
        <v>4410.9</v>
      </c>
      <c r="F1026" s="9">
        <f>IFERROR(__xludf.DUMMYFUNCTION("GOOGLEFINANCE(A1026, ""low"")"),3701.0)</f>
        <v>3701</v>
      </c>
      <c r="G1026" s="9">
        <f>IFERROR(__xludf.DUMMYFUNCTION("GOOGLEFINANCE(A1026, ""price"")"),4401.0)</f>
        <v>4401</v>
      </c>
      <c r="H1026" s="9">
        <f>IFERROR(__xludf.DUMMYFUNCTION("MAX(INDEX(GOOGLEFINANCE(A1026, ""high"", TODAY()-30, TODAY()), 0, 2))"),4410.9)</f>
        <v>4410.9</v>
      </c>
      <c r="I1026" s="9">
        <f>IFERROR(__xludf.DUMMYFUNCTION("MIN(INDEX(GOOGLEFINANCE(A1026, ""low"", TODAY()-30, TODAY()), 0, 2))"),2940.1)</f>
        <v>2940.1</v>
      </c>
      <c r="J1026" s="9">
        <f>IFERROR(__xludf.DUMMYFUNCTION("GOOGLEFINANCE(A1026, ""high52"")"),4410.9)</f>
        <v>4410.9</v>
      </c>
      <c r="K1026" s="9">
        <f>IFERROR(__xludf.DUMMYFUNCTION("GOOGLEFINANCE(A1026, ""low52"")"),2200.0)</f>
        <v>2200</v>
      </c>
      <c r="L1026" s="9">
        <f t="shared" si="1"/>
        <v>0.00224443991</v>
      </c>
      <c r="M1026" s="9">
        <f t="shared" si="2"/>
        <v>1.000454545</v>
      </c>
      <c r="N1026" s="9">
        <f t="shared" si="3"/>
        <v>0.1918130235</v>
      </c>
      <c r="O1026" s="9">
        <f t="shared" si="4"/>
        <v>0.9932689693</v>
      </c>
      <c r="P1026" s="9">
        <f>IFERROR(__xludf.DUMMYFUNCTION("GOOGLEFINANCE(A1026, ""pe"")"),40.95)</f>
        <v>40.95</v>
      </c>
      <c r="Q1026" s="9">
        <f>IFERROR(__xludf.DUMMYFUNCTION("IFERROR(GOOGLEFINANCE(A1026, ""volume"") / GOOGLEFINANCE(A1026, ""volumeavg""), 0)"),0.0)</f>
        <v>0</v>
      </c>
      <c r="R1026" s="9">
        <f>IFERROR(__xludf.DUMMYFUNCTION("AVERAGE(INDEX(GOOGLEFINANCE(A1026, ""price"", TODAY()-30, TODAY()), 0, 2))"),3286.621739130435)</f>
        <v>3286.621739</v>
      </c>
      <c r="S1026" s="9">
        <f>IFERROR(__xludf.DUMMYFUNCTION("AVERAGE(INDEX(GOOGLEFINANCE(A1026, ""price"", TODAY()-75, TODAY()), 0, 2))"),3001.1452830188678)</f>
        <v>3001.145283</v>
      </c>
      <c r="T1026" s="9">
        <f>IFERROR(__xludf.DUMMYFUNCTION("AVERAGE(INDEX(GOOGLEFINANCE(A1026, ""price"", TODAY()-300, TODAY()), 0, 2))"),2880.018316831685)</f>
        <v>2880.018317</v>
      </c>
      <c r="U1026" s="9">
        <f t="shared" si="5"/>
        <v>0.3390649577</v>
      </c>
      <c r="V1026" s="15">
        <f>IFERROR(__xludf.DUMMYFUNCTION("LET(hist, GOOGLEFINANCE(A1026,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rs))))))"),83.53210456571497)</f>
        <v>83.53210457</v>
      </c>
      <c r="W1026" s="16" t="str">
        <f>IFERROR(__xludf.DUMMYFUNCTION("IFERROR(GOOGLEFINANCE(A1026, ""volume"") / GOOGLEFINANCE(A1026, ""volumeavg""), )"),"")</f>
        <v/>
      </c>
      <c r="X1026" s="9">
        <f>IFERROR(__xludf.DUMMYFUNCTION("B1026 * GOOGLEFINANCE(A1026, ""volume"")"),2.120150943E9)</f>
        <v>2120150943</v>
      </c>
      <c r="Y1026" s="9">
        <f>IFERROR(__xludf.DUMMYFUNCTION("IFERROR(((B1026 - GOOGLEFINANCE(A1026, ""priceopen"")) / GOOGLEFINANCE(A1026, ""priceopen"")) * GOOGLEFINANCE(A1026, ""volume""), 0)"),77958.93848996832)</f>
        <v>77958.93849</v>
      </c>
    </row>
    <row r="1027">
      <c r="A1027" s="4" t="s">
        <v>2820</v>
      </c>
      <c r="B1027" s="7">
        <f>IFERROR(__xludf.DUMMYFUNCTION("GOOGLEFINANCE(A1027, ""price"")"),992.6)</f>
        <v>992.6</v>
      </c>
      <c r="C1027" s="7">
        <f>IFERROR(__xludf.DUMMYFUNCTION("GOOGLEFINANCE(A1027, ""changepct"")"),-1.29)</f>
        <v>-1.29</v>
      </c>
      <c r="D1027" s="9">
        <f>IFERROR(__xludf.DUMMYFUNCTION("GOOGLEFINANCE(A1027, ""priceopen"")"),1005.6)</f>
        <v>1005.6</v>
      </c>
      <c r="E1027" s="9">
        <f>IFERROR(__xludf.DUMMYFUNCTION("GOOGLEFINANCE(A1027, ""high"")"),1006.0)</f>
        <v>1006</v>
      </c>
      <c r="F1027" s="9">
        <f>IFERROR(__xludf.DUMMYFUNCTION("GOOGLEFINANCE(A1027, ""low"")"),986.0)</f>
        <v>986</v>
      </c>
      <c r="G1027" s="9">
        <f>IFERROR(__xludf.DUMMYFUNCTION("GOOGLEFINANCE(A1027, ""price"")"),992.6)</f>
        <v>992.6</v>
      </c>
      <c r="H1027" s="9">
        <f>IFERROR(__xludf.DUMMYFUNCTION("MAX(INDEX(GOOGLEFINANCE(A1027, ""high"", TODAY()-30, TODAY()), 0, 2))"),1044.8)</f>
        <v>1044.8</v>
      </c>
      <c r="I1027" s="9">
        <f>IFERROR(__xludf.DUMMYFUNCTION("MIN(INDEX(GOOGLEFINANCE(A1027, ""low"", TODAY()-30, TODAY()), 0, 2))"),955.35)</f>
        <v>955.35</v>
      </c>
      <c r="J1027" s="9">
        <f>IFERROR(__xludf.DUMMYFUNCTION("GOOGLEFINANCE(A1027, ""high52"")"),1210.1)</f>
        <v>1210.1</v>
      </c>
      <c r="K1027" s="9">
        <f>IFERROR(__xludf.DUMMYFUNCTION("GOOGLEFINANCE(A1027, ""low52"")"),831.2)</f>
        <v>831.2</v>
      </c>
      <c r="L1027" s="9">
        <f t="shared" si="1"/>
        <v>0.1797372118</v>
      </c>
      <c r="M1027" s="9">
        <f t="shared" si="2"/>
        <v>0.1941770934</v>
      </c>
      <c r="N1027" s="9">
        <f t="shared" si="3"/>
        <v>0.02028397566</v>
      </c>
      <c r="O1027" s="9">
        <f t="shared" si="4"/>
        <v>0.4164337619</v>
      </c>
      <c r="P1027" s="9">
        <f>IFERROR(__xludf.DUMMYFUNCTION("GOOGLEFINANCE(A1027, ""pe"")"),6.66)</f>
        <v>6.66</v>
      </c>
      <c r="Q1027" s="9">
        <f>IFERROR(__xludf.DUMMYFUNCTION("IFERROR(GOOGLEFINANCE(A1027, ""volume"") / GOOGLEFINANCE(A1027, ""volumeavg""), 0)"),0.0)</f>
        <v>0</v>
      </c>
      <c r="R1027" s="9">
        <f>IFERROR(__xludf.DUMMYFUNCTION("AVERAGE(INDEX(GOOGLEFINANCE(A1027, ""price"", TODAY()-30, TODAY()), 0, 2))"),984.2130434782608)</f>
        <v>984.2130435</v>
      </c>
      <c r="S1027" s="9">
        <f>IFERROR(__xludf.DUMMYFUNCTION("AVERAGE(INDEX(GOOGLEFINANCE(A1027, ""price"", TODAY()-75, TODAY()), 0, 2))"),1010.3462264150944)</f>
        <v>1010.346226</v>
      </c>
      <c r="T1027" s="9">
        <f>IFERROR(__xludf.DUMMYFUNCTION("AVERAGE(INDEX(GOOGLEFINANCE(A1027, ""price"", TODAY()-300, TODAY()), 0, 2))"),1000.201237623762)</f>
        <v>1000.201238</v>
      </c>
      <c r="U1027" s="9">
        <f t="shared" si="5"/>
        <v>0.008521484832</v>
      </c>
      <c r="V1027" s="15">
        <f>IFERROR(__xludf.DUMMYFUNCTION("LET(hist, GOOGLEFINANCE(A1027,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rs))))))"),57.39413680781761)</f>
        <v>57.39413681</v>
      </c>
      <c r="W1027" s="16" t="str">
        <f>IFERROR(__xludf.DUMMYFUNCTION("IFERROR(GOOGLEFINANCE(A1027, ""volume"") / GOOGLEFINANCE(A1027, ""volumeavg""), )"),"")</f>
        <v/>
      </c>
      <c r="X1027" s="9">
        <f>IFERROR(__xludf.DUMMYFUNCTION("B1027 * GOOGLEFINANCE(A1027, ""volume"")"),4.11273884E7)</f>
        <v>41127388.4</v>
      </c>
      <c r="Y1027" s="9">
        <f>IFERROR(__xludf.DUMMYFUNCTION("IFERROR(((B1027 - GOOGLEFINANCE(A1027, ""priceopen"")) / GOOGLEFINANCE(A1027, ""priceopen"")) * GOOGLEFINANCE(A1027, ""volume""), 0)"),-535.6424025457438)</f>
        <v>-535.6424025</v>
      </c>
    </row>
    <row r="1028">
      <c r="A1028" s="4" t="s">
        <v>2821</v>
      </c>
      <c r="B1028" s="7">
        <f>IFERROR(__xludf.DUMMYFUNCTION("GOOGLEFINANCE(A1028, ""price"")"),2301.7)</f>
        <v>2301.7</v>
      </c>
      <c r="C1028" s="7">
        <f>IFERROR(__xludf.DUMMYFUNCTION("GOOGLEFINANCE(A1028, ""changepct"")"),-0.98)</f>
        <v>-0.98</v>
      </c>
      <c r="D1028" s="9">
        <f>IFERROR(__xludf.DUMMYFUNCTION("GOOGLEFINANCE(A1028, ""priceopen"")"),2334.9)</f>
        <v>2334.9</v>
      </c>
      <c r="E1028" s="9">
        <f>IFERROR(__xludf.DUMMYFUNCTION("GOOGLEFINANCE(A1028, ""high"")"),2334.9)</f>
        <v>2334.9</v>
      </c>
      <c r="F1028" s="9">
        <f>IFERROR(__xludf.DUMMYFUNCTION("GOOGLEFINANCE(A1028, ""low"")"),2290.0)</f>
        <v>2290</v>
      </c>
      <c r="G1028" s="9">
        <f>IFERROR(__xludf.DUMMYFUNCTION("GOOGLEFINANCE(A1028, ""price"")"),2301.7)</f>
        <v>2301.7</v>
      </c>
      <c r="H1028" s="9">
        <f>IFERROR(__xludf.DUMMYFUNCTION("MAX(INDEX(GOOGLEFINANCE(A1028, ""high"", TODAY()-30, TODAY()), 0, 2))"),2789.0)</f>
        <v>2789</v>
      </c>
      <c r="I1028" s="9">
        <f>IFERROR(__xludf.DUMMYFUNCTION("MIN(INDEX(GOOGLEFINANCE(A1028, ""low"", TODAY()-30, TODAY()), 0, 2))"),2249.9)</f>
        <v>2249.9</v>
      </c>
      <c r="J1028" s="9">
        <f>IFERROR(__xludf.DUMMYFUNCTION("GOOGLEFINANCE(A1028, ""high52"")"),3411.0)</f>
        <v>3411</v>
      </c>
      <c r="K1028" s="9">
        <f>IFERROR(__xludf.DUMMYFUNCTION("GOOGLEFINANCE(A1028, ""low52"")"),2051.7)</f>
        <v>2051.7</v>
      </c>
      <c r="L1028" s="9">
        <f t="shared" si="1"/>
        <v>0.3252125476</v>
      </c>
      <c r="M1028" s="9">
        <f t="shared" si="2"/>
        <v>0.121850173</v>
      </c>
      <c r="N1028" s="9">
        <f t="shared" si="3"/>
        <v>0.0196069869</v>
      </c>
      <c r="O1028" s="9">
        <f t="shared" si="4"/>
        <v>0.09608606937</v>
      </c>
      <c r="P1028" s="9">
        <f>IFERROR(__xludf.DUMMYFUNCTION("GOOGLEFINANCE(A1028, ""pe"")"),23.26)</f>
        <v>23.26</v>
      </c>
      <c r="Q1028" s="9">
        <f>IFERROR(__xludf.DUMMYFUNCTION("IFERROR(GOOGLEFINANCE(A1028, ""volume"") / GOOGLEFINANCE(A1028, ""volumeavg""), 0)"),0.0)</f>
        <v>0</v>
      </c>
      <c r="R1028" s="9">
        <f>IFERROR(__xludf.DUMMYFUNCTION("AVERAGE(INDEX(GOOGLEFINANCE(A1028, ""price"", TODAY()-30, TODAY()), 0, 2))"),2522.604347826087)</f>
        <v>2522.604348</v>
      </c>
      <c r="S1028" s="9">
        <f>IFERROR(__xludf.DUMMYFUNCTION("AVERAGE(INDEX(GOOGLEFINANCE(A1028, ""price"", TODAY()-75, TODAY()), 0, 2))"),2670.6283018867916)</f>
        <v>2670.628302</v>
      </c>
      <c r="T1028" s="9">
        <f>IFERROR(__xludf.DUMMYFUNCTION("AVERAGE(INDEX(GOOGLEFINANCE(A1028, ""price"", TODAY()-300, TODAY()), 0, 2))"),2693.5336633663374)</f>
        <v>2693.533663</v>
      </c>
      <c r="U1028" s="9">
        <f t="shared" si="5"/>
        <v>-0.08756995445</v>
      </c>
      <c r="V1028" s="15">
        <f>IFERROR(__xludf.DUMMYFUNCTION("LET(hist, GOOGLEFINANCE(A1028,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rs))))))"),33.85344959461527)</f>
        <v>33.85344959</v>
      </c>
      <c r="W1028" s="16" t="str">
        <f>IFERROR(__xludf.DUMMYFUNCTION("IFERROR(GOOGLEFINANCE(A1028, ""volume"") / GOOGLEFINANCE(A1028, ""volumeavg""), )"),"")</f>
        <v/>
      </c>
      <c r="X1028" s="9">
        <f>IFERROR(__xludf.DUMMYFUNCTION("B1028 * GOOGLEFINANCE(A1028, ""volume"")"),3.56049973E7)</f>
        <v>35604997.3</v>
      </c>
      <c r="Y1028" s="9">
        <f>IFERROR(__xludf.DUMMYFUNCTION("IFERROR(((B1028 - GOOGLEFINANCE(A1028, ""priceopen"")) / GOOGLEFINANCE(A1028, ""priceopen"")) * GOOGLEFINANCE(A1028, ""volume""), 0)"),-219.95408796950798)</f>
        <v>-219.954088</v>
      </c>
    </row>
    <row r="1029">
      <c r="A1029" s="4" t="s">
        <v>2822</v>
      </c>
      <c r="B1029" s="7">
        <f>IFERROR(__xludf.DUMMYFUNCTION("GOOGLEFINANCE(A1029, ""price"")"),411.75)</f>
        <v>411.75</v>
      </c>
      <c r="C1029" s="7">
        <f>IFERROR(__xludf.DUMMYFUNCTION("GOOGLEFINANCE(A1029, ""changepct"")"),0.84)</f>
        <v>0.84</v>
      </c>
      <c r="D1029" s="9">
        <f>IFERROR(__xludf.DUMMYFUNCTION("GOOGLEFINANCE(A1029, ""priceopen"")"),408.3)</f>
        <v>408.3</v>
      </c>
      <c r="E1029" s="9">
        <f>IFERROR(__xludf.DUMMYFUNCTION("GOOGLEFINANCE(A1029, ""high"")"),411.9)</f>
        <v>411.9</v>
      </c>
      <c r="F1029" s="9">
        <f>IFERROR(__xludf.DUMMYFUNCTION("GOOGLEFINANCE(A1029, ""low"")"),398.05)</f>
        <v>398.05</v>
      </c>
      <c r="G1029" s="9">
        <f>IFERROR(__xludf.DUMMYFUNCTION("GOOGLEFINANCE(A1029, ""price"")"),411.75)</f>
        <v>411.75</v>
      </c>
      <c r="H1029" s="9">
        <f>IFERROR(__xludf.DUMMYFUNCTION("MAX(INDEX(GOOGLEFINANCE(A1029, ""high"", TODAY()-30, TODAY()), 0, 2))"),428.75)</f>
        <v>428.75</v>
      </c>
      <c r="I1029" s="9">
        <f>IFERROR(__xludf.DUMMYFUNCTION("MIN(INDEX(GOOGLEFINANCE(A1029, ""low"", TODAY()-30, TODAY()), 0, 2))"),348.25)</f>
        <v>348.25</v>
      </c>
      <c r="J1029" s="9">
        <f>IFERROR(__xludf.DUMMYFUNCTION("GOOGLEFINANCE(A1029, ""high52"")"),428.75)</f>
        <v>428.75</v>
      </c>
      <c r="K1029" s="9">
        <f>IFERROR(__xludf.DUMMYFUNCTION("GOOGLEFINANCE(A1029, ""low52"")"),261.4)</f>
        <v>261.4</v>
      </c>
      <c r="L1029" s="9">
        <f t="shared" si="1"/>
        <v>0.03965014577</v>
      </c>
      <c r="M1029" s="9">
        <f t="shared" si="2"/>
        <v>0.57517215</v>
      </c>
      <c r="N1029" s="9">
        <f t="shared" si="3"/>
        <v>0.03479462379</v>
      </c>
      <c r="O1029" s="9">
        <f t="shared" si="4"/>
        <v>0.7888198758</v>
      </c>
      <c r="P1029" s="9">
        <f>IFERROR(__xludf.DUMMYFUNCTION("GOOGLEFINANCE(A1029, ""pe"")"),16.39)</f>
        <v>16.39</v>
      </c>
      <c r="Q1029" s="9">
        <f>IFERROR(__xludf.DUMMYFUNCTION("IFERROR(GOOGLEFINANCE(A1029, ""volume"") / GOOGLEFINANCE(A1029, ""volumeavg""), 0)"),0.0)</f>
        <v>0</v>
      </c>
      <c r="R1029" s="9">
        <f>IFERROR(__xludf.DUMMYFUNCTION("AVERAGE(INDEX(GOOGLEFINANCE(A1029, ""price"", TODAY()-30, TODAY()), 0, 2))"),376.9326086956521)</f>
        <v>376.9326087</v>
      </c>
      <c r="S1029" s="9">
        <f>IFERROR(__xludf.DUMMYFUNCTION("AVERAGE(INDEX(GOOGLEFINANCE(A1029, ""price"", TODAY()-75, TODAY()), 0, 2))"),355.47830188679245)</f>
        <v>355.4783019</v>
      </c>
      <c r="T1029" s="9">
        <f>IFERROR(__xludf.DUMMYFUNCTION("AVERAGE(INDEX(GOOGLEFINANCE(A1029, ""price"", TODAY()-300, TODAY()), 0, 2))"),331.5336633663365)</f>
        <v>331.5336634</v>
      </c>
      <c r="U1029" s="9">
        <f t="shared" si="5"/>
        <v>0.09237033491</v>
      </c>
      <c r="V1029" s="15">
        <f>IFERROR(__xludf.DUMMYFUNCTION("LET(hist, GOOGLEFINANCE(A1029,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rs))))))"),66.54929577464787)</f>
        <v>66.54929577</v>
      </c>
      <c r="W1029" s="16" t="str">
        <f>IFERROR(__xludf.DUMMYFUNCTION("IFERROR(GOOGLEFINANCE(A1029, ""volume"") / GOOGLEFINANCE(A1029, ""volumeavg""), )"),"")</f>
        <v/>
      </c>
      <c r="X1029" s="9">
        <f>IFERROR(__xludf.DUMMYFUNCTION("B1029 * GOOGLEFINANCE(A1029, ""volume"")"),8.665484625E7)</f>
        <v>86654846.25</v>
      </c>
      <c r="Y1029" s="9">
        <f>IFERROR(__xludf.DUMMYFUNCTION("IFERROR(((B1029 - GOOGLEFINANCE(A1029, ""priceopen"")) / GOOGLEFINANCE(A1029, ""priceopen"")) * GOOGLEFINANCE(A1029, ""volume""), 0)"),1778.2751653196121)</f>
        <v>1778.275165</v>
      </c>
    </row>
    <row r="1030">
      <c r="A1030" s="4" t="s">
        <v>2823</v>
      </c>
      <c r="B1030" s="7">
        <f>IFERROR(__xludf.DUMMYFUNCTION("GOOGLEFINANCE(A1030, ""price"")"),85.4)</f>
        <v>85.4</v>
      </c>
      <c r="C1030" s="7">
        <f>IFERROR(__xludf.DUMMYFUNCTION("GOOGLEFINANCE(A1030, ""changepct"")"),-4.99)</f>
        <v>-4.99</v>
      </c>
      <c r="D1030" s="9">
        <f>IFERROR(__xludf.DUMMYFUNCTION("GOOGLEFINANCE(A1030, ""priceopen"")"),85.4)</f>
        <v>85.4</v>
      </c>
      <c r="E1030" s="9">
        <f>IFERROR(__xludf.DUMMYFUNCTION("GOOGLEFINANCE(A1030, ""high"")"),85.4)</f>
        <v>85.4</v>
      </c>
      <c r="F1030" s="9">
        <f>IFERROR(__xludf.DUMMYFUNCTION("GOOGLEFINANCE(A1030, ""low"")"),85.4)</f>
        <v>85.4</v>
      </c>
      <c r="G1030" s="9">
        <f>IFERROR(__xludf.DUMMYFUNCTION("GOOGLEFINANCE(A1030, ""price"")"),85.4)</f>
        <v>85.4</v>
      </c>
      <c r="H1030" s="9">
        <f>IFERROR(__xludf.DUMMYFUNCTION("MAX(INDEX(GOOGLEFINANCE(A1030, ""high"", TODAY()-30, TODAY()), 0, 2))"),234.89)</f>
        <v>234.89</v>
      </c>
      <c r="I1030" s="9">
        <f>IFERROR(__xludf.DUMMYFUNCTION("MIN(INDEX(GOOGLEFINANCE(A1030, ""low"", TODAY()-30, TODAY()), 0, 2))"),85.4)</f>
        <v>85.4</v>
      </c>
      <c r="J1030" s="9">
        <f>IFERROR(__xludf.DUMMYFUNCTION("GOOGLEFINANCE(A1030, ""high52"")"),466.35)</f>
        <v>466.35</v>
      </c>
      <c r="K1030" s="9">
        <f>IFERROR(__xludf.DUMMYFUNCTION("GOOGLEFINANCE(A1030, ""low52"")"),85.4)</f>
        <v>85.4</v>
      </c>
      <c r="L1030" s="9">
        <f t="shared" si="1"/>
        <v>0.8168757371</v>
      </c>
      <c r="M1030" s="9">
        <f t="shared" si="2"/>
        <v>0</v>
      </c>
      <c r="N1030" s="9">
        <f t="shared" si="3"/>
        <v>0</v>
      </c>
      <c r="O1030" s="9">
        <f t="shared" si="4"/>
        <v>0</v>
      </c>
      <c r="P1030" s="9">
        <f>IFERROR(__xludf.DUMMYFUNCTION("GOOGLEFINANCE(A1030, ""pe"")"),15.84)</f>
        <v>15.84</v>
      </c>
      <c r="Q1030" s="9">
        <f>IFERROR(__xludf.DUMMYFUNCTION("IFERROR(GOOGLEFINANCE(A1030, ""volume"") / GOOGLEFINANCE(A1030, ""volumeavg""), 0)"),0.0)</f>
        <v>0</v>
      </c>
      <c r="R1030" s="9">
        <f>IFERROR(__xludf.DUMMYFUNCTION("AVERAGE(INDEX(GOOGLEFINANCE(A1030, ""price"", TODAY()-30, TODAY()), 0, 2))"),181.51478260869567)</f>
        <v>181.5147826</v>
      </c>
      <c r="S1030" s="9">
        <f>IFERROR(__xludf.DUMMYFUNCTION("AVERAGE(INDEX(GOOGLEFINANCE(A1030, ""price"", TODAY()-75, TODAY()), 0, 2))"),209.39207547169815)</f>
        <v>209.3920755</v>
      </c>
      <c r="T1030" s="9">
        <f>IFERROR(__xludf.DUMMYFUNCTION("AVERAGE(INDEX(GOOGLEFINANCE(A1030, ""price"", TODAY()-300, TODAY()), 0, 2))"),285.5660396039603)</f>
        <v>285.5660396</v>
      </c>
      <c r="U1030" s="9">
        <f t="shared" si="5"/>
        <v>-0.5295149036</v>
      </c>
      <c r="V1030" s="15">
        <f>IFERROR(__xludf.DUMMYFUNCTION("LET(hist, GOOGLEFINANCE(A1030,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rs))))))"),3.0987917555081737)</f>
        <v>3.098791756</v>
      </c>
      <c r="W1030" s="16" t="str">
        <f>IFERROR(__xludf.DUMMYFUNCTION("IFERROR(GOOGLEFINANCE(A1030, ""volume"") / GOOGLEFINANCE(A1030, ""volumeavg""), )"),"")</f>
        <v/>
      </c>
      <c r="X1030" s="9">
        <f>IFERROR(__xludf.DUMMYFUNCTION("B1030 * GOOGLEFINANCE(A1030, ""volume"")"),6140003.800000001)</f>
        <v>6140003.8</v>
      </c>
      <c r="Y1030" s="9">
        <f>IFERROR(__xludf.DUMMYFUNCTION("IFERROR(((B1030 - GOOGLEFINANCE(A1030, ""priceopen"")) / GOOGLEFINANCE(A1030, ""priceopen"")) * GOOGLEFINANCE(A1030, ""volume""), 0)"),0.0)</f>
        <v>0</v>
      </c>
    </row>
    <row r="1031">
      <c r="A1031" s="4" t="s">
        <v>2824</v>
      </c>
      <c r="B1031" s="7">
        <f>IFERROR(__xludf.DUMMYFUNCTION("GOOGLEFINANCE(A1031, ""price"")"),5537.5)</f>
        <v>5537.5</v>
      </c>
      <c r="C1031" s="7">
        <f>IFERROR(__xludf.DUMMYFUNCTION("GOOGLEFINANCE(A1031, ""changepct"")"),-1.27)</f>
        <v>-1.27</v>
      </c>
      <c r="D1031" s="9">
        <f>IFERROR(__xludf.DUMMYFUNCTION("GOOGLEFINANCE(A1031, ""priceopen"")"),5600.0)</f>
        <v>5600</v>
      </c>
      <c r="E1031" s="9">
        <f>IFERROR(__xludf.DUMMYFUNCTION("GOOGLEFINANCE(A1031, ""high"")"),5649.0)</f>
        <v>5649</v>
      </c>
      <c r="F1031" s="9">
        <f>IFERROR(__xludf.DUMMYFUNCTION("GOOGLEFINANCE(A1031, ""low"")"),5454.0)</f>
        <v>5454</v>
      </c>
      <c r="G1031" s="9">
        <f>IFERROR(__xludf.DUMMYFUNCTION("GOOGLEFINANCE(A1031, ""price"")"),5537.5)</f>
        <v>5537.5</v>
      </c>
      <c r="H1031" s="9">
        <f>IFERROR(__xludf.DUMMYFUNCTION("MAX(INDEX(GOOGLEFINANCE(A1031, ""high"", TODAY()-30, TODAY()), 0, 2))"),5830.0)</f>
        <v>5830</v>
      </c>
      <c r="I1031" s="9">
        <f>IFERROR(__xludf.DUMMYFUNCTION("MIN(INDEX(GOOGLEFINANCE(A1031, ""low"", TODAY()-30, TODAY()), 0, 2))"),5355.0)</f>
        <v>5355</v>
      </c>
      <c r="J1031" s="9">
        <f>IFERROR(__xludf.DUMMYFUNCTION("GOOGLEFINANCE(A1031, ""high52"")"),8730.0)</f>
        <v>8730</v>
      </c>
      <c r="K1031" s="9">
        <f>IFERROR(__xludf.DUMMYFUNCTION("GOOGLEFINANCE(A1031, ""low52"")"),4700.0)</f>
        <v>4700</v>
      </c>
      <c r="L1031" s="9">
        <f t="shared" si="1"/>
        <v>0.3656930126</v>
      </c>
      <c r="M1031" s="9">
        <f t="shared" si="2"/>
        <v>0.1781914894</v>
      </c>
      <c r="N1031" s="9">
        <f t="shared" si="3"/>
        <v>0.03575357536</v>
      </c>
      <c r="O1031" s="9">
        <f t="shared" si="4"/>
        <v>0.3842105263</v>
      </c>
      <c r="P1031" s="9">
        <f>IFERROR(__xludf.DUMMYFUNCTION("GOOGLEFINANCE(A1031, ""pe"")"),50.17)</f>
        <v>50.17</v>
      </c>
      <c r="Q1031" s="9">
        <f>IFERROR(__xludf.DUMMYFUNCTION("IFERROR(GOOGLEFINANCE(A1031, ""volume"") / GOOGLEFINANCE(A1031, ""volumeavg""), 0)"),0.0)</f>
        <v>0</v>
      </c>
      <c r="R1031" s="9">
        <f>IFERROR(__xludf.DUMMYFUNCTION("AVERAGE(INDEX(GOOGLEFINANCE(A1031, ""price"", TODAY()-30, TODAY()), 0, 2))"),5534.152173913043)</f>
        <v>5534.152174</v>
      </c>
      <c r="S1031" s="9">
        <f>IFERROR(__xludf.DUMMYFUNCTION("AVERAGE(INDEX(GOOGLEFINANCE(A1031, ""price"", TODAY()-75, TODAY()), 0, 2))"),5532.688679245283)</f>
        <v>5532.688679</v>
      </c>
      <c r="T1031" s="9">
        <f>IFERROR(__xludf.DUMMYFUNCTION("AVERAGE(INDEX(GOOGLEFINANCE(A1031, ""price"", TODAY()-300, TODAY()), 0, 2))"),6026.2896039603975)</f>
        <v>6026.289604</v>
      </c>
      <c r="U1031" s="9">
        <f t="shared" si="5"/>
        <v>0.00060493929</v>
      </c>
      <c r="V1031" s="15">
        <f>IFERROR(__xludf.DUMMYFUNCTION("LET(hist, GOOGLEFINANCE(A1031,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rs))))))"),49.96746909564086)</f>
        <v>49.9674691</v>
      </c>
      <c r="W1031" s="16" t="str">
        <f>IFERROR(__xludf.DUMMYFUNCTION("IFERROR(GOOGLEFINANCE(A1031, ""volume"") / GOOGLEFINANCE(A1031, ""volumeavg""), )"),"")</f>
        <v/>
      </c>
      <c r="X1031" s="9">
        <f>IFERROR(__xludf.DUMMYFUNCTION("B1031 * GOOGLEFINANCE(A1031, ""volume"")"),7143375.0)</f>
        <v>7143375</v>
      </c>
      <c r="Y1031" s="9">
        <f>IFERROR(__xludf.DUMMYFUNCTION("IFERROR(((B1031 - GOOGLEFINANCE(A1031, ""priceopen"")) / GOOGLEFINANCE(A1031, ""priceopen"")) * GOOGLEFINANCE(A1031, ""volume""), 0)"),-14.397321428571429)</f>
        <v>-14.39732143</v>
      </c>
    </row>
    <row r="1032">
      <c r="A1032" s="4" t="s">
        <v>2825</v>
      </c>
      <c r="B1032" s="7">
        <f>IFERROR(__xludf.DUMMYFUNCTION("GOOGLEFINANCE(A1032, ""price"")"),358.0)</f>
        <v>358</v>
      </c>
      <c r="C1032" s="7">
        <f>IFERROR(__xludf.DUMMYFUNCTION("GOOGLEFINANCE(A1032, ""changepct"")"),-3.4)</f>
        <v>-3.4</v>
      </c>
      <c r="D1032" s="9">
        <f>IFERROR(__xludf.DUMMYFUNCTION("GOOGLEFINANCE(A1032, ""priceopen"")"),371.7)</f>
        <v>371.7</v>
      </c>
      <c r="E1032" s="9">
        <f>IFERROR(__xludf.DUMMYFUNCTION("GOOGLEFINANCE(A1032, ""high"")"),374.25)</f>
        <v>374.25</v>
      </c>
      <c r="F1032" s="9">
        <f>IFERROR(__xludf.DUMMYFUNCTION("GOOGLEFINANCE(A1032, ""low"")"),355.1)</f>
        <v>355.1</v>
      </c>
      <c r="G1032" s="9">
        <f>IFERROR(__xludf.DUMMYFUNCTION("GOOGLEFINANCE(A1032, ""price"")"),358.0)</f>
        <v>358</v>
      </c>
      <c r="H1032" s="9">
        <f>IFERROR(__xludf.DUMMYFUNCTION("MAX(INDEX(GOOGLEFINANCE(A1032, ""high"", TODAY()-30, TODAY()), 0, 2))"),395.5)</f>
        <v>395.5</v>
      </c>
      <c r="I1032" s="9">
        <f>IFERROR(__xludf.DUMMYFUNCTION("MIN(INDEX(GOOGLEFINANCE(A1032, ""low"", TODAY()-30, TODAY()), 0, 2))"),326.0)</f>
        <v>326</v>
      </c>
      <c r="J1032" s="9">
        <f>IFERROR(__xludf.DUMMYFUNCTION("GOOGLEFINANCE(A1032, ""high52"")"),398.05)</f>
        <v>398.05</v>
      </c>
      <c r="K1032" s="9">
        <f>IFERROR(__xludf.DUMMYFUNCTION("GOOGLEFINANCE(A1032, ""low52"")"),230.65)</f>
        <v>230.65</v>
      </c>
      <c r="L1032" s="9">
        <f t="shared" si="1"/>
        <v>0.1006155006</v>
      </c>
      <c r="M1032" s="9">
        <f t="shared" si="2"/>
        <v>0.5521352699</v>
      </c>
      <c r="N1032" s="9">
        <f t="shared" si="3"/>
        <v>0.05392847085</v>
      </c>
      <c r="O1032" s="9">
        <f t="shared" si="4"/>
        <v>0.4604316547</v>
      </c>
      <c r="P1032" s="9">
        <f>IFERROR(__xludf.DUMMYFUNCTION("GOOGLEFINANCE(A1032, ""pe"")"),10.12)</f>
        <v>10.12</v>
      </c>
      <c r="Q1032" s="9">
        <f>IFERROR(__xludf.DUMMYFUNCTION("IFERROR(GOOGLEFINANCE(A1032, ""volume"") / GOOGLEFINANCE(A1032, ""volumeavg""), 0)"),0.0)</f>
        <v>0</v>
      </c>
      <c r="R1032" s="9">
        <f>IFERROR(__xludf.DUMMYFUNCTION("AVERAGE(INDEX(GOOGLEFINANCE(A1032, ""price"", TODAY()-30, TODAY()), 0, 2))"),345.84999999999997)</f>
        <v>345.85</v>
      </c>
      <c r="S1032" s="9">
        <f>IFERROR(__xludf.DUMMYFUNCTION("AVERAGE(INDEX(GOOGLEFINANCE(A1032, ""price"", TODAY()-75, TODAY()), 0, 2))"),327.7207547169811)</f>
        <v>327.7207547</v>
      </c>
      <c r="T1032" s="9">
        <f>IFERROR(__xludf.DUMMYFUNCTION("AVERAGE(INDEX(GOOGLEFINANCE(A1032, ""price"", TODAY()-300, TODAY()), 0, 2))"),307.20415841584145)</f>
        <v>307.2041584</v>
      </c>
      <c r="U1032" s="9">
        <f t="shared" si="5"/>
        <v>0.03513083707</v>
      </c>
      <c r="V1032" s="15">
        <f>IFERROR(__xludf.DUMMYFUNCTION("LET(hist, GOOGLEFINANCE(A1032,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rs))))))"),62.154294032023294)</f>
        <v>62.15429403</v>
      </c>
      <c r="W1032" s="16" t="str">
        <f>IFERROR(__xludf.DUMMYFUNCTION("IFERROR(GOOGLEFINANCE(A1032, ""volume"") / GOOGLEFINANCE(A1032, ""volumeavg""), )"),"")</f>
        <v/>
      </c>
      <c r="X1032" s="9">
        <f>IFERROR(__xludf.DUMMYFUNCTION("B1032 * GOOGLEFINANCE(A1032, ""volume"")"),2.5093473E8)</f>
        <v>250934730</v>
      </c>
      <c r="Y1032" s="9">
        <f>IFERROR(__xludf.DUMMYFUNCTION("IFERROR(((B1032 - GOOGLEFINANCE(A1032, ""priceopen"")) / GOOGLEFINANCE(A1032, ""priceopen"")) * GOOGLEFINANCE(A1032, ""volume""), 0)"),-25834.838579499574)</f>
        <v>-25834.83858</v>
      </c>
    </row>
    <row r="1033">
      <c r="A1033" s="4" t="s">
        <v>2826</v>
      </c>
      <c r="B1033" s="7">
        <f>IFERROR(__xludf.DUMMYFUNCTION("GOOGLEFINANCE(A1033, ""price"")"),244.45)</f>
        <v>244.45</v>
      </c>
      <c r="C1033" s="7">
        <f>IFERROR(__xludf.DUMMYFUNCTION("GOOGLEFINANCE(A1033, ""changepct"")"),-0.08)</f>
        <v>-0.08</v>
      </c>
      <c r="D1033" s="9">
        <f>IFERROR(__xludf.DUMMYFUNCTION("GOOGLEFINANCE(A1033, ""priceopen"")"),246.44)</f>
        <v>246.44</v>
      </c>
      <c r="E1033" s="9">
        <f>IFERROR(__xludf.DUMMYFUNCTION("GOOGLEFINANCE(A1033, ""high"")"),250.0)</f>
        <v>250</v>
      </c>
      <c r="F1033" s="9">
        <f>IFERROR(__xludf.DUMMYFUNCTION("GOOGLEFINANCE(A1033, ""low"")"),240.01)</f>
        <v>240.01</v>
      </c>
      <c r="G1033" s="9">
        <f>IFERROR(__xludf.DUMMYFUNCTION("GOOGLEFINANCE(A1033, ""price"")"),244.45)</f>
        <v>244.45</v>
      </c>
      <c r="H1033" s="9">
        <f>IFERROR(__xludf.DUMMYFUNCTION("MAX(INDEX(GOOGLEFINANCE(A1033, ""high"", TODAY()-30, TODAY()), 0, 2))"),266.0)</f>
        <v>266</v>
      </c>
      <c r="I1033" s="9">
        <f>IFERROR(__xludf.DUMMYFUNCTION("MIN(INDEX(GOOGLEFINANCE(A1033, ""low"", TODAY()-30, TODAY()), 0, 2))"),226.37)</f>
        <v>226.37</v>
      </c>
      <c r="J1033" s="9">
        <f>IFERROR(__xludf.DUMMYFUNCTION("GOOGLEFINANCE(A1033, ""high52"")"),397.95)</f>
        <v>397.95</v>
      </c>
      <c r="K1033" s="9">
        <f>IFERROR(__xludf.DUMMYFUNCTION("GOOGLEFINANCE(A1033, ""low52"")"),213.73)</f>
        <v>213.73</v>
      </c>
      <c r="L1033" s="9">
        <f t="shared" si="1"/>
        <v>0.3857268501</v>
      </c>
      <c r="M1033" s="9">
        <f t="shared" si="2"/>
        <v>0.1437327469</v>
      </c>
      <c r="N1033" s="9">
        <f t="shared" si="3"/>
        <v>0.0416232657</v>
      </c>
      <c r="O1033" s="9">
        <f t="shared" si="4"/>
        <v>0.4562200353</v>
      </c>
      <c r="P1033" s="9">
        <f>IFERROR(__xludf.DUMMYFUNCTION("GOOGLEFINANCE(A1033, ""pe"")"),39.17)</f>
        <v>39.17</v>
      </c>
      <c r="Q1033" s="9">
        <f>IFERROR(__xludf.DUMMYFUNCTION("IFERROR(GOOGLEFINANCE(A1033, ""volume"") / GOOGLEFINANCE(A1033, ""volumeavg""), 0)"),0.0)</f>
        <v>0</v>
      </c>
      <c r="R1033" s="9">
        <f>IFERROR(__xludf.DUMMYFUNCTION("AVERAGE(INDEX(GOOGLEFINANCE(A1033, ""price"", TODAY()-30, TODAY()), 0, 2))"),239.6947826086956)</f>
        <v>239.6947826</v>
      </c>
      <c r="S1033" s="9">
        <f>IFERROR(__xludf.DUMMYFUNCTION("AVERAGE(INDEX(GOOGLEFINANCE(A1033, ""price"", TODAY()-75, TODAY()), 0, 2))"),233.33037735849058)</f>
        <v>233.3303774</v>
      </c>
      <c r="T1033" s="9">
        <f>IFERROR(__xludf.DUMMYFUNCTION("AVERAGE(INDEX(GOOGLEFINANCE(A1033, ""price"", TODAY()-300, TODAY()), 0, 2))"),262.3983663366336)</f>
        <v>262.3983663</v>
      </c>
      <c r="U1033" s="9">
        <f t="shared" si="5"/>
        <v>0.01983863537</v>
      </c>
      <c r="V1033" s="15">
        <f>IFERROR(__xludf.DUMMYFUNCTION("LET(hist, GOOGLEFINANCE(A1033,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rs))))))"),58.82608695652174)</f>
        <v>58.82608696</v>
      </c>
      <c r="W1033" s="16" t="str">
        <f>IFERROR(__xludf.DUMMYFUNCTION("IFERROR(GOOGLEFINANCE(A1033, ""volume"") / GOOGLEFINANCE(A1033, ""volumeavg""), )"),"")</f>
        <v/>
      </c>
      <c r="X1033" s="9">
        <f>IFERROR(__xludf.DUMMYFUNCTION("B1033 * GOOGLEFINANCE(A1033, ""volume"")"),7242075.699999999)</f>
        <v>7242075.7</v>
      </c>
      <c r="Y1033" s="9">
        <f>IFERROR(__xludf.DUMMYFUNCTION("IFERROR(((B1033 - GOOGLEFINANCE(A1033, ""priceopen"")) / GOOGLEFINANCE(A1033, ""priceopen"")) * GOOGLEFINANCE(A1033, ""volume""), 0)"),-239.22958935237898)</f>
        <v>-239.2295894</v>
      </c>
    </row>
    <row r="1034">
      <c r="A1034" s="4" t="s">
        <v>2827</v>
      </c>
      <c r="B1034" s="7">
        <f>IFERROR(__xludf.DUMMYFUNCTION("GOOGLEFINANCE(A1034, ""price"")"),134.0)</f>
        <v>134</v>
      </c>
      <c r="C1034" s="7">
        <f>IFERROR(__xludf.DUMMYFUNCTION("GOOGLEFINANCE(A1034, ""changepct"")"),-0.1)</f>
        <v>-0.1</v>
      </c>
      <c r="D1034" s="9">
        <f>IFERROR(__xludf.DUMMYFUNCTION("GOOGLEFINANCE(A1034, ""priceopen"")"),134.1)</f>
        <v>134.1</v>
      </c>
      <c r="E1034" s="9">
        <f>IFERROR(__xludf.DUMMYFUNCTION("GOOGLEFINANCE(A1034, ""high"")"),134.57)</f>
        <v>134.57</v>
      </c>
      <c r="F1034" s="9">
        <f>IFERROR(__xludf.DUMMYFUNCTION("GOOGLEFINANCE(A1034, ""low"")"),132.38)</f>
        <v>132.38</v>
      </c>
      <c r="G1034" s="9">
        <f>IFERROR(__xludf.DUMMYFUNCTION("GOOGLEFINANCE(A1034, ""price"")"),134.0)</f>
        <v>134</v>
      </c>
      <c r="H1034" s="9">
        <f>IFERROR(__xludf.DUMMYFUNCTION("MAX(INDEX(GOOGLEFINANCE(A1034, ""high"", TODAY()-30, TODAY()), 0, 2))"),142.32)</f>
        <v>142.32</v>
      </c>
      <c r="I1034" s="9">
        <f>IFERROR(__xludf.DUMMYFUNCTION("MIN(INDEX(GOOGLEFINANCE(A1034, ""low"", TODAY()-30, TODAY()), 0, 2))"),130.62)</f>
        <v>130.62</v>
      </c>
      <c r="J1034" s="9">
        <f>IFERROR(__xludf.DUMMYFUNCTION("GOOGLEFINANCE(A1034, ""high52"")"),244.37)</f>
        <v>244.37</v>
      </c>
      <c r="K1034" s="9">
        <f>IFERROR(__xludf.DUMMYFUNCTION("GOOGLEFINANCE(A1034, ""low52"")"),122.32)</f>
        <v>122.32</v>
      </c>
      <c r="L1034" s="9">
        <f t="shared" si="1"/>
        <v>0.4516511847</v>
      </c>
      <c r="M1034" s="9">
        <f t="shared" si="2"/>
        <v>0.09548724657</v>
      </c>
      <c r="N1034" s="9">
        <f t="shared" si="3"/>
        <v>0.01654328448</v>
      </c>
      <c r="O1034" s="9">
        <f t="shared" si="4"/>
        <v>0.2888888889</v>
      </c>
      <c r="P1034" s="9">
        <f>IFERROR(__xludf.DUMMYFUNCTION("GOOGLEFINANCE(A1034, ""pe"")"),13.14)</f>
        <v>13.14</v>
      </c>
      <c r="Q1034" s="9">
        <f>IFERROR(__xludf.DUMMYFUNCTION("IFERROR(GOOGLEFINANCE(A1034, ""volume"") / GOOGLEFINANCE(A1034, ""volumeavg""), 0)"),0.0)</f>
        <v>0</v>
      </c>
      <c r="R1034" s="9">
        <f>IFERROR(__xludf.DUMMYFUNCTION("AVERAGE(INDEX(GOOGLEFINANCE(A1034, ""price"", TODAY()-30, TODAY()), 0, 2))"),136.8286956521739)</f>
        <v>136.8286957</v>
      </c>
      <c r="S1034" s="9">
        <f>IFERROR(__xludf.DUMMYFUNCTION("AVERAGE(INDEX(GOOGLEFINANCE(A1034, ""price"", TODAY()-75, TODAY()), 0, 2))"),136.10679245283018)</f>
        <v>136.1067925</v>
      </c>
      <c r="T1034" s="9">
        <f>IFERROR(__xludf.DUMMYFUNCTION("AVERAGE(INDEX(GOOGLEFINANCE(A1034, ""price"", TODAY()-300, TODAY()), 0, 2))"),154.61980198019802)</f>
        <v>154.619802</v>
      </c>
      <c r="U1034" s="9">
        <f t="shared" si="5"/>
        <v>-0.0206732633</v>
      </c>
      <c r="V1034" s="15">
        <f>IFERROR(__xludf.DUMMYFUNCTION("LET(hist, GOOGLEFINANCE(A1034,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rs))))))"),48.29059829059833)</f>
        <v>48.29059829</v>
      </c>
      <c r="W1034" s="16" t="str">
        <f>IFERROR(__xludf.DUMMYFUNCTION("IFERROR(GOOGLEFINANCE(A1034, ""volume"") / GOOGLEFINANCE(A1034, ""volumeavg""), )"),"")</f>
        <v/>
      </c>
      <c r="X1034" s="9">
        <f>IFERROR(__xludf.DUMMYFUNCTION("B1034 * GOOGLEFINANCE(A1034, ""volume"")"),3.1782388E7)</f>
        <v>31782388</v>
      </c>
      <c r="Y1034" s="9">
        <f>IFERROR(__xludf.DUMMYFUNCTION("IFERROR(((B1034 - GOOGLEFINANCE(A1034, ""priceopen"")) / GOOGLEFINANCE(A1034, ""priceopen"")) * GOOGLEFINANCE(A1034, ""volume""), 0)"),-176.86950037284603)</f>
        <v>-176.8695004</v>
      </c>
    </row>
    <row r="1035">
      <c r="A1035" s="4" t="s">
        <v>2828</v>
      </c>
      <c r="B1035" s="7">
        <f>IFERROR(__xludf.DUMMYFUNCTION("GOOGLEFINANCE(A1035, ""price"")"),5190.0)</f>
        <v>5190</v>
      </c>
      <c r="C1035" s="7">
        <f>IFERROR(__xludf.DUMMYFUNCTION("GOOGLEFINANCE(A1035, ""changepct"")"),-2.94)</f>
        <v>-2.94</v>
      </c>
      <c r="D1035" s="9">
        <f>IFERROR(__xludf.DUMMYFUNCTION("GOOGLEFINANCE(A1035, ""priceopen"")"),5347.4)</f>
        <v>5347.4</v>
      </c>
      <c r="E1035" s="9">
        <f>IFERROR(__xludf.DUMMYFUNCTION("GOOGLEFINANCE(A1035, ""high"")"),5444.9)</f>
        <v>5444.9</v>
      </c>
      <c r="F1035" s="9">
        <f>IFERROR(__xludf.DUMMYFUNCTION("GOOGLEFINANCE(A1035, ""low"")"),5080.1)</f>
        <v>5080.1</v>
      </c>
      <c r="G1035" s="9">
        <f>IFERROR(__xludf.DUMMYFUNCTION("GOOGLEFINANCE(A1035, ""price"")"),5190.0)</f>
        <v>5190</v>
      </c>
      <c r="H1035" s="9">
        <f>IFERROR(__xludf.DUMMYFUNCTION("MAX(INDEX(GOOGLEFINANCE(A1035, ""high"", TODAY()-30, TODAY()), 0, 2))"),5800.0)</f>
        <v>5800</v>
      </c>
      <c r="I1035" s="9">
        <f>IFERROR(__xludf.DUMMYFUNCTION("MIN(INDEX(GOOGLEFINANCE(A1035, ""low"", TODAY()-30, TODAY()), 0, 2))"),3222.8)</f>
        <v>3222.8</v>
      </c>
      <c r="J1035" s="9">
        <f>IFERROR(__xludf.DUMMYFUNCTION("GOOGLEFINANCE(A1035, ""high52"")"),6198.0)</f>
        <v>6198</v>
      </c>
      <c r="K1035" s="9">
        <f>IFERROR(__xludf.DUMMYFUNCTION("GOOGLEFINANCE(A1035, ""low52"")"),3222.8)</f>
        <v>3222.8</v>
      </c>
      <c r="L1035" s="9">
        <f t="shared" si="1"/>
        <v>0.1626331075</v>
      </c>
      <c r="M1035" s="9">
        <f t="shared" si="2"/>
        <v>0.6104008936</v>
      </c>
      <c r="N1035" s="9">
        <f t="shared" si="3"/>
        <v>0.07180961005</v>
      </c>
      <c r="O1035" s="9">
        <f t="shared" si="4"/>
        <v>0.7633090175</v>
      </c>
      <c r="P1035" s="9">
        <f>IFERROR(__xludf.DUMMYFUNCTION("GOOGLEFINANCE(A1035, ""pe"")"),15264.71)</f>
        <v>15264.71</v>
      </c>
      <c r="Q1035" s="9">
        <f>IFERROR(__xludf.DUMMYFUNCTION("IFERROR(GOOGLEFINANCE(A1035, ""volume"") / GOOGLEFINANCE(A1035, ""volumeavg""), 0)"),0.0)</f>
        <v>0</v>
      </c>
      <c r="R1035" s="9">
        <f>IFERROR(__xludf.DUMMYFUNCTION("AVERAGE(INDEX(GOOGLEFINANCE(A1035, ""price"", TODAY()-30, TODAY()), 0, 2))"),4406.639130434783)</f>
        <v>4406.63913</v>
      </c>
      <c r="S1035" s="9">
        <f>IFERROR(__xludf.DUMMYFUNCTION("AVERAGE(INDEX(GOOGLEFINANCE(A1035, ""price"", TODAY()-75, TODAY()), 0, 2))"),4649.367924528301)</f>
        <v>4649.367925</v>
      </c>
      <c r="T1035" s="9">
        <f>IFERROR(__xludf.DUMMYFUNCTION("AVERAGE(INDEX(GOOGLEFINANCE(A1035, ""price"", TODAY()-300, TODAY()), 0, 2))"),4955.364556962023)</f>
        <v>4955.364557</v>
      </c>
      <c r="U1035" s="9">
        <f t="shared" si="5"/>
        <v>0.1777683278</v>
      </c>
      <c r="V1035" s="15">
        <f>IFERROR(__xludf.DUMMYFUNCTION("LET(hist, GOOGLEFINANCE(A1035,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rs))))))"),61.153163255770494)</f>
        <v>61.15316326</v>
      </c>
      <c r="W1035" s="16" t="str">
        <f>IFERROR(__xludf.DUMMYFUNCTION("IFERROR(GOOGLEFINANCE(A1035, ""volume"") / GOOGLEFINANCE(A1035, ""volumeavg""), )"),"")</f>
        <v/>
      </c>
      <c r="X1035" s="9">
        <f>IFERROR(__xludf.DUMMYFUNCTION("B1035 * GOOGLEFINANCE(A1035, ""volume"")"),6290280.0)</f>
        <v>6290280</v>
      </c>
      <c r="Y1035" s="9">
        <f>IFERROR(__xludf.DUMMYFUNCTION("IFERROR(((B1035 - GOOGLEFINANCE(A1035, ""priceopen"")) / GOOGLEFINANCE(A1035, ""priceopen"")) * GOOGLEFINANCE(A1035, ""volume""), 0)"),-35.67505703706466)</f>
        <v>-35.67505704</v>
      </c>
    </row>
    <row r="1036">
      <c r="A1036" s="4" t="s">
        <v>2829</v>
      </c>
      <c r="B1036" s="7">
        <f>IFERROR(__xludf.DUMMYFUNCTION("GOOGLEFINANCE(A1036, ""price"")"),501.5)</f>
        <v>501.5</v>
      </c>
      <c r="C1036" s="7">
        <f>IFERROR(__xludf.DUMMYFUNCTION("GOOGLEFINANCE(A1036, ""changepct"")"),-0.67)</f>
        <v>-0.67</v>
      </c>
      <c r="D1036" s="9">
        <f>IFERROR(__xludf.DUMMYFUNCTION("GOOGLEFINANCE(A1036, ""priceopen"")"),503.9)</f>
        <v>503.9</v>
      </c>
      <c r="E1036" s="9">
        <f>IFERROR(__xludf.DUMMYFUNCTION("GOOGLEFINANCE(A1036, ""high"")"),510.0)</f>
        <v>510</v>
      </c>
      <c r="F1036" s="9">
        <f>IFERROR(__xludf.DUMMYFUNCTION("GOOGLEFINANCE(A1036, ""low"")"),498.6)</f>
        <v>498.6</v>
      </c>
      <c r="G1036" s="9">
        <f>IFERROR(__xludf.DUMMYFUNCTION("GOOGLEFINANCE(A1036, ""price"")"),501.5)</f>
        <v>501.5</v>
      </c>
      <c r="H1036" s="9">
        <f>IFERROR(__xludf.DUMMYFUNCTION("MAX(INDEX(GOOGLEFINANCE(A1036, ""high"", TODAY()-30, TODAY()), 0, 2))"),549.0)</f>
        <v>549</v>
      </c>
      <c r="I1036" s="9">
        <f>IFERROR(__xludf.DUMMYFUNCTION("MIN(INDEX(GOOGLEFINANCE(A1036, ""low"", TODAY()-30, TODAY()), 0, 2))"),487.0)</f>
        <v>487</v>
      </c>
      <c r="J1036" s="9">
        <f>IFERROR(__xludf.DUMMYFUNCTION("GOOGLEFINANCE(A1036, ""high52"")"),690.3)</f>
        <v>690.3</v>
      </c>
      <c r="K1036" s="9">
        <f>IFERROR(__xludf.DUMMYFUNCTION("GOOGLEFINANCE(A1036, ""low52"")"),375.0)</f>
        <v>375</v>
      </c>
      <c r="L1036" s="9">
        <f t="shared" si="1"/>
        <v>0.2735042735</v>
      </c>
      <c r="M1036" s="9">
        <f t="shared" si="2"/>
        <v>0.3373333333</v>
      </c>
      <c r="N1036" s="9">
        <f t="shared" si="3"/>
        <v>0.02286401925</v>
      </c>
      <c r="O1036" s="9">
        <f t="shared" si="4"/>
        <v>0.2338709677</v>
      </c>
      <c r="P1036" s="9">
        <f>IFERROR(__xludf.DUMMYFUNCTION("GOOGLEFINANCE(A1036, ""pe"")"),18.44)</f>
        <v>18.44</v>
      </c>
      <c r="Q1036" s="9">
        <f>IFERROR(__xludf.DUMMYFUNCTION("IFERROR(GOOGLEFINANCE(A1036, ""volume"") / GOOGLEFINANCE(A1036, ""volumeavg""), 0)"),0.0)</f>
        <v>0</v>
      </c>
      <c r="R1036" s="9">
        <f>IFERROR(__xludf.DUMMYFUNCTION("AVERAGE(INDEX(GOOGLEFINANCE(A1036, ""price"", TODAY()-30, TODAY()), 0, 2))"),513.9630434782608)</f>
        <v>513.9630435</v>
      </c>
      <c r="S1036" s="9">
        <f>IFERROR(__xludf.DUMMYFUNCTION("AVERAGE(INDEX(GOOGLEFINANCE(A1036, ""price"", TODAY()-75, TODAY()), 0, 2))"),519.3443396226417)</f>
        <v>519.3443396</v>
      </c>
      <c r="T1036" s="9">
        <f>IFERROR(__xludf.DUMMYFUNCTION("AVERAGE(INDEX(GOOGLEFINANCE(A1036, ""price"", TODAY()-300, TODAY()), 0, 2))"),533.7534653465341)</f>
        <v>533.7534653</v>
      </c>
      <c r="U1036" s="9">
        <f t="shared" si="5"/>
        <v>-0.02424890979</v>
      </c>
      <c r="V1036" s="15">
        <f>IFERROR(__xludf.DUMMYFUNCTION("LET(hist, GOOGLEFINANCE(A1036,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rs))))))"),56.886840757808486)</f>
        <v>56.88684076</v>
      </c>
      <c r="W1036" s="16" t="str">
        <f>IFERROR(__xludf.DUMMYFUNCTION("IFERROR(GOOGLEFINANCE(A1036, ""volume"") / GOOGLEFINANCE(A1036, ""volumeavg""), )"),"")</f>
        <v/>
      </c>
      <c r="X1036" s="9">
        <f>IFERROR(__xludf.DUMMYFUNCTION("B1036 * GOOGLEFINANCE(A1036, ""volume"")"),2.05188725E7)</f>
        <v>20518872.5</v>
      </c>
      <c r="Y1036" s="9">
        <f>IFERROR(__xludf.DUMMYFUNCTION("IFERROR(((B1036 - GOOGLEFINANCE(A1036, ""priceopen"")) / GOOGLEFINANCE(A1036, ""priceopen"")) * GOOGLEFINANCE(A1036, ""volume""), 0)"),-194.87199841238157)</f>
        <v>-194.8719984</v>
      </c>
    </row>
    <row r="1037">
      <c r="A1037" s="4" t="s">
        <v>2830</v>
      </c>
      <c r="B1037" s="7">
        <f>IFERROR(__xludf.DUMMYFUNCTION("GOOGLEFINANCE(A1037, ""price"")"),290.95)</f>
        <v>290.95</v>
      </c>
      <c r="C1037" s="7">
        <f>IFERROR(__xludf.DUMMYFUNCTION("GOOGLEFINANCE(A1037, ""changepct"")"),0.22)</f>
        <v>0.22</v>
      </c>
      <c r="D1037" s="9">
        <f>IFERROR(__xludf.DUMMYFUNCTION("GOOGLEFINANCE(A1037, ""priceopen"")"),290.25)</f>
        <v>290.25</v>
      </c>
      <c r="E1037" s="9">
        <f>IFERROR(__xludf.DUMMYFUNCTION("GOOGLEFINANCE(A1037, ""high"")"),303.9)</f>
        <v>303.9</v>
      </c>
      <c r="F1037" s="9">
        <f>IFERROR(__xludf.DUMMYFUNCTION("GOOGLEFINANCE(A1037, ""low"")"),288.55)</f>
        <v>288.55</v>
      </c>
      <c r="G1037" s="9">
        <f>IFERROR(__xludf.DUMMYFUNCTION("GOOGLEFINANCE(A1037, ""price"")"),290.95)</f>
        <v>290.95</v>
      </c>
      <c r="H1037" s="9">
        <f>IFERROR(__xludf.DUMMYFUNCTION("MAX(INDEX(GOOGLEFINANCE(A1037, ""high"", TODAY()-30, TODAY()), 0, 2))"),315.0)</f>
        <v>315</v>
      </c>
      <c r="I1037" s="9">
        <f>IFERROR(__xludf.DUMMYFUNCTION("MIN(INDEX(GOOGLEFINANCE(A1037, ""low"", TODAY()-30, TODAY()), 0, 2))"),265.0)</f>
        <v>265</v>
      </c>
      <c r="J1037" s="9">
        <f>IFERROR(__xludf.DUMMYFUNCTION("GOOGLEFINANCE(A1037, ""high52"")"),360.0)</f>
        <v>360</v>
      </c>
      <c r="K1037" s="9">
        <f>IFERROR(__xludf.DUMMYFUNCTION("GOOGLEFINANCE(A1037, ""low52"")"),185.15)</f>
        <v>185.15</v>
      </c>
      <c r="L1037" s="9">
        <f t="shared" si="1"/>
        <v>0.1918055556</v>
      </c>
      <c r="M1037" s="9">
        <f t="shared" si="2"/>
        <v>0.5714285714</v>
      </c>
      <c r="N1037" s="9">
        <f t="shared" si="3"/>
        <v>0.05319701958</v>
      </c>
      <c r="O1037" s="9">
        <f t="shared" si="4"/>
        <v>0.519</v>
      </c>
      <c r="P1037" s="9">
        <f>IFERROR(__xludf.DUMMYFUNCTION("GOOGLEFINANCE(A1037, ""pe"")"),14.92)</f>
        <v>14.92</v>
      </c>
      <c r="Q1037" s="9">
        <f>IFERROR(__xludf.DUMMYFUNCTION("IFERROR(GOOGLEFINANCE(A1037, ""volume"") / GOOGLEFINANCE(A1037, ""volumeavg""), 0)"),0.0)</f>
        <v>0</v>
      </c>
      <c r="R1037" s="9">
        <f>IFERROR(__xludf.DUMMYFUNCTION("AVERAGE(INDEX(GOOGLEFINANCE(A1037, ""price"", TODAY()-30, TODAY()), 0, 2))"),284.21304347826083)</f>
        <v>284.2130435</v>
      </c>
      <c r="S1037" s="9">
        <f>IFERROR(__xludf.DUMMYFUNCTION("AVERAGE(INDEX(GOOGLEFINANCE(A1037, ""price"", TODAY()-75, TODAY()), 0, 2))"),272.5215094339623)</f>
        <v>272.5215094</v>
      </c>
      <c r="T1037" s="9">
        <f>IFERROR(__xludf.DUMMYFUNCTION("AVERAGE(INDEX(GOOGLEFINANCE(A1037, ""price"", TODAY()-300, TODAY()), 0, 2))"),271.00064356435644)</f>
        <v>271.0006436</v>
      </c>
      <c r="U1037" s="9">
        <f t="shared" si="5"/>
        <v>0.02370389634</v>
      </c>
      <c r="V1037" s="15">
        <f>IFERROR(__xludf.DUMMYFUNCTION("LET(hist, GOOGLEFINANCE(A1037,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rs))))))"),59.55806783144913)</f>
        <v>59.55806783</v>
      </c>
      <c r="W1037" s="16" t="str">
        <f>IFERROR(__xludf.DUMMYFUNCTION("IFERROR(GOOGLEFINANCE(A1037, ""volume"") / GOOGLEFINANCE(A1037, ""volumeavg""), )"),"")</f>
        <v/>
      </c>
      <c r="X1037" s="9">
        <f>IFERROR(__xludf.DUMMYFUNCTION("B1037 * GOOGLEFINANCE(A1037, ""volume"")"),6.6224002349999994E7)</f>
        <v>66224002.35</v>
      </c>
      <c r="Y1037" s="9">
        <f>IFERROR(__xludf.DUMMYFUNCTION("IFERROR(((B1037 - GOOGLEFINANCE(A1037, ""priceopen"")) / GOOGLEFINANCE(A1037, ""priceopen"")) * GOOGLEFINANCE(A1037, ""volume""), 0)"),548.9374677002495)</f>
        <v>548.9374677</v>
      </c>
    </row>
    <row r="1038">
      <c r="A1038" s="4" t="s">
        <v>2831</v>
      </c>
      <c r="B1038" s="7">
        <f>IFERROR(__xludf.DUMMYFUNCTION("GOOGLEFINANCE(A1038, ""price"")"),661.0)</f>
        <v>661</v>
      </c>
      <c r="C1038" s="7">
        <f>IFERROR(__xludf.DUMMYFUNCTION("GOOGLEFINANCE(A1038, ""changepct"")"),5.0)</f>
        <v>5</v>
      </c>
      <c r="D1038" s="9">
        <f>IFERROR(__xludf.DUMMYFUNCTION("GOOGLEFINANCE(A1038, ""priceopen"")"),648.0)</f>
        <v>648</v>
      </c>
      <c r="E1038" s="9">
        <f>IFERROR(__xludf.DUMMYFUNCTION("GOOGLEFINANCE(A1038, ""high"")"),692.45)</f>
        <v>692.45</v>
      </c>
      <c r="F1038" s="9">
        <f>IFERROR(__xludf.DUMMYFUNCTION("GOOGLEFINANCE(A1038, ""low"")"),637.5)</f>
        <v>637.5</v>
      </c>
      <c r="G1038" s="9">
        <f>IFERROR(__xludf.DUMMYFUNCTION("GOOGLEFINANCE(A1038, ""price"")"),661.0)</f>
        <v>661</v>
      </c>
      <c r="H1038" s="9">
        <f>IFERROR(__xludf.DUMMYFUNCTION("MAX(INDEX(GOOGLEFINANCE(A1038, ""high"", TODAY()-30, TODAY()), 0, 2))"),747.55)</f>
        <v>747.55</v>
      </c>
      <c r="I1038" s="9">
        <f>IFERROR(__xludf.DUMMYFUNCTION("MIN(INDEX(GOOGLEFINANCE(A1038, ""low"", TODAY()-30, TODAY()), 0, 2))"),617.6)</f>
        <v>617.6</v>
      </c>
      <c r="J1038" s="9">
        <f>IFERROR(__xludf.DUMMYFUNCTION("GOOGLEFINANCE(A1038, ""high52"")"),1026.45)</f>
        <v>1026.45</v>
      </c>
      <c r="K1038" s="9">
        <f>IFERROR(__xludf.DUMMYFUNCTION("GOOGLEFINANCE(A1038, ""low52"")"),365.0)</f>
        <v>365</v>
      </c>
      <c r="L1038" s="9">
        <f t="shared" si="1"/>
        <v>0.356032929</v>
      </c>
      <c r="M1038" s="9">
        <f t="shared" si="2"/>
        <v>0.8109589041</v>
      </c>
      <c r="N1038" s="9">
        <f t="shared" si="3"/>
        <v>0.08619607843</v>
      </c>
      <c r="O1038" s="9">
        <f t="shared" si="4"/>
        <v>0.3339746056</v>
      </c>
      <c r="P1038" s="9" t="str">
        <f>IFERROR(__xludf.DUMMYFUNCTION("GOOGLEFINANCE(A1038, ""pe"")"),"#N/A")</f>
        <v>#N/A</v>
      </c>
      <c r="Q1038" s="9">
        <f>IFERROR(__xludf.DUMMYFUNCTION("IFERROR(GOOGLEFINANCE(A1038, ""volume"") / GOOGLEFINANCE(A1038, ""volumeavg""), 0)"),0.0)</f>
        <v>0</v>
      </c>
      <c r="R1038" s="9">
        <f>IFERROR(__xludf.DUMMYFUNCTION("AVERAGE(INDEX(GOOGLEFINANCE(A1038, ""price"", TODAY()-30, TODAY()), 0, 2))"),645.8282608695652)</f>
        <v>645.8282609</v>
      </c>
      <c r="S1038" s="9">
        <f>IFERROR(__xludf.DUMMYFUNCTION("AVERAGE(INDEX(GOOGLEFINANCE(A1038, ""price"", TODAY()-75, TODAY()), 0, 2))"),657.6509433962265)</f>
        <v>657.6509434</v>
      </c>
      <c r="T1038" s="9">
        <f>IFERROR(__xludf.DUMMYFUNCTION("AVERAGE(INDEX(GOOGLEFINANCE(A1038, ""price"", TODAY()-300, TODAY()), 0, 2))"),613.9308457711443)</f>
        <v>613.9308458</v>
      </c>
      <c r="U1038" s="9">
        <f t="shared" si="5"/>
        <v>0.02349190961</v>
      </c>
      <c r="V1038" s="15">
        <f>IFERROR(__xludf.DUMMYFUNCTION("LET(hist, GOOGLEFINANCE(A1038,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rs))))))"),64.16213544241225)</f>
        <v>64.16213544</v>
      </c>
      <c r="W1038" s="16" t="str">
        <f>IFERROR(__xludf.DUMMYFUNCTION("IFERROR(GOOGLEFINANCE(A1038, ""volume"") / GOOGLEFINANCE(A1038, ""volumeavg""), )"),"")</f>
        <v/>
      </c>
      <c r="X1038" s="9">
        <f>IFERROR(__xludf.DUMMYFUNCTION("B1038 * GOOGLEFINANCE(A1038, ""volume"")"),1.46494786E8)</f>
        <v>146494786</v>
      </c>
      <c r="Y1038" s="9">
        <f>IFERROR(__xludf.DUMMYFUNCTION("IFERROR(((B1038 - GOOGLEFINANCE(A1038, ""priceopen"")) / GOOGLEFINANCE(A1038, ""priceopen"")) * GOOGLEFINANCE(A1038, ""volume""), 0)"),4446.20061728395)</f>
        <v>4446.200617</v>
      </c>
    </row>
    <row r="1039">
      <c r="A1039" s="4" t="s">
        <v>2832</v>
      </c>
      <c r="B1039" s="7">
        <f>IFERROR(__xludf.DUMMYFUNCTION("GOOGLEFINANCE(A1039, ""price"")"),1199.8)</f>
        <v>1199.8</v>
      </c>
      <c r="C1039" s="7">
        <f>IFERROR(__xludf.DUMMYFUNCTION("GOOGLEFINANCE(A1039, ""changepct"")"),-0.64)</f>
        <v>-0.64</v>
      </c>
      <c r="D1039" s="9">
        <f>IFERROR(__xludf.DUMMYFUNCTION("GOOGLEFINANCE(A1039, ""priceopen"")"),1229.0)</f>
        <v>1229</v>
      </c>
      <c r="E1039" s="9">
        <f>IFERROR(__xludf.DUMMYFUNCTION("GOOGLEFINANCE(A1039, ""high"")"),1229.0)</f>
        <v>1229</v>
      </c>
      <c r="F1039" s="9">
        <f>IFERROR(__xludf.DUMMYFUNCTION("GOOGLEFINANCE(A1039, ""low"")"),1175.5)</f>
        <v>1175.5</v>
      </c>
      <c r="G1039" s="9">
        <f>IFERROR(__xludf.DUMMYFUNCTION("GOOGLEFINANCE(A1039, ""price"")"),1199.8)</f>
        <v>1199.8</v>
      </c>
      <c r="H1039" s="9">
        <f>IFERROR(__xludf.DUMMYFUNCTION("MAX(INDEX(GOOGLEFINANCE(A1039, ""high"", TODAY()-30, TODAY()), 0, 2))"),1245.0)</f>
        <v>1245</v>
      </c>
      <c r="I1039" s="9">
        <f>IFERROR(__xludf.DUMMYFUNCTION("MIN(INDEX(GOOGLEFINANCE(A1039, ""low"", TODAY()-30, TODAY()), 0, 2))"),1062.3)</f>
        <v>1062.3</v>
      </c>
      <c r="J1039" s="9">
        <f>IFERROR(__xludf.DUMMYFUNCTION("GOOGLEFINANCE(A1039, ""high52"")"),1245.0)</f>
        <v>1245</v>
      </c>
      <c r="K1039" s="9">
        <f>IFERROR(__xludf.DUMMYFUNCTION("GOOGLEFINANCE(A1039, ""low52"")"),858.9)</f>
        <v>858.9</v>
      </c>
      <c r="L1039" s="9">
        <f t="shared" si="1"/>
        <v>0.03630522088</v>
      </c>
      <c r="M1039" s="9">
        <f t="shared" si="2"/>
        <v>0.3969030155</v>
      </c>
      <c r="N1039" s="9">
        <f t="shared" si="3"/>
        <v>0.04551254785</v>
      </c>
      <c r="O1039" s="9">
        <f t="shared" si="4"/>
        <v>0.7525998905</v>
      </c>
      <c r="P1039" s="9">
        <f>IFERROR(__xludf.DUMMYFUNCTION("GOOGLEFINANCE(A1039, ""pe"")"),249.44)</f>
        <v>249.44</v>
      </c>
      <c r="Q1039" s="9">
        <f>IFERROR(__xludf.DUMMYFUNCTION("IFERROR(GOOGLEFINANCE(A1039, ""volume"") / GOOGLEFINANCE(A1039, ""volumeavg""), 0)"),0.0)</f>
        <v>0</v>
      </c>
      <c r="R1039" s="9">
        <f>IFERROR(__xludf.DUMMYFUNCTION("AVERAGE(INDEX(GOOGLEFINANCE(A1039, ""price"", TODAY()-30, TODAY()), 0, 2))"),1160.4565217391305)</f>
        <v>1160.456522</v>
      </c>
      <c r="S1039" s="9">
        <f>IFERROR(__xludf.DUMMYFUNCTION("AVERAGE(INDEX(GOOGLEFINANCE(A1039, ""price"", TODAY()-75, TODAY()), 0, 2))"),1151.0905660377357)</f>
        <v>1151.090566</v>
      </c>
      <c r="T1039" s="9">
        <f>IFERROR(__xludf.DUMMYFUNCTION("AVERAGE(INDEX(GOOGLEFINANCE(A1039, ""price"", TODAY()-300, TODAY()), 0, 2))"),1077.9445273631845)</f>
        <v>1077.944527</v>
      </c>
      <c r="U1039" s="9">
        <f t="shared" si="5"/>
        <v>0.03390344879</v>
      </c>
      <c r="V1039" s="15">
        <f>IFERROR(__xludf.DUMMYFUNCTION("LET(hist, GOOGLEFINANCE(A1039,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rs))))))"),65.52411319250695)</f>
        <v>65.52411319</v>
      </c>
      <c r="W1039" s="16" t="str">
        <f>IFERROR(__xludf.DUMMYFUNCTION("IFERROR(GOOGLEFINANCE(A1039, ""volume"") / GOOGLEFINANCE(A1039, ""volumeavg""), )"),"")</f>
        <v/>
      </c>
      <c r="X1039" s="9">
        <f>IFERROR(__xludf.DUMMYFUNCTION("B1039 * GOOGLEFINANCE(A1039, ""volume"")"),3.33820354E7)</f>
        <v>33382035.4</v>
      </c>
      <c r="Y1039" s="9">
        <f>IFERROR(__xludf.DUMMYFUNCTION("IFERROR(((B1039 - GOOGLEFINANCE(A1039, ""priceopen"")) / GOOGLEFINANCE(A1039, ""priceopen"")) * GOOGLEFINANCE(A1039, ""volume""), 0)"),-661.0509357200987)</f>
        <v>-661.0509357</v>
      </c>
    </row>
    <row r="1040">
      <c r="A1040" s="4" t="s">
        <v>2833</v>
      </c>
      <c r="B1040" s="7">
        <f>IFERROR(__xludf.DUMMYFUNCTION("GOOGLEFINANCE(A1040, ""price"")"),1187.3)</f>
        <v>1187.3</v>
      </c>
      <c r="C1040" s="7">
        <f>IFERROR(__xludf.DUMMYFUNCTION("GOOGLEFINANCE(A1040, ""changepct"")"),-2.79)</f>
        <v>-2.79</v>
      </c>
      <c r="D1040" s="9">
        <f>IFERROR(__xludf.DUMMYFUNCTION("GOOGLEFINANCE(A1040, ""priceopen"")"),1226.7)</f>
        <v>1226.7</v>
      </c>
      <c r="E1040" s="9">
        <f>IFERROR(__xludf.DUMMYFUNCTION("GOOGLEFINANCE(A1040, ""high"")"),1249.9)</f>
        <v>1249.9</v>
      </c>
      <c r="F1040" s="9">
        <f>IFERROR(__xludf.DUMMYFUNCTION("GOOGLEFINANCE(A1040, ""low"")"),1184.6)</f>
        <v>1184.6</v>
      </c>
      <c r="G1040" s="9">
        <f>IFERROR(__xludf.DUMMYFUNCTION("GOOGLEFINANCE(A1040, ""price"")"),1187.3)</f>
        <v>1187.3</v>
      </c>
      <c r="H1040" s="9">
        <f>IFERROR(__xludf.DUMMYFUNCTION("MAX(INDEX(GOOGLEFINANCE(A1040, ""high"", TODAY()-30, TODAY()), 0, 2))"),1455.4)</f>
        <v>1455.4</v>
      </c>
      <c r="I1040" s="9">
        <f>IFERROR(__xludf.DUMMYFUNCTION("MIN(INDEX(GOOGLEFINANCE(A1040, ""low"", TODAY()-30, TODAY()), 0, 2))"),1184.6)</f>
        <v>1184.6</v>
      </c>
      <c r="J1040" s="9">
        <f>IFERROR(__xludf.DUMMYFUNCTION("GOOGLEFINANCE(A1040, ""high52"")"),1942.0)</f>
        <v>1942</v>
      </c>
      <c r="K1040" s="9">
        <f>IFERROR(__xludf.DUMMYFUNCTION("GOOGLEFINANCE(A1040, ""low52"")"),1112.8)</f>
        <v>1112.8</v>
      </c>
      <c r="L1040" s="9">
        <f t="shared" si="1"/>
        <v>0.3886199794</v>
      </c>
      <c r="M1040" s="9">
        <f t="shared" si="2"/>
        <v>0.06694823868</v>
      </c>
      <c r="N1040" s="9">
        <f t="shared" si="3"/>
        <v>0.05512409252</v>
      </c>
      <c r="O1040" s="9">
        <f t="shared" si="4"/>
        <v>0.009970457903</v>
      </c>
      <c r="P1040" s="9">
        <f>IFERROR(__xludf.DUMMYFUNCTION("GOOGLEFINANCE(A1040, ""pe"")"),10.44)</f>
        <v>10.44</v>
      </c>
      <c r="Q1040" s="9">
        <f>IFERROR(__xludf.DUMMYFUNCTION("IFERROR(GOOGLEFINANCE(A1040, ""volume"") / GOOGLEFINANCE(A1040, ""volumeavg""), 0)"),0.0)</f>
        <v>0</v>
      </c>
      <c r="R1040" s="9">
        <f>IFERROR(__xludf.DUMMYFUNCTION("AVERAGE(INDEX(GOOGLEFINANCE(A1040, ""price"", TODAY()-30, TODAY()), 0, 2))"),1311.604347826087)</f>
        <v>1311.604348</v>
      </c>
      <c r="S1040" s="9">
        <f>IFERROR(__xludf.DUMMYFUNCTION("AVERAGE(INDEX(GOOGLEFINANCE(A1040, ""price"", TODAY()-75, TODAY()), 0, 2))"),1324.9433962264147)</f>
        <v>1324.943396</v>
      </c>
      <c r="T1040" s="9">
        <f>IFERROR(__xludf.DUMMYFUNCTION("AVERAGE(INDEX(GOOGLEFINANCE(A1040, ""price"", TODAY()-300, TODAY()), 0, 2))"),1329.4876237623762)</f>
        <v>1329.487624</v>
      </c>
      <c r="U1040" s="9">
        <f t="shared" si="5"/>
        <v>-0.09477274761</v>
      </c>
      <c r="V1040" s="15">
        <f>IFERROR(__xludf.DUMMYFUNCTION("LET(hist, GOOGLEFINANCE(A1040,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rs))))))"),22.74984481688388)</f>
        <v>22.74984482</v>
      </c>
      <c r="W1040" s="16" t="str">
        <f>IFERROR(__xludf.DUMMYFUNCTION("IFERROR(GOOGLEFINANCE(A1040, ""volume"") / GOOGLEFINANCE(A1040, ""volumeavg""), )"),"")</f>
        <v/>
      </c>
      <c r="X1040" s="9">
        <f>IFERROR(__xludf.DUMMYFUNCTION("B1040 * GOOGLEFINANCE(A1040, ""volume"")"),1.3084046E7)</f>
        <v>13084046</v>
      </c>
      <c r="Y1040" s="9">
        <f>IFERROR(__xludf.DUMMYFUNCTION("IFERROR(((B1040 - GOOGLEFINANCE(A1040, ""priceopen"")) / GOOGLEFINANCE(A1040, ""priceopen"")) * GOOGLEFINANCE(A1040, ""volume""), 0)"),-353.947990543736)</f>
        <v>-353.9479905</v>
      </c>
    </row>
    <row r="1041">
      <c r="A1041" s="4" t="s">
        <v>2834</v>
      </c>
      <c r="B1041" s="7">
        <f>IFERROR(__xludf.DUMMYFUNCTION("GOOGLEFINANCE(A1041, ""price"")"),1920.0)</f>
        <v>1920</v>
      </c>
      <c r="C1041" s="7">
        <f>IFERROR(__xludf.DUMMYFUNCTION("GOOGLEFINANCE(A1041, ""changepct"")"),-3.16)</f>
        <v>-3.16</v>
      </c>
      <c r="D1041" s="9">
        <f>IFERROR(__xludf.DUMMYFUNCTION("GOOGLEFINANCE(A1041, ""priceopen"")"),2018.9)</f>
        <v>2018.9</v>
      </c>
      <c r="E1041" s="9">
        <f>IFERROR(__xludf.DUMMYFUNCTION("GOOGLEFINANCE(A1041, ""high"")"),2018.9)</f>
        <v>2018.9</v>
      </c>
      <c r="F1041" s="9">
        <f>IFERROR(__xludf.DUMMYFUNCTION("GOOGLEFINANCE(A1041, ""low"")"),1920.0)</f>
        <v>1920</v>
      </c>
      <c r="G1041" s="9">
        <f>IFERROR(__xludf.DUMMYFUNCTION("GOOGLEFINANCE(A1041, ""price"")"),1920.0)</f>
        <v>1920</v>
      </c>
      <c r="H1041" s="9">
        <f>IFERROR(__xludf.DUMMYFUNCTION("MAX(INDEX(GOOGLEFINANCE(A1041, ""high"", TODAY()-30, TODAY()), 0, 2))"),2118.0)</f>
        <v>2118</v>
      </c>
      <c r="I1041" s="9">
        <f>IFERROR(__xludf.DUMMYFUNCTION("MIN(INDEX(GOOGLEFINANCE(A1041, ""low"", TODAY()-30, TODAY()), 0, 2))"),1728.1)</f>
        <v>1728.1</v>
      </c>
      <c r="J1041" s="9">
        <f>IFERROR(__xludf.DUMMYFUNCTION("GOOGLEFINANCE(A1041, ""high52"")"),2780.2)</f>
        <v>2780.2</v>
      </c>
      <c r="K1041" s="9">
        <f>IFERROR(__xludf.DUMMYFUNCTION("GOOGLEFINANCE(A1041, ""low52"")"),991.0)</f>
        <v>991</v>
      </c>
      <c r="L1041" s="9">
        <f t="shared" si="1"/>
        <v>0.3094022013</v>
      </c>
      <c r="M1041" s="9">
        <f t="shared" si="2"/>
        <v>0.9374369324</v>
      </c>
      <c r="N1041" s="9">
        <f t="shared" si="3"/>
        <v>0.05151041667</v>
      </c>
      <c r="O1041" s="9">
        <f t="shared" si="4"/>
        <v>0.4921774814</v>
      </c>
      <c r="P1041" s="9">
        <f>IFERROR(__xludf.DUMMYFUNCTION("GOOGLEFINANCE(A1041, ""pe"")"),42.19)</f>
        <v>42.19</v>
      </c>
      <c r="Q1041" s="9">
        <f>IFERROR(__xludf.DUMMYFUNCTION("IFERROR(GOOGLEFINANCE(A1041, ""volume"") / GOOGLEFINANCE(A1041, ""volumeavg""), 0)"),0.0)</f>
        <v>0</v>
      </c>
      <c r="R1041" s="9">
        <f>IFERROR(__xludf.DUMMYFUNCTION("AVERAGE(INDEX(GOOGLEFINANCE(A1041, ""price"", TODAY()-30, TODAY()), 0, 2))"),1900.6347826086956)</f>
        <v>1900.634783</v>
      </c>
      <c r="S1041" s="9">
        <f>IFERROR(__xludf.DUMMYFUNCTION("AVERAGE(INDEX(GOOGLEFINANCE(A1041, ""price"", TODAY()-75, TODAY()), 0, 2))"),2078.7849056603773)</f>
        <v>2078.784906</v>
      </c>
      <c r="T1041" s="9">
        <f>IFERROR(__xludf.DUMMYFUNCTION("AVERAGE(INDEX(GOOGLEFINANCE(A1041, ""price"", TODAY()-300, TODAY()), 0, 2))"),1531.8841584158415)</f>
        <v>1531.884158</v>
      </c>
      <c r="U1041" s="9">
        <f t="shared" si="5"/>
        <v>0.01018881564</v>
      </c>
      <c r="V1041" s="15">
        <f>IFERROR(__xludf.DUMMYFUNCTION("LET(hist, GOOGLEFINANCE(A1041,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rs))))))"),56.84365781710916)</f>
        <v>56.84365782</v>
      </c>
      <c r="W1041" s="16" t="str">
        <f>IFERROR(__xludf.DUMMYFUNCTION("IFERROR(GOOGLEFINANCE(A1041, ""volume"") / GOOGLEFINANCE(A1041, ""volumeavg""), )"),"")</f>
        <v/>
      </c>
      <c r="X1041" s="9">
        <f>IFERROR(__xludf.DUMMYFUNCTION("B1041 * GOOGLEFINANCE(A1041, ""volume"")"),3.200256E7)</f>
        <v>32002560</v>
      </c>
      <c r="Y1041" s="9">
        <f>IFERROR(__xludf.DUMMYFUNCTION("IFERROR(((B1041 - GOOGLEFINANCE(A1041, ""priceopen"")) / GOOGLEFINANCE(A1041, ""priceopen"")) * GOOGLEFINANCE(A1041, ""volume""), 0)"),-816.5165188964295)</f>
        <v>-816.5165189</v>
      </c>
    </row>
    <row r="1042">
      <c r="A1042" s="4" t="s">
        <v>2835</v>
      </c>
      <c r="B1042" s="7">
        <f>IFERROR(__xludf.DUMMYFUNCTION("GOOGLEFINANCE(A1042, ""price"")"),202.0)</f>
        <v>202</v>
      </c>
      <c r="C1042" s="7">
        <f>IFERROR(__xludf.DUMMYFUNCTION("GOOGLEFINANCE(A1042, ""changepct"")"),-0.81)</f>
        <v>-0.81</v>
      </c>
      <c r="D1042" s="9">
        <f>IFERROR(__xludf.DUMMYFUNCTION("GOOGLEFINANCE(A1042, ""priceopen"")"),207.5)</f>
        <v>207.5</v>
      </c>
      <c r="E1042" s="9">
        <f>IFERROR(__xludf.DUMMYFUNCTION("GOOGLEFINANCE(A1042, ""high"")"),207.5)</f>
        <v>207.5</v>
      </c>
      <c r="F1042" s="9">
        <f>IFERROR(__xludf.DUMMYFUNCTION("GOOGLEFINANCE(A1042, ""low"")"),198.5)</f>
        <v>198.5</v>
      </c>
      <c r="G1042" s="9">
        <f>IFERROR(__xludf.DUMMYFUNCTION("GOOGLEFINANCE(A1042, ""price"")"),202.0)</f>
        <v>202</v>
      </c>
      <c r="H1042" s="9">
        <f>IFERROR(__xludf.DUMMYFUNCTION("MAX(INDEX(GOOGLEFINANCE(A1042, ""high"", TODAY()-30, TODAY()), 0, 2))"),222.18)</f>
        <v>222.18</v>
      </c>
      <c r="I1042" s="9">
        <f>IFERROR(__xludf.DUMMYFUNCTION("MIN(INDEX(GOOGLEFINANCE(A1042, ""low"", TODAY()-30, TODAY()), 0, 2))"),198.5)</f>
        <v>198.5</v>
      </c>
      <c r="J1042" s="9">
        <f>IFERROR(__xludf.DUMMYFUNCTION("GOOGLEFINANCE(A1042, ""high52"")"),417.6)</f>
        <v>417.6</v>
      </c>
      <c r="K1042" s="9">
        <f>IFERROR(__xludf.DUMMYFUNCTION("GOOGLEFINANCE(A1042, ""low52"")"),186.05)</f>
        <v>186.05</v>
      </c>
      <c r="L1042" s="9">
        <f t="shared" si="1"/>
        <v>0.5162835249</v>
      </c>
      <c r="M1042" s="9">
        <f t="shared" si="2"/>
        <v>0.08572964257</v>
      </c>
      <c r="N1042" s="9">
        <f t="shared" si="3"/>
        <v>0.04534005038</v>
      </c>
      <c r="O1042" s="9">
        <f t="shared" si="4"/>
        <v>0.1478040541</v>
      </c>
      <c r="P1042" s="9">
        <f>IFERROR(__xludf.DUMMYFUNCTION("GOOGLEFINANCE(A1042, ""pe"")"),19.69)</f>
        <v>19.69</v>
      </c>
      <c r="Q1042" s="9">
        <f>IFERROR(__xludf.DUMMYFUNCTION("IFERROR(GOOGLEFINANCE(A1042, ""volume"") / GOOGLEFINANCE(A1042, ""volumeavg""), 0)"),0.0)</f>
        <v>0</v>
      </c>
      <c r="R1042" s="9">
        <f>IFERROR(__xludf.DUMMYFUNCTION("AVERAGE(INDEX(GOOGLEFINANCE(A1042, ""price"", TODAY()-30, TODAY()), 0, 2))"),206.33521739130435)</f>
        <v>206.3352174</v>
      </c>
      <c r="S1042" s="9">
        <f>IFERROR(__xludf.DUMMYFUNCTION("AVERAGE(INDEX(GOOGLEFINANCE(A1042, ""price"", TODAY()-75, TODAY()), 0, 2))"),206.2037735849056)</f>
        <v>206.2037736</v>
      </c>
      <c r="T1042" s="9">
        <f>IFERROR(__xludf.DUMMYFUNCTION("AVERAGE(INDEX(GOOGLEFINANCE(A1042, ""price"", TODAY()-300, TODAY()), 0, 2))"),270.69193069306925)</f>
        <v>270.6919307</v>
      </c>
      <c r="U1042" s="9">
        <f t="shared" si="5"/>
        <v>-0.0210105548</v>
      </c>
      <c r="V1042" s="15">
        <f>IFERROR(__xludf.DUMMYFUNCTION("LET(hist, GOOGLEFINANCE(A1042,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rs))))))"),50.990099009900995)</f>
        <v>50.99009901</v>
      </c>
      <c r="W1042" s="16" t="str">
        <f>IFERROR(__xludf.DUMMYFUNCTION("IFERROR(GOOGLEFINANCE(A1042, ""volume"") / GOOGLEFINANCE(A1042, ""volumeavg""), )"),"")</f>
        <v/>
      </c>
      <c r="X1042" s="9">
        <f>IFERROR(__xludf.DUMMYFUNCTION("B1042 * GOOGLEFINANCE(A1042, ""volume"")"),1.40954792E8)</f>
        <v>140954792</v>
      </c>
      <c r="Y1042" s="9">
        <f>IFERROR(__xludf.DUMMYFUNCTION("IFERROR(((B1042 - GOOGLEFINANCE(A1042, ""priceopen"")) / GOOGLEFINANCE(A1042, ""priceopen"")) * GOOGLEFINANCE(A1042, ""volume""), 0)"),-18495.797590361446)</f>
        <v>-18495.79759</v>
      </c>
    </row>
    <row r="1043">
      <c r="A1043" s="4" t="s">
        <v>2836</v>
      </c>
      <c r="B1043" s="7">
        <f>IFERROR(__xludf.DUMMYFUNCTION("GOOGLEFINANCE(A1043, ""price"")"),478.1)</f>
        <v>478.1</v>
      </c>
      <c r="C1043" s="7">
        <f>IFERROR(__xludf.DUMMYFUNCTION("GOOGLEFINANCE(A1043, ""changepct"")"),-12.36)</f>
        <v>-12.36</v>
      </c>
      <c r="D1043" s="9">
        <f>IFERROR(__xludf.DUMMYFUNCTION("GOOGLEFINANCE(A1043, ""priceopen"")"),555.6)</f>
        <v>555.6</v>
      </c>
      <c r="E1043" s="9">
        <f>IFERROR(__xludf.DUMMYFUNCTION("GOOGLEFINANCE(A1043, ""high"")"),599.6)</f>
        <v>599.6</v>
      </c>
      <c r="F1043" s="9">
        <f>IFERROR(__xludf.DUMMYFUNCTION("GOOGLEFINANCE(A1043, ""low"")"),456.45)</f>
        <v>456.45</v>
      </c>
      <c r="G1043" s="9">
        <f>IFERROR(__xludf.DUMMYFUNCTION("GOOGLEFINANCE(A1043, ""price"")"),478.1)</f>
        <v>478.1</v>
      </c>
      <c r="H1043" s="9">
        <f>IFERROR(__xludf.DUMMYFUNCTION("MAX(INDEX(GOOGLEFINANCE(A1043, ""high"", TODAY()-30, TODAY()), 0, 2))"),599.6)</f>
        <v>599.6</v>
      </c>
      <c r="I1043" s="9">
        <f>IFERROR(__xludf.DUMMYFUNCTION("MIN(INDEX(GOOGLEFINANCE(A1043, ""low"", TODAY()-30, TODAY()), 0, 2))"),409.3)</f>
        <v>409.3</v>
      </c>
      <c r="J1043" s="9">
        <f>IFERROR(__xludf.DUMMYFUNCTION("GOOGLEFINANCE(A1043, ""high52"")"),599.6)</f>
        <v>599.6</v>
      </c>
      <c r="K1043" s="9">
        <f>IFERROR(__xludf.DUMMYFUNCTION("GOOGLEFINANCE(A1043, ""low52"")"),229.0)</f>
        <v>229</v>
      </c>
      <c r="L1043" s="9">
        <f t="shared" si="1"/>
        <v>0.2026350901</v>
      </c>
      <c r="M1043" s="9">
        <f t="shared" si="2"/>
        <v>1.087772926</v>
      </c>
      <c r="N1043" s="9">
        <f t="shared" si="3"/>
        <v>0.3136159492</v>
      </c>
      <c r="O1043" s="9">
        <f t="shared" si="4"/>
        <v>0.3615344193</v>
      </c>
      <c r="P1043" s="9">
        <f>IFERROR(__xludf.DUMMYFUNCTION("GOOGLEFINANCE(A1043, ""pe"")"),13.61)</f>
        <v>13.61</v>
      </c>
      <c r="Q1043" s="9">
        <f>IFERROR(__xludf.DUMMYFUNCTION("IFERROR(GOOGLEFINANCE(A1043, ""volume"") / GOOGLEFINANCE(A1043, ""volumeavg""), 0)"),0.0)</f>
        <v>0</v>
      </c>
      <c r="R1043" s="9">
        <f>IFERROR(__xludf.DUMMYFUNCTION("AVERAGE(INDEX(GOOGLEFINANCE(A1043, ""price"", TODAY()-30, TODAY()), 0, 2))"),464.25217391304346)</f>
        <v>464.2521739</v>
      </c>
      <c r="S1043" s="9">
        <f>IFERROR(__xludf.DUMMYFUNCTION("AVERAGE(INDEX(GOOGLEFINANCE(A1043, ""price"", TODAY()-75, TODAY()), 0, 2))"),425.66320754716975)</f>
        <v>425.6632075</v>
      </c>
      <c r="T1043" s="9">
        <f>IFERROR(__xludf.DUMMYFUNCTION("AVERAGE(INDEX(GOOGLEFINANCE(A1043, ""price"", TODAY()-300, TODAY()), 0, 2))"),322.03356435643565)</f>
        <v>322.0335644</v>
      </c>
      <c r="U1043" s="9">
        <f t="shared" si="5"/>
        <v>0.02982824177</v>
      </c>
      <c r="V1043" s="15">
        <f>IFERROR(__xludf.DUMMYFUNCTION("LET(hist, GOOGLEFINANCE(A1043,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rs))))))"),45.984095427435385)</f>
        <v>45.98409543</v>
      </c>
      <c r="W1043" s="16" t="str">
        <f>IFERROR(__xludf.DUMMYFUNCTION("IFERROR(GOOGLEFINANCE(A1043, ""volume"") / GOOGLEFINANCE(A1043, ""volumeavg""), )"),"")</f>
        <v/>
      </c>
      <c r="X1043" s="9">
        <f>IFERROR(__xludf.DUMMYFUNCTION("B1043 * GOOGLEFINANCE(A1043, ""volume"")"),5.369552574400001E9)</f>
        <v>5369552574</v>
      </c>
      <c r="Y1043" s="9">
        <f>IFERROR(__xludf.DUMMYFUNCTION("IFERROR(((B1043 - GOOGLEFINANCE(A1043, ""priceopen"")) / GOOGLEFINANCE(A1043, ""priceopen"")) * GOOGLEFINANCE(A1043, ""volume""), 0)"),-1566602.5197984162)</f>
        <v>-1566602.52</v>
      </c>
    </row>
    <row r="1044">
      <c r="A1044" s="4" t="s">
        <v>2837</v>
      </c>
      <c r="B1044" s="7">
        <f>IFERROR(__xludf.DUMMYFUNCTION("GOOGLEFINANCE(A1044, ""price"")"),790.0)</f>
        <v>790</v>
      </c>
      <c r="C1044" s="7">
        <f>IFERROR(__xludf.DUMMYFUNCTION("GOOGLEFINANCE(A1044, ""changepct"")"),-2.6)</f>
        <v>-2.6</v>
      </c>
      <c r="D1044" s="9">
        <f>IFERROR(__xludf.DUMMYFUNCTION("GOOGLEFINANCE(A1044, ""priceopen"")"),775.0)</f>
        <v>775</v>
      </c>
      <c r="E1044" s="9">
        <f>IFERROR(__xludf.DUMMYFUNCTION("GOOGLEFINANCE(A1044, ""high"")"),810.8)</f>
        <v>810.8</v>
      </c>
      <c r="F1044" s="9">
        <f>IFERROR(__xludf.DUMMYFUNCTION("GOOGLEFINANCE(A1044, ""low"")"),770.5)</f>
        <v>770.5</v>
      </c>
      <c r="G1044" s="9">
        <f>IFERROR(__xludf.DUMMYFUNCTION("GOOGLEFINANCE(A1044, ""price"")"),790.0)</f>
        <v>790</v>
      </c>
      <c r="H1044" s="9">
        <f>IFERROR(__xludf.DUMMYFUNCTION("MAX(INDEX(GOOGLEFINANCE(A1044, ""high"", TODAY()-30, TODAY()), 0, 2))"),845.0)</f>
        <v>845</v>
      </c>
      <c r="I1044" s="9">
        <f>IFERROR(__xludf.DUMMYFUNCTION("MIN(INDEX(GOOGLEFINANCE(A1044, ""low"", TODAY()-30, TODAY()), 0, 2))"),623.1)</f>
        <v>623.1</v>
      </c>
      <c r="J1044" s="9">
        <f>IFERROR(__xludf.DUMMYFUNCTION("GOOGLEFINANCE(A1044, ""high52"")"),845.0)</f>
        <v>845</v>
      </c>
      <c r="K1044" s="9">
        <f>IFERROR(__xludf.DUMMYFUNCTION("GOOGLEFINANCE(A1044, ""low52"")"),172.34)</f>
        <v>172.34</v>
      </c>
      <c r="L1044" s="9">
        <f t="shared" si="1"/>
        <v>0.0650887574</v>
      </c>
      <c r="M1044" s="9">
        <f t="shared" si="2"/>
        <v>3.583961936</v>
      </c>
      <c r="N1044" s="9">
        <f t="shared" si="3"/>
        <v>0.0523036989</v>
      </c>
      <c r="O1044" s="9">
        <f t="shared" si="4"/>
        <v>0.7521406039</v>
      </c>
      <c r="P1044" s="9" t="str">
        <f>IFERROR(__xludf.DUMMYFUNCTION("GOOGLEFINANCE(A1044, ""pe"")"),"#N/A")</f>
        <v>#N/A</v>
      </c>
      <c r="Q1044" s="9">
        <f>IFERROR(__xludf.DUMMYFUNCTION("IFERROR(GOOGLEFINANCE(A1044, ""volume"") / GOOGLEFINANCE(A1044, ""volumeavg""), 0)"),0.0)</f>
        <v>0</v>
      </c>
      <c r="R1044" s="9">
        <f>IFERROR(__xludf.DUMMYFUNCTION("AVERAGE(INDEX(GOOGLEFINANCE(A1044, ""price"", TODAY()-30, TODAY()), 0, 2))"),724.1347826086958)</f>
        <v>724.1347826</v>
      </c>
      <c r="S1044" s="9">
        <f>IFERROR(__xludf.DUMMYFUNCTION("AVERAGE(INDEX(GOOGLEFINANCE(A1044, ""price"", TODAY()-75, TODAY()), 0, 2))"),663.0198113207548)</f>
        <v>663.0198113</v>
      </c>
      <c r="T1044" s="9">
        <f>IFERROR(__xludf.DUMMYFUNCTION("AVERAGE(INDEX(GOOGLEFINANCE(A1044, ""price"", TODAY()-300, TODAY()), 0, 2))"),353.0148019801981)</f>
        <v>353.014802</v>
      </c>
      <c r="U1044" s="9">
        <f t="shared" si="5"/>
        <v>0.09095712424</v>
      </c>
      <c r="V1044" s="15">
        <f>IFERROR(__xludf.DUMMYFUNCTION("LET(hist, GOOGLEFINANCE(A1044,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rs))))))"),72.705223880597)</f>
        <v>72.70522388</v>
      </c>
      <c r="W1044" s="16" t="str">
        <f>IFERROR(__xludf.DUMMYFUNCTION("IFERROR(GOOGLEFINANCE(A1044, ""volume"") / GOOGLEFINANCE(A1044, ""volumeavg""), )"),"")</f>
        <v/>
      </c>
      <c r="X1044" s="9">
        <f>IFERROR(__xludf.DUMMYFUNCTION("B1044 * GOOGLEFINANCE(A1044, ""volume"")"),7.525698E7)</f>
        <v>75256980</v>
      </c>
      <c r="Y1044" s="9">
        <f>IFERROR(__xludf.DUMMYFUNCTION("IFERROR(((B1044 - GOOGLEFINANCE(A1044, ""priceopen"")) / GOOGLEFINANCE(A1044, ""priceopen"")) * GOOGLEFINANCE(A1044, ""volume""), 0)"),1843.7806451612903)</f>
        <v>1843.780645</v>
      </c>
    </row>
    <row r="1045">
      <c r="A1045" s="4" t="s">
        <v>2838</v>
      </c>
      <c r="B1045" s="7">
        <f>IFERROR(__xludf.DUMMYFUNCTION("GOOGLEFINANCE(A1045, ""price"")"),163.63)</f>
        <v>163.63</v>
      </c>
      <c r="C1045" s="7">
        <f>IFERROR(__xludf.DUMMYFUNCTION("GOOGLEFINANCE(A1045, ""changepct"")"),-1.4)</f>
        <v>-1.4</v>
      </c>
      <c r="D1045" s="9">
        <f>IFERROR(__xludf.DUMMYFUNCTION("GOOGLEFINANCE(A1045, ""priceopen"")"),165.96)</f>
        <v>165.96</v>
      </c>
      <c r="E1045" s="9">
        <f>IFERROR(__xludf.DUMMYFUNCTION("GOOGLEFINANCE(A1045, ""high"")"),166.4)</f>
        <v>166.4</v>
      </c>
      <c r="F1045" s="9">
        <f>IFERROR(__xludf.DUMMYFUNCTION("GOOGLEFINANCE(A1045, ""low"")"),162.73)</f>
        <v>162.73</v>
      </c>
      <c r="G1045" s="9">
        <f>IFERROR(__xludf.DUMMYFUNCTION("GOOGLEFINANCE(A1045, ""price"")"),163.63)</f>
        <v>163.63</v>
      </c>
      <c r="H1045" s="9">
        <f>IFERROR(__xludf.DUMMYFUNCTION("MAX(INDEX(GOOGLEFINANCE(A1045, ""high"", TODAY()-30, TODAY()), 0, 2))"),184.0)</f>
        <v>184</v>
      </c>
      <c r="I1045" s="9">
        <f>IFERROR(__xludf.DUMMYFUNCTION("MIN(INDEX(GOOGLEFINANCE(A1045, ""low"", TODAY()-30, TODAY()), 0, 2))"),158.8)</f>
        <v>158.8</v>
      </c>
      <c r="J1045" s="9">
        <f>IFERROR(__xludf.DUMMYFUNCTION("GOOGLEFINANCE(A1045, ""high52"")"),204.5)</f>
        <v>204.5</v>
      </c>
      <c r="K1045" s="9">
        <f>IFERROR(__xludf.DUMMYFUNCTION("GOOGLEFINANCE(A1045, ""low52"")"),125.31)</f>
        <v>125.31</v>
      </c>
      <c r="L1045" s="9">
        <f t="shared" si="1"/>
        <v>0.1998533007</v>
      </c>
      <c r="M1045" s="9">
        <f t="shared" si="2"/>
        <v>0.305801612</v>
      </c>
      <c r="N1045" s="9">
        <f t="shared" si="3"/>
        <v>0.02255269465</v>
      </c>
      <c r="O1045" s="9">
        <f t="shared" si="4"/>
        <v>0.1916666667</v>
      </c>
      <c r="P1045" s="9">
        <f>IFERROR(__xludf.DUMMYFUNCTION("GOOGLEFINANCE(A1045, ""pe"")"),41.39)</f>
        <v>41.39</v>
      </c>
      <c r="Q1045" s="9">
        <f>IFERROR(__xludf.DUMMYFUNCTION("IFERROR(GOOGLEFINANCE(A1045, ""volume"") / GOOGLEFINANCE(A1045, ""volumeavg""), 0)"),0.0)</f>
        <v>0</v>
      </c>
      <c r="R1045" s="9">
        <f>IFERROR(__xludf.DUMMYFUNCTION("AVERAGE(INDEX(GOOGLEFINANCE(A1045, ""price"", TODAY()-30, TODAY()), 0, 2))"),166.13695652173914)</f>
        <v>166.1369565</v>
      </c>
      <c r="S1045" s="9">
        <f>IFERROR(__xludf.DUMMYFUNCTION("AVERAGE(INDEX(GOOGLEFINANCE(A1045, ""price"", TODAY()-75, TODAY()), 0, 2))"),168.68471698113203)</f>
        <v>168.684717</v>
      </c>
      <c r="T1045" s="9">
        <f>IFERROR(__xludf.DUMMYFUNCTION("AVERAGE(INDEX(GOOGLEFINANCE(A1045, ""price"", TODAY()-300, TODAY()), 0, 2))"),162.23163366336627)</f>
        <v>162.2316337</v>
      </c>
      <c r="U1045" s="9">
        <f t="shared" si="5"/>
        <v>-0.01508969813</v>
      </c>
      <c r="V1045" s="15">
        <f>IFERROR(__xludf.DUMMYFUNCTION("LET(hist, GOOGLEFINANCE(A1045,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rs))))))"),51.38455132209034)</f>
        <v>51.38455132</v>
      </c>
      <c r="W1045" s="16" t="str">
        <f>IFERROR(__xludf.DUMMYFUNCTION("IFERROR(GOOGLEFINANCE(A1045, ""volume"") / GOOGLEFINANCE(A1045, ""volumeavg""), )"),"")</f>
        <v/>
      </c>
      <c r="X1045" s="9">
        <f>IFERROR(__xludf.DUMMYFUNCTION("B1045 * GOOGLEFINANCE(A1045, ""volume"")"),8.514274331E7)</f>
        <v>85142743.31</v>
      </c>
      <c r="Y1045" s="9">
        <f>IFERROR(__xludf.DUMMYFUNCTION("IFERROR(((B1045 - GOOGLEFINANCE(A1045, ""priceopen"")) / GOOGLEFINANCE(A1045, ""priceopen"")) * GOOGLEFINANCE(A1045, ""volume""), 0)"),-7305.285671246123)</f>
        <v>-7305.285671</v>
      </c>
    </row>
    <row r="1046">
      <c r="A1046" s="4" t="s">
        <v>2839</v>
      </c>
      <c r="B1046" s="7">
        <f>IFERROR(__xludf.DUMMYFUNCTION("GOOGLEFINANCE(A1046, ""price"")"),630.0)</f>
        <v>630</v>
      </c>
      <c r="C1046" s="7">
        <f>IFERROR(__xludf.DUMMYFUNCTION("GOOGLEFINANCE(A1046, ""changepct"")"),-0.36)</f>
        <v>-0.36</v>
      </c>
      <c r="D1046" s="9">
        <f>IFERROR(__xludf.DUMMYFUNCTION("GOOGLEFINANCE(A1046, ""priceopen"")"),632.9)</f>
        <v>632.9</v>
      </c>
      <c r="E1046" s="9">
        <f>IFERROR(__xludf.DUMMYFUNCTION("GOOGLEFINANCE(A1046, ""high"")"),638.0)</f>
        <v>638</v>
      </c>
      <c r="F1046" s="9">
        <f>IFERROR(__xludf.DUMMYFUNCTION("GOOGLEFINANCE(A1046, ""low"")"),624.9)</f>
        <v>624.9</v>
      </c>
      <c r="G1046" s="9">
        <f>IFERROR(__xludf.DUMMYFUNCTION("GOOGLEFINANCE(A1046, ""price"")"),630.0)</f>
        <v>630</v>
      </c>
      <c r="H1046" s="9">
        <f>IFERROR(__xludf.DUMMYFUNCTION("MAX(INDEX(GOOGLEFINANCE(A1046, ""high"", TODAY()-30, TODAY()), 0, 2))"),659.5)</f>
        <v>659.5</v>
      </c>
      <c r="I1046" s="9">
        <f>IFERROR(__xludf.DUMMYFUNCTION("MIN(INDEX(GOOGLEFINANCE(A1046, ""low"", TODAY()-30, TODAY()), 0, 2))"),587.15)</f>
        <v>587.15</v>
      </c>
      <c r="J1046" s="9">
        <f>IFERROR(__xludf.DUMMYFUNCTION("GOOGLEFINANCE(A1046, ""high52"")"),848.8)</f>
        <v>848.8</v>
      </c>
      <c r="K1046" s="9">
        <f>IFERROR(__xludf.DUMMYFUNCTION("GOOGLEFINANCE(A1046, ""low52"")"),433.35)</f>
        <v>433.35</v>
      </c>
      <c r="L1046" s="9">
        <f t="shared" si="1"/>
        <v>0.2577756833</v>
      </c>
      <c r="M1046" s="9">
        <f t="shared" si="2"/>
        <v>0.4537902388</v>
      </c>
      <c r="N1046" s="9">
        <f t="shared" si="3"/>
        <v>0.02096335414</v>
      </c>
      <c r="O1046" s="9">
        <f t="shared" si="4"/>
        <v>0.592259848</v>
      </c>
      <c r="P1046" s="9">
        <f>IFERROR(__xludf.DUMMYFUNCTION("GOOGLEFINANCE(A1046, ""pe"")"),12.05)</f>
        <v>12.05</v>
      </c>
      <c r="Q1046" s="9">
        <f>IFERROR(__xludf.DUMMYFUNCTION("IFERROR(GOOGLEFINANCE(A1046, ""volume"") / GOOGLEFINANCE(A1046, ""volumeavg""), 0)"),0.0)</f>
        <v>0</v>
      </c>
      <c r="R1046" s="9">
        <f>IFERROR(__xludf.DUMMYFUNCTION("AVERAGE(INDEX(GOOGLEFINANCE(A1046, ""price"", TODAY()-30, TODAY()), 0, 2))"),626.7630434782608)</f>
        <v>626.7630435</v>
      </c>
      <c r="S1046" s="9">
        <f>IFERROR(__xludf.DUMMYFUNCTION("AVERAGE(INDEX(GOOGLEFINANCE(A1046, ""price"", TODAY()-75, TODAY()), 0, 2))"),623.6235849056603)</f>
        <v>623.6235849</v>
      </c>
      <c r="T1046" s="9">
        <f>IFERROR(__xludf.DUMMYFUNCTION("AVERAGE(INDEX(GOOGLEFINANCE(A1046, ""price"", TODAY()-300, TODAY()), 0, 2))"),612.3866336633666)</f>
        <v>612.3866337</v>
      </c>
      <c r="U1046" s="9">
        <f t="shared" si="5"/>
        <v>0.005164561879</v>
      </c>
      <c r="V1046" s="15">
        <f>IFERROR(__xludf.DUMMYFUNCTION("LET(hist, GOOGLEFINANCE(A1046,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rs))))))"),57.36917906865099)</f>
        <v>57.36917907</v>
      </c>
      <c r="W1046" s="16" t="str">
        <f>IFERROR(__xludf.DUMMYFUNCTION("IFERROR(GOOGLEFINANCE(A1046, ""volume"") / GOOGLEFINANCE(A1046, ""volumeavg""), )"),"")</f>
        <v/>
      </c>
      <c r="X1046" s="9">
        <f>IFERROR(__xludf.DUMMYFUNCTION("B1046 * GOOGLEFINANCE(A1046, ""volume"")"),2.998107E7)</f>
        <v>29981070</v>
      </c>
      <c r="Y1046" s="9">
        <f>IFERROR(__xludf.DUMMYFUNCTION("IFERROR(((B1046 - GOOGLEFINANCE(A1046, ""priceopen"")) / GOOGLEFINANCE(A1046, ""priceopen"")) * GOOGLEFINANCE(A1046, ""volume""), 0)"),-218.0567230210127)</f>
        <v>-218.056723</v>
      </c>
    </row>
    <row r="1047">
      <c r="A1047" s="4" t="s">
        <v>2840</v>
      </c>
      <c r="B1047" s="7">
        <f>IFERROR(__xludf.DUMMYFUNCTION("GOOGLEFINANCE(A1047, ""price"")"),315.1)</f>
        <v>315.1</v>
      </c>
      <c r="C1047" s="7">
        <f>IFERROR(__xludf.DUMMYFUNCTION("GOOGLEFINANCE(A1047, ""changepct"")"),-0.8)</f>
        <v>-0.8</v>
      </c>
      <c r="D1047" s="9">
        <f>IFERROR(__xludf.DUMMYFUNCTION("GOOGLEFINANCE(A1047, ""priceopen"")"),319.7)</f>
        <v>319.7</v>
      </c>
      <c r="E1047" s="9">
        <f>IFERROR(__xludf.DUMMYFUNCTION("GOOGLEFINANCE(A1047, ""high"")"),322.0)</f>
        <v>322</v>
      </c>
      <c r="F1047" s="9">
        <f>IFERROR(__xludf.DUMMYFUNCTION("GOOGLEFINANCE(A1047, ""low"")"),308.65)</f>
        <v>308.65</v>
      </c>
      <c r="G1047" s="9">
        <f>IFERROR(__xludf.DUMMYFUNCTION("GOOGLEFINANCE(A1047, ""price"")"),315.1)</f>
        <v>315.1</v>
      </c>
      <c r="H1047" s="9">
        <f>IFERROR(__xludf.DUMMYFUNCTION("MAX(INDEX(GOOGLEFINANCE(A1047, ""high"", TODAY()-30, TODAY()), 0, 2))"),324.9)</f>
        <v>324.9</v>
      </c>
      <c r="I1047" s="9">
        <f>IFERROR(__xludf.DUMMYFUNCTION("MIN(INDEX(GOOGLEFINANCE(A1047, ""low"", TODAY()-30, TODAY()), 0, 2))"),254.05)</f>
        <v>254.05</v>
      </c>
      <c r="J1047" s="9">
        <f>IFERROR(__xludf.DUMMYFUNCTION("GOOGLEFINANCE(A1047, ""high52"")"),324.9)</f>
        <v>324.9</v>
      </c>
      <c r="K1047" s="9">
        <f>IFERROR(__xludf.DUMMYFUNCTION("GOOGLEFINANCE(A1047, ""low52"")"),124.3)</f>
        <v>124.3</v>
      </c>
      <c r="L1047" s="9">
        <f t="shared" si="1"/>
        <v>0.03016312712</v>
      </c>
      <c r="M1047" s="9">
        <f t="shared" si="2"/>
        <v>1.534995977</v>
      </c>
      <c r="N1047" s="9">
        <f t="shared" si="3"/>
        <v>0.04325287543</v>
      </c>
      <c r="O1047" s="9">
        <f t="shared" si="4"/>
        <v>0.8616796048</v>
      </c>
      <c r="P1047" s="9">
        <f>IFERROR(__xludf.DUMMYFUNCTION("GOOGLEFINANCE(A1047, ""pe"")"),49.31)</f>
        <v>49.31</v>
      </c>
      <c r="Q1047" s="9">
        <f>IFERROR(__xludf.DUMMYFUNCTION("IFERROR(GOOGLEFINANCE(A1047, ""volume"") / GOOGLEFINANCE(A1047, ""volumeavg""), 0)"),0.0)</f>
        <v>0</v>
      </c>
      <c r="R1047" s="9">
        <f>IFERROR(__xludf.DUMMYFUNCTION("AVERAGE(INDEX(GOOGLEFINANCE(A1047, ""price"", TODAY()-30, TODAY()), 0, 2))"),289.7426086956521)</f>
        <v>289.7426087</v>
      </c>
      <c r="S1047" s="9">
        <f>IFERROR(__xludf.DUMMYFUNCTION("AVERAGE(INDEX(GOOGLEFINANCE(A1047, ""price"", TODAY()-75, TODAY()), 0, 2))"),259.6213207547169)</f>
        <v>259.6213208</v>
      </c>
      <c r="T1047" s="9">
        <f>IFERROR(__xludf.DUMMYFUNCTION("AVERAGE(INDEX(GOOGLEFINANCE(A1047, ""price"", TODAY()-300, TODAY()), 0, 2))"),202.92757425742573)</f>
        <v>202.9275743</v>
      </c>
      <c r="U1047" s="9">
        <f t="shared" si="5"/>
        <v>0.08751695658</v>
      </c>
      <c r="V1047" s="15">
        <f>IFERROR(__xludf.DUMMYFUNCTION("LET(hist, GOOGLEFINANCE(A1047,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rs))))))"),78.38992099081787)</f>
        <v>78.38992099</v>
      </c>
      <c r="W1047" s="16" t="str">
        <f>IFERROR(__xludf.DUMMYFUNCTION("IFERROR(GOOGLEFINANCE(A1047, ""volume"") / GOOGLEFINANCE(A1047, ""volumeavg""), )"),"")</f>
        <v/>
      </c>
      <c r="X1047" s="9">
        <f>IFERROR(__xludf.DUMMYFUNCTION("B1047 * GOOGLEFINANCE(A1047, ""volume"")"),2.3443156410000002E8)</f>
        <v>234431564.1</v>
      </c>
      <c r="Y1047" s="9">
        <f>IFERROR(__xludf.DUMMYFUNCTION("IFERROR(((B1047 - GOOGLEFINANCE(A1047, ""priceopen"")) / GOOGLEFINANCE(A1047, ""priceopen"")) * GOOGLEFINANCE(A1047, ""volume""), 0)"),-10704.906474820064)</f>
        <v>-10704.90647</v>
      </c>
    </row>
    <row r="1048">
      <c r="A1048" s="4" t="s">
        <v>2841</v>
      </c>
      <c r="B1048" s="7">
        <f>IFERROR(__xludf.DUMMYFUNCTION("GOOGLEFINANCE(A1048, ""price"")"),248.1)</f>
        <v>248.1</v>
      </c>
      <c r="C1048" s="7">
        <f>IFERROR(__xludf.DUMMYFUNCTION("GOOGLEFINANCE(A1048, ""changepct"")"),-0.08)</f>
        <v>-0.08</v>
      </c>
      <c r="D1048" s="9">
        <f>IFERROR(__xludf.DUMMYFUNCTION("GOOGLEFINANCE(A1048, ""priceopen"")"),247.0)</f>
        <v>247</v>
      </c>
      <c r="E1048" s="9">
        <f>IFERROR(__xludf.DUMMYFUNCTION("GOOGLEFINANCE(A1048, ""high"")"),252.8)</f>
        <v>252.8</v>
      </c>
      <c r="F1048" s="9">
        <f>IFERROR(__xludf.DUMMYFUNCTION("GOOGLEFINANCE(A1048, ""low"")"),245.0)</f>
        <v>245</v>
      </c>
      <c r="G1048" s="9">
        <f>IFERROR(__xludf.DUMMYFUNCTION("GOOGLEFINANCE(A1048, ""price"")"),248.1)</f>
        <v>248.1</v>
      </c>
      <c r="H1048" s="9">
        <f>IFERROR(__xludf.DUMMYFUNCTION("MAX(INDEX(GOOGLEFINANCE(A1048, ""high"", TODAY()-30, TODAY()), 0, 2))"),269.9)</f>
        <v>269.9</v>
      </c>
      <c r="I1048" s="9">
        <f>IFERROR(__xludf.DUMMYFUNCTION("MIN(INDEX(GOOGLEFINANCE(A1048, ""low"", TODAY()-30, TODAY()), 0, 2))"),242.9)</f>
        <v>242.9</v>
      </c>
      <c r="J1048" s="9">
        <f>IFERROR(__xludf.DUMMYFUNCTION("GOOGLEFINANCE(A1048, ""high52"")"),348.8)</f>
        <v>348.8</v>
      </c>
      <c r="K1048" s="9">
        <f>IFERROR(__xludf.DUMMYFUNCTION("GOOGLEFINANCE(A1048, ""low52"")"),242.9)</f>
        <v>242.9</v>
      </c>
      <c r="L1048" s="9">
        <f t="shared" si="1"/>
        <v>0.2887041284</v>
      </c>
      <c r="M1048" s="9">
        <f t="shared" si="2"/>
        <v>0.02140798683</v>
      </c>
      <c r="N1048" s="9">
        <f t="shared" si="3"/>
        <v>0.03183673469</v>
      </c>
      <c r="O1048" s="9">
        <f t="shared" si="4"/>
        <v>0.1925925926</v>
      </c>
      <c r="P1048" s="9">
        <f>IFERROR(__xludf.DUMMYFUNCTION("GOOGLEFINANCE(A1048, ""pe"")"),18.71)</f>
        <v>18.71</v>
      </c>
      <c r="Q1048" s="9">
        <f>IFERROR(__xludf.DUMMYFUNCTION("IFERROR(GOOGLEFINANCE(A1048, ""volume"") / GOOGLEFINANCE(A1048, ""volumeavg""), 0)"),0.0)</f>
        <v>0</v>
      </c>
      <c r="R1048" s="9">
        <f>IFERROR(__xludf.DUMMYFUNCTION("AVERAGE(INDEX(GOOGLEFINANCE(A1048, ""price"", TODAY()-30, TODAY()), 0, 2))"),253.92826086956526)</f>
        <v>253.9282609</v>
      </c>
      <c r="S1048" s="9">
        <f>IFERROR(__xludf.DUMMYFUNCTION("AVERAGE(INDEX(GOOGLEFINANCE(A1048, ""price"", TODAY()-75, TODAY()), 0, 2))"),265.1254716981132)</f>
        <v>265.1254717</v>
      </c>
      <c r="T1048" s="9">
        <f>IFERROR(__xludf.DUMMYFUNCTION("AVERAGE(INDEX(GOOGLEFINANCE(A1048, ""price"", TODAY()-300, TODAY()), 0, 2))"),297.82054455445547)</f>
        <v>297.8205446</v>
      </c>
      <c r="U1048" s="9">
        <f t="shared" si="5"/>
        <v>-0.02295239155</v>
      </c>
      <c r="V1048" s="15">
        <f>IFERROR(__xludf.DUMMYFUNCTION("LET(hist, GOOGLEFINANCE(A1048,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rs))))))"),55.172413793103416)</f>
        <v>55.17241379</v>
      </c>
      <c r="W1048" s="16" t="str">
        <f>IFERROR(__xludf.DUMMYFUNCTION("IFERROR(GOOGLEFINANCE(A1048, ""volume"") / GOOGLEFINANCE(A1048, ""volumeavg""), )"),"")</f>
        <v/>
      </c>
      <c r="X1048" s="9">
        <f>IFERROR(__xludf.DUMMYFUNCTION("B1048 * GOOGLEFINANCE(A1048, ""volume"")"),4.87476804E7)</f>
        <v>48747680.4</v>
      </c>
      <c r="Y1048" s="9">
        <f>IFERROR(__xludf.DUMMYFUNCTION("IFERROR(((B1048 - GOOGLEFINANCE(A1048, ""priceopen"")) / GOOGLEFINANCE(A1048, ""priceopen"")) * GOOGLEFINANCE(A1048, ""volume""), 0)"),875.0299595141655)</f>
        <v>875.0299595</v>
      </c>
    </row>
    <row r="1049">
      <c r="A1049" s="4" t="s">
        <v>2842</v>
      </c>
      <c r="B1049" s="7">
        <f>IFERROR(__xludf.DUMMYFUNCTION("GOOGLEFINANCE(A1049, ""price"")"),211.95)</f>
        <v>211.95</v>
      </c>
      <c r="C1049" s="7">
        <f>IFERROR(__xludf.DUMMYFUNCTION("GOOGLEFINANCE(A1049, ""changepct"")"),-2.77)</f>
        <v>-2.77</v>
      </c>
      <c r="D1049" s="9">
        <f>IFERROR(__xludf.DUMMYFUNCTION("GOOGLEFINANCE(A1049, ""priceopen"")"),217.98)</f>
        <v>217.98</v>
      </c>
      <c r="E1049" s="9">
        <f>IFERROR(__xludf.DUMMYFUNCTION("GOOGLEFINANCE(A1049, ""high"")"),218.35)</f>
        <v>218.35</v>
      </c>
      <c r="F1049" s="9">
        <f>IFERROR(__xludf.DUMMYFUNCTION("GOOGLEFINANCE(A1049, ""low"")"),211.1)</f>
        <v>211.1</v>
      </c>
      <c r="G1049" s="9">
        <f>IFERROR(__xludf.DUMMYFUNCTION("GOOGLEFINANCE(A1049, ""price"")"),211.95)</f>
        <v>211.95</v>
      </c>
      <c r="H1049" s="9">
        <f>IFERROR(__xludf.DUMMYFUNCTION("MAX(INDEX(GOOGLEFINANCE(A1049, ""high"", TODAY()-30, TODAY()), 0, 2))"),252.8)</f>
        <v>252.8</v>
      </c>
      <c r="I1049" s="9">
        <f>IFERROR(__xludf.DUMMYFUNCTION("MIN(INDEX(GOOGLEFINANCE(A1049, ""low"", TODAY()-30, TODAY()), 0, 2))"),208.0)</f>
        <v>208</v>
      </c>
      <c r="J1049" s="9">
        <f>IFERROR(__xludf.DUMMYFUNCTION("GOOGLEFINANCE(A1049, ""high52"")"),282.7)</f>
        <v>282.7</v>
      </c>
      <c r="K1049" s="9">
        <f>IFERROR(__xludf.DUMMYFUNCTION("GOOGLEFINANCE(A1049, ""low52"")"),146.25)</f>
        <v>146.25</v>
      </c>
      <c r="L1049" s="9">
        <f t="shared" si="1"/>
        <v>0.2502652989</v>
      </c>
      <c r="M1049" s="9">
        <f t="shared" si="2"/>
        <v>0.4492307692</v>
      </c>
      <c r="N1049" s="9">
        <f t="shared" si="3"/>
        <v>0.03434391284</v>
      </c>
      <c r="O1049" s="9">
        <f t="shared" si="4"/>
        <v>0.08816964286</v>
      </c>
      <c r="P1049" s="9" t="str">
        <f>IFERROR(__xludf.DUMMYFUNCTION("GOOGLEFINANCE(A1049, ""pe"")"),"#N/A")</f>
        <v>#N/A</v>
      </c>
      <c r="Q1049" s="9">
        <f>IFERROR(__xludf.DUMMYFUNCTION("IFERROR(GOOGLEFINANCE(A1049, ""volume"") / GOOGLEFINANCE(A1049, ""volumeavg""), 0)"),0.0)</f>
        <v>0</v>
      </c>
      <c r="R1049" s="9">
        <f>IFERROR(__xludf.DUMMYFUNCTION("AVERAGE(INDEX(GOOGLEFINANCE(A1049, ""price"", TODAY()-30, TODAY()), 0, 2))"),225.0313043478261)</f>
        <v>225.0313043</v>
      </c>
      <c r="S1049" s="9">
        <f>IFERROR(__xludf.DUMMYFUNCTION("AVERAGE(INDEX(GOOGLEFINANCE(A1049, ""price"", TODAY()-75, TODAY()), 0, 2))"),213.36867924528292)</f>
        <v>213.3686792</v>
      </c>
      <c r="T1049" s="9">
        <f>IFERROR(__xludf.DUMMYFUNCTION("AVERAGE(INDEX(GOOGLEFINANCE(A1049, ""price"", TODAY()-300, TODAY()), 0, 2))"),209.85343283582083)</f>
        <v>209.8534328</v>
      </c>
      <c r="U1049" s="9">
        <f t="shared" si="5"/>
        <v>-0.05813104264</v>
      </c>
      <c r="V1049" s="15">
        <f>IFERROR(__xludf.DUMMYFUNCTION("LET(hist, GOOGLEFINANCE(A1049,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rs))))))"),50.60734270506348)</f>
        <v>50.60734271</v>
      </c>
      <c r="W1049" s="16" t="str">
        <f>IFERROR(__xludf.DUMMYFUNCTION("IFERROR(GOOGLEFINANCE(A1049, ""volume"") / GOOGLEFINANCE(A1049, ""volumeavg""), )"),"")</f>
        <v/>
      </c>
      <c r="X1049" s="9">
        <f>IFERROR(__xludf.DUMMYFUNCTION("B1049 * GOOGLEFINANCE(A1049, ""volume"")"),5.142521655E7)</f>
        <v>51425216.55</v>
      </c>
      <c r="Y1049" s="9">
        <f>IFERROR(__xludf.DUMMYFUNCTION("IFERROR(((B1049 - GOOGLEFINANCE(A1049, ""priceopen"")) / GOOGLEFINANCE(A1049, ""priceopen"")) * GOOGLEFINANCE(A1049, ""volume""), 0)"),-6711.867464905039)</f>
        <v>-6711.867465</v>
      </c>
    </row>
    <row r="1050">
      <c r="A1050" s="4" t="s">
        <v>2843</v>
      </c>
      <c r="B1050" s="7">
        <f>IFERROR(__xludf.DUMMYFUNCTION("GOOGLEFINANCE(A1050, ""price"")"),255.0)</f>
        <v>255</v>
      </c>
      <c r="C1050" s="7">
        <f>IFERROR(__xludf.DUMMYFUNCTION("GOOGLEFINANCE(A1050, ""changepct"")"),-0.1)</f>
        <v>-0.1</v>
      </c>
      <c r="D1050" s="9">
        <f>IFERROR(__xludf.DUMMYFUNCTION("GOOGLEFINANCE(A1050, ""priceopen"")"),256.8)</f>
        <v>256.8</v>
      </c>
      <c r="E1050" s="9">
        <f>IFERROR(__xludf.DUMMYFUNCTION("GOOGLEFINANCE(A1050, ""high"")"),262.0)</f>
        <v>262</v>
      </c>
      <c r="F1050" s="9">
        <f>IFERROR(__xludf.DUMMYFUNCTION("GOOGLEFINANCE(A1050, ""low"")"),245.1)</f>
        <v>245.1</v>
      </c>
      <c r="G1050" s="9">
        <f>IFERROR(__xludf.DUMMYFUNCTION("GOOGLEFINANCE(A1050, ""price"")"),255.0)</f>
        <v>255</v>
      </c>
      <c r="H1050" s="9">
        <f>IFERROR(__xludf.DUMMYFUNCTION("MAX(INDEX(GOOGLEFINANCE(A1050, ""high"", TODAY()-30, TODAY()), 0, 2))"),294.4)</f>
        <v>294.4</v>
      </c>
      <c r="I1050" s="9">
        <f>IFERROR(__xludf.DUMMYFUNCTION("MIN(INDEX(GOOGLEFINANCE(A1050, ""low"", TODAY()-30, TODAY()), 0, 2))"),245.1)</f>
        <v>245.1</v>
      </c>
      <c r="J1050" s="9">
        <f>IFERROR(__xludf.DUMMYFUNCTION("GOOGLEFINANCE(A1050, ""high52"")"),394.8)</f>
        <v>394.8</v>
      </c>
      <c r="K1050" s="9">
        <f>IFERROR(__xludf.DUMMYFUNCTION("GOOGLEFINANCE(A1050, ""low52"")"),224.0)</f>
        <v>224</v>
      </c>
      <c r="L1050" s="9">
        <f t="shared" si="1"/>
        <v>0.3541033435</v>
      </c>
      <c r="M1050" s="9">
        <f t="shared" si="2"/>
        <v>0.1383928571</v>
      </c>
      <c r="N1050" s="9">
        <f t="shared" si="3"/>
        <v>0.06895144839</v>
      </c>
      <c r="O1050" s="9">
        <f t="shared" si="4"/>
        <v>0.200811359</v>
      </c>
      <c r="P1050" s="9">
        <f>IFERROR(__xludf.DUMMYFUNCTION("GOOGLEFINANCE(A1050, ""pe"")"),72.65)</f>
        <v>72.65</v>
      </c>
      <c r="Q1050" s="9">
        <f>IFERROR(__xludf.DUMMYFUNCTION("IFERROR(GOOGLEFINANCE(A1050, ""volume"") / GOOGLEFINANCE(A1050, ""volumeavg""), 0)"),0.0)</f>
        <v>0</v>
      </c>
      <c r="R1050" s="9">
        <f>IFERROR(__xludf.DUMMYFUNCTION("AVERAGE(INDEX(GOOGLEFINANCE(A1050, ""price"", TODAY()-30, TODAY()), 0, 2))"),273.5173913043478)</f>
        <v>273.5173913</v>
      </c>
      <c r="S1050" s="9">
        <f>IFERROR(__xludf.DUMMYFUNCTION("AVERAGE(INDEX(GOOGLEFINANCE(A1050, ""price"", TODAY()-75, TODAY()), 0, 2))"),284.72169811320754)</f>
        <v>284.7216981</v>
      </c>
      <c r="T1050" s="9">
        <f>IFERROR(__xludf.DUMMYFUNCTION("AVERAGE(INDEX(GOOGLEFINANCE(A1050, ""price"", TODAY()-300, TODAY()), 0, 2))"),283.317)</f>
        <v>283.317</v>
      </c>
      <c r="U1050" s="9">
        <f t="shared" si="5"/>
        <v>-0.06770096489</v>
      </c>
      <c r="V1050" s="15">
        <f>IFERROR(__xludf.DUMMYFUNCTION("LET(hist, GOOGLEFINANCE(A1050,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rs))))))"),29.961464354527962)</f>
        <v>29.96146435</v>
      </c>
      <c r="W1050" s="16" t="str">
        <f>IFERROR(__xludf.DUMMYFUNCTION("IFERROR(GOOGLEFINANCE(A1050, ""volume"") / GOOGLEFINANCE(A1050, ""volumeavg""), )"),"")</f>
        <v/>
      </c>
      <c r="X1050" s="9">
        <f>IFERROR(__xludf.DUMMYFUNCTION("B1050 * GOOGLEFINANCE(A1050, ""volume"")"),2.60253E7)</f>
        <v>26025300</v>
      </c>
      <c r="Y1050" s="9">
        <f>IFERROR(__xludf.DUMMYFUNCTION("IFERROR(((B1050 - GOOGLEFINANCE(A1050, ""priceopen"")) / GOOGLEFINANCE(A1050, ""priceopen"")) * GOOGLEFINANCE(A1050, ""volume""), 0)"),-715.3738317757054)</f>
        <v>-715.3738318</v>
      </c>
    </row>
    <row r="1051">
      <c r="A1051" s="4" t="s">
        <v>2844</v>
      </c>
      <c r="B1051" s="7">
        <f>IFERROR(__xludf.DUMMYFUNCTION("GOOGLEFINANCE(A1051, ""price"")"),1805.9)</f>
        <v>1805.9</v>
      </c>
      <c r="C1051" s="7">
        <f>IFERROR(__xludf.DUMMYFUNCTION("GOOGLEFINANCE(A1051, ""changepct"")"),0.12)</f>
        <v>0.12</v>
      </c>
      <c r="D1051" s="9">
        <f>IFERROR(__xludf.DUMMYFUNCTION("GOOGLEFINANCE(A1051, ""priceopen"")"),1803.8)</f>
        <v>1803.8</v>
      </c>
      <c r="E1051" s="9">
        <f>IFERROR(__xludf.DUMMYFUNCTION("GOOGLEFINANCE(A1051, ""high"")"),1811.8)</f>
        <v>1811.8</v>
      </c>
      <c r="F1051" s="9">
        <f>IFERROR(__xludf.DUMMYFUNCTION("GOOGLEFINANCE(A1051, ""low"")"),1788.3)</f>
        <v>1788.3</v>
      </c>
      <c r="G1051" s="9">
        <f>IFERROR(__xludf.DUMMYFUNCTION("GOOGLEFINANCE(A1051, ""price"")"),1805.9)</f>
        <v>1805.9</v>
      </c>
      <c r="H1051" s="9">
        <f>IFERROR(__xludf.DUMMYFUNCTION("MAX(INDEX(GOOGLEFINANCE(A1051, ""high"", TODAY()-30, TODAY()), 0, 2))"),1974.3)</f>
        <v>1974.3</v>
      </c>
      <c r="I1051" s="9">
        <f>IFERROR(__xludf.DUMMYFUNCTION("MIN(INDEX(GOOGLEFINANCE(A1051, ""low"", TODAY()-30, TODAY()), 0, 2))"),1758.2)</f>
        <v>1758.2</v>
      </c>
      <c r="J1051" s="9">
        <f>IFERROR(__xludf.DUMMYFUNCTION("GOOGLEFINANCE(A1051, ""high52"")"),2115.0)</f>
        <v>2115</v>
      </c>
      <c r="K1051" s="9">
        <f>IFERROR(__xludf.DUMMYFUNCTION("GOOGLEFINANCE(A1051, ""low52"")"),1540.2)</f>
        <v>1540.2</v>
      </c>
      <c r="L1051" s="9">
        <f t="shared" si="1"/>
        <v>0.1461465721</v>
      </c>
      <c r="M1051" s="9">
        <f t="shared" si="2"/>
        <v>0.1725100636</v>
      </c>
      <c r="N1051" s="9">
        <f t="shared" si="3"/>
        <v>0.01314097187</v>
      </c>
      <c r="O1051" s="9">
        <f t="shared" si="4"/>
        <v>0.220731143</v>
      </c>
      <c r="P1051" s="9">
        <f>IFERROR(__xludf.DUMMYFUNCTION("GOOGLEFINANCE(A1051, ""pe"")"),15.66)</f>
        <v>15.66</v>
      </c>
      <c r="Q1051" s="9">
        <f>IFERROR(__xludf.DUMMYFUNCTION("IFERROR(GOOGLEFINANCE(A1051, ""volume"") / GOOGLEFINANCE(A1051, ""volumeavg""), 0)"),0.0)</f>
        <v>0</v>
      </c>
      <c r="R1051" s="9">
        <f>IFERROR(__xludf.DUMMYFUNCTION("AVERAGE(INDEX(GOOGLEFINANCE(A1051, ""price"", TODAY()-30, TODAY()), 0, 2))"),1823.7217391304353)</f>
        <v>1823.721739</v>
      </c>
      <c r="S1051" s="9">
        <f>IFERROR(__xludf.DUMMYFUNCTION("AVERAGE(INDEX(GOOGLEFINANCE(A1051, ""price"", TODAY()-75, TODAY()), 0, 2))"),1784.2698113207541)</f>
        <v>1784.269811</v>
      </c>
      <c r="T1051" s="9">
        <f>IFERROR(__xludf.DUMMYFUNCTION("AVERAGE(INDEX(GOOGLEFINANCE(A1051, ""price"", TODAY()-300, TODAY()), 0, 2))"),1806.1128712871284)</f>
        <v>1806.112871</v>
      </c>
      <c r="U1051" s="9">
        <f t="shared" si="5"/>
        <v>-0.009772181111</v>
      </c>
      <c r="V1051" s="15">
        <f>IFERROR(__xludf.DUMMYFUNCTION("LET(hist, GOOGLEFINANCE(A1051,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rs))))))"),47.6991150442478)</f>
        <v>47.69911504</v>
      </c>
      <c r="W1051" s="16" t="str">
        <f>IFERROR(__xludf.DUMMYFUNCTION("IFERROR(GOOGLEFINANCE(A1051, ""volume"") / GOOGLEFINANCE(A1051, ""volumeavg""), )"),"")</f>
        <v/>
      </c>
      <c r="X1051" s="9">
        <f>IFERROR(__xludf.DUMMYFUNCTION("B1051 * GOOGLEFINANCE(A1051, ""volume"")"),6941879.600000001)</f>
        <v>6941879.6</v>
      </c>
      <c r="Y1051" s="9">
        <f>IFERROR(__xludf.DUMMYFUNCTION("IFERROR(((B1051 - GOOGLEFINANCE(A1051, ""priceopen"")) / GOOGLEFINANCE(A1051, ""priceopen"")) * GOOGLEFINANCE(A1051, ""volume""), 0)"),4.475218982149087)</f>
        <v>4.475218982</v>
      </c>
    </row>
    <row r="1052">
      <c r="A1052" s="4" t="s">
        <v>2845</v>
      </c>
      <c r="B1052" s="7">
        <f>IFERROR(__xludf.DUMMYFUNCTION("GOOGLEFINANCE(A1052, ""price"")"),627.9)</f>
        <v>627.9</v>
      </c>
      <c r="C1052" s="7">
        <f>IFERROR(__xludf.DUMMYFUNCTION("GOOGLEFINANCE(A1052, ""changepct"")"),-2.39)</f>
        <v>-2.39</v>
      </c>
      <c r="D1052" s="9">
        <f>IFERROR(__xludf.DUMMYFUNCTION("GOOGLEFINANCE(A1052, ""priceopen"")"),648.9)</f>
        <v>648.9</v>
      </c>
      <c r="E1052" s="9">
        <f>IFERROR(__xludf.DUMMYFUNCTION("GOOGLEFINANCE(A1052, ""high"")"),660.45)</f>
        <v>660.45</v>
      </c>
      <c r="F1052" s="9">
        <f>IFERROR(__xludf.DUMMYFUNCTION("GOOGLEFINANCE(A1052, ""low"")"),625.45)</f>
        <v>625.45</v>
      </c>
      <c r="G1052" s="9">
        <f>IFERROR(__xludf.DUMMYFUNCTION("GOOGLEFINANCE(A1052, ""price"")"),627.9)</f>
        <v>627.9</v>
      </c>
      <c r="H1052" s="9">
        <f>IFERROR(__xludf.DUMMYFUNCTION("MAX(INDEX(GOOGLEFINANCE(A1052, ""high"", TODAY()-30, TODAY()), 0, 2))"),675.0)</f>
        <v>675</v>
      </c>
      <c r="I1052" s="9">
        <f>IFERROR(__xludf.DUMMYFUNCTION("MIN(INDEX(GOOGLEFINANCE(A1052, ""low"", TODAY()-30, TODAY()), 0, 2))"),526.75)</f>
        <v>526.75</v>
      </c>
      <c r="J1052" s="9">
        <f>IFERROR(__xludf.DUMMYFUNCTION("GOOGLEFINANCE(A1052, ""high52"")"),902.65)</f>
        <v>902.65</v>
      </c>
      <c r="K1052" s="9">
        <f>IFERROR(__xludf.DUMMYFUNCTION("GOOGLEFINANCE(A1052, ""low52"")"),376.05)</f>
        <v>376.05</v>
      </c>
      <c r="L1052" s="9">
        <f t="shared" si="1"/>
        <v>0.3043815432</v>
      </c>
      <c r="M1052" s="9">
        <f t="shared" si="2"/>
        <v>0.6697247706</v>
      </c>
      <c r="N1052" s="9">
        <f t="shared" si="3"/>
        <v>0.05595970901</v>
      </c>
      <c r="O1052" s="9">
        <f t="shared" si="4"/>
        <v>0.6822934233</v>
      </c>
      <c r="P1052" s="9">
        <f>IFERROR(__xludf.DUMMYFUNCTION("GOOGLEFINANCE(A1052, ""pe"")"),35.57)</f>
        <v>35.57</v>
      </c>
      <c r="Q1052" s="9">
        <f>IFERROR(__xludf.DUMMYFUNCTION("IFERROR(GOOGLEFINANCE(A1052, ""volume"") / GOOGLEFINANCE(A1052, ""volumeavg""), 0)"),0.0)</f>
        <v>0</v>
      </c>
      <c r="R1052" s="9">
        <f>IFERROR(__xludf.DUMMYFUNCTION("AVERAGE(INDEX(GOOGLEFINANCE(A1052, ""price"", TODAY()-30, TODAY()), 0, 2))"),599.3195652173912)</f>
        <v>599.3195652</v>
      </c>
      <c r="S1052" s="9">
        <f>IFERROR(__xludf.DUMMYFUNCTION("AVERAGE(INDEX(GOOGLEFINANCE(A1052, ""price"", TODAY()-75, TODAY()), 0, 2))"),570.0320754716982)</f>
        <v>570.0320755</v>
      </c>
      <c r="T1052" s="9">
        <f>IFERROR(__xludf.DUMMYFUNCTION("AVERAGE(INDEX(GOOGLEFINANCE(A1052, ""price"", TODAY()-300, TODAY()), 0, 2))"),538.742821782178)</f>
        <v>538.7428218</v>
      </c>
      <c r="U1052" s="9">
        <f t="shared" si="5"/>
        <v>0.04768813909</v>
      </c>
      <c r="V1052" s="15">
        <f>IFERROR(__xludf.DUMMYFUNCTION("LET(hist, GOOGLEFINANCE(A1052,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rs))))))"),71.59823549372241)</f>
        <v>71.59823549</v>
      </c>
      <c r="W1052" s="16" t="str">
        <f>IFERROR(__xludf.DUMMYFUNCTION("IFERROR(GOOGLEFINANCE(A1052, ""volume"") / GOOGLEFINANCE(A1052, ""volumeavg""), )"),"")</f>
        <v/>
      </c>
      <c r="X1052" s="9">
        <f>IFERROR(__xludf.DUMMYFUNCTION("B1052 * GOOGLEFINANCE(A1052, ""volume"")"),1.224706392E8)</f>
        <v>122470639.2</v>
      </c>
      <c r="Y1052" s="9">
        <f>IFERROR(__xludf.DUMMYFUNCTION("IFERROR(((B1052 - GOOGLEFINANCE(A1052, ""priceopen"")) / GOOGLEFINANCE(A1052, ""priceopen"")) * GOOGLEFINANCE(A1052, ""volume""), 0)"),-6312.233009708739)</f>
        <v>-6312.23301</v>
      </c>
    </row>
    <row r="1053">
      <c r="A1053" s="4" t="s">
        <v>2846</v>
      </c>
      <c r="B1053" s="7">
        <f>IFERROR(__xludf.DUMMYFUNCTION("GOOGLEFINANCE(A1053, ""price"")"),663.0)</f>
        <v>663</v>
      </c>
      <c r="C1053" s="7">
        <f>IFERROR(__xludf.DUMMYFUNCTION("GOOGLEFINANCE(A1053, ""changepct"")"),4.18)</f>
        <v>4.18</v>
      </c>
      <c r="D1053" s="9">
        <f>IFERROR(__xludf.DUMMYFUNCTION("GOOGLEFINANCE(A1053, ""priceopen"")"),650.0)</f>
        <v>650</v>
      </c>
      <c r="E1053" s="9">
        <f>IFERROR(__xludf.DUMMYFUNCTION("GOOGLEFINANCE(A1053, ""high"")"),667.0)</f>
        <v>667</v>
      </c>
      <c r="F1053" s="9">
        <f>IFERROR(__xludf.DUMMYFUNCTION("GOOGLEFINANCE(A1053, ""low"")"),644.0)</f>
        <v>644</v>
      </c>
      <c r="G1053" s="9">
        <f>IFERROR(__xludf.DUMMYFUNCTION("GOOGLEFINANCE(A1053, ""price"")"),663.0)</f>
        <v>663</v>
      </c>
      <c r="H1053" s="9">
        <f>IFERROR(__xludf.DUMMYFUNCTION("MAX(INDEX(GOOGLEFINANCE(A1053, ""high"", TODAY()-30, TODAY()), 0, 2))"),693.8)</f>
        <v>693.8</v>
      </c>
      <c r="I1053" s="9">
        <f>IFERROR(__xludf.DUMMYFUNCTION("MIN(INDEX(GOOGLEFINANCE(A1053, ""low"", TODAY()-30, TODAY()), 0, 2))"),579.55)</f>
        <v>579.55</v>
      </c>
      <c r="J1053" s="9">
        <f>IFERROR(__xludf.DUMMYFUNCTION("GOOGLEFINANCE(A1053, ""high52"")"),693.8)</f>
        <v>693.8</v>
      </c>
      <c r="K1053" s="9">
        <f>IFERROR(__xludf.DUMMYFUNCTION("GOOGLEFINANCE(A1053, ""low52"")"),486.8)</f>
        <v>486.8</v>
      </c>
      <c r="L1053" s="9">
        <f t="shared" si="1"/>
        <v>0.04439319689</v>
      </c>
      <c r="M1053" s="9">
        <f t="shared" si="2"/>
        <v>0.3619556286</v>
      </c>
      <c r="N1053" s="9">
        <f t="shared" si="3"/>
        <v>0.03571428571</v>
      </c>
      <c r="O1053" s="9">
        <f t="shared" si="4"/>
        <v>0.7304157549</v>
      </c>
      <c r="P1053" s="9">
        <f>IFERROR(__xludf.DUMMYFUNCTION("GOOGLEFINANCE(A1053, ""pe"")"),16.31)</f>
        <v>16.31</v>
      </c>
      <c r="Q1053" s="9">
        <f>IFERROR(__xludf.DUMMYFUNCTION("IFERROR(GOOGLEFINANCE(A1053, ""volume"") / GOOGLEFINANCE(A1053, ""volumeavg""), 0)"),0.0)</f>
        <v>0</v>
      </c>
      <c r="R1053" s="9">
        <f>IFERROR(__xludf.DUMMYFUNCTION("AVERAGE(INDEX(GOOGLEFINANCE(A1053, ""price"", TODAY()-30, TODAY()), 0, 2))"),609.2869565217391)</f>
        <v>609.2869565</v>
      </c>
      <c r="S1053" s="9">
        <f>IFERROR(__xludf.DUMMYFUNCTION("AVERAGE(INDEX(GOOGLEFINANCE(A1053, ""price"", TODAY()-75, TODAY()), 0, 2))"),601.9641509433962)</f>
        <v>601.9641509</v>
      </c>
      <c r="T1053" s="9">
        <f>IFERROR(__xludf.DUMMYFUNCTION("AVERAGE(INDEX(GOOGLEFINANCE(A1053, ""price"", TODAY()-300, TODAY()), 0, 2))"),587.0977722772278)</f>
        <v>587.0977723</v>
      </c>
      <c r="U1053" s="9">
        <f t="shared" si="5"/>
        <v>0.0881572187</v>
      </c>
      <c r="V1053" s="15">
        <f>IFERROR(__xludf.DUMMYFUNCTION("LET(hist, GOOGLEFINANCE(A1053,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rs))))))"),70.59148700939743)</f>
        <v>70.59148701</v>
      </c>
      <c r="W1053" s="16" t="str">
        <f>IFERROR(__xludf.DUMMYFUNCTION("IFERROR(GOOGLEFINANCE(A1053, ""volume"") / GOOGLEFINANCE(A1053, ""volumeavg""), )"),"")</f>
        <v/>
      </c>
      <c r="X1053" s="9">
        <f>IFERROR(__xludf.DUMMYFUNCTION("B1053 * GOOGLEFINANCE(A1053, ""volume"")"),1.73449419E8)</f>
        <v>173449419</v>
      </c>
      <c r="Y1053" s="9">
        <f>IFERROR(__xludf.DUMMYFUNCTION("IFERROR(((B1053 - GOOGLEFINANCE(A1053, ""priceopen"")) / GOOGLEFINANCE(A1053, ""priceopen"")) * GOOGLEFINANCE(A1053, ""volume""), 0)"),5232.26)</f>
        <v>5232.26</v>
      </c>
    </row>
    <row r="1054">
      <c r="A1054" s="4" t="s">
        <v>2847</v>
      </c>
      <c r="B1054" s="7">
        <f>IFERROR(__xludf.DUMMYFUNCTION("GOOGLEFINANCE(A1054, ""price"")"),96.0)</f>
        <v>96</v>
      </c>
      <c r="C1054" s="7">
        <f>IFERROR(__xludf.DUMMYFUNCTION("GOOGLEFINANCE(A1054, ""changepct"")"),-1.17)</f>
        <v>-1.17</v>
      </c>
      <c r="D1054" s="9">
        <f>IFERROR(__xludf.DUMMYFUNCTION("GOOGLEFINANCE(A1054, ""priceopen"")"),97.14)</f>
        <v>97.14</v>
      </c>
      <c r="E1054" s="9">
        <f>IFERROR(__xludf.DUMMYFUNCTION("GOOGLEFINANCE(A1054, ""high"")"),98.48)</f>
        <v>98.48</v>
      </c>
      <c r="F1054" s="9">
        <f>IFERROR(__xludf.DUMMYFUNCTION("GOOGLEFINANCE(A1054, ""low"")"),93.85)</f>
        <v>93.85</v>
      </c>
      <c r="G1054" s="9">
        <f>IFERROR(__xludf.DUMMYFUNCTION("GOOGLEFINANCE(A1054, ""price"")"),96.0)</f>
        <v>96</v>
      </c>
      <c r="H1054" s="9">
        <f>IFERROR(__xludf.DUMMYFUNCTION("MAX(INDEX(GOOGLEFINANCE(A1054, ""high"", TODAY()-30, TODAY()), 0, 2))"),114.0)</f>
        <v>114</v>
      </c>
      <c r="I1054" s="9">
        <f>IFERROR(__xludf.DUMMYFUNCTION("MIN(INDEX(GOOGLEFINANCE(A1054, ""low"", TODAY()-30, TODAY()), 0, 2))"),93.85)</f>
        <v>93.85</v>
      </c>
      <c r="J1054" s="9">
        <f>IFERROR(__xludf.DUMMYFUNCTION("GOOGLEFINANCE(A1054, ""high52"")"),141.99)</f>
        <v>141.99</v>
      </c>
      <c r="K1054" s="9">
        <f>IFERROR(__xludf.DUMMYFUNCTION("GOOGLEFINANCE(A1054, ""low52"")"),64.0)</f>
        <v>64</v>
      </c>
      <c r="L1054" s="9">
        <f t="shared" si="1"/>
        <v>0.323896049</v>
      </c>
      <c r="M1054" s="9">
        <f t="shared" si="2"/>
        <v>0.5</v>
      </c>
      <c r="N1054" s="9">
        <f t="shared" si="3"/>
        <v>0.04933404369</v>
      </c>
      <c r="O1054" s="9">
        <f t="shared" si="4"/>
        <v>0.1066997519</v>
      </c>
      <c r="P1054" s="9">
        <f>IFERROR(__xludf.DUMMYFUNCTION("GOOGLEFINANCE(A1054, ""pe"")"),80.67)</f>
        <v>80.67</v>
      </c>
      <c r="Q1054" s="9">
        <f>IFERROR(__xludf.DUMMYFUNCTION("IFERROR(GOOGLEFINANCE(A1054, ""volume"") / GOOGLEFINANCE(A1054, ""volumeavg""), 0)"),0.0)</f>
        <v>0</v>
      </c>
      <c r="R1054" s="9">
        <f>IFERROR(__xludf.DUMMYFUNCTION("AVERAGE(INDEX(GOOGLEFINANCE(A1054, ""price"", TODAY()-30, TODAY()), 0, 2))"),104.34739130434782)</f>
        <v>104.3473913</v>
      </c>
      <c r="S1054" s="9">
        <f>IFERROR(__xludf.DUMMYFUNCTION("AVERAGE(INDEX(GOOGLEFINANCE(A1054, ""price"", TODAY()-75, TODAY()), 0, 2))"),104.10169811320759)</f>
        <v>104.1016981</v>
      </c>
      <c r="T1054" s="9">
        <f>IFERROR(__xludf.DUMMYFUNCTION("AVERAGE(INDEX(GOOGLEFINANCE(A1054, ""price"", TODAY()-300, TODAY()), 0, 2))"),92.81767326732668)</f>
        <v>92.81767327</v>
      </c>
      <c r="U1054" s="9">
        <f t="shared" si="5"/>
        <v>-0.07999616665</v>
      </c>
      <c r="V1054" s="15">
        <f>IFERROR(__xludf.DUMMYFUNCTION("LET(hist, GOOGLEFINANCE(A1054,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rs))))))"),40.08687558175613)</f>
        <v>40.08687558</v>
      </c>
      <c r="W1054" s="16" t="str">
        <f>IFERROR(__xludf.DUMMYFUNCTION("IFERROR(GOOGLEFINANCE(A1054, ""volume"") / GOOGLEFINANCE(A1054, ""volumeavg""), )"),"")</f>
        <v/>
      </c>
      <c r="X1054" s="9">
        <f>IFERROR(__xludf.DUMMYFUNCTION("B1054 * GOOGLEFINANCE(A1054, ""volume"")"),6.216768E7)</f>
        <v>62167680</v>
      </c>
      <c r="Y1054" s="9">
        <f>IFERROR(__xludf.DUMMYFUNCTION("IFERROR(((B1054 - GOOGLEFINANCE(A1054, ""priceopen"")) / GOOGLEFINANCE(A1054, ""priceopen"")) * GOOGLEFINANCE(A1054, ""volume""), 0)"),-7599.7652872143335)</f>
        <v>-7599.765287</v>
      </c>
    </row>
    <row r="1055">
      <c r="A1055" s="4" t="s">
        <v>2848</v>
      </c>
      <c r="B1055" s="7">
        <f>IFERROR(__xludf.DUMMYFUNCTION("GOOGLEFINANCE(A1055, ""price"")"),591.95)</f>
        <v>591.95</v>
      </c>
      <c r="C1055" s="7">
        <f>IFERROR(__xludf.DUMMYFUNCTION("GOOGLEFINANCE(A1055, ""changepct"")"),-0.08)</f>
        <v>-0.08</v>
      </c>
      <c r="D1055" s="9">
        <f>IFERROR(__xludf.DUMMYFUNCTION("GOOGLEFINANCE(A1055, ""priceopen"")"),592.2)</f>
        <v>592.2</v>
      </c>
      <c r="E1055" s="9">
        <f>IFERROR(__xludf.DUMMYFUNCTION("GOOGLEFINANCE(A1055, ""high"")"),594.4)</f>
        <v>594.4</v>
      </c>
      <c r="F1055" s="9">
        <f>IFERROR(__xludf.DUMMYFUNCTION("GOOGLEFINANCE(A1055, ""low"")"),584.5)</f>
        <v>584.5</v>
      </c>
      <c r="G1055" s="9">
        <f>IFERROR(__xludf.DUMMYFUNCTION("GOOGLEFINANCE(A1055, ""price"")"),591.95)</f>
        <v>591.95</v>
      </c>
      <c r="H1055" s="9">
        <f>IFERROR(__xludf.DUMMYFUNCTION("MAX(INDEX(GOOGLEFINANCE(A1055, ""high"", TODAY()-30, TODAY()), 0, 2))"),607.8)</f>
        <v>607.8</v>
      </c>
      <c r="I1055" s="9">
        <f>IFERROR(__xludf.DUMMYFUNCTION("MIN(INDEX(GOOGLEFINANCE(A1055, ""low"", TODAY()-30, TODAY()), 0, 2))"),403.05)</f>
        <v>403.05</v>
      </c>
      <c r="J1055" s="9">
        <f>IFERROR(__xludf.DUMMYFUNCTION("GOOGLEFINANCE(A1055, ""high52"")"),607.8)</f>
        <v>607.8</v>
      </c>
      <c r="K1055" s="9">
        <f>IFERROR(__xludf.DUMMYFUNCTION("GOOGLEFINANCE(A1055, ""low52"")"),328.0)</f>
        <v>328</v>
      </c>
      <c r="L1055" s="9">
        <f t="shared" si="1"/>
        <v>0.02607765712</v>
      </c>
      <c r="M1055" s="9">
        <f t="shared" si="2"/>
        <v>0.8047256098</v>
      </c>
      <c r="N1055" s="9">
        <f t="shared" si="3"/>
        <v>0.01693755346</v>
      </c>
      <c r="O1055" s="9">
        <f t="shared" si="4"/>
        <v>0.9225885226</v>
      </c>
      <c r="P1055" s="9">
        <f>IFERROR(__xludf.DUMMYFUNCTION("GOOGLEFINANCE(A1055, ""pe"")"),23.74)</f>
        <v>23.74</v>
      </c>
      <c r="Q1055" s="9">
        <f>IFERROR(__xludf.DUMMYFUNCTION("IFERROR(GOOGLEFINANCE(A1055, ""volume"") / GOOGLEFINANCE(A1055, ""volumeavg""), 0)"),0.0)</f>
        <v>0</v>
      </c>
      <c r="R1055" s="9">
        <f>IFERROR(__xludf.DUMMYFUNCTION("AVERAGE(INDEX(GOOGLEFINANCE(A1055, ""price"", TODAY()-30, TODAY()), 0, 2))"),543.0391304347825)</f>
        <v>543.0391304</v>
      </c>
      <c r="S1055" s="9">
        <f>IFERROR(__xludf.DUMMYFUNCTION("AVERAGE(INDEX(GOOGLEFINANCE(A1055, ""price"", TODAY()-75, TODAY()), 0, 2))"),475.7037735849057)</f>
        <v>475.7037736</v>
      </c>
      <c r="T1055" s="9">
        <f>IFERROR(__xludf.DUMMYFUNCTION("AVERAGE(INDEX(GOOGLEFINANCE(A1055, ""price"", TODAY()-300, TODAY()), 0, 2))"),446.77947368421064)</f>
        <v>446.7794737</v>
      </c>
      <c r="U1055" s="9">
        <f t="shared" si="5"/>
        <v>0.09006877557</v>
      </c>
      <c r="V1055" s="15">
        <f>IFERROR(__xludf.DUMMYFUNCTION("LET(hist, GOOGLEFINANCE(A1055,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rs))))))"),67.63365105677579)</f>
        <v>67.63365106</v>
      </c>
      <c r="W1055" s="16" t="str">
        <f>IFERROR(__xludf.DUMMYFUNCTION("IFERROR(GOOGLEFINANCE(A1055, ""volume"") / GOOGLEFINANCE(A1055, ""volumeavg""), )"),"")</f>
        <v/>
      </c>
      <c r="X1055" s="9">
        <f>IFERROR(__xludf.DUMMYFUNCTION("B1055 * GOOGLEFINANCE(A1055, ""volume"")"),1.9120280975E8)</f>
        <v>191202809.8</v>
      </c>
      <c r="Y1055" s="9">
        <f>IFERROR(__xludf.DUMMYFUNCTION("IFERROR(((B1055 - GOOGLEFINANCE(A1055, ""priceopen"")) / GOOGLEFINANCE(A1055, ""priceopen"")) * GOOGLEFINANCE(A1055, ""volume""), 0)"),-136.35807159743328)</f>
        <v>-136.3580716</v>
      </c>
    </row>
    <row r="1056">
      <c r="A1056" s="4" t="s">
        <v>2849</v>
      </c>
      <c r="B1056" s="7">
        <f>IFERROR(__xludf.DUMMYFUNCTION("GOOGLEFINANCE(A1056, ""price"")"),29.3)</f>
        <v>29.3</v>
      </c>
      <c r="C1056" s="7">
        <f>IFERROR(__xludf.DUMMYFUNCTION("GOOGLEFINANCE(A1056, ""changepct"")"),-3.17)</f>
        <v>-3.17</v>
      </c>
      <c r="D1056" s="9">
        <f>IFERROR(__xludf.DUMMYFUNCTION("GOOGLEFINANCE(A1056, ""priceopen"")"),30.38)</f>
        <v>30.38</v>
      </c>
      <c r="E1056" s="9">
        <f>IFERROR(__xludf.DUMMYFUNCTION("GOOGLEFINANCE(A1056, ""high"")"),30.47)</f>
        <v>30.47</v>
      </c>
      <c r="F1056" s="9">
        <f>IFERROR(__xludf.DUMMYFUNCTION("GOOGLEFINANCE(A1056, ""low"")"),29.06)</f>
        <v>29.06</v>
      </c>
      <c r="G1056" s="9">
        <f>IFERROR(__xludf.DUMMYFUNCTION("GOOGLEFINANCE(A1056, ""price"")"),29.3)</f>
        <v>29.3</v>
      </c>
      <c r="H1056" s="9">
        <f>IFERROR(__xludf.DUMMYFUNCTION("MAX(INDEX(GOOGLEFINANCE(A1056, ""high"", TODAY()-30, TODAY()), 0, 2))"),32.55)</f>
        <v>32.55</v>
      </c>
      <c r="I1056" s="9">
        <f>IFERROR(__xludf.DUMMYFUNCTION("MIN(INDEX(GOOGLEFINANCE(A1056, ""low"", TODAY()-30, TODAY()), 0, 2))"),26.91)</f>
        <v>26.91</v>
      </c>
      <c r="J1056" s="9">
        <f>IFERROR(__xludf.DUMMYFUNCTION("GOOGLEFINANCE(A1056, ""high52"")"),41.32)</f>
        <v>41.32</v>
      </c>
      <c r="K1056" s="9">
        <f>IFERROR(__xludf.DUMMYFUNCTION("GOOGLEFINANCE(A1056, ""low52"")"),22.0)</f>
        <v>22</v>
      </c>
      <c r="L1056" s="9">
        <f t="shared" si="1"/>
        <v>0.2909002904</v>
      </c>
      <c r="M1056" s="9">
        <f t="shared" si="2"/>
        <v>0.3318181818</v>
      </c>
      <c r="N1056" s="9">
        <f t="shared" si="3"/>
        <v>0.04852030282</v>
      </c>
      <c r="O1056" s="9">
        <f t="shared" si="4"/>
        <v>0.4237588652</v>
      </c>
      <c r="P1056" s="9">
        <f>IFERROR(__xludf.DUMMYFUNCTION("GOOGLEFINANCE(A1056, ""pe"")"),10.32)</f>
        <v>10.32</v>
      </c>
      <c r="Q1056" s="9">
        <f>IFERROR(__xludf.DUMMYFUNCTION("IFERROR(GOOGLEFINANCE(A1056, ""volume"") / GOOGLEFINANCE(A1056, ""volumeavg""), 0)"),0.0)</f>
        <v>0</v>
      </c>
      <c r="R1056" s="9">
        <f>IFERROR(__xludf.DUMMYFUNCTION("AVERAGE(INDEX(GOOGLEFINANCE(A1056, ""price"", TODAY()-30, TODAY()), 0, 2))"),29.043478260869566)</f>
        <v>29.04347826</v>
      </c>
      <c r="S1056" s="9">
        <f>IFERROR(__xludf.DUMMYFUNCTION("AVERAGE(INDEX(GOOGLEFINANCE(A1056, ""price"", TODAY()-75, TODAY()), 0, 2))"),29.759811320754707)</f>
        <v>29.75981132</v>
      </c>
      <c r="T1056" s="9">
        <f>IFERROR(__xludf.DUMMYFUNCTION("AVERAGE(INDEX(GOOGLEFINANCE(A1056, ""price"", TODAY()-300, TODAY()), 0, 2))"),29.385693069306942)</f>
        <v>29.38569307</v>
      </c>
      <c r="U1056" s="9">
        <f t="shared" si="5"/>
        <v>0.008832335329</v>
      </c>
      <c r="V1056" s="15">
        <f>IFERROR(__xludf.DUMMYFUNCTION("LET(hist, GOOGLEFINANCE(A1056,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rs))))))"),57.599999999999994)</f>
        <v>57.6</v>
      </c>
      <c r="W1056" s="16" t="str">
        <f>IFERROR(__xludf.DUMMYFUNCTION("IFERROR(GOOGLEFINANCE(A1056, ""volume"") / GOOGLEFINANCE(A1056, ""volumeavg""), )"),"")</f>
        <v/>
      </c>
      <c r="X1056" s="9">
        <f>IFERROR(__xludf.DUMMYFUNCTION("B1056 * GOOGLEFINANCE(A1056, ""volume"")"),1.106338993E8)</f>
        <v>110633899.3</v>
      </c>
      <c r="Y1056" s="9">
        <f>IFERROR(__xludf.DUMMYFUNCTION("IFERROR(((B1056 - GOOGLEFINANCE(A1056, ""priceopen"")) / GOOGLEFINANCE(A1056, ""priceopen"")) * GOOGLEFINANCE(A1056, ""volume""), 0)"),-134232.1619486502)</f>
        <v>-134232.1619</v>
      </c>
    </row>
    <row r="1057">
      <c r="A1057" s="4" t="s">
        <v>2850</v>
      </c>
      <c r="B1057" s="7">
        <f>IFERROR(__xludf.DUMMYFUNCTION("GOOGLEFINANCE(A1057, ""price"")"),179.2)</f>
        <v>179.2</v>
      </c>
      <c r="C1057" s="7">
        <f>IFERROR(__xludf.DUMMYFUNCTION("GOOGLEFINANCE(A1057, ""changepct"")"),-0.11)</f>
        <v>-0.11</v>
      </c>
      <c r="D1057" s="9">
        <f>IFERROR(__xludf.DUMMYFUNCTION("GOOGLEFINANCE(A1057, ""priceopen"")"),179.1)</f>
        <v>179.1</v>
      </c>
      <c r="E1057" s="9">
        <f>IFERROR(__xludf.DUMMYFUNCTION("GOOGLEFINANCE(A1057, ""high"")"),179.68)</f>
        <v>179.68</v>
      </c>
      <c r="F1057" s="9">
        <f>IFERROR(__xludf.DUMMYFUNCTION("GOOGLEFINANCE(A1057, ""low"")"),176.62)</f>
        <v>176.62</v>
      </c>
      <c r="G1057" s="9">
        <f>IFERROR(__xludf.DUMMYFUNCTION("GOOGLEFINANCE(A1057, ""price"")"),179.2)</f>
        <v>179.2</v>
      </c>
      <c r="H1057" s="9">
        <f>IFERROR(__xludf.DUMMYFUNCTION("MAX(INDEX(GOOGLEFINANCE(A1057, ""high"", TODAY()-30, TODAY()), 0, 2))"),214.11)</f>
        <v>214.11</v>
      </c>
      <c r="I1057" s="9">
        <f>IFERROR(__xludf.DUMMYFUNCTION("MIN(INDEX(GOOGLEFINANCE(A1057, ""low"", TODAY()-30, TODAY()), 0, 2))"),173.5)</f>
        <v>173.5</v>
      </c>
      <c r="J1057" s="9">
        <f>IFERROR(__xludf.DUMMYFUNCTION("GOOGLEFINANCE(A1057, ""high52"")"),365.7)</f>
        <v>365.7</v>
      </c>
      <c r="K1057" s="9">
        <f>IFERROR(__xludf.DUMMYFUNCTION("GOOGLEFINANCE(A1057, ""low52"")"),168.15)</f>
        <v>168.15</v>
      </c>
      <c r="L1057" s="9">
        <f t="shared" si="1"/>
        <v>0.5099808586</v>
      </c>
      <c r="M1057" s="9">
        <f t="shared" si="2"/>
        <v>0.0657151353</v>
      </c>
      <c r="N1057" s="9">
        <f t="shared" si="3"/>
        <v>0.01732533122</v>
      </c>
      <c r="O1057" s="9">
        <f t="shared" si="4"/>
        <v>0.1403595174</v>
      </c>
      <c r="P1057" s="9">
        <f>IFERROR(__xludf.DUMMYFUNCTION("GOOGLEFINANCE(A1057, ""pe"")"),26.83)</f>
        <v>26.83</v>
      </c>
      <c r="Q1057" s="9">
        <f>IFERROR(__xludf.DUMMYFUNCTION("IFERROR(GOOGLEFINANCE(A1057, ""volume"") / GOOGLEFINANCE(A1057, ""volumeavg""), 0)"),0.0)</f>
        <v>0</v>
      </c>
      <c r="R1057" s="9">
        <f>IFERROR(__xludf.DUMMYFUNCTION("AVERAGE(INDEX(GOOGLEFINANCE(A1057, ""price"", TODAY()-30, TODAY()), 0, 2))"),192.70521739130427)</f>
        <v>192.7052174</v>
      </c>
      <c r="S1057" s="9">
        <f>IFERROR(__xludf.DUMMYFUNCTION("AVERAGE(INDEX(GOOGLEFINANCE(A1057, ""price"", TODAY()-75, TODAY()), 0, 2))"),198.48396226415102)</f>
        <v>198.4839623</v>
      </c>
      <c r="T1057" s="9">
        <f>IFERROR(__xludf.DUMMYFUNCTION("AVERAGE(INDEX(GOOGLEFINANCE(A1057, ""price"", TODAY()-300, TODAY()), 0, 2))"),228.67606965174133)</f>
        <v>228.6760697</v>
      </c>
      <c r="U1057" s="9">
        <f t="shared" si="5"/>
        <v>-0.07008226126</v>
      </c>
      <c r="V1057" s="15">
        <f>IFERROR(__xludf.DUMMYFUNCTION("LET(hist, GOOGLEFINANCE(A1057,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rs))))))"),25.551515151515176)</f>
        <v>25.55151515</v>
      </c>
      <c r="W1057" s="16" t="str">
        <f>IFERROR(__xludf.DUMMYFUNCTION("IFERROR(GOOGLEFINANCE(A1057, ""volume"") / GOOGLEFINANCE(A1057, ""volumeavg""), )"),"")</f>
        <v/>
      </c>
      <c r="X1057" s="9">
        <f>IFERROR(__xludf.DUMMYFUNCTION("B1057 * GOOGLEFINANCE(A1057, ""volume"")"),6.4111129599999994E7)</f>
        <v>64111129.6</v>
      </c>
      <c r="Y1057" s="9">
        <f>IFERROR(__xludf.DUMMYFUNCTION("IFERROR(((B1057 - GOOGLEFINANCE(A1057, ""priceopen"")) / GOOGLEFINANCE(A1057, ""priceopen"")) * GOOGLEFINANCE(A1057, ""volume""), 0)"),199.7560022333778)</f>
        <v>199.7560022</v>
      </c>
    </row>
    <row r="1058">
      <c r="A1058" s="4" t="s">
        <v>2851</v>
      </c>
      <c r="B1058" s="7">
        <f>IFERROR(__xludf.DUMMYFUNCTION("GOOGLEFINANCE(A1058, ""price"")"),434.8)</f>
        <v>434.8</v>
      </c>
      <c r="C1058" s="7">
        <f>IFERROR(__xludf.DUMMYFUNCTION("GOOGLEFINANCE(A1058, ""changepct"")"),1.9)</f>
        <v>1.9</v>
      </c>
      <c r="D1058" s="9">
        <f>IFERROR(__xludf.DUMMYFUNCTION("GOOGLEFINANCE(A1058, ""priceopen"")"),429.95)</f>
        <v>429.95</v>
      </c>
      <c r="E1058" s="9">
        <f>IFERROR(__xludf.DUMMYFUNCTION("GOOGLEFINANCE(A1058, ""high"")"),449.45)</f>
        <v>449.45</v>
      </c>
      <c r="F1058" s="9">
        <f>IFERROR(__xludf.DUMMYFUNCTION("GOOGLEFINANCE(A1058, ""low"")"),417.05)</f>
        <v>417.05</v>
      </c>
      <c r="G1058" s="9">
        <f>IFERROR(__xludf.DUMMYFUNCTION("GOOGLEFINANCE(A1058, ""price"")"),434.8)</f>
        <v>434.8</v>
      </c>
      <c r="H1058" s="9">
        <f>IFERROR(__xludf.DUMMYFUNCTION("MAX(INDEX(GOOGLEFINANCE(A1058, ""high"", TODAY()-30, TODAY()), 0, 2))"),449.45)</f>
        <v>449.45</v>
      </c>
      <c r="I1058" s="9">
        <f>IFERROR(__xludf.DUMMYFUNCTION("MIN(INDEX(GOOGLEFINANCE(A1058, ""low"", TODAY()-30, TODAY()), 0, 2))"),380.1)</f>
        <v>380.1</v>
      </c>
      <c r="J1058" s="9">
        <f>IFERROR(__xludf.DUMMYFUNCTION("GOOGLEFINANCE(A1058, ""high52"")"),779.0)</f>
        <v>779</v>
      </c>
      <c r="K1058" s="9">
        <f>IFERROR(__xludf.DUMMYFUNCTION("GOOGLEFINANCE(A1058, ""low52"")"),333.8)</f>
        <v>333.8</v>
      </c>
      <c r="L1058" s="9">
        <f t="shared" si="1"/>
        <v>0.4418485237</v>
      </c>
      <c r="M1058" s="9">
        <f t="shared" si="2"/>
        <v>0.302576393</v>
      </c>
      <c r="N1058" s="9">
        <f t="shared" si="3"/>
        <v>0.07768852656</v>
      </c>
      <c r="O1058" s="9">
        <f t="shared" si="4"/>
        <v>0.7887527037</v>
      </c>
      <c r="P1058" s="9">
        <f>IFERROR(__xludf.DUMMYFUNCTION("GOOGLEFINANCE(A1058, ""pe"")"),0.48)</f>
        <v>0.48</v>
      </c>
      <c r="Q1058" s="9">
        <f>IFERROR(__xludf.DUMMYFUNCTION("IFERROR(GOOGLEFINANCE(A1058, ""volume"") / GOOGLEFINANCE(A1058, ""volumeavg""), 0)"),0.0)</f>
        <v>0</v>
      </c>
      <c r="R1058" s="9">
        <f>IFERROR(__xludf.DUMMYFUNCTION("AVERAGE(INDEX(GOOGLEFINANCE(A1058, ""price"", TODAY()-30, TODAY()), 0, 2))"),412.80652173913046)</f>
        <v>412.8065217</v>
      </c>
      <c r="S1058" s="9">
        <f>IFERROR(__xludf.DUMMYFUNCTION("AVERAGE(INDEX(GOOGLEFINANCE(A1058, ""price"", TODAY()-75, TODAY()), 0, 2))"),400.40000000000003)</f>
        <v>400.4</v>
      </c>
      <c r="T1058" s="9">
        <f>IFERROR(__xludf.DUMMYFUNCTION("AVERAGE(INDEX(GOOGLEFINANCE(A1058, ""price"", TODAY()-300, TODAY()), 0, 2))"),461.45544554455415)</f>
        <v>461.4554455</v>
      </c>
      <c r="U1058" s="9">
        <f t="shared" si="5"/>
        <v>0.05327793313</v>
      </c>
      <c r="V1058" s="15">
        <f>IFERROR(__xludf.DUMMYFUNCTION("LET(hist, GOOGLEFINANCE(A1058,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rs))))))"),63.76470588235291)</f>
        <v>63.76470588</v>
      </c>
      <c r="W1058" s="16" t="str">
        <f>IFERROR(__xludf.DUMMYFUNCTION("IFERROR(GOOGLEFINANCE(A1058, ""volume"") / GOOGLEFINANCE(A1058, ""volumeavg""), )"),"")</f>
        <v/>
      </c>
      <c r="X1058" s="9">
        <f>IFERROR(__xludf.DUMMYFUNCTION("B1058 * GOOGLEFINANCE(A1058, ""volume"")"),8.01012474E8)</f>
        <v>801012474</v>
      </c>
      <c r="Y1058" s="9">
        <f>IFERROR(__xludf.DUMMYFUNCTION("IFERROR(((B1058 - GOOGLEFINANCE(A1058, ""priceopen"")) / GOOGLEFINANCE(A1058, ""priceopen"")) * GOOGLEFINANCE(A1058, ""volume""), 0)"),20781.33910919884)</f>
        <v>20781.33911</v>
      </c>
    </row>
    <row r="1059">
      <c r="A1059" s="4" t="s">
        <v>2852</v>
      </c>
      <c r="B1059" s="7">
        <f>IFERROR(__xludf.DUMMYFUNCTION("GOOGLEFINANCE(A1059, ""price"")"),1893.0)</f>
        <v>1893</v>
      </c>
      <c r="C1059" s="7">
        <f>IFERROR(__xludf.DUMMYFUNCTION("GOOGLEFINANCE(A1059, ""changepct"")"),1.69)</f>
        <v>1.69</v>
      </c>
      <c r="D1059" s="9">
        <f>IFERROR(__xludf.DUMMYFUNCTION("GOOGLEFINANCE(A1059, ""priceopen"")"),1900.0)</f>
        <v>1900</v>
      </c>
      <c r="E1059" s="9">
        <f>IFERROR(__xludf.DUMMYFUNCTION("GOOGLEFINANCE(A1059, ""high"")"),2110.0)</f>
        <v>2110</v>
      </c>
      <c r="F1059" s="9">
        <f>IFERROR(__xludf.DUMMYFUNCTION("GOOGLEFINANCE(A1059, ""low"")"),1876.0)</f>
        <v>1876</v>
      </c>
      <c r="G1059" s="9">
        <f>IFERROR(__xludf.DUMMYFUNCTION("GOOGLEFINANCE(A1059, ""price"")"),1893.0)</f>
        <v>1893</v>
      </c>
      <c r="H1059" s="9">
        <f>IFERROR(__xludf.DUMMYFUNCTION("MAX(INDEX(GOOGLEFINANCE(A1059, ""high"", TODAY()-30, TODAY()), 0, 2))"),2110.0)</f>
        <v>2110</v>
      </c>
      <c r="I1059" s="9">
        <f>IFERROR(__xludf.DUMMYFUNCTION("MIN(INDEX(GOOGLEFINANCE(A1059, ""low"", TODAY()-30, TODAY()), 0, 2))"),1760.3)</f>
        <v>1760.3</v>
      </c>
      <c r="J1059" s="9">
        <f>IFERROR(__xludf.DUMMYFUNCTION("GOOGLEFINANCE(A1059, ""high52"")"),3013.4)</f>
        <v>3013.4</v>
      </c>
      <c r="K1059" s="9">
        <f>IFERROR(__xludf.DUMMYFUNCTION("GOOGLEFINANCE(A1059, ""low52"")"),1460.0)</f>
        <v>1460</v>
      </c>
      <c r="L1059" s="9">
        <f t="shared" si="1"/>
        <v>0.3718059335</v>
      </c>
      <c r="M1059" s="9">
        <f t="shared" si="2"/>
        <v>0.2965753425</v>
      </c>
      <c r="N1059" s="9">
        <f t="shared" si="3"/>
        <v>0.1247334755</v>
      </c>
      <c r="O1059" s="9">
        <f t="shared" si="4"/>
        <v>0.3794681155</v>
      </c>
      <c r="P1059" s="9">
        <f>IFERROR(__xludf.DUMMYFUNCTION("GOOGLEFINANCE(A1059, ""pe"")"),22.72)</f>
        <v>22.72</v>
      </c>
      <c r="Q1059" s="9">
        <f>IFERROR(__xludf.DUMMYFUNCTION("IFERROR(GOOGLEFINANCE(A1059, ""volume"") / GOOGLEFINANCE(A1059, ""volumeavg""), 0)"),0.0)</f>
        <v>0</v>
      </c>
      <c r="R1059" s="9">
        <f>IFERROR(__xludf.DUMMYFUNCTION("AVERAGE(INDEX(GOOGLEFINANCE(A1059, ""price"", TODAY()-30, TODAY()), 0, 2))"),1893.7739130434784)</f>
        <v>1893.773913</v>
      </c>
      <c r="S1059" s="9">
        <f>IFERROR(__xludf.DUMMYFUNCTION("AVERAGE(INDEX(GOOGLEFINANCE(A1059, ""price"", TODAY()-75, TODAY()), 0, 2))"),1916.4283018867927)</f>
        <v>1916.428302</v>
      </c>
      <c r="T1059" s="9">
        <f>IFERROR(__xludf.DUMMYFUNCTION("AVERAGE(INDEX(GOOGLEFINANCE(A1059, ""price"", TODAY()-300, TODAY()), 0, 2))"),2010.6311881188105)</f>
        <v>2010.631188</v>
      </c>
      <c r="U1059" s="9">
        <f t="shared" si="5"/>
        <v>-0.0004086617933</v>
      </c>
      <c r="V1059" s="15">
        <f>IFERROR(__xludf.DUMMYFUNCTION("LET(hist, GOOGLEFINANCE(A1059,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rs))))))"),57.48843827819282)</f>
        <v>57.48843828</v>
      </c>
      <c r="W1059" s="16" t="str">
        <f>IFERROR(__xludf.DUMMYFUNCTION("IFERROR(GOOGLEFINANCE(A1059, ""volume"") / GOOGLEFINANCE(A1059, ""volumeavg""), )"),"")</f>
        <v/>
      </c>
      <c r="X1059" s="9">
        <f>IFERROR(__xludf.DUMMYFUNCTION("B1059 * GOOGLEFINANCE(A1059, ""volume"")"),1.78886607E8)</f>
        <v>178886607</v>
      </c>
      <c r="Y1059" s="9">
        <f>IFERROR(__xludf.DUMMYFUNCTION("IFERROR(((B1059 - GOOGLEFINANCE(A1059, ""priceopen"")) / GOOGLEFINANCE(A1059, ""priceopen"")) * GOOGLEFINANCE(A1059, ""volume""), 0)"),-348.1542105263158)</f>
        <v>-348.1542105</v>
      </c>
    </row>
    <row r="1060">
      <c r="A1060" s="4" t="s">
        <v>2853</v>
      </c>
      <c r="B1060" s="7">
        <f>IFERROR(__xludf.DUMMYFUNCTION("GOOGLEFINANCE(A1060, ""price"")"),215.98)</f>
        <v>215.98</v>
      </c>
      <c r="C1060" s="7">
        <f>IFERROR(__xludf.DUMMYFUNCTION("GOOGLEFINANCE(A1060, ""changepct"")"),-1.5)</f>
        <v>-1.5</v>
      </c>
      <c r="D1060" s="9">
        <f>IFERROR(__xludf.DUMMYFUNCTION("GOOGLEFINANCE(A1060, ""priceopen"")"),221.13)</f>
        <v>221.13</v>
      </c>
      <c r="E1060" s="9">
        <f>IFERROR(__xludf.DUMMYFUNCTION("GOOGLEFINANCE(A1060, ""high"")"),221.13)</f>
        <v>221.13</v>
      </c>
      <c r="F1060" s="9">
        <f>IFERROR(__xludf.DUMMYFUNCTION("GOOGLEFINANCE(A1060, ""low"")"),214.7)</f>
        <v>214.7</v>
      </c>
      <c r="G1060" s="9">
        <f>IFERROR(__xludf.DUMMYFUNCTION("GOOGLEFINANCE(A1060, ""price"")"),215.98)</f>
        <v>215.98</v>
      </c>
      <c r="H1060" s="9">
        <f>IFERROR(__xludf.DUMMYFUNCTION("MAX(INDEX(GOOGLEFINANCE(A1060, ""high"", TODAY()-30, TODAY()), 0, 2))"),237.14)</f>
        <v>237.14</v>
      </c>
      <c r="I1060" s="9">
        <f>IFERROR(__xludf.DUMMYFUNCTION("MIN(INDEX(GOOGLEFINANCE(A1060, ""low"", TODAY()-30, TODAY()), 0, 2))"),210.1)</f>
        <v>210.1</v>
      </c>
      <c r="J1060" s="9">
        <f>IFERROR(__xludf.DUMMYFUNCTION("GOOGLEFINANCE(A1060, ""high52"")"),376.95)</f>
        <v>376.95</v>
      </c>
      <c r="K1060" s="9">
        <f>IFERROR(__xludf.DUMMYFUNCTION("GOOGLEFINANCE(A1060, ""low52"")"),177.84)</f>
        <v>177.84</v>
      </c>
      <c r="L1060" s="9">
        <f t="shared" si="1"/>
        <v>0.427032763</v>
      </c>
      <c r="M1060" s="9">
        <f t="shared" si="2"/>
        <v>0.2144624381</v>
      </c>
      <c r="N1060" s="9">
        <f t="shared" si="3"/>
        <v>0.02994876572</v>
      </c>
      <c r="O1060" s="9">
        <f t="shared" si="4"/>
        <v>0.2174556213</v>
      </c>
      <c r="P1060" s="9">
        <f>IFERROR(__xludf.DUMMYFUNCTION("GOOGLEFINANCE(A1060, ""pe"")"),21.24)</f>
        <v>21.24</v>
      </c>
      <c r="Q1060" s="9">
        <f>IFERROR(__xludf.DUMMYFUNCTION("IFERROR(GOOGLEFINANCE(A1060, ""volume"") / GOOGLEFINANCE(A1060, ""volumeavg""), 0)"),0.0)</f>
        <v>0</v>
      </c>
      <c r="R1060" s="9">
        <f>IFERROR(__xludf.DUMMYFUNCTION("AVERAGE(INDEX(GOOGLEFINANCE(A1060, ""price"", TODAY()-30, TODAY()), 0, 2))"),221.57913043478263)</f>
        <v>221.5791304</v>
      </c>
      <c r="S1060" s="9">
        <f>IFERROR(__xludf.DUMMYFUNCTION("AVERAGE(INDEX(GOOGLEFINANCE(A1060, ""price"", TODAY()-75, TODAY()), 0, 2))"),227.61867924528303)</f>
        <v>227.6186792</v>
      </c>
      <c r="T1060" s="9">
        <f>IFERROR(__xludf.DUMMYFUNCTION("AVERAGE(INDEX(GOOGLEFINANCE(A1060, ""price"", TODAY()-300, TODAY()), 0, 2))"),249.46405940594045)</f>
        <v>249.4640594</v>
      </c>
      <c r="U1060" s="9">
        <f t="shared" si="5"/>
        <v>-0.02526921386</v>
      </c>
      <c r="V1060" s="15">
        <f>IFERROR(__xludf.DUMMYFUNCTION("LET(hist, GOOGLEFINANCE(A1060,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rs))))))"),50.64037405976824)</f>
        <v>50.64037406</v>
      </c>
      <c r="W1060" s="16" t="str">
        <f>IFERROR(__xludf.DUMMYFUNCTION("IFERROR(GOOGLEFINANCE(A1060, ""volume"") / GOOGLEFINANCE(A1060, ""volumeavg""), )"),"")</f>
        <v/>
      </c>
      <c r="X1060" s="9">
        <f>IFERROR(__xludf.DUMMYFUNCTION("B1060 * GOOGLEFINANCE(A1060, ""volume"")"),4.8735887E7)</f>
        <v>48735887</v>
      </c>
      <c r="Y1060" s="9">
        <f>IFERROR(__xludf.DUMMYFUNCTION("IFERROR(((B1060 - GOOGLEFINANCE(A1060, ""priceopen"")) / GOOGLEFINANCE(A1060, ""priceopen"")) * GOOGLEFINANCE(A1060, ""volume""), 0)"),-5255.268394157289)</f>
        <v>-5255.268394</v>
      </c>
    </row>
    <row r="1061">
      <c r="A1061" s="4" t="s">
        <v>2854</v>
      </c>
      <c r="B1061" s="7">
        <f>IFERROR(__xludf.DUMMYFUNCTION("GOOGLEFINANCE(A1061, ""price"")"),237.5)</f>
        <v>237.5</v>
      </c>
      <c r="C1061" s="7">
        <f>IFERROR(__xludf.DUMMYFUNCTION("GOOGLEFINANCE(A1061, ""changepct"")"),-3.9)</f>
        <v>-3.9</v>
      </c>
      <c r="D1061" s="9">
        <f>IFERROR(__xludf.DUMMYFUNCTION("GOOGLEFINANCE(A1061, ""priceopen"")"),247.15)</f>
        <v>247.15</v>
      </c>
      <c r="E1061" s="9">
        <f>IFERROR(__xludf.DUMMYFUNCTION("GOOGLEFINANCE(A1061, ""high"")"),248.5)</f>
        <v>248.5</v>
      </c>
      <c r="F1061" s="9">
        <f>IFERROR(__xludf.DUMMYFUNCTION("GOOGLEFINANCE(A1061, ""low"")"),234.1)</f>
        <v>234.1</v>
      </c>
      <c r="G1061" s="9">
        <f>IFERROR(__xludf.DUMMYFUNCTION("GOOGLEFINANCE(A1061, ""price"")"),237.5)</f>
        <v>237.5</v>
      </c>
      <c r="H1061" s="9">
        <f>IFERROR(__xludf.DUMMYFUNCTION("MAX(INDEX(GOOGLEFINANCE(A1061, ""high"", TODAY()-30, TODAY()), 0, 2))"),281.08)</f>
        <v>281.08</v>
      </c>
      <c r="I1061" s="9">
        <f>IFERROR(__xludf.DUMMYFUNCTION("MIN(INDEX(GOOGLEFINANCE(A1061, ""low"", TODAY()-30, TODAY()), 0, 2))"),232.6)</f>
        <v>232.6</v>
      </c>
      <c r="J1061" s="9">
        <f>IFERROR(__xludf.DUMMYFUNCTION("GOOGLEFINANCE(A1061, ""high52"")"),344.0)</f>
        <v>344</v>
      </c>
      <c r="K1061" s="9">
        <f>IFERROR(__xludf.DUMMYFUNCTION("GOOGLEFINANCE(A1061, ""low52"")"),132.17)</f>
        <v>132.17</v>
      </c>
      <c r="L1061" s="9">
        <f t="shared" si="1"/>
        <v>0.3095930233</v>
      </c>
      <c r="M1061" s="9">
        <f t="shared" si="2"/>
        <v>0.7969281985</v>
      </c>
      <c r="N1061" s="9">
        <f t="shared" si="3"/>
        <v>0.06151217428</v>
      </c>
      <c r="O1061" s="9">
        <f t="shared" si="4"/>
        <v>0.1010726073</v>
      </c>
      <c r="P1061" s="9">
        <f>IFERROR(__xludf.DUMMYFUNCTION("GOOGLEFINANCE(A1061, ""pe"")"),25.14)</f>
        <v>25.14</v>
      </c>
      <c r="Q1061" s="9">
        <f>IFERROR(__xludf.DUMMYFUNCTION("IFERROR(GOOGLEFINANCE(A1061, ""volume"") / GOOGLEFINANCE(A1061, ""volumeavg""), 0)"),0.0)</f>
        <v>0</v>
      </c>
      <c r="R1061" s="9">
        <f>IFERROR(__xludf.DUMMYFUNCTION("AVERAGE(INDEX(GOOGLEFINANCE(A1061, ""price"", TODAY()-30, TODAY()), 0, 2))"),253.52521739130435)</f>
        <v>253.5252174</v>
      </c>
      <c r="S1061" s="9">
        <f>IFERROR(__xludf.DUMMYFUNCTION("AVERAGE(INDEX(GOOGLEFINANCE(A1061, ""price"", TODAY()-75, TODAY()), 0, 2))"),243.70962264150947)</f>
        <v>243.7096226</v>
      </c>
      <c r="T1061" s="9">
        <f>IFERROR(__xludf.DUMMYFUNCTION("AVERAGE(INDEX(GOOGLEFINANCE(A1061, ""price"", TODAY()-300, TODAY()), 0, 2))"),231.36287128712868)</f>
        <v>231.3628713</v>
      </c>
      <c r="U1061" s="9">
        <f t="shared" si="5"/>
        <v>-0.06320955981</v>
      </c>
      <c r="V1061" s="15">
        <f>IFERROR(__xludf.DUMMYFUNCTION("LET(hist, GOOGLEFINANCE(A1061,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rs))))))"),46.76920100599729)</f>
        <v>46.76920101</v>
      </c>
      <c r="W1061" s="16" t="str">
        <f>IFERROR(__xludf.DUMMYFUNCTION("IFERROR(GOOGLEFINANCE(A1061, ""volume"") / GOOGLEFINANCE(A1061, ""volumeavg""), )"),"")</f>
        <v/>
      </c>
      <c r="X1061" s="9">
        <f>IFERROR(__xludf.DUMMYFUNCTION("B1061 * GOOGLEFINANCE(A1061, ""volume"")"),2.12323575E8)</f>
        <v>212323575</v>
      </c>
      <c r="Y1061" s="9">
        <f>IFERROR(__xludf.DUMMYFUNCTION("IFERROR(((B1061 - GOOGLEFINANCE(A1061, ""priceopen"")) / GOOGLEFINANCE(A1061, ""priceopen"")) * GOOGLEFINANCE(A1061, ""volume""), 0)"),-34906.09791624521)</f>
        <v>-34906.09792</v>
      </c>
    </row>
    <row r="1062">
      <c r="A1062" s="4" t="s">
        <v>2855</v>
      </c>
      <c r="B1062" s="7">
        <f>IFERROR(__xludf.DUMMYFUNCTION("GOOGLEFINANCE(A1062, ""price"")"),1842.5)</f>
        <v>1842.5</v>
      </c>
      <c r="C1062" s="7">
        <f>IFERROR(__xludf.DUMMYFUNCTION("GOOGLEFINANCE(A1062, ""changepct"")"),-1.4)</f>
        <v>-1.4</v>
      </c>
      <c r="D1062" s="9">
        <f>IFERROR(__xludf.DUMMYFUNCTION("GOOGLEFINANCE(A1062, ""priceopen"")"),1869.8)</f>
        <v>1869.8</v>
      </c>
      <c r="E1062" s="9">
        <f>IFERROR(__xludf.DUMMYFUNCTION("GOOGLEFINANCE(A1062, ""high"")"),1875.0)</f>
        <v>1875</v>
      </c>
      <c r="F1062" s="9">
        <f>IFERROR(__xludf.DUMMYFUNCTION("GOOGLEFINANCE(A1062, ""low"")"),1820.9)</f>
        <v>1820.9</v>
      </c>
      <c r="G1062" s="9">
        <f>IFERROR(__xludf.DUMMYFUNCTION("GOOGLEFINANCE(A1062, ""price"")"),1842.5)</f>
        <v>1842.5</v>
      </c>
      <c r="H1062" s="9">
        <f>IFERROR(__xludf.DUMMYFUNCTION("MAX(INDEX(GOOGLEFINANCE(A1062, ""high"", TODAY()-30, TODAY()), 0, 2))"),1983.5)</f>
        <v>1983.5</v>
      </c>
      <c r="I1062" s="9">
        <f>IFERROR(__xludf.DUMMYFUNCTION("MIN(INDEX(GOOGLEFINANCE(A1062, ""low"", TODAY()-30, TODAY()), 0, 2))"),1277.2)</f>
        <v>1277.2</v>
      </c>
      <c r="J1062" s="9">
        <f>IFERROR(__xludf.DUMMYFUNCTION("GOOGLEFINANCE(A1062, ""high52"")"),1983.5)</f>
        <v>1983.5</v>
      </c>
      <c r="K1062" s="9">
        <f>IFERROR(__xludf.DUMMYFUNCTION("GOOGLEFINANCE(A1062, ""low52"")"),1050.5)</f>
        <v>1050.5</v>
      </c>
      <c r="L1062" s="9">
        <f t="shared" si="1"/>
        <v>0.07108646332</v>
      </c>
      <c r="M1062" s="9">
        <f t="shared" si="2"/>
        <v>0.7539267016</v>
      </c>
      <c r="N1062" s="9">
        <f t="shared" si="3"/>
        <v>0.02971058268</v>
      </c>
      <c r="O1062" s="9">
        <f t="shared" si="4"/>
        <v>0.8003681155</v>
      </c>
      <c r="P1062" s="9">
        <f>IFERROR(__xludf.DUMMYFUNCTION("GOOGLEFINANCE(A1062, ""pe"")"),22.06)</f>
        <v>22.06</v>
      </c>
      <c r="Q1062" s="9">
        <f>IFERROR(__xludf.DUMMYFUNCTION("IFERROR(GOOGLEFINANCE(A1062, ""volume"") / GOOGLEFINANCE(A1062, ""volumeavg""), 0)"),0.0)</f>
        <v>0</v>
      </c>
      <c r="R1062" s="9">
        <f>IFERROR(__xludf.DUMMYFUNCTION("AVERAGE(INDEX(GOOGLEFINANCE(A1062, ""price"", TODAY()-30, TODAY()), 0, 2))"),1660.239130434783)</f>
        <v>1660.23913</v>
      </c>
      <c r="S1062" s="9">
        <f>IFERROR(__xludf.DUMMYFUNCTION("AVERAGE(INDEX(GOOGLEFINANCE(A1062, ""price"", TODAY()-75, TODAY()), 0, 2))"),1443.7509433962268)</f>
        <v>1443.750943</v>
      </c>
      <c r="T1062" s="9">
        <f>IFERROR(__xludf.DUMMYFUNCTION("AVERAGE(INDEX(GOOGLEFINANCE(A1062, ""price"", TODAY()-300, TODAY()), 0, 2))"),1391.243564356436)</f>
        <v>1391.243564</v>
      </c>
      <c r="U1062" s="9">
        <f t="shared" si="5"/>
        <v>0.1097798903</v>
      </c>
      <c r="V1062" s="15">
        <f>IFERROR(__xludf.DUMMYFUNCTION("LET(hist, GOOGLEFINANCE(A1062,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rs))))))"),61.134365843449146)</f>
        <v>61.13436584</v>
      </c>
      <c r="W1062" s="16" t="str">
        <f>IFERROR(__xludf.DUMMYFUNCTION("IFERROR(GOOGLEFINANCE(A1062, ""volume"") / GOOGLEFINANCE(A1062, ""volumeavg""), )"),"")</f>
        <v/>
      </c>
      <c r="X1062" s="9">
        <f>IFERROR(__xludf.DUMMYFUNCTION("B1062 * GOOGLEFINANCE(A1062, ""volume"")"),1.046079375E8)</f>
        <v>104607937.5</v>
      </c>
      <c r="Y1062" s="9">
        <f>IFERROR(__xludf.DUMMYFUNCTION("IFERROR(((B1062 - GOOGLEFINANCE(A1062, ""priceopen"")) / GOOGLEFINANCE(A1062, ""priceopen"")) * GOOGLEFINANCE(A1062, ""volume""), 0)"),-828.9429350732686)</f>
        <v>-828.9429351</v>
      </c>
    </row>
    <row r="1063">
      <c r="A1063" s="4" t="s">
        <v>2856</v>
      </c>
      <c r="B1063" s="7">
        <f>IFERROR(__xludf.DUMMYFUNCTION("GOOGLEFINANCE(A1063, ""price"")"),3306.1)</f>
        <v>3306.1</v>
      </c>
      <c r="C1063" s="7">
        <f>IFERROR(__xludf.DUMMYFUNCTION("GOOGLEFINANCE(A1063, ""changepct"")"),-0.13)</f>
        <v>-0.13</v>
      </c>
      <c r="D1063" s="9">
        <f>IFERROR(__xludf.DUMMYFUNCTION("GOOGLEFINANCE(A1063, ""priceopen"")"),3300.0)</f>
        <v>3300</v>
      </c>
      <c r="E1063" s="9">
        <f>IFERROR(__xludf.DUMMYFUNCTION("GOOGLEFINANCE(A1063, ""high"")"),3374.8)</f>
        <v>3374.8</v>
      </c>
      <c r="F1063" s="9">
        <f>IFERROR(__xludf.DUMMYFUNCTION("GOOGLEFINANCE(A1063, ""low"")"),3240.1)</f>
        <v>3240.1</v>
      </c>
      <c r="G1063" s="9">
        <f>IFERROR(__xludf.DUMMYFUNCTION("GOOGLEFINANCE(A1063, ""price"")"),3306.1)</f>
        <v>3306.1</v>
      </c>
      <c r="H1063" s="9">
        <f>IFERROR(__xludf.DUMMYFUNCTION("MAX(INDEX(GOOGLEFINANCE(A1063, ""high"", TODAY()-30, TODAY()), 0, 2))"),3450.0)</f>
        <v>3450</v>
      </c>
      <c r="I1063" s="9">
        <f>IFERROR(__xludf.DUMMYFUNCTION("MIN(INDEX(GOOGLEFINANCE(A1063, ""low"", TODAY()-30, TODAY()), 0, 2))"),2490.4)</f>
        <v>2490.4</v>
      </c>
      <c r="J1063" s="9">
        <f>IFERROR(__xludf.DUMMYFUNCTION("GOOGLEFINANCE(A1063, ""high52"")"),3450.0)</f>
        <v>3450</v>
      </c>
      <c r="K1063" s="9">
        <f>IFERROR(__xludf.DUMMYFUNCTION("GOOGLEFINANCE(A1063, ""low52"")"),1561.0)</f>
        <v>1561</v>
      </c>
      <c r="L1063" s="9">
        <f t="shared" si="1"/>
        <v>0.04171014493</v>
      </c>
      <c r="M1063" s="9">
        <f t="shared" si="2"/>
        <v>1.11793722</v>
      </c>
      <c r="N1063" s="9">
        <f t="shared" si="3"/>
        <v>0.04157279096</v>
      </c>
      <c r="O1063" s="9">
        <f t="shared" si="4"/>
        <v>0.850041684</v>
      </c>
      <c r="P1063" s="9">
        <f>IFERROR(__xludf.DUMMYFUNCTION("GOOGLEFINANCE(A1063, ""pe"")"),50.94)</f>
        <v>50.94</v>
      </c>
      <c r="Q1063" s="9">
        <f>IFERROR(__xludf.DUMMYFUNCTION("IFERROR(GOOGLEFINANCE(A1063, ""volume"") / GOOGLEFINANCE(A1063, ""volumeavg""), 0)"),0.0)</f>
        <v>0</v>
      </c>
      <c r="R1063" s="9">
        <f>IFERROR(__xludf.DUMMYFUNCTION("AVERAGE(INDEX(GOOGLEFINANCE(A1063, ""price"", TODAY()-30, TODAY()), 0, 2))"),2732.9913043478264)</f>
        <v>2732.991304</v>
      </c>
      <c r="S1063" s="9">
        <f>IFERROR(__xludf.DUMMYFUNCTION("AVERAGE(INDEX(GOOGLEFINANCE(A1063, ""price"", TODAY()-75, TODAY()), 0, 2))"),2586.811320754717)</f>
        <v>2586.811321</v>
      </c>
      <c r="T1063" s="9">
        <f>IFERROR(__xludf.DUMMYFUNCTION("AVERAGE(INDEX(GOOGLEFINANCE(A1063, ""price"", TODAY()-300, TODAY()), 0, 2))"),2317.555625)</f>
        <v>2317.555625</v>
      </c>
      <c r="U1063" s="9">
        <f t="shared" si="5"/>
        <v>0.2097001534</v>
      </c>
      <c r="V1063" s="15">
        <f>IFERROR(__xludf.DUMMYFUNCTION("LET(hist, GOOGLEFINANCE(A1063,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rs))))))"),74.4641903744947)</f>
        <v>74.46419037</v>
      </c>
      <c r="W1063" s="16" t="str">
        <f>IFERROR(__xludf.DUMMYFUNCTION("IFERROR(GOOGLEFINANCE(A1063, ""volume"") / GOOGLEFINANCE(A1063, ""volumeavg""), )"),"")</f>
        <v/>
      </c>
      <c r="X1063" s="9">
        <f>IFERROR(__xludf.DUMMYFUNCTION("B1063 * GOOGLEFINANCE(A1063, ""volume"")"),1.551519669E8)</f>
        <v>155151966.9</v>
      </c>
      <c r="Y1063" s="9">
        <f>IFERROR(__xludf.DUMMYFUNCTION("IFERROR(((B1063 - GOOGLEFINANCE(A1063, ""priceopen"")) / GOOGLEFINANCE(A1063, ""priceopen"")) * GOOGLEFINANCE(A1063, ""volume""), 0)"),86.74754545454415)</f>
        <v>86.74754545</v>
      </c>
    </row>
    <row r="1064">
      <c r="A1064" s="4" t="s">
        <v>2857</v>
      </c>
      <c r="B1064" s="7">
        <f>IFERROR(__xludf.DUMMYFUNCTION("GOOGLEFINANCE(A1064, ""price"")"),351.0)</f>
        <v>351</v>
      </c>
      <c r="C1064" s="7">
        <f>IFERROR(__xludf.DUMMYFUNCTION("GOOGLEFINANCE(A1064, ""changepct"")"),1.37)</f>
        <v>1.37</v>
      </c>
      <c r="D1064" s="9">
        <f>IFERROR(__xludf.DUMMYFUNCTION("GOOGLEFINANCE(A1064, ""priceopen"")"),346.3)</f>
        <v>346.3</v>
      </c>
      <c r="E1064" s="9">
        <f>IFERROR(__xludf.DUMMYFUNCTION("GOOGLEFINANCE(A1064, ""high"")"),355.95)</f>
        <v>355.95</v>
      </c>
      <c r="F1064" s="9">
        <f>IFERROR(__xludf.DUMMYFUNCTION("GOOGLEFINANCE(A1064, ""low"")"),343.55)</f>
        <v>343.55</v>
      </c>
      <c r="G1064" s="9">
        <f>IFERROR(__xludf.DUMMYFUNCTION("GOOGLEFINANCE(A1064, ""price"")"),351.0)</f>
        <v>351</v>
      </c>
      <c r="H1064" s="9">
        <f>IFERROR(__xludf.DUMMYFUNCTION("MAX(INDEX(GOOGLEFINANCE(A1064, ""high"", TODAY()-30, TODAY()), 0, 2))"),375.7)</f>
        <v>375.7</v>
      </c>
      <c r="I1064" s="9">
        <f>IFERROR(__xludf.DUMMYFUNCTION("MIN(INDEX(GOOGLEFINANCE(A1064, ""low"", TODAY()-30, TODAY()), 0, 2))"),334.55)</f>
        <v>334.55</v>
      </c>
      <c r="J1064" s="9">
        <f>IFERROR(__xludf.DUMMYFUNCTION("GOOGLEFINANCE(A1064, ""high52"")"),594.1)</f>
        <v>594.1</v>
      </c>
      <c r="K1064" s="9">
        <f>IFERROR(__xludf.DUMMYFUNCTION("GOOGLEFINANCE(A1064, ""low52"")"),293.0)</f>
        <v>293</v>
      </c>
      <c r="L1064" s="9">
        <f t="shared" si="1"/>
        <v>0.409190372</v>
      </c>
      <c r="M1064" s="9">
        <f t="shared" si="2"/>
        <v>0.1979522184</v>
      </c>
      <c r="N1064" s="9">
        <f t="shared" si="3"/>
        <v>0.03609372726</v>
      </c>
      <c r="O1064" s="9">
        <f t="shared" si="4"/>
        <v>0.3997569866</v>
      </c>
      <c r="P1064" s="9">
        <f>IFERROR(__xludf.DUMMYFUNCTION("GOOGLEFINANCE(A1064, ""pe"")"),28.91)</f>
        <v>28.91</v>
      </c>
      <c r="Q1064" s="9">
        <f>IFERROR(__xludf.DUMMYFUNCTION("IFERROR(GOOGLEFINANCE(A1064, ""volume"") / GOOGLEFINANCE(A1064, ""volumeavg""), 0)"),0.0)</f>
        <v>0</v>
      </c>
      <c r="R1064" s="9">
        <f>IFERROR(__xludf.DUMMYFUNCTION("AVERAGE(INDEX(GOOGLEFINANCE(A1064, ""price"", TODAY()-30, TODAY()), 0, 2))"),354.85869565217394)</f>
        <v>354.8586957</v>
      </c>
      <c r="S1064" s="9">
        <f>IFERROR(__xludf.DUMMYFUNCTION("AVERAGE(INDEX(GOOGLEFINANCE(A1064, ""price"", TODAY()-75, TODAY()), 0, 2))"),359.6990566037736)</f>
        <v>359.6990566</v>
      </c>
      <c r="T1064" s="9">
        <f>IFERROR(__xludf.DUMMYFUNCTION("AVERAGE(INDEX(GOOGLEFINANCE(A1064, ""price"", TODAY()-300, TODAY()), 0, 2))"),401.26856435643595)</f>
        <v>401.2685644</v>
      </c>
      <c r="U1064" s="9">
        <f t="shared" si="5"/>
        <v>-0.01087389347</v>
      </c>
      <c r="V1064" s="15">
        <f>IFERROR(__xludf.DUMMYFUNCTION("LET(hist, GOOGLEFINANCE(A1064,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rs))))))"),61.09324758842445)</f>
        <v>61.09324759</v>
      </c>
      <c r="W1064" s="16" t="str">
        <f>IFERROR(__xludf.DUMMYFUNCTION("IFERROR(GOOGLEFINANCE(A1064, ""volume"") / GOOGLEFINANCE(A1064, ""volumeavg""), )"),"")</f>
        <v/>
      </c>
      <c r="X1064" s="9">
        <f>IFERROR(__xludf.DUMMYFUNCTION("B1064 * GOOGLEFINANCE(A1064, ""volume"")"),4.3762329E7)</f>
        <v>43762329</v>
      </c>
      <c r="Y1064" s="9">
        <f>IFERROR(__xludf.DUMMYFUNCTION("IFERROR(((B1064 - GOOGLEFINANCE(A1064, ""priceopen"")) / GOOGLEFINANCE(A1064, ""priceopen"")) * GOOGLEFINANCE(A1064, ""volume""), 0)"),1692.1492925209313)</f>
        <v>1692.149293</v>
      </c>
    </row>
    <row r="1065">
      <c r="A1065" s="4" t="s">
        <v>2858</v>
      </c>
      <c r="B1065" s="7">
        <f>IFERROR(__xludf.DUMMYFUNCTION("GOOGLEFINANCE(A1065, ""price"")"),47.25)</f>
        <v>47.25</v>
      </c>
      <c r="C1065" s="7">
        <f>IFERROR(__xludf.DUMMYFUNCTION("GOOGLEFINANCE(A1065, ""changepct"")"),-0.36)</f>
        <v>-0.36</v>
      </c>
      <c r="D1065" s="9">
        <f>IFERROR(__xludf.DUMMYFUNCTION("GOOGLEFINANCE(A1065, ""priceopen"")"),48.8)</f>
        <v>48.8</v>
      </c>
      <c r="E1065" s="9">
        <f>IFERROR(__xludf.DUMMYFUNCTION("GOOGLEFINANCE(A1065, ""high"")"),49.25)</f>
        <v>49.25</v>
      </c>
      <c r="F1065" s="9">
        <f>IFERROR(__xludf.DUMMYFUNCTION("GOOGLEFINANCE(A1065, ""low"")"),47.25)</f>
        <v>47.25</v>
      </c>
      <c r="G1065" s="9">
        <f>IFERROR(__xludf.DUMMYFUNCTION("GOOGLEFINANCE(A1065, ""price"")"),47.25)</f>
        <v>47.25</v>
      </c>
      <c r="H1065" s="9">
        <f>IFERROR(__xludf.DUMMYFUNCTION("MAX(INDEX(GOOGLEFINANCE(A1065, ""high"", TODAY()-30, TODAY()), 0, 2))"),52.97)</f>
        <v>52.97</v>
      </c>
      <c r="I1065" s="9">
        <f>IFERROR(__xludf.DUMMYFUNCTION("MIN(INDEX(GOOGLEFINANCE(A1065, ""low"", TODAY()-30, TODAY()), 0, 2))"),45.01)</f>
        <v>45.01</v>
      </c>
      <c r="J1065" s="9">
        <f>IFERROR(__xludf.DUMMYFUNCTION("GOOGLEFINANCE(A1065, ""high52"")"),61.9)</f>
        <v>61.9</v>
      </c>
      <c r="K1065" s="9">
        <f>IFERROR(__xludf.DUMMYFUNCTION("GOOGLEFINANCE(A1065, ""low52"")"),36.84)</f>
        <v>36.84</v>
      </c>
      <c r="L1065" s="9">
        <f t="shared" si="1"/>
        <v>0.2366720517</v>
      </c>
      <c r="M1065" s="9">
        <f t="shared" si="2"/>
        <v>0.2825732899</v>
      </c>
      <c r="N1065" s="9">
        <f t="shared" si="3"/>
        <v>0.04232804233</v>
      </c>
      <c r="O1065" s="9">
        <f t="shared" si="4"/>
        <v>0.2814070352</v>
      </c>
      <c r="P1065" s="9" t="str">
        <f>IFERROR(__xludf.DUMMYFUNCTION("GOOGLEFINANCE(A1065, ""pe"")"),"#N/A")</f>
        <v>#N/A</v>
      </c>
      <c r="Q1065" s="9">
        <f>IFERROR(__xludf.DUMMYFUNCTION("IFERROR(GOOGLEFINANCE(A1065, ""volume"") / GOOGLEFINANCE(A1065, ""volumeavg""), 0)"),0.0)</f>
        <v>0</v>
      </c>
      <c r="R1065" s="9">
        <f>IFERROR(__xludf.DUMMYFUNCTION("AVERAGE(INDEX(GOOGLEFINANCE(A1065, ""price"", TODAY()-30, TODAY()), 0, 2))"),47.6904347826087)</f>
        <v>47.69043478</v>
      </c>
      <c r="S1065" s="9">
        <f>IFERROR(__xludf.DUMMYFUNCTION("AVERAGE(INDEX(GOOGLEFINANCE(A1065, ""price"", TODAY()-75, TODAY()), 0, 2))"),46.43905660377358)</f>
        <v>46.4390566</v>
      </c>
      <c r="T1065" s="9">
        <f>IFERROR(__xludf.DUMMYFUNCTION("AVERAGE(INDEX(GOOGLEFINANCE(A1065, ""price"", TODAY()-300, TODAY()), 0, 2))"),47.03801980198023)</f>
        <v>47.0380198</v>
      </c>
      <c r="U1065" s="9">
        <f t="shared" si="5"/>
        <v>-0.009235285537</v>
      </c>
      <c r="V1065" s="15">
        <f>IFERROR(__xludf.DUMMYFUNCTION("LET(hist, GOOGLEFINANCE(A1065,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rs))))))"),52.312925170068034)</f>
        <v>52.31292517</v>
      </c>
      <c r="W1065" s="16" t="str">
        <f>IFERROR(__xludf.DUMMYFUNCTION("IFERROR(GOOGLEFINANCE(A1065, ""volume"") / GOOGLEFINANCE(A1065, ""volumeavg""), )"),"")</f>
        <v/>
      </c>
      <c r="X1065" s="9">
        <f>IFERROR(__xludf.DUMMYFUNCTION("B1065 * GOOGLEFINANCE(A1065, ""volume"")"),2.376830925E7)</f>
        <v>23768309.25</v>
      </c>
      <c r="Y1065" s="9">
        <f>IFERROR(__xludf.DUMMYFUNCTION("IFERROR(((B1065 - GOOGLEFINANCE(A1065, ""priceopen"")) / GOOGLEFINANCE(A1065, ""priceopen"")) * GOOGLEFINANCE(A1065, ""volume""), 0)"),-15977.482581967186)</f>
        <v>-15977.48258</v>
      </c>
    </row>
    <row r="1066">
      <c r="A1066" s="4" t="s">
        <v>2859</v>
      </c>
      <c r="B1066" s="7">
        <f>IFERROR(__xludf.DUMMYFUNCTION("GOOGLEFINANCE(A1066, ""price"")"),223.0)</f>
        <v>223</v>
      </c>
      <c r="C1066" s="7">
        <f>IFERROR(__xludf.DUMMYFUNCTION("GOOGLEFINANCE(A1066, ""changepct"")"),-0.91)</f>
        <v>-0.91</v>
      </c>
      <c r="D1066" s="9">
        <f>IFERROR(__xludf.DUMMYFUNCTION("GOOGLEFINANCE(A1066, ""priceopen"")"),225.0)</f>
        <v>225</v>
      </c>
      <c r="E1066" s="9">
        <f>IFERROR(__xludf.DUMMYFUNCTION("GOOGLEFINANCE(A1066, ""high"")"),225.39)</f>
        <v>225.39</v>
      </c>
      <c r="F1066" s="9">
        <f>IFERROR(__xludf.DUMMYFUNCTION("GOOGLEFINANCE(A1066, ""low"")"),220.89)</f>
        <v>220.89</v>
      </c>
      <c r="G1066" s="9">
        <f>IFERROR(__xludf.DUMMYFUNCTION("GOOGLEFINANCE(A1066, ""price"")"),223.0)</f>
        <v>223</v>
      </c>
      <c r="H1066" s="9">
        <f>IFERROR(__xludf.DUMMYFUNCTION("MAX(INDEX(GOOGLEFINANCE(A1066, ""high"", TODAY()-30, TODAY()), 0, 2))"),274.14)</f>
        <v>274.14</v>
      </c>
      <c r="I1066" s="9">
        <f>IFERROR(__xludf.DUMMYFUNCTION("MIN(INDEX(GOOGLEFINANCE(A1066, ""low"", TODAY()-30, TODAY()), 0, 2))"),220.89)</f>
        <v>220.89</v>
      </c>
      <c r="J1066" s="9">
        <f>IFERROR(__xludf.DUMMYFUNCTION("GOOGLEFINANCE(A1066, ""high52"")"),274.14)</f>
        <v>274.14</v>
      </c>
      <c r="K1066" s="9">
        <f>IFERROR(__xludf.DUMMYFUNCTION("GOOGLEFINANCE(A1066, ""low52"")"),133.01)</f>
        <v>133.01</v>
      </c>
      <c r="L1066" s="9">
        <f t="shared" si="1"/>
        <v>0.1865470198</v>
      </c>
      <c r="M1066" s="9">
        <f t="shared" si="2"/>
        <v>0.6765656718</v>
      </c>
      <c r="N1066" s="9">
        <f t="shared" si="3"/>
        <v>0.02037213092</v>
      </c>
      <c r="O1066" s="9">
        <f t="shared" si="4"/>
        <v>0.03962441315</v>
      </c>
      <c r="P1066" s="9">
        <f>IFERROR(__xludf.DUMMYFUNCTION("GOOGLEFINANCE(A1066, ""pe"")"),5.99)</f>
        <v>5.99</v>
      </c>
      <c r="Q1066" s="9">
        <f>IFERROR(__xludf.DUMMYFUNCTION("IFERROR(GOOGLEFINANCE(A1066, ""volume"") / GOOGLEFINANCE(A1066, ""volumeavg""), 0)"),0.0)</f>
        <v>0</v>
      </c>
      <c r="R1066" s="9">
        <f>IFERROR(__xludf.DUMMYFUNCTION("AVERAGE(INDEX(GOOGLEFINANCE(A1066, ""price"", TODAY()-30, TODAY()), 0, 2))"),248.5478260869565)</f>
        <v>248.5478261</v>
      </c>
      <c r="S1066" s="9">
        <f>IFERROR(__xludf.DUMMYFUNCTION("AVERAGE(INDEX(GOOGLEFINANCE(A1066, ""price"", TODAY()-75, TODAY()), 0, 2))"),243.3767924528302)</f>
        <v>243.3767925</v>
      </c>
      <c r="T1066" s="9">
        <f>IFERROR(__xludf.DUMMYFUNCTION("AVERAGE(INDEX(GOOGLEFINANCE(A1066, ""price"", TODAY()-300, TODAY()), 0, 2))"),181.29995049504953)</f>
        <v>181.2999505</v>
      </c>
      <c r="U1066" s="9">
        <f t="shared" si="5"/>
        <v>-0.1027883707</v>
      </c>
      <c r="V1066" s="15">
        <f>IFERROR(__xludf.DUMMYFUNCTION("LET(hist, GOOGLEFINANCE(A1066,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rs))))))"),26.788238620299694)</f>
        <v>26.78823862</v>
      </c>
      <c r="W1066" s="16" t="str">
        <f>IFERROR(__xludf.DUMMYFUNCTION("IFERROR(GOOGLEFINANCE(A1066, ""volume"") / GOOGLEFINANCE(A1066, ""volumeavg""), )"),"")</f>
        <v/>
      </c>
      <c r="X1066" s="9">
        <f>IFERROR(__xludf.DUMMYFUNCTION("B1066 * GOOGLEFINANCE(A1066, ""volume"")"),8.5788769E7)</f>
        <v>85788769</v>
      </c>
      <c r="Y1066" s="9">
        <f>IFERROR(__xludf.DUMMYFUNCTION("IFERROR(((B1066 - GOOGLEFINANCE(A1066, ""priceopen"")) / GOOGLEFINANCE(A1066, ""priceopen"")) * GOOGLEFINANCE(A1066, ""volume""), 0)"),-3419.5822222222223)</f>
        <v>-3419.582222</v>
      </c>
    </row>
    <row r="1067">
      <c r="A1067" s="4" t="s">
        <v>2860</v>
      </c>
      <c r="B1067" s="7">
        <f>IFERROR(__xludf.DUMMYFUNCTION("GOOGLEFINANCE(A1067, ""price"")"),1170.0)</f>
        <v>1170</v>
      </c>
      <c r="C1067" s="7">
        <f>IFERROR(__xludf.DUMMYFUNCTION("GOOGLEFINANCE(A1067, ""changepct"")"),3.35)</f>
        <v>3.35</v>
      </c>
      <c r="D1067" s="9">
        <f>IFERROR(__xludf.DUMMYFUNCTION("GOOGLEFINANCE(A1067, ""priceopen"")"),1130.0)</f>
        <v>1130</v>
      </c>
      <c r="E1067" s="9">
        <f>IFERROR(__xludf.DUMMYFUNCTION("GOOGLEFINANCE(A1067, ""high"")"),1174.0)</f>
        <v>1174</v>
      </c>
      <c r="F1067" s="9">
        <f>IFERROR(__xludf.DUMMYFUNCTION("GOOGLEFINANCE(A1067, ""low"")"),1120.5)</f>
        <v>1120.5</v>
      </c>
      <c r="G1067" s="9">
        <f>IFERROR(__xludf.DUMMYFUNCTION("GOOGLEFINANCE(A1067, ""price"")"),1170.0)</f>
        <v>1170</v>
      </c>
      <c r="H1067" s="9">
        <f>IFERROR(__xludf.DUMMYFUNCTION("MAX(INDEX(GOOGLEFINANCE(A1067, ""high"", TODAY()-30, TODAY()), 0, 2))"),1278.2)</f>
        <v>1278.2</v>
      </c>
      <c r="I1067" s="9">
        <f>IFERROR(__xludf.DUMMYFUNCTION("MIN(INDEX(GOOGLEFINANCE(A1067, ""low"", TODAY()-30, TODAY()), 0, 2))"),1053.1)</f>
        <v>1053.1</v>
      </c>
      <c r="J1067" s="9">
        <f>IFERROR(__xludf.DUMMYFUNCTION("GOOGLEFINANCE(A1067, ""high52"")"),1278.2)</f>
        <v>1278.2</v>
      </c>
      <c r="K1067" s="9">
        <f>IFERROR(__xludf.DUMMYFUNCTION("GOOGLEFINANCE(A1067, ""low52"")"),675.0)</f>
        <v>675</v>
      </c>
      <c r="L1067" s="9">
        <f t="shared" si="1"/>
        <v>0.08465028947</v>
      </c>
      <c r="M1067" s="9">
        <f t="shared" si="2"/>
        <v>0.7333333333</v>
      </c>
      <c r="N1067" s="9">
        <f t="shared" si="3"/>
        <v>0.04774654172</v>
      </c>
      <c r="O1067" s="9">
        <f t="shared" si="4"/>
        <v>0.5193247446</v>
      </c>
      <c r="P1067" s="9">
        <f>IFERROR(__xludf.DUMMYFUNCTION("GOOGLEFINANCE(A1067, ""pe"")"),23.02)</f>
        <v>23.02</v>
      </c>
      <c r="Q1067" s="9">
        <f>IFERROR(__xludf.DUMMYFUNCTION("IFERROR(GOOGLEFINANCE(A1067, ""volume"") / GOOGLEFINANCE(A1067, ""volumeavg""), 0)"),0.0)</f>
        <v>0</v>
      </c>
      <c r="R1067" s="9">
        <f>IFERROR(__xludf.DUMMYFUNCTION("AVERAGE(INDEX(GOOGLEFINANCE(A1067, ""price"", TODAY()-30, TODAY()), 0, 2))"),1182.7826086956522)</f>
        <v>1182.782609</v>
      </c>
      <c r="S1067" s="9">
        <f>IFERROR(__xludf.DUMMYFUNCTION("AVERAGE(INDEX(GOOGLEFINANCE(A1067, ""price"", TODAY()-75, TODAY()), 0, 2))"),1049.5716981132075)</f>
        <v>1049.571698</v>
      </c>
      <c r="T1067" s="9">
        <f>IFERROR(__xludf.DUMMYFUNCTION("AVERAGE(INDEX(GOOGLEFINANCE(A1067, ""price"", TODAY()-300, TODAY()), 0, 2))"),877.6349009900991)</f>
        <v>877.634901</v>
      </c>
      <c r="U1067" s="9">
        <f t="shared" si="5"/>
        <v>-0.01080723423</v>
      </c>
      <c r="V1067" s="15">
        <f>IFERROR(__xludf.DUMMYFUNCTION("LET(hist, GOOGLEFINANCE(A1067,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rs))))))"),40.979591836734734)</f>
        <v>40.97959184</v>
      </c>
      <c r="W1067" s="16" t="str">
        <f>IFERROR(__xludf.DUMMYFUNCTION("IFERROR(GOOGLEFINANCE(A1067, ""volume"") / GOOGLEFINANCE(A1067, ""volumeavg""), )"),"")</f>
        <v/>
      </c>
      <c r="X1067" s="9">
        <f>IFERROR(__xludf.DUMMYFUNCTION("B1067 * GOOGLEFINANCE(A1067, ""volume"")"),3.401658E7)</f>
        <v>34016580</v>
      </c>
      <c r="Y1067" s="9">
        <f>IFERROR(__xludf.DUMMYFUNCTION("IFERROR(((B1067 - GOOGLEFINANCE(A1067, ""priceopen"")) / GOOGLEFINANCE(A1067, ""priceopen"")) * GOOGLEFINANCE(A1067, ""volume""), 0)"),1029.1681415929204)</f>
        <v>1029.168142</v>
      </c>
    </row>
    <row r="1068">
      <c r="A1068" s="4" t="s">
        <v>2861</v>
      </c>
      <c r="B1068" s="7">
        <f>IFERROR(__xludf.DUMMYFUNCTION("GOOGLEFINANCE(A1068, ""price"")"),73.1)</f>
        <v>73.1</v>
      </c>
      <c r="C1068" s="7">
        <f>IFERROR(__xludf.DUMMYFUNCTION("GOOGLEFINANCE(A1068, ""changepct"")"),-6.78)</f>
        <v>-6.78</v>
      </c>
      <c r="D1068" s="9">
        <f>IFERROR(__xludf.DUMMYFUNCTION("GOOGLEFINANCE(A1068, ""priceopen"")"),78.71)</f>
        <v>78.71</v>
      </c>
      <c r="E1068" s="9">
        <f>IFERROR(__xludf.DUMMYFUNCTION("GOOGLEFINANCE(A1068, ""high"")"),78.91)</f>
        <v>78.91</v>
      </c>
      <c r="F1068" s="9">
        <f>IFERROR(__xludf.DUMMYFUNCTION("GOOGLEFINANCE(A1068, ""low"")"),72.51)</f>
        <v>72.51</v>
      </c>
      <c r="G1068" s="9">
        <f>IFERROR(__xludf.DUMMYFUNCTION("GOOGLEFINANCE(A1068, ""price"")"),73.1)</f>
        <v>73.1</v>
      </c>
      <c r="H1068" s="9">
        <f>IFERROR(__xludf.DUMMYFUNCTION("MAX(INDEX(GOOGLEFINANCE(A1068, ""high"", TODAY()-30, TODAY()), 0, 2))"),86.4)</f>
        <v>86.4</v>
      </c>
      <c r="I1068" s="9">
        <f>IFERROR(__xludf.DUMMYFUNCTION("MIN(INDEX(GOOGLEFINANCE(A1068, ""low"", TODAY()-30, TODAY()), 0, 2))"),71.35)</f>
        <v>71.35</v>
      </c>
      <c r="J1068" s="9">
        <f>IFERROR(__xludf.DUMMYFUNCTION("GOOGLEFINANCE(A1068, ""high52"")"),86.4)</f>
        <v>86.4</v>
      </c>
      <c r="K1068" s="9">
        <f>IFERROR(__xludf.DUMMYFUNCTION("GOOGLEFINANCE(A1068, ""low52"")"),28.06)</f>
        <v>28.06</v>
      </c>
      <c r="L1068" s="9">
        <f t="shared" si="1"/>
        <v>0.1539351852</v>
      </c>
      <c r="M1068" s="9">
        <f t="shared" si="2"/>
        <v>1.60513186</v>
      </c>
      <c r="N1068" s="9">
        <f t="shared" si="3"/>
        <v>0.08826368777</v>
      </c>
      <c r="O1068" s="9">
        <f t="shared" si="4"/>
        <v>0.1162790698</v>
      </c>
      <c r="P1068" s="9">
        <f>IFERROR(__xludf.DUMMYFUNCTION("GOOGLEFINANCE(A1068, ""pe"")"),26.11)</f>
        <v>26.11</v>
      </c>
      <c r="Q1068" s="9">
        <f>IFERROR(__xludf.DUMMYFUNCTION("IFERROR(GOOGLEFINANCE(A1068, ""volume"") / GOOGLEFINANCE(A1068, ""volumeavg""), 0)"),0.0)</f>
        <v>0</v>
      </c>
      <c r="R1068" s="9">
        <f>IFERROR(__xludf.DUMMYFUNCTION("AVERAGE(INDEX(GOOGLEFINANCE(A1068, ""price"", TODAY()-30, TODAY()), 0, 2))"),77.86217391304348)</f>
        <v>77.86217391</v>
      </c>
      <c r="S1068" s="9">
        <f>IFERROR(__xludf.DUMMYFUNCTION("AVERAGE(INDEX(GOOGLEFINANCE(A1068, ""price"", TODAY()-75, TODAY()), 0, 2))"),74.66660377358491)</f>
        <v>74.66660377</v>
      </c>
      <c r="T1068" s="9">
        <f>IFERROR(__xludf.DUMMYFUNCTION("AVERAGE(INDEX(GOOGLEFINANCE(A1068, ""price"", TODAY()-300, TODAY()), 0, 2))"),49.90019801980202)</f>
        <v>49.90019802</v>
      </c>
      <c r="U1068" s="9">
        <f t="shared" si="5"/>
        <v>-0.06116158429</v>
      </c>
      <c r="V1068" s="15">
        <f>IFERROR(__xludf.DUMMYFUNCTION("LET(hist, GOOGLEFINANCE(A1068,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rs))))))"),49.04805077062555)</f>
        <v>49.04805077</v>
      </c>
      <c r="W1068" s="16" t="str">
        <f>IFERROR(__xludf.DUMMYFUNCTION("IFERROR(GOOGLEFINANCE(A1068, ""volume"") / GOOGLEFINANCE(A1068, ""volumeavg""), )"),"")</f>
        <v/>
      </c>
      <c r="X1068" s="9">
        <f>IFERROR(__xludf.DUMMYFUNCTION("B1068 * GOOGLEFINANCE(A1068, ""volume"")"),3.330174302E8)</f>
        <v>333017430.2</v>
      </c>
      <c r="Y1068" s="9">
        <f>IFERROR(__xludf.DUMMYFUNCTION("IFERROR(((B1068 - GOOGLEFINANCE(A1068, ""priceopen"")) / GOOGLEFINANCE(A1068, ""priceopen"")) * GOOGLEFINANCE(A1068, ""volume""), 0)"),-324700.1857451404)</f>
        <v>-324700.1857</v>
      </c>
    </row>
    <row r="1069">
      <c r="A1069" s="4" t="s">
        <v>2862</v>
      </c>
      <c r="B1069" s="7">
        <f>IFERROR(__xludf.DUMMYFUNCTION("GOOGLEFINANCE(A1069, ""price"")"),640.0)</f>
        <v>640</v>
      </c>
      <c r="C1069" s="7">
        <f>IFERROR(__xludf.DUMMYFUNCTION("GOOGLEFINANCE(A1069, ""changepct"")"),-0.49)</f>
        <v>-0.49</v>
      </c>
      <c r="D1069" s="9">
        <f>IFERROR(__xludf.DUMMYFUNCTION("GOOGLEFINANCE(A1069, ""priceopen"")"),642.9)</f>
        <v>642.9</v>
      </c>
      <c r="E1069" s="9">
        <f>IFERROR(__xludf.DUMMYFUNCTION("GOOGLEFINANCE(A1069, ""high"")"),656.2)</f>
        <v>656.2</v>
      </c>
      <c r="F1069" s="9">
        <f>IFERROR(__xludf.DUMMYFUNCTION("GOOGLEFINANCE(A1069, ""low"")"),632.05)</f>
        <v>632.05</v>
      </c>
      <c r="G1069" s="9">
        <f>IFERROR(__xludf.DUMMYFUNCTION("GOOGLEFINANCE(A1069, ""price"")"),640.0)</f>
        <v>640</v>
      </c>
      <c r="H1069" s="9">
        <f>IFERROR(__xludf.DUMMYFUNCTION("MAX(INDEX(GOOGLEFINANCE(A1069, ""high"", TODAY()-30, TODAY()), 0, 2))"),664.0)</f>
        <v>664</v>
      </c>
      <c r="I1069" s="9">
        <f>IFERROR(__xludf.DUMMYFUNCTION("MIN(INDEX(GOOGLEFINANCE(A1069, ""low"", TODAY()-30, TODAY()), 0, 2))"),511.05)</f>
        <v>511.05</v>
      </c>
      <c r="J1069" s="9">
        <f>IFERROR(__xludf.DUMMYFUNCTION("GOOGLEFINANCE(A1069, ""high52"")"),664.0)</f>
        <v>664</v>
      </c>
      <c r="K1069" s="9">
        <f>IFERROR(__xludf.DUMMYFUNCTION("GOOGLEFINANCE(A1069, ""low52"")"),288.1)</f>
        <v>288.1</v>
      </c>
      <c r="L1069" s="9">
        <f t="shared" si="1"/>
        <v>0.03614457831</v>
      </c>
      <c r="M1069" s="9">
        <f t="shared" si="2"/>
        <v>1.221450885</v>
      </c>
      <c r="N1069" s="9">
        <f t="shared" si="3"/>
        <v>0.03820900245</v>
      </c>
      <c r="O1069" s="9">
        <f t="shared" si="4"/>
        <v>0.8430859758</v>
      </c>
      <c r="P1069" s="9">
        <f>IFERROR(__xludf.DUMMYFUNCTION("GOOGLEFINANCE(A1069, ""pe"")"),31.32)</f>
        <v>31.32</v>
      </c>
      <c r="Q1069" s="9">
        <f>IFERROR(__xludf.DUMMYFUNCTION("IFERROR(GOOGLEFINANCE(A1069, ""volume"") / GOOGLEFINANCE(A1069, ""volumeavg""), 0)"),0.0)</f>
        <v>0</v>
      </c>
      <c r="R1069" s="9">
        <f>IFERROR(__xludf.DUMMYFUNCTION("AVERAGE(INDEX(GOOGLEFINANCE(A1069, ""price"", TODAY()-30, TODAY()), 0, 2))"),562.5391304347826)</f>
        <v>562.5391304</v>
      </c>
      <c r="S1069" s="9">
        <f>IFERROR(__xludf.DUMMYFUNCTION("AVERAGE(INDEX(GOOGLEFINANCE(A1069, ""price"", TODAY()-75, TODAY()), 0, 2))"),507.454716981132)</f>
        <v>507.454717</v>
      </c>
      <c r="T1069" s="9">
        <f>IFERROR(__xludf.DUMMYFUNCTION("AVERAGE(INDEX(GOOGLEFINANCE(A1069, ""price"", TODAY()-300, TODAY()), 0, 2))"),431.04851485148555)</f>
        <v>431.0485149</v>
      </c>
      <c r="U1069" s="9">
        <f t="shared" si="5"/>
        <v>0.1376986335</v>
      </c>
      <c r="V1069" s="15">
        <f>IFERROR(__xludf.DUMMYFUNCTION("LET(hist, GOOGLEFINANCE(A1069,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rs))))))"),74.18389553862896)</f>
        <v>74.18389554</v>
      </c>
      <c r="W1069" s="16" t="str">
        <f>IFERROR(__xludf.DUMMYFUNCTION("IFERROR(GOOGLEFINANCE(A1069, ""volume"") / GOOGLEFINANCE(A1069, ""volumeavg""), )"),"")</f>
        <v/>
      </c>
      <c r="X1069" s="9">
        <f>IFERROR(__xludf.DUMMYFUNCTION("B1069 * GOOGLEFINANCE(A1069, ""volume"")"),6.4176E7)</f>
        <v>64176000</v>
      </c>
      <c r="Y1069" s="9">
        <f>IFERROR(__xludf.DUMMYFUNCTION("IFERROR(((B1069 - GOOGLEFINANCE(A1069, ""priceopen"")) / GOOGLEFINANCE(A1069, ""priceopen"")) * GOOGLEFINANCE(A1069, ""volume""), 0)"),-452.3215118992032)</f>
        <v>-452.3215119</v>
      </c>
    </row>
    <row r="1070">
      <c r="A1070" s="4" t="s">
        <v>2863</v>
      </c>
      <c r="B1070" s="7">
        <f>IFERROR(__xludf.DUMMYFUNCTION("GOOGLEFINANCE(A1070, ""price"")"),489.0)</f>
        <v>489</v>
      </c>
      <c r="C1070" s="7">
        <f>IFERROR(__xludf.DUMMYFUNCTION("GOOGLEFINANCE(A1070, ""changepct"")"),0.33)</f>
        <v>0.33</v>
      </c>
      <c r="D1070" s="9">
        <f>IFERROR(__xludf.DUMMYFUNCTION("GOOGLEFINANCE(A1070, ""priceopen"")"),482.1)</f>
        <v>482.1</v>
      </c>
      <c r="E1070" s="9">
        <f>IFERROR(__xludf.DUMMYFUNCTION("GOOGLEFINANCE(A1070, ""high"")"),492.0)</f>
        <v>492</v>
      </c>
      <c r="F1070" s="9">
        <f>IFERROR(__xludf.DUMMYFUNCTION("GOOGLEFINANCE(A1070, ""low"")"),482.1)</f>
        <v>482.1</v>
      </c>
      <c r="G1070" s="9">
        <f>IFERROR(__xludf.DUMMYFUNCTION("GOOGLEFINANCE(A1070, ""price"")"),489.0)</f>
        <v>489</v>
      </c>
      <c r="H1070" s="9">
        <f>IFERROR(__xludf.DUMMYFUNCTION("MAX(INDEX(GOOGLEFINANCE(A1070, ""high"", TODAY()-30, TODAY()), 0, 2))"),503.5)</f>
        <v>503.5</v>
      </c>
      <c r="I1070" s="9">
        <f>IFERROR(__xludf.DUMMYFUNCTION("MIN(INDEX(GOOGLEFINANCE(A1070, ""low"", TODAY()-30, TODAY()), 0, 2))"),452.0)</f>
        <v>452</v>
      </c>
      <c r="J1070" s="9">
        <f>IFERROR(__xludf.DUMMYFUNCTION("GOOGLEFINANCE(A1070, ""high52"")"),577.4)</f>
        <v>577.4</v>
      </c>
      <c r="K1070" s="9">
        <f>IFERROR(__xludf.DUMMYFUNCTION("GOOGLEFINANCE(A1070, ""low52"")"),358.0)</f>
        <v>358</v>
      </c>
      <c r="L1070" s="9">
        <f t="shared" si="1"/>
        <v>0.1531001039</v>
      </c>
      <c r="M1070" s="9">
        <f t="shared" si="2"/>
        <v>0.3659217877</v>
      </c>
      <c r="N1070" s="9">
        <f t="shared" si="3"/>
        <v>0.02053515868</v>
      </c>
      <c r="O1070" s="9">
        <f t="shared" si="4"/>
        <v>0.7184466019</v>
      </c>
      <c r="P1070" s="9">
        <f>IFERROR(__xludf.DUMMYFUNCTION("GOOGLEFINANCE(A1070, ""pe"")"),15.94)</f>
        <v>15.94</v>
      </c>
      <c r="Q1070" s="9">
        <f>IFERROR(__xludf.DUMMYFUNCTION("IFERROR(GOOGLEFINANCE(A1070, ""volume"") / GOOGLEFINANCE(A1070, ""volumeavg""), 0)"),0.0)</f>
        <v>0</v>
      </c>
      <c r="R1070" s="9">
        <f>IFERROR(__xludf.DUMMYFUNCTION("AVERAGE(INDEX(GOOGLEFINANCE(A1070, ""price"", TODAY()-30, TODAY()), 0, 2))"),481.8934782608696)</f>
        <v>481.8934783</v>
      </c>
      <c r="S1070" s="9">
        <f>IFERROR(__xludf.DUMMYFUNCTION("AVERAGE(INDEX(GOOGLEFINANCE(A1070, ""price"", TODAY()-75, TODAY()), 0, 2))"),460.0509433962263)</f>
        <v>460.0509434</v>
      </c>
      <c r="T1070" s="9">
        <f>IFERROR(__xludf.DUMMYFUNCTION("AVERAGE(INDEX(GOOGLEFINANCE(A1070, ""price"", TODAY()-300, TODAY()), 0, 2))"),451.54950495049536)</f>
        <v>451.549505</v>
      </c>
      <c r="U1070" s="9">
        <f t="shared" si="5"/>
        <v>0.01474708013</v>
      </c>
      <c r="V1070" s="15">
        <f>IFERROR(__xludf.DUMMYFUNCTION("LET(hist, GOOGLEFINANCE(A1070,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rs))))))"),58.32482124616954)</f>
        <v>58.32482125</v>
      </c>
      <c r="W1070" s="16" t="str">
        <f>IFERROR(__xludf.DUMMYFUNCTION("IFERROR(GOOGLEFINANCE(A1070, ""volume"") / GOOGLEFINANCE(A1070, ""volumeavg""), )"),"")</f>
        <v/>
      </c>
      <c r="X1070" s="9">
        <f>IFERROR(__xludf.DUMMYFUNCTION("B1070 * GOOGLEFINANCE(A1070, ""volume"")"),1.410765E7)</f>
        <v>14107650</v>
      </c>
      <c r="Y1070" s="9">
        <f>IFERROR(__xludf.DUMMYFUNCTION("IFERROR(((B1070 - GOOGLEFINANCE(A1070, ""priceopen"")) / GOOGLEFINANCE(A1070, ""priceopen"")) * GOOGLEFINANCE(A1070, ""volume""), 0)"),412.91225886745355)</f>
        <v>412.9122589</v>
      </c>
    </row>
    <row r="1071">
      <c r="A1071" s="4" t="s">
        <v>2864</v>
      </c>
      <c r="B1071" s="7">
        <f>IFERROR(__xludf.DUMMYFUNCTION("GOOGLEFINANCE(A1071, ""price"")"),372.6)</f>
        <v>372.6</v>
      </c>
      <c r="C1071" s="7">
        <f>IFERROR(__xludf.DUMMYFUNCTION("GOOGLEFINANCE(A1071, ""changepct"")"),-1.38)</f>
        <v>-1.38</v>
      </c>
      <c r="D1071" s="9">
        <f>IFERROR(__xludf.DUMMYFUNCTION("GOOGLEFINANCE(A1071, ""priceopen"")"),378.9)</f>
        <v>378.9</v>
      </c>
      <c r="E1071" s="9">
        <f>IFERROR(__xludf.DUMMYFUNCTION("GOOGLEFINANCE(A1071, ""high"")"),383.95)</f>
        <v>383.95</v>
      </c>
      <c r="F1071" s="9">
        <f>IFERROR(__xludf.DUMMYFUNCTION("GOOGLEFINANCE(A1071, ""low"")"),371.2)</f>
        <v>371.2</v>
      </c>
      <c r="G1071" s="9">
        <f>IFERROR(__xludf.DUMMYFUNCTION("GOOGLEFINANCE(A1071, ""price"")"),372.6)</f>
        <v>372.6</v>
      </c>
      <c r="H1071" s="9">
        <f>IFERROR(__xludf.DUMMYFUNCTION("MAX(INDEX(GOOGLEFINANCE(A1071, ""high"", TODAY()-30, TODAY()), 0, 2))"),415.95)</f>
        <v>415.95</v>
      </c>
      <c r="I1071" s="9">
        <f>IFERROR(__xludf.DUMMYFUNCTION("MIN(INDEX(GOOGLEFINANCE(A1071, ""low"", TODAY()-30, TODAY()), 0, 2))"),371.2)</f>
        <v>371.2</v>
      </c>
      <c r="J1071" s="9">
        <f>IFERROR(__xludf.DUMMYFUNCTION("GOOGLEFINANCE(A1071, ""high52"")"),685.4)</f>
        <v>685.4</v>
      </c>
      <c r="K1071" s="9">
        <f>IFERROR(__xludf.DUMMYFUNCTION("GOOGLEFINANCE(A1071, ""low52"")"),368.3)</f>
        <v>368.3</v>
      </c>
      <c r="L1071" s="9">
        <f t="shared" si="1"/>
        <v>0.4563758389</v>
      </c>
      <c r="M1071" s="9">
        <f t="shared" si="2"/>
        <v>0.01167526473</v>
      </c>
      <c r="N1071" s="9">
        <f t="shared" si="3"/>
        <v>0.03434806034</v>
      </c>
      <c r="O1071" s="9">
        <f t="shared" si="4"/>
        <v>0.0312849162</v>
      </c>
      <c r="P1071" s="9">
        <f>IFERROR(__xludf.DUMMYFUNCTION("GOOGLEFINANCE(A1071, ""pe"")"),12.78)</f>
        <v>12.78</v>
      </c>
      <c r="Q1071" s="9">
        <f>IFERROR(__xludf.DUMMYFUNCTION("IFERROR(GOOGLEFINANCE(A1071, ""volume"") / GOOGLEFINANCE(A1071, ""volumeavg""), 0)"),0.0)</f>
        <v>0</v>
      </c>
      <c r="R1071" s="9">
        <f>IFERROR(__xludf.DUMMYFUNCTION("AVERAGE(INDEX(GOOGLEFINANCE(A1071, ""price"", TODAY()-30, TODAY()), 0, 2))"),389.2717391304347)</f>
        <v>389.2717391</v>
      </c>
      <c r="S1071" s="9">
        <f>IFERROR(__xludf.DUMMYFUNCTION("AVERAGE(INDEX(GOOGLEFINANCE(A1071, ""price"", TODAY()-75, TODAY()), 0, 2))"),401.8679245283019)</f>
        <v>401.8679245</v>
      </c>
      <c r="T1071" s="9">
        <f>IFERROR(__xludf.DUMMYFUNCTION("AVERAGE(INDEX(GOOGLEFINANCE(A1071, ""price"", TODAY()-300, TODAY()), 0, 2))"),476.5076732673269)</f>
        <v>476.5076733</v>
      </c>
      <c r="U1071" s="9">
        <f t="shared" si="5"/>
        <v>-0.04282802334</v>
      </c>
      <c r="V1071" s="15">
        <f>IFERROR(__xludf.DUMMYFUNCTION("LET(hist, GOOGLEFINANCE(A1071,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rs))))))"),43.448275862068975)</f>
        <v>43.44827586</v>
      </c>
      <c r="W1071" s="16" t="str">
        <f>IFERROR(__xludf.DUMMYFUNCTION("IFERROR(GOOGLEFINANCE(A1071, ""volume"") / GOOGLEFINANCE(A1071, ""volumeavg""), )"),"")</f>
        <v/>
      </c>
      <c r="X1071" s="9">
        <f>IFERROR(__xludf.DUMMYFUNCTION("B1071 * GOOGLEFINANCE(A1071, ""volume"")"),1.29023928E7)</f>
        <v>12902392.8</v>
      </c>
      <c r="Y1071" s="9">
        <f>IFERROR(__xludf.DUMMYFUNCTION("IFERROR(((B1071 - GOOGLEFINANCE(A1071, ""priceopen"")) / GOOGLEFINANCE(A1071, ""priceopen"")) * GOOGLEFINANCE(A1071, ""volume""), 0)"),-575.7624703087845)</f>
        <v>-575.7624703</v>
      </c>
    </row>
    <row r="1072">
      <c r="A1072" s="4" t="s">
        <v>2865</v>
      </c>
      <c r="B1072" s="7">
        <f>IFERROR(__xludf.DUMMYFUNCTION("GOOGLEFINANCE(A1072, ""price"")"),128.6)</f>
        <v>128.6</v>
      </c>
      <c r="C1072" s="7">
        <f>IFERROR(__xludf.DUMMYFUNCTION("GOOGLEFINANCE(A1072, ""changepct"")"),-1.63)</f>
        <v>-1.63</v>
      </c>
      <c r="D1072" s="9">
        <f>IFERROR(__xludf.DUMMYFUNCTION("GOOGLEFINANCE(A1072, ""priceopen"")"),131.0)</f>
        <v>131</v>
      </c>
      <c r="E1072" s="9">
        <f>IFERROR(__xludf.DUMMYFUNCTION("GOOGLEFINANCE(A1072, ""high"")"),131.75)</f>
        <v>131.75</v>
      </c>
      <c r="F1072" s="9">
        <f>IFERROR(__xludf.DUMMYFUNCTION("GOOGLEFINANCE(A1072, ""low"")"),127.0)</f>
        <v>127</v>
      </c>
      <c r="G1072" s="9">
        <f>IFERROR(__xludf.DUMMYFUNCTION("GOOGLEFINANCE(A1072, ""price"")"),128.6)</f>
        <v>128.6</v>
      </c>
      <c r="H1072" s="9">
        <f>IFERROR(__xludf.DUMMYFUNCTION("MAX(INDEX(GOOGLEFINANCE(A1072, ""high"", TODAY()-30, TODAY()), 0, 2))"),149.8)</f>
        <v>149.8</v>
      </c>
      <c r="I1072" s="9">
        <f>IFERROR(__xludf.DUMMYFUNCTION("MIN(INDEX(GOOGLEFINANCE(A1072, ""low"", TODAY()-30, TODAY()), 0, 2))"),125.9)</f>
        <v>125.9</v>
      </c>
      <c r="J1072" s="9">
        <f>IFERROR(__xludf.DUMMYFUNCTION("GOOGLEFINANCE(A1072, ""high52"")"),239.6)</f>
        <v>239.6</v>
      </c>
      <c r="K1072" s="9">
        <f>IFERROR(__xludf.DUMMYFUNCTION("GOOGLEFINANCE(A1072, ""low52"")"),87.2)</f>
        <v>87.2</v>
      </c>
      <c r="L1072" s="9">
        <f t="shared" si="1"/>
        <v>0.4632721202</v>
      </c>
      <c r="M1072" s="9">
        <f t="shared" si="2"/>
        <v>0.4747706422</v>
      </c>
      <c r="N1072" s="9">
        <f t="shared" si="3"/>
        <v>0.0374015748</v>
      </c>
      <c r="O1072" s="9">
        <f t="shared" si="4"/>
        <v>0.1129707113</v>
      </c>
      <c r="P1072" s="9">
        <f>IFERROR(__xludf.DUMMYFUNCTION("GOOGLEFINANCE(A1072, ""pe"")"),11.17)</f>
        <v>11.17</v>
      </c>
      <c r="Q1072" s="9">
        <f>IFERROR(__xludf.DUMMYFUNCTION("IFERROR(GOOGLEFINANCE(A1072, ""volume"") / GOOGLEFINANCE(A1072, ""volumeavg""), 0)"),0.0)</f>
        <v>0</v>
      </c>
      <c r="R1072" s="9">
        <f>IFERROR(__xludf.DUMMYFUNCTION("AVERAGE(INDEX(GOOGLEFINANCE(A1072, ""price"", TODAY()-30, TODAY()), 0, 2))"),135.35130434782607)</f>
        <v>135.3513043</v>
      </c>
      <c r="S1072" s="9">
        <f>IFERROR(__xludf.DUMMYFUNCTION("AVERAGE(INDEX(GOOGLEFINANCE(A1072, ""price"", TODAY()-75, TODAY()), 0, 2))"),138.45924528301884)</f>
        <v>138.4592453</v>
      </c>
      <c r="T1072" s="9">
        <f>IFERROR(__xludf.DUMMYFUNCTION("AVERAGE(INDEX(GOOGLEFINANCE(A1072, ""price"", TODAY()-300, TODAY()), 0, 2))"),139.69752475247526)</f>
        <v>139.6975248</v>
      </c>
      <c r="U1072" s="9">
        <f t="shared" si="5"/>
        <v>-0.04987986174</v>
      </c>
      <c r="V1072" s="15">
        <f>IFERROR(__xludf.DUMMYFUNCTION("LET(hist, GOOGLEFINANCE(A1072,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rs))))))"),37.49608763693271)</f>
        <v>37.49608764</v>
      </c>
      <c r="W1072" s="16" t="str">
        <f>IFERROR(__xludf.DUMMYFUNCTION("IFERROR(GOOGLEFINANCE(A1072, ""volume"") / GOOGLEFINANCE(A1072, ""volumeavg""), )"),"")</f>
        <v/>
      </c>
      <c r="X1072" s="9">
        <f>IFERROR(__xludf.DUMMYFUNCTION("B1072 * GOOGLEFINANCE(A1072, ""volume"")"),5.79764808E7)</f>
        <v>57976480.8</v>
      </c>
      <c r="Y1072" s="9">
        <f>IFERROR(__xludf.DUMMYFUNCTION("IFERROR(((B1072 - GOOGLEFINANCE(A1072, ""priceopen"")) / GOOGLEFINANCE(A1072, ""priceopen"")) * GOOGLEFINANCE(A1072, ""volume""), 0)"),-8259.444274809179)</f>
        <v>-8259.444275</v>
      </c>
    </row>
    <row r="1073">
      <c r="A1073" s="4" t="s">
        <v>2866</v>
      </c>
      <c r="B1073" s="7">
        <f>IFERROR(__xludf.DUMMYFUNCTION("GOOGLEFINANCE(A1073, ""price"")"),387.7)</f>
        <v>387.7</v>
      </c>
      <c r="C1073" s="7">
        <f>IFERROR(__xludf.DUMMYFUNCTION("GOOGLEFINANCE(A1073, ""changepct"")"),-2.16)</f>
        <v>-2.16</v>
      </c>
      <c r="D1073" s="9">
        <f>IFERROR(__xludf.DUMMYFUNCTION("GOOGLEFINANCE(A1073, ""priceopen"")"),395.35)</f>
        <v>395.35</v>
      </c>
      <c r="E1073" s="9">
        <f>IFERROR(__xludf.DUMMYFUNCTION("GOOGLEFINANCE(A1073, ""high"")"),395.35)</f>
        <v>395.35</v>
      </c>
      <c r="F1073" s="9">
        <f>IFERROR(__xludf.DUMMYFUNCTION("GOOGLEFINANCE(A1073, ""low"")"),386.0)</f>
        <v>386</v>
      </c>
      <c r="G1073" s="9">
        <f>IFERROR(__xludf.DUMMYFUNCTION("GOOGLEFINANCE(A1073, ""price"")"),387.7)</f>
        <v>387.7</v>
      </c>
      <c r="H1073" s="9">
        <f>IFERROR(__xludf.DUMMYFUNCTION("MAX(INDEX(GOOGLEFINANCE(A1073, ""high"", TODAY()-30, TODAY()), 0, 2))"),420.0)</f>
        <v>420</v>
      </c>
      <c r="I1073" s="9">
        <f>IFERROR(__xludf.DUMMYFUNCTION("MIN(INDEX(GOOGLEFINANCE(A1073, ""low"", TODAY()-30, TODAY()), 0, 2))"),367.0)</f>
        <v>367</v>
      </c>
      <c r="J1073" s="9">
        <f>IFERROR(__xludf.DUMMYFUNCTION("GOOGLEFINANCE(A1073, ""high52"")"),705.0)</f>
        <v>705</v>
      </c>
      <c r="K1073" s="9">
        <f>IFERROR(__xludf.DUMMYFUNCTION("GOOGLEFINANCE(A1073, ""low52"")"),367.0)</f>
        <v>367</v>
      </c>
      <c r="L1073" s="9">
        <f t="shared" si="1"/>
        <v>0.450070922</v>
      </c>
      <c r="M1073" s="9">
        <f t="shared" si="2"/>
        <v>0.05640326975</v>
      </c>
      <c r="N1073" s="9">
        <f t="shared" si="3"/>
        <v>0.02422279793</v>
      </c>
      <c r="O1073" s="9">
        <f t="shared" si="4"/>
        <v>0.3905660377</v>
      </c>
      <c r="P1073" s="9">
        <f>IFERROR(__xludf.DUMMYFUNCTION("GOOGLEFINANCE(A1073, ""pe"")"),9.9)</f>
        <v>9.9</v>
      </c>
      <c r="Q1073" s="9">
        <f>IFERROR(__xludf.DUMMYFUNCTION("IFERROR(GOOGLEFINANCE(A1073, ""volume"") / GOOGLEFINANCE(A1073, ""volumeavg""), 0)"),0.0)</f>
        <v>0</v>
      </c>
      <c r="R1073" s="9">
        <f>IFERROR(__xludf.DUMMYFUNCTION("AVERAGE(INDEX(GOOGLEFINANCE(A1073, ""price"", TODAY()-30, TODAY()), 0, 2))"),386.9065217391304)</f>
        <v>386.9065217</v>
      </c>
      <c r="S1073" s="9">
        <f>IFERROR(__xludf.DUMMYFUNCTION("AVERAGE(INDEX(GOOGLEFINANCE(A1073, ""price"", TODAY()-75, TODAY()), 0, 2))"),405.55849056603773)</f>
        <v>405.5584906</v>
      </c>
      <c r="T1073" s="9">
        <f>IFERROR(__xludf.DUMMYFUNCTION("AVERAGE(INDEX(GOOGLEFINANCE(A1073, ""price"", TODAY()-300, TODAY()), 0, 2))"),491.04306930693105)</f>
        <v>491.0430693</v>
      </c>
      <c r="U1073" s="9">
        <f t="shared" si="5"/>
        <v>0.002050826792</v>
      </c>
      <c r="V1073" s="15">
        <f>IFERROR(__xludf.DUMMYFUNCTION("LET(hist, GOOGLEFINANCE(A1073,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rs))))))"),60.579710144927496)</f>
        <v>60.57971014</v>
      </c>
      <c r="W1073" s="16" t="str">
        <f>IFERROR(__xludf.DUMMYFUNCTION("IFERROR(GOOGLEFINANCE(A1073, ""volume"") / GOOGLEFINANCE(A1073, ""volumeavg""), )"),"")</f>
        <v/>
      </c>
      <c r="X1073" s="9">
        <f>IFERROR(__xludf.DUMMYFUNCTION("B1073 * GOOGLEFINANCE(A1073, ""volume"")"),1.04969775E7)</f>
        <v>10496977.5</v>
      </c>
      <c r="Y1073" s="9">
        <f>IFERROR(__xludf.DUMMYFUNCTION("IFERROR(((B1073 - GOOGLEFINANCE(A1073, ""priceopen"")) / GOOGLEFINANCE(A1073, ""priceopen"")) * GOOGLEFINANCE(A1073, ""volume""), 0)"),-523.8997091185049)</f>
        <v>-523.8997091</v>
      </c>
    </row>
    <row r="1074">
      <c r="A1074" s="4" t="s">
        <v>2867</v>
      </c>
      <c r="B1074" s="7">
        <f>IFERROR(__xludf.DUMMYFUNCTION("GOOGLEFINANCE(A1074, ""price"")"),130.0)</f>
        <v>130</v>
      </c>
      <c r="C1074" s="7">
        <f>IFERROR(__xludf.DUMMYFUNCTION("GOOGLEFINANCE(A1074, ""changepct"")"),-2.96)</f>
        <v>-2.96</v>
      </c>
      <c r="D1074" s="9">
        <f>IFERROR(__xludf.DUMMYFUNCTION("GOOGLEFINANCE(A1074, ""priceopen"")"),133.0)</f>
        <v>133</v>
      </c>
      <c r="E1074" s="9">
        <f>IFERROR(__xludf.DUMMYFUNCTION("GOOGLEFINANCE(A1074, ""high"")"),133.5)</f>
        <v>133.5</v>
      </c>
      <c r="F1074" s="9">
        <f>IFERROR(__xludf.DUMMYFUNCTION("GOOGLEFINANCE(A1074, ""low"")"),125.6)</f>
        <v>125.6</v>
      </c>
      <c r="G1074" s="9">
        <f>IFERROR(__xludf.DUMMYFUNCTION("GOOGLEFINANCE(A1074, ""price"")"),130.0)</f>
        <v>130</v>
      </c>
      <c r="H1074" s="9">
        <f>IFERROR(__xludf.DUMMYFUNCTION("MAX(INDEX(GOOGLEFINANCE(A1074, ""high"", TODAY()-30, TODAY()), 0, 2))"),144.5)</f>
        <v>144.5</v>
      </c>
      <c r="I1074" s="9">
        <f>IFERROR(__xludf.DUMMYFUNCTION("MIN(INDEX(GOOGLEFINANCE(A1074, ""low"", TODAY()-30, TODAY()), 0, 2))"),125.6)</f>
        <v>125.6</v>
      </c>
      <c r="J1074" s="9">
        <f>IFERROR(__xludf.DUMMYFUNCTION("GOOGLEFINANCE(A1074, ""high52"")"),194.8)</f>
        <v>194.8</v>
      </c>
      <c r="K1074" s="9">
        <f>IFERROR(__xludf.DUMMYFUNCTION("GOOGLEFINANCE(A1074, ""low52"")"),92.62)</f>
        <v>92.62</v>
      </c>
      <c r="L1074" s="9">
        <f t="shared" si="1"/>
        <v>0.3326488706</v>
      </c>
      <c r="M1074" s="9">
        <f t="shared" si="2"/>
        <v>0.403584539</v>
      </c>
      <c r="N1074" s="9">
        <f t="shared" si="3"/>
        <v>0.06289808917</v>
      </c>
      <c r="O1074" s="9">
        <f t="shared" si="4"/>
        <v>0.2328042328</v>
      </c>
      <c r="P1074" s="9">
        <f>IFERROR(__xludf.DUMMYFUNCTION("GOOGLEFINANCE(A1074, ""pe"")"),448.28)</f>
        <v>448.28</v>
      </c>
      <c r="Q1074" s="9">
        <f>IFERROR(__xludf.DUMMYFUNCTION("IFERROR(GOOGLEFINANCE(A1074, ""volume"") / GOOGLEFINANCE(A1074, ""volumeavg""), 0)"),0.0)</f>
        <v>0</v>
      </c>
      <c r="R1074" s="9">
        <f>IFERROR(__xludf.DUMMYFUNCTION("AVERAGE(INDEX(GOOGLEFINANCE(A1074, ""price"", TODAY()-30, TODAY()), 0, 2))"),137.92)</f>
        <v>137.92</v>
      </c>
      <c r="S1074" s="9">
        <f>IFERROR(__xludf.DUMMYFUNCTION("AVERAGE(INDEX(GOOGLEFINANCE(A1074, ""price"", TODAY()-75, TODAY()), 0, 2))"),127.21396226415092)</f>
        <v>127.2139623</v>
      </c>
      <c r="T1074" s="9">
        <f>IFERROR(__xludf.DUMMYFUNCTION("AVERAGE(INDEX(GOOGLEFINANCE(A1074, ""price"", TODAY()-300, TODAY()), 0, 2))"),130.0668316831684)</f>
        <v>130.0668317</v>
      </c>
      <c r="U1074" s="9">
        <f t="shared" si="5"/>
        <v>-0.05742459397</v>
      </c>
      <c r="V1074" s="15">
        <f>IFERROR(__xludf.DUMMYFUNCTION("LET(hist, GOOGLEFINANCE(A1074,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rs))))))"),31.910569105691067)</f>
        <v>31.91056911</v>
      </c>
      <c r="W1074" s="16" t="str">
        <f>IFERROR(__xludf.DUMMYFUNCTION("IFERROR(GOOGLEFINANCE(A1074, ""volume"") / GOOGLEFINANCE(A1074, ""volumeavg""), )"),"")</f>
        <v/>
      </c>
      <c r="X1074" s="9">
        <f>IFERROR(__xludf.DUMMYFUNCTION("B1074 * GOOGLEFINANCE(A1074, ""volume"")"),1.2017772E8)</f>
        <v>120177720</v>
      </c>
      <c r="Y1074" s="9">
        <f>IFERROR(__xludf.DUMMYFUNCTION("IFERROR(((B1074 - GOOGLEFINANCE(A1074, ""priceopen"")) / GOOGLEFINANCE(A1074, ""priceopen"")) * GOOGLEFINANCE(A1074, ""volume""), 0)"),-20852.120300751878)</f>
        <v>-20852.1203</v>
      </c>
    </row>
    <row r="1075">
      <c r="A1075" s="4" t="s">
        <v>2868</v>
      </c>
      <c r="B1075" s="7">
        <f>IFERROR(__xludf.DUMMYFUNCTION("GOOGLEFINANCE(A1075, ""price"")"),904.0)</f>
        <v>904</v>
      </c>
      <c r="C1075" s="7">
        <f>IFERROR(__xludf.DUMMYFUNCTION("GOOGLEFINANCE(A1075, ""changepct"")"),-0.24)</f>
        <v>-0.24</v>
      </c>
      <c r="D1075" s="9">
        <f>IFERROR(__xludf.DUMMYFUNCTION("GOOGLEFINANCE(A1075, ""priceopen"")"),906.15)</f>
        <v>906.15</v>
      </c>
      <c r="E1075" s="9">
        <f>IFERROR(__xludf.DUMMYFUNCTION("GOOGLEFINANCE(A1075, ""high"")"),907.75)</f>
        <v>907.75</v>
      </c>
      <c r="F1075" s="9">
        <f>IFERROR(__xludf.DUMMYFUNCTION("GOOGLEFINANCE(A1075, ""low"")"),891.05)</f>
        <v>891.05</v>
      </c>
      <c r="G1075" s="9">
        <f>IFERROR(__xludf.DUMMYFUNCTION("GOOGLEFINANCE(A1075, ""price"")"),904.0)</f>
        <v>904</v>
      </c>
      <c r="H1075" s="9">
        <f>IFERROR(__xludf.DUMMYFUNCTION("MAX(INDEX(GOOGLEFINANCE(A1075, ""high"", TODAY()-30, TODAY()), 0, 2))"),1023.45)</f>
        <v>1023.45</v>
      </c>
      <c r="I1075" s="9">
        <f>IFERROR(__xludf.DUMMYFUNCTION("MIN(INDEX(GOOGLEFINANCE(A1075, ""low"", TODAY()-30, TODAY()), 0, 2))"),891.05)</f>
        <v>891.05</v>
      </c>
      <c r="J1075" s="9">
        <f>IFERROR(__xludf.DUMMYFUNCTION("GOOGLEFINANCE(A1075, ""high52"")"),1023.45)</f>
        <v>1023.45</v>
      </c>
      <c r="K1075" s="9">
        <f>IFERROR(__xludf.DUMMYFUNCTION("GOOGLEFINANCE(A1075, ""low52"")"),679.35)</f>
        <v>679.35</v>
      </c>
      <c r="L1075" s="9">
        <f t="shared" si="1"/>
        <v>0.1167130783</v>
      </c>
      <c r="M1075" s="9">
        <f t="shared" si="2"/>
        <v>0.3306837418</v>
      </c>
      <c r="N1075" s="9">
        <f t="shared" si="3"/>
        <v>0.01874193367</v>
      </c>
      <c r="O1075" s="9">
        <f t="shared" si="4"/>
        <v>0.09780966767</v>
      </c>
      <c r="P1075" s="9">
        <f>IFERROR(__xludf.DUMMYFUNCTION("GOOGLEFINANCE(A1075, ""pe"")"),21.66)</f>
        <v>21.66</v>
      </c>
      <c r="Q1075" s="9">
        <f>IFERROR(__xludf.DUMMYFUNCTION("IFERROR(GOOGLEFINANCE(A1075, ""volume"") / GOOGLEFINANCE(A1075, ""volumeavg""), 0)"),0.0)</f>
        <v>0</v>
      </c>
      <c r="R1075" s="9">
        <f>IFERROR(__xludf.DUMMYFUNCTION("AVERAGE(INDEX(GOOGLEFINANCE(A1075, ""price"", TODAY()-30, TODAY()), 0, 2))"),957.2391304347827)</f>
        <v>957.2391304</v>
      </c>
      <c r="S1075" s="9">
        <f>IFERROR(__xludf.DUMMYFUNCTION("AVERAGE(INDEX(GOOGLEFINANCE(A1075, ""price"", TODAY()-75, TODAY()), 0, 2))"),912.6283018867925)</f>
        <v>912.6283019</v>
      </c>
      <c r="T1075" s="9">
        <f>IFERROR(__xludf.DUMMYFUNCTION("AVERAGE(INDEX(GOOGLEFINANCE(A1075, ""price"", TODAY()-300, TODAY()), 0, 2))"),834.0891089108912)</f>
        <v>834.0891089</v>
      </c>
      <c r="U1075" s="9">
        <f t="shared" si="5"/>
        <v>-0.05561737788</v>
      </c>
      <c r="V1075" s="15">
        <f>IFERROR(__xludf.DUMMYFUNCTION("LET(hist, GOOGLEFINANCE(A1075,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rs))))))"),15.814558058925542)</f>
        <v>15.81455806</v>
      </c>
      <c r="W1075" s="16" t="str">
        <f>IFERROR(__xludf.DUMMYFUNCTION("IFERROR(GOOGLEFINANCE(A1075, ""volume"") / GOOGLEFINANCE(A1075, ""volumeavg""), )"),"")</f>
        <v/>
      </c>
      <c r="X1075" s="9">
        <f>IFERROR(__xludf.DUMMYFUNCTION("B1075 * GOOGLEFINANCE(A1075, ""volume"")"),1.542676E7)</f>
        <v>15426760</v>
      </c>
      <c r="Y1075" s="9">
        <f>IFERROR(__xludf.DUMMYFUNCTION("IFERROR(((B1075 - GOOGLEFINANCE(A1075, ""priceopen"")) / GOOGLEFINANCE(A1075, ""priceopen"")) * GOOGLEFINANCE(A1075, ""volume""), 0)"),-40.48970920929163)</f>
        <v>-40.48970921</v>
      </c>
    </row>
    <row r="1076">
      <c r="A1076" s="4" t="s">
        <v>2869</v>
      </c>
      <c r="B1076" s="7">
        <f>IFERROR(__xludf.DUMMYFUNCTION("GOOGLEFINANCE(A1076, ""price"")"),119.24)</f>
        <v>119.24</v>
      </c>
      <c r="C1076" s="7">
        <f>IFERROR(__xludf.DUMMYFUNCTION("GOOGLEFINANCE(A1076, ""changepct"")"),0.51)</f>
        <v>0.51</v>
      </c>
      <c r="D1076" s="9">
        <f>IFERROR(__xludf.DUMMYFUNCTION("GOOGLEFINANCE(A1076, ""priceopen"")"),119.6)</f>
        <v>119.6</v>
      </c>
      <c r="E1076" s="9">
        <f>IFERROR(__xludf.DUMMYFUNCTION("GOOGLEFINANCE(A1076, ""high"")"),119.6)</f>
        <v>119.6</v>
      </c>
      <c r="F1076" s="9">
        <f>IFERROR(__xludf.DUMMYFUNCTION("GOOGLEFINANCE(A1076, ""low"")"),118.31)</f>
        <v>118.31</v>
      </c>
      <c r="G1076" s="9">
        <f>IFERROR(__xludf.DUMMYFUNCTION("GOOGLEFINANCE(A1076, ""price"")"),119.24)</f>
        <v>119.24</v>
      </c>
      <c r="H1076" s="9">
        <f>IFERROR(__xludf.DUMMYFUNCTION("MAX(INDEX(GOOGLEFINANCE(A1076, ""high"", TODAY()-30, TODAY()), 0, 2))"),134.79)</f>
        <v>134.79</v>
      </c>
      <c r="I1076" s="9">
        <f>IFERROR(__xludf.DUMMYFUNCTION("MIN(INDEX(GOOGLEFINANCE(A1076, ""low"", TODAY()-30, TODAY()), 0, 2))"),118.05)</f>
        <v>118.05</v>
      </c>
      <c r="J1076" s="9">
        <f>IFERROR(__xludf.DUMMYFUNCTION("GOOGLEFINANCE(A1076, ""high52"")"),164.1)</f>
        <v>164.1</v>
      </c>
      <c r="K1076" s="9">
        <f>IFERROR(__xludf.DUMMYFUNCTION("GOOGLEFINANCE(A1076, ""low52"")"),95.1)</f>
        <v>95.1</v>
      </c>
      <c r="L1076" s="9">
        <f t="shared" si="1"/>
        <v>0.2733698964</v>
      </c>
      <c r="M1076" s="9">
        <f t="shared" si="2"/>
        <v>0.2538380652</v>
      </c>
      <c r="N1076" s="9">
        <f t="shared" si="3"/>
        <v>0.01090355845</v>
      </c>
      <c r="O1076" s="9">
        <f t="shared" si="4"/>
        <v>0.07108721625</v>
      </c>
      <c r="P1076" s="9">
        <f>IFERROR(__xludf.DUMMYFUNCTION("GOOGLEFINANCE(A1076, ""pe"")"),38.71)</f>
        <v>38.71</v>
      </c>
      <c r="Q1076" s="9">
        <f>IFERROR(__xludf.DUMMYFUNCTION("IFERROR(GOOGLEFINANCE(A1076, ""volume"") / GOOGLEFINANCE(A1076, ""volumeavg""), 0)"),0.0)</f>
        <v>0</v>
      </c>
      <c r="R1076" s="9">
        <f>IFERROR(__xludf.DUMMYFUNCTION("AVERAGE(INDEX(GOOGLEFINANCE(A1076, ""price"", TODAY()-30, TODAY()), 0, 2))"),123.96391304347826)</f>
        <v>123.963913</v>
      </c>
      <c r="S1076" s="9">
        <f>IFERROR(__xludf.DUMMYFUNCTION("AVERAGE(INDEX(GOOGLEFINANCE(A1076, ""price"", TODAY()-75, TODAY()), 0, 2))"),121.51641509433962)</f>
        <v>121.5164151</v>
      </c>
      <c r="T1076" s="9">
        <f>IFERROR(__xludf.DUMMYFUNCTION("AVERAGE(INDEX(GOOGLEFINANCE(A1076, ""price"", TODAY()-300, TODAY()), 0, 2))"),126.25054455445547)</f>
        <v>126.2505446</v>
      </c>
      <c r="U1076" s="9">
        <f t="shared" si="5"/>
        <v>-0.03810716302</v>
      </c>
      <c r="V1076" s="15">
        <f>IFERROR(__xludf.DUMMYFUNCTION("LET(hist, GOOGLEFINANCE(A1076,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rs))))))"),36.897767332549954)</f>
        <v>36.89776733</v>
      </c>
      <c r="W1076" s="16" t="str">
        <f>IFERROR(__xludf.DUMMYFUNCTION("IFERROR(GOOGLEFINANCE(A1076, ""volume"") / GOOGLEFINANCE(A1076, ""volumeavg""), )"),"")</f>
        <v/>
      </c>
      <c r="X1076" s="9">
        <f>IFERROR(__xludf.DUMMYFUNCTION("B1076 * GOOGLEFINANCE(A1076, ""volume"")"),7771824.72)</f>
        <v>7771824.72</v>
      </c>
      <c r="Y1076" s="9">
        <f>IFERROR(__xludf.DUMMYFUNCTION("IFERROR(((B1076 - GOOGLEFINANCE(A1076, ""priceopen"")) / GOOGLEFINANCE(A1076, ""priceopen"")) * GOOGLEFINANCE(A1076, ""volume""), 0)"),-196.18795986622044)</f>
        <v>-196.1879599</v>
      </c>
    </row>
    <row r="1077">
      <c r="A1077" s="4" t="s">
        <v>2870</v>
      </c>
      <c r="B1077" s="7">
        <f>IFERROR(__xludf.DUMMYFUNCTION("GOOGLEFINANCE(A1077, ""price"")"),135.0)</f>
        <v>135</v>
      </c>
      <c r="C1077" s="7">
        <f>IFERROR(__xludf.DUMMYFUNCTION("GOOGLEFINANCE(A1077, ""changepct"")"),-0.72)</f>
        <v>-0.72</v>
      </c>
      <c r="D1077" s="9">
        <f>IFERROR(__xludf.DUMMYFUNCTION("GOOGLEFINANCE(A1077, ""priceopen"")"),139.99)</f>
        <v>139.99</v>
      </c>
      <c r="E1077" s="9">
        <f>IFERROR(__xludf.DUMMYFUNCTION("GOOGLEFINANCE(A1077, ""high"")"),139.99)</f>
        <v>139.99</v>
      </c>
      <c r="F1077" s="9">
        <f>IFERROR(__xludf.DUMMYFUNCTION("GOOGLEFINANCE(A1077, ""low"")"),132.0)</f>
        <v>132</v>
      </c>
      <c r="G1077" s="9">
        <f>IFERROR(__xludf.DUMMYFUNCTION("GOOGLEFINANCE(A1077, ""price"")"),135.0)</f>
        <v>135</v>
      </c>
      <c r="H1077" s="9">
        <f>IFERROR(__xludf.DUMMYFUNCTION("MAX(INDEX(GOOGLEFINANCE(A1077, ""high"", TODAY()-30, TODAY()), 0, 2))"),139.99)</f>
        <v>139.99</v>
      </c>
      <c r="I1077" s="9">
        <f>IFERROR(__xludf.DUMMYFUNCTION("MIN(INDEX(GOOGLEFINANCE(A1077, ""low"", TODAY()-30, TODAY()), 0, 2))"),122.05)</f>
        <v>122.05</v>
      </c>
      <c r="J1077" s="9">
        <f>IFERROR(__xludf.DUMMYFUNCTION("GOOGLEFINANCE(A1077, ""high52"")"),139.99)</f>
        <v>139.99</v>
      </c>
      <c r="K1077" s="9">
        <f>IFERROR(__xludf.DUMMYFUNCTION("GOOGLEFINANCE(A1077, ""low52"")"),82.99)</f>
        <v>82.99</v>
      </c>
      <c r="L1077" s="9">
        <f t="shared" si="1"/>
        <v>0.03564540324</v>
      </c>
      <c r="M1077" s="9">
        <f t="shared" si="2"/>
        <v>0.6267020123</v>
      </c>
      <c r="N1077" s="9">
        <f t="shared" si="3"/>
        <v>0.06053030303</v>
      </c>
      <c r="O1077" s="9">
        <f t="shared" si="4"/>
        <v>0.7218506132</v>
      </c>
      <c r="P1077" s="9">
        <f>IFERROR(__xludf.DUMMYFUNCTION("GOOGLEFINANCE(A1077, ""pe"")"),82.32)</f>
        <v>82.32</v>
      </c>
      <c r="Q1077" s="9">
        <f>IFERROR(__xludf.DUMMYFUNCTION("IFERROR(GOOGLEFINANCE(A1077, ""volume"") / GOOGLEFINANCE(A1077, ""volumeavg""), 0)"),0.0)</f>
        <v>0</v>
      </c>
      <c r="R1077" s="9">
        <f>IFERROR(__xludf.DUMMYFUNCTION("AVERAGE(INDEX(GOOGLEFINANCE(A1077, ""price"", TODAY()-30, TODAY()), 0, 2))"),130.33391304347825)</f>
        <v>130.333913</v>
      </c>
      <c r="S1077" s="9">
        <f>IFERROR(__xludf.DUMMYFUNCTION("AVERAGE(INDEX(GOOGLEFINANCE(A1077, ""price"", TODAY()-75, TODAY()), 0, 2))"),128.3828301886792)</f>
        <v>128.3828302</v>
      </c>
      <c r="T1077" s="9">
        <f>IFERROR(__xludf.DUMMYFUNCTION("AVERAGE(INDEX(GOOGLEFINANCE(A1077, ""price"", TODAY()-300, TODAY()), 0, 2))"),116.07158415841583)</f>
        <v>116.0715842</v>
      </c>
      <c r="U1077" s="9">
        <f t="shared" si="5"/>
        <v>0.03580101946</v>
      </c>
      <c r="V1077" s="15">
        <f>IFERROR(__xludf.DUMMYFUNCTION("LET(hist, GOOGLEFINANCE(A1077,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rs))))))"),70.71486596263202)</f>
        <v>70.71486596</v>
      </c>
      <c r="W1077" s="16" t="str">
        <f>IFERROR(__xludf.DUMMYFUNCTION("IFERROR(GOOGLEFINANCE(A1077, ""volume"") / GOOGLEFINANCE(A1077, ""volumeavg""), )"),"")</f>
        <v/>
      </c>
      <c r="X1077" s="9">
        <f>IFERROR(__xludf.DUMMYFUNCTION("B1077 * GOOGLEFINANCE(A1077, ""volume"")"),3.2598396E8)</f>
        <v>325983960</v>
      </c>
      <c r="Y1077" s="9">
        <f>IFERROR(__xludf.DUMMYFUNCTION("IFERROR(((B1077 - GOOGLEFINANCE(A1077, ""priceopen"")) / GOOGLEFINANCE(A1077, ""priceopen"")) * GOOGLEFINANCE(A1077, ""volume""), 0)"),-86072.81262947369)</f>
        <v>-86072.81263</v>
      </c>
    </row>
    <row r="1078">
      <c r="A1078" s="4" t="s">
        <v>2871</v>
      </c>
      <c r="B1078" s="7">
        <f>IFERROR(__xludf.DUMMYFUNCTION("GOOGLEFINANCE(A1078, ""price"")"),14.24)</f>
        <v>14.24</v>
      </c>
      <c r="C1078" s="7">
        <f>IFERROR(__xludf.DUMMYFUNCTION("GOOGLEFINANCE(A1078, ""changepct"")"),1.71)</f>
        <v>1.71</v>
      </c>
      <c r="D1078" s="9">
        <f>IFERROR(__xludf.DUMMYFUNCTION("GOOGLEFINANCE(A1078, ""priceopen"")"),14.05)</f>
        <v>14.05</v>
      </c>
      <c r="E1078" s="9">
        <f>IFERROR(__xludf.DUMMYFUNCTION("GOOGLEFINANCE(A1078, ""high"")"),14.24)</f>
        <v>14.24</v>
      </c>
      <c r="F1078" s="9">
        <f>IFERROR(__xludf.DUMMYFUNCTION("GOOGLEFINANCE(A1078, ""low"")"),13.95)</f>
        <v>13.95</v>
      </c>
      <c r="G1078" s="9">
        <f>IFERROR(__xludf.DUMMYFUNCTION("GOOGLEFINANCE(A1078, ""price"")"),14.24)</f>
        <v>14.24</v>
      </c>
      <c r="H1078" s="9">
        <f>IFERROR(__xludf.DUMMYFUNCTION("MAX(INDEX(GOOGLEFINANCE(A1078, ""high"", TODAY()-30, TODAY()), 0, 2))"),15.7)</f>
        <v>15.7</v>
      </c>
      <c r="I1078" s="9">
        <f>IFERROR(__xludf.DUMMYFUNCTION("MIN(INDEX(GOOGLEFINANCE(A1078, ""low"", TODAY()-30, TODAY()), 0, 2))"),13.87)</f>
        <v>13.87</v>
      </c>
      <c r="J1078" s="9">
        <f>IFERROR(__xludf.DUMMYFUNCTION("GOOGLEFINANCE(A1078, ""high52"")"),22.03)</f>
        <v>22.03</v>
      </c>
      <c r="K1078" s="9">
        <f>IFERROR(__xludf.DUMMYFUNCTION("GOOGLEFINANCE(A1078, ""low52"")"),10.12)</f>
        <v>10.12</v>
      </c>
      <c r="L1078" s="9">
        <f t="shared" si="1"/>
        <v>0.3536087154</v>
      </c>
      <c r="M1078" s="9">
        <f t="shared" si="2"/>
        <v>0.4071146245</v>
      </c>
      <c r="N1078" s="9">
        <f t="shared" si="3"/>
        <v>0.02078853047</v>
      </c>
      <c r="O1078" s="9">
        <f t="shared" si="4"/>
        <v>0.2021857923</v>
      </c>
      <c r="P1078" s="9" t="str">
        <f>IFERROR(__xludf.DUMMYFUNCTION("GOOGLEFINANCE(A1078, ""pe"")"),"#N/A")</f>
        <v>#N/A</v>
      </c>
      <c r="Q1078" s="9">
        <f>IFERROR(__xludf.DUMMYFUNCTION("IFERROR(GOOGLEFINANCE(A1078, ""volume"") / GOOGLEFINANCE(A1078, ""volumeavg""), 0)"),0.0)</f>
        <v>0</v>
      </c>
      <c r="R1078" s="9">
        <f>IFERROR(__xludf.DUMMYFUNCTION("AVERAGE(INDEX(GOOGLEFINANCE(A1078, ""price"", TODAY()-30, TODAY()), 0, 2))"),14.56)</f>
        <v>14.56</v>
      </c>
      <c r="S1078" s="9">
        <f>IFERROR(__xludf.DUMMYFUNCTION("AVERAGE(INDEX(GOOGLEFINANCE(A1078, ""price"", TODAY()-75, TODAY()), 0, 2))"),14.155849056603778)</f>
        <v>14.15584906</v>
      </c>
      <c r="T1078" s="9">
        <f>IFERROR(__xludf.DUMMYFUNCTION("AVERAGE(INDEX(GOOGLEFINANCE(A1078, ""price"", TODAY()-300, TODAY()), 0, 2))"),14.52153465346534)</f>
        <v>14.52153465</v>
      </c>
      <c r="U1078" s="9">
        <f t="shared" si="5"/>
        <v>-0.02197802198</v>
      </c>
      <c r="V1078" s="15">
        <f>IFERROR(__xludf.DUMMYFUNCTION("LET(hist, GOOGLEFINANCE(A1078,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rs))))))"),39.52095808383228)</f>
        <v>39.52095808</v>
      </c>
      <c r="W1078" s="16" t="str">
        <f>IFERROR(__xludf.DUMMYFUNCTION("IFERROR(GOOGLEFINANCE(A1078, ""volume"") / GOOGLEFINANCE(A1078, ""volumeavg""), )"),"")</f>
        <v/>
      </c>
      <c r="X1078" s="9">
        <f>IFERROR(__xludf.DUMMYFUNCTION("B1078 * GOOGLEFINANCE(A1078, ""volume"")"),4.283082992E7)</f>
        <v>42830829.92</v>
      </c>
      <c r="Y1078" s="9">
        <f>IFERROR(__xludf.DUMMYFUNCTION("IFERROR(((B1078 - GOOGLEFINANCE(A1078, ""priceopen"")) / GOOGLEFINANCE(A1078, ""priceopen"")) * GOOGLEFINANCE(A1078, ""volume""), 0)"),40674.645551601316)</f>
        <v>40674.64555</v>
      </c>
    </row>
    <row r="1079">
      <c r="A1079" s="4" t="s">
        <v>2872</v>
      </c>
      <c r="B1079" s="7">
        <f>IFERROR(__xludf.DUMMYFUNCTION("GOOGLEFINANCE(A1079, ""price"")"),398.0)</f>
        <v>398</v>
      </c>
      <c r="C1079" s="7">
        <f>IFERROR(__xludf.DUMMYFUNCTION("GOOGLEFINANCE(A1079, ""changepct"")"),-1.04)</f>
        <v>-1.04</v>
      </c>
      <c r="D1079" s="9">
        <f>IFERROR(__xludf.DUMMYFUNCTION("GOOGLEFINANCE(A1079, ""priceopen"")"),401.0)</f>
        <v>401</v>
      </c>
      <c r="E1079" s="9">
        <f>IFERROR(__xludf.DUMMYFUNCTION("GOOGLEFINANCE(A1079, ""high"")"),404.15)</f>
        <v>404.15</v>
      </c>
      <c r="F1079" s="9">
        <f>IFERROR(__xludf.DUMMYFUNCTION("GOOGLEFINANCE(A1079, ""low"")"),391.9)</f>
        <v>391.9</v>
      </c>
      <c r="G1079" s="9">
        <f>IFERROR(__xludf.DUMMYFUNCTION("GOOGLEFINANCE(A1079, ""price"")"),398.0)</f>
        <v>398</v>
      </c>
      <c r="H1079" s="9">
        <f>IFERROR(__xludf.DUMMYFUNCTION("MAX(INDEX(GOOGLEFINANCE(A1079, ""high"", TODAY()-30, TODAY()), 0, 2))"),576.9)</f>
        <v>576.9</v>
      </c>
      <c r="I1079" s="9">
        <f>IFERROR(__xludf.DUMMYFUNCTION("MIN(INDEX(GOOGLEFINANCE(A1079, ""low"", TODAY()-30, TODAY()), 0, 2))"),391.9)</f>
        <v>391.9</v>
      </c>
      <c r="J1079" s="9">
        <f>IFERROR(__xludf.DUMMYFUNCTION("GOOGLEFINANCE(A1079, ""high52"")"),647.0)</f>
        <v>647</v>
      </c>
      <c r="K1079" s="9">
        <f>IFERROR(__xludf.DUMMYFUNCTION("GOOGLEFINANCE(A1079, ""low52"")"),292.4)</f>
        <v>292.4</v>
      </c>
      <c r="L1079" s="9">
        <f t="shared" si="1"/>
        <v>0.3848531685</v>
      </c>
      <c r="M1079" s="9">
        <f t="shared" si="2"/>
        <v>0.3611491108</v>
      </c>
      <c r="N1079" s="9">
        <f t="shared" si="3"/>
        <v>0.03125797397</v>
      </c>
      <c r="O1079" s="9">
        <f t="shared" si="4"/>
        <v>0.03297297297</v>
      </c>
      <c r="P1079" s="9" t="str">
        <f>IFERROR(__xludf.DUMMYFUNCTION("GOOGLEFINANCE(A1079, ""pe"")"),"#N/A")</f>
        <v>#N/A</v>
      </c>
      <c r="Q1079" s="9">
        <f>IFERROR(__xludf.DUMMYFUNCTION("IFERROR(GOOGLEFINANCE(A1079, ""volume"") / GOOGLEFINANCE(A1079, ""volumeavg""), 0)"),0.0)</f>
        <v>0</v>
      </c>
      <c r="R1079" s="9">
        <f>IFERROR(__xludf.DUMMYFUNCTION("AVERAGE(INDEX(GOOGLEFINANCE(A1079, ""price"", TODAY()-30, TODAY()), 0, 2))"),457.8043478260869)</f>
        <v>457.8043478</v>
      </c>
      <c r="S1079" s="9">
        <f>IFERROR(__xludf.DUMMYFUNCTION("AVERAGE(INDEX(GOOGLEFINANCE(A1079, ""price"", TODAY()-75, TODAY()), 0, 2))"),497.64433962264155)</f>
        <v>497.6443396</v>
      </c>
      <c r="T1079" s="9">
        <f>IFERROR(__xludf.DUMMYFUNCTION("AVERAGE(INDEX(GOOGLEFINANCE(A1079, ""price"", TODAY()-300, TODAY()), 0, 2))"),403.3029702970299)</f>
        <v>403.3029703</v>
      </c>
      <c r="U1079" s="9">
        <f t="shared" si="5"/>
        <v>-0.1306329835</v>
      </c>
      <c r="V1079" s="15">
        <f>IFERROR(__xludf.DUMMYFUNCTION("LET(hist, GOOGLEFINANCE(A1079,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rs))))))"),22.37719830200126)</f>
        <v>22.3771983</v>
      </c>
      <c r="W1079" s="16" t="str">
        <f>IFERROR(__xludf.DUMMYFUNCTION("IFERROR(GOOGLEFINANCE(A1079, ""volume"") / GOOGLEFINANCE(A1079, ""volumeavg""), )"),"")</f>
        <v/>
      </c>
      <c r="X1079" s="9">
        <f>IFERROR(__xludf.DUMMYFUNCTION("B1079 * GOOGLEFINANCE(A1079, ""volume"")"),8.975099E7)</f>
        <v>89750990</v>
      </c>
      <c r="Y1079" s="9">
        <f>IFERROR(__xludf.DUMMYFUNCTION("IFERROR(((B1079 - GOOGLEFINANCE(A1079, ""priceopen"")) / GOOGLEFINANCE(A1079, ""priceopen"")) * GOOGLEFINANCE(A1079, ""volume""), 0)"),-1687.069825436409)</f>
        <v>-1687.069825</v>
      </c>
    </row>
    <row r="1080">
      <c r="A1080" s="4" t="s">
        <v>2873</v>
      </c>
      <c r="B1080" s="7">
        <f>IFERROR(__xludf.DUMMYFUNCTION("GOOGLEFINANCE(A1080, ""price"")"),799.5)</f>
        <v>799.5</v>
      </c>
      <c r="C1080" s="7">
        <f>IFERROR(__xludf.DUMMYFUNCTION("GOOGLEFINANCE(A1080, ""changepct"")"),0.84)</f>
        <v>0.84</v>
      </c>
      <c r="D1080" s="9">
        <f>IFERROR(__xludf.DUMMYFUNCTION("GOOGLEFINANCE(A1080, ""priceopen"")"),795.0)</f>
        <v>795</v>
      </c>
      <c r="E1080" s="9">
        <f>IFERROR(__xludf.DUMMYFUNCTION("GOOGLEFINANCE(A1080, ""high"")"),805.0)</f>
        <v>805</v>
      </c>
      <c r="F1080" s="9">
        <f>IFERROR(__xludf.DUMMYFUNCTION("GOOGLEFINANCE(A1080, ""low"")"),792.5)</f>
        <v>792.5</v>
      </c>
      <c r="G1080" s="9">
        <f>IFERROR(__xludf.DUMMYFUNCTION("GOOGLEFINANCE(A1080, ""price"")"),799.5)</f>
        <v>799.5</v>
      </c>
      <c r="H1080" s="9">
        <f>IFERROR(__xludf.DUMMYFUNCTION("MAX(INDEX(GOOGLEFINANCE(A1080, ""high"", TODAY()-30, TODAY()), 0, 2))"),849.8)</f>
        <v>849.8</v>
      </c>
      <c r="I1080" s="9">
        <f>IFERROR(__xludf.DUMMYFUNCTION("MIN(INDEX(GOOGLEFINANCE(A1080, ""low"", TODAY()-30, TODAY()), 0, 2))"),726.3)</f>
        <v>726.3</v>
      </c>
      <c r="J1080" s="9">
        <f>IFERROR(__xludf.DUMMYFUNCTION("GOOGLEFINANCE(A1080, ""high52"")"),849.8)</f>
        <v>849.8</v>
      </c>
      <c r="K1080" s="9">
        <f>IFERROR(__xludf.DUMMYFUNCTION("GOOGLEFINANCE(A1080, ""low52"")"),447.05)</f>
        <v>447.05</v>
      </c>
      <c r="L1080" s="9">
        <f t="shared" si="1"/>
        <v>0.05919039774</v>
      </c>
      <c r="M1080" s="9">
        <f t="shared" si="2"/>
        <v>0.7883905603</v>
      </c>
      <c r="N1080" s="9">
        <f t="shared" si="3"/>
        <v>0.01577287066</v>
      </c>
      <c r="O1080" s="9">
        <f t="shared" si="4"/>
        <v>0.5927125506</v>
      </c>
      <c r="P1080" s="9">
        <f>IFERROR(__xludf.DUMMYFUNCTION("GOOGLEFINANCE(A1080, ""pe"")"),54.46)</f>
        <v>54.46</v>
      </c>
      <c r="Q1080" s="9">
        <f>IFERROR(__xludf.DUMMYFUNCTION("IFERROR(GOOGLEFINANCE(A1080, ""volume"") / GOOGLEFINANCE(A1080, ""volumeavg""), 0)"),0.0)</f>
        <v>0</v>
      </c>
      <c r="R1080" s="9">
        <f>IFERROR(__xludf.DUMMYFUNCTION("AVERAGE(INDEX(GOOGLEFINANCE(A1080, ""price"", TODAY()-30, TODAY()), 0, 2))"),781.0565217391304)</f>
        <v>781.0565217</v>
      </c>
      <c r="S1080" s="9">
        <f>IFERROR(__xludf.DUMMYFUNCTION("AVERAGE(INDEX(GOOGLEFINANCE(A1080, ""price"", TODAY()-75, TODAY()), 0, 2))"),739.5056603773586)</f>
        <v>739.5056604</v>
      </c>
      <c r="T1080" s="9">
        <f>IFERROR(__xludf.DUMMYFUNCTION("AVERAGE(INDEX(GOOGLEFINANCE(A1080, ""price"", TODAY()-300, TODAY()), 0, 2))"),609.9490099009898)</f>
        <v>609.9490099</v>
      </c>
      <c r="U1080" s="9">
        <f t="shared" si="5"/>
        <v>0.02361350011</v>
      </c>
      <c r="V1080" s="15">
        <f>IFERROR(__xludf.DUMMYFUNCTION("LET(hist, GOOGLEFINANCE(A1080,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rs))))))"),63.13205694648992)</f>
        <v>63.13205695</v>
      </c>
      <c r="W1080" s="16" t="str">
        <f>IFERROR(__xludf.DUMMYFUNCTION("IFERROR(GOOGLEFINANCE(A1080, ""volume"") / GOOGLEFINANCE(A1080, ""volumeavg""), )"),"")</f>
        <v/>
      </c>
      <c r="X1080" s="9">
        <f>IFERROR(__xludf.DUMMYFUNCTION("B1080 * GOOGLEFINANCE(A1080, ""volume"")"),7.6758396E7)</f>
        <v>76758396</v>
      </c>
      <c r="Y1080" s="9">
        <f>IFERROR(__xludf.DUMMYFUNCTION("IFERROR(((B1080 - GOOGLEFINANCE(A1080, ""priceopen"")) / GOOGLEFINANCE(A1080, ""priceopen"")) * GOOGLEFINANCE(A1080, ""volume""), 0)"),543.4415094339622)</f>
        <v>543.4415094</v>
      </c>
    </row>
    <row r="1081">
      <c r="A1081" s="4" t="s">
        <v>2874</v>
      </c>
      <c r="B1081" s="7">
        <f>IFERROR(__xludf.DUMMYFUNCTION("GOOGLEFINANCE(A1081, ""price"")"),205.9)</f>
        <v>205.9</v>
      </c>
      <c r="C1081" s="7">
        <f>IFERROR(__xludf.DUMMYFUNCTION("GOOGLEFINANCE(A1081, ""changepct"")"),-0.3)</f>
        <v>-0.3</v>
      </c>
      <c r="D1081" s="9">
        <f>IFERROR(__xludf.DUMMYFUNCTION("GOOGLEFINANCE(A1081, ""priceopen"")"),207.11)</f>
        <v>207.11</v>
      </c>
      <c r="E1081" s="9">
        <f>IFERROR(__xludf.DUMMYFUNCTION("GOOGLEFINANCE(A1081, ""high"")"),208.76)</f>
        <v>208.76</v>
      </c>
      <c r="F1081" s="9">
        <f>IFERROR(__xludf.DUMMYFUNCTION("GOOGLEFINANCE(A1081, ""low"")"),203.0)</f>
        <v>203</v>
      </c>
      <c r="G1081" s="9">
        <f>IFERROR(__xludf.DUMMYFUNCTION("GOOGLEFINANCE(A1081, ""price"")"),205.9)</f>
        <v>205.9</v>
      </c>
      <c r="H1081" s="9">
        <f>IFERROR(__xludf.DUMMYFUNCTION("MAX(INDEX(GOOGLEFINANCE(A1081, ""high"", TODAY()-30, TODAY()), 0, 2))"),216.8)</f>
        <v>216.8</v>
      </c>
      <c r="I1081" s="9">
        <f>IFERROR(__xludf.DUMMYFUNCTION("MIN(INDEX(GOOGLEFINANCE(A1081, ""low"", TODAY()-30, TODAY()), 0, 2))"),170.24)</f>
        <v>170.24</v>
      </c>
      <c r="J1081" s="9">
        <f>IFERROR(__xludf.DUMMYFUNCTION("GOOGLEFINANCE(A1081, ""high52"")"),216.8)</f>
        <v>216.8</v>
      </c>
      <c r="K1081" s="9">
        <f>IFERROR(__xludf.DUMMYFUNCTION("GOOGLEFINANCE(A1081, ""low52"")"),66.19)</f>
        <v>66.19</v>
      </c>
      <c r="L1081" s="9">
        <f t="shared" si="1"/>
        <v>0.05027675277</v>
      </c>
      <c r="M1081" s="9">
        <f t="shared" si="2"/>
        <v>2.110741804</v>
      </c>
      <c r="N1081" s="9">
        <f t="shared" si="3"/>
        <v>0.02837438424</v>
      </c>
      <c r="O1081" s="9">
        <f t="shared" si="4"/>
        <v>0.7658934708</v>
      </c>
      <c r="P1081" s="9">
        <f>IFERROR(__xludf.DUMMYFUNCTION("GOOGLEFINANCE(A1081, ""pe"")"),62.61)</f>
        <v>62.61</v>
      </c>
      <c r="Q1081" s="9">
        <f>IFERROR(__xludf.DUMMYFUNCTION("IFERROR(GOOGLEFINANCE(A1081, ""volume"") / GOOGLEFINANCE(A1081, ""volumeavg""), 0)"),0.0)</f>
        <v>0</v>
      </c>
      <c r="R1081" s="9">
        <f>IFERROR(__xludf.DUMMYFUNCTION("AVERAGE(INDEX(GOOGLEFINANCE(A1081, ""price"", TODAY()-30, TODAY()), 0, 2))"),198.48565217391308)</f>
        <v>198.4856522</v>
      </c>
      <c r="S1081" s="9">
        <f>IFERROR(__xludf.DUMMYFUNCTION("AVERAGE(INDEX(GOOGLEFINANCE(A1081, ""price"", TODAY()-75, TODAY()), 0, 2))"),190.88094339622643)</f>
        <v>190.8809434</v>
      </c>
      <c r="T1081" s="9">
        <f>IFERROR(__xludf.DUMMYFUNCTION("AVERAGE(INDEX(GOOGLEFINANCE(A1081, ""price"", TODAY()-300, TODAY()), 0, 2))"),136.56455445544563)</f>
        <v>136.5645545</v>
      </c>
      <c r="U1081" s="9">
        <f t="shared" si="5"/>
        <v>0.03735457825</v>
      </c>
      <c r="V1081" s="15">
        <f>IFERROR(__xludf.DUMMYFUNCTION("LET(hist, GOOGLEFINANCE(A1081,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rs))))))"),63.50379156134551)</f>
        <v>63.50379156</v>
      </c>
      <c r="W1081" s="16" t="str">
        <f>IFERROR(__xludf.DUMMYFUNCTION("IFERROR(GOOGLEFINANCE(A1081, ""volume"") / GOOGLEFINANCE(A1081, ""volumeavg""), )"),"")</f>
        <v/>
      </c>
      <c r="X1081" s="9">
        <f>IFERROR(__xludf.DUMMYFUNCTION("B1081 * GOOGLEFINANCE(A1081, ""volume"")"),1.010614852E8)</f>
        <v>101061485.2</v>
      </c>
      <c r="Y1081" s="9">
        <f>IFERROR(__xludf.DUMMYFUNCTION("IFERROR(((B1081 - GOOGLEFINANCE(A1081, ""priceopen"")) / GOOGLEFINANCE(A1081, ""priceopen"")) * GOOGLEFINANCE(A1081, ""volume""), 0)"),-2867.567379653343)</f>
        <v>-2867.56738</v>
      </c>
    </row>
    <row r="1082">
      <c r="A1082" s="4" t="s">
        <v>2875</v>
      </c>
      <c r="B1082" s="7">
        <f>IFERROR(__xludf.DUMMYFUNCTION("GOOGLEFINANCE(A1082, ""price"")"),203.2)</f>
        <v>203.2</v>
      </c>
      <c r="C1082" s="7">
        <f>IFERROR(__xludf.DUMMYFUNCTION("GOOGLEFINANCE(A1082, ""changepct"")"),-2.4)</f>
        <v>-2.4</v>
      </c>
      <c r="D1082" s="9">
        <f>IFERROR(__xludf.DUMMYFUNCTION("GOOGLEFINANCE(A1082, ""priceopen"")"),208.79)</f>
        <v>208.79</v>
      </c>
      <c r="E1082" s="9">
        <f>IFERROR(__xludf.DUMMYFUNCTION("GOOGLEFINANCE(A1082, ""high"")"),208.79)</f>
        <v>208.79</v>
      </c>
      <c r="F1082" s="9">
        <f>IFERROR(__xludf.DUMMYFUNCTION("GOOGLEFINANCE(A1082, ""low"")"),202.5)</f>
        <v>202.5</v>
      </c>
      <c r="G1082" s="9">
        <f>IFERROR(__xludf.DUMMYFUNCTION("GOOGLEFINANCE(A1082, ""price"")"),203.2)</f>
        <v>203.2</v>
      </c>
      <c r="H1082" s="9">
        <f>IFERROR(__xludf.DUMMYFUNCTION("MAX(INDEX(GOOGLEFINANCE(A1082, ""high"", TODAY()-30, TODAY()), 0, 2))"),241.51)</f>
        <v>241.51</v>
      </c>
      <c r="I1082" s="9">
        <f>IFERROR(__xludf.DUMMYFUNCTION("MIN(INDEX(GOOGLEFINANCE(A1082, ""low"", TODAY()-30, TODAY()), 0, 2))"),179.33)</f>
        <v>179.33</v>
      </c>
      <c r="J1082" s="9">
        <f>IFERROR(__xludf.DUMMYFUNCTION("GOOGLEFINANCE(A1082, ""high52"")"),241.51)</f>
        <v>241.51</v>
      </c>
      <c r="K1082" s="9">
        <f>IFERROR(__xludf.DUMMYFUNCTION("GOOGLEFINANCE(A1082, ""low52"")"),78.17)</f>
        <v>78.17</v>
      </c>
      <c r="L1082" s="9">
        <f t="shared" si="1"/>
        <v>0.158626972</v>
      </c>
      <c r="M1082" s="9">
        <f t="shared" si="2"/>
        <v>1.599462709</v>
      </c>
      <c r="N1082" s="9">
        <f t="shared" si="3"/>
        <v>0.0310617284</v>
      </c>
      <c r="O1082" s="9">
        <f t="shared" si="4"/>
        <v>0.3838854937</v>
      </c>
      <c r="P1082" s="9">
        <f>IFERROR(__xludf.DUMMYFUNCTION("GOOGLEFINANCE(A1082, ""pe"")"),16.01)</f>
        <v>16.01</v>
      </c>
      <c r="Q1082" s="9">
        <f>IFERROR(__xludf.DUMMYFUNCTION("IFERROR(GOOGLEFINANCE(A1082, ""volume"") / GOOGLEFINANCE(A1082, ""volumeavg""), 0)"),0.0)</f>
        <v>0</v>
      </c>
      <c r="R1082" s="9">
        <f>IFERROR(__xludf.DUMMYFUNCTION("AVERAGE(INDEX(GOOGLEFINANCE(A1082, ""price"", TODAY()-30, TODAY()), 0, 2))"),206.11173913043476)</f>
        <v>206.1117391</v>
      </c>
      <c r="S1082" s="9">
        <f>IFERROR(__xludf.DUMMYFUNCTION("AVERAGE(INDEX(GOOGLEFINANCE(A1082, ""price"", TODAY()-75, TODAY()), 0, 2))"),191.03188679245287)</f>
        <v>191.0318868</v>
      </c>
      <c r="T1082" s="9">
        <f>IFERROR(__xludf.DUMMYFUNCTION("AVERAGE(INDEX(GOOGLEFINANCE(A1082, ""price"", TODAY()-300, TODAY()), 0, 2))"),131.94301980198009)</f>
        <v>131.9430198</v>
      </c>
      <c r="U1082" s="9">
        <f t="shared" si="5"/>
        <v>-0.01412699317</v>
      </c>
      <c r="V1082" s="15">
        <f>IFERROR(__xludf.DUMMYFUNCTION("LET(hist, GOOGLEFINANCE(A1082,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rs))))))"),48.37263691288248)</f>
        <v>48.37263691</v>
      </c>
      <c r="W1082" s="16" t="str">
        <f>IFERROR(__xludf.DUMMYFUNCTION("IFERROR(GOOGLEFINANCE(A1082, ""volume"") / GOOGLEFINANCE(A1082, ""volumeavg""), )"),"")</f>
        <v/>
      </c>
      <c r="X1082" s="9">
        <f>IFERROR(__xludf.DUMMYFUNCTION("B1082 * GOOGLEFINANCE(A1082, ""volume"")"),3.91828528E7)</f>
        <v>39182852.8</v>
      </c>
      <c r="Y1082" s="9">
        <f>IFERROR(__xludf.DUMMYFUNCTION("IFERROR(((B1082 - GOOGLEFINANCE(A1082, ""priceopen"")) / GOOGLEFINANCE(A1082, ""priceopen"")) * GOOGLEFINANCE(A1082, ""volume""), 0)"),-5162.671152832993)</f>
        <v>-5162.671153</v>
      </c>
    </row>
    <row r="1083">
      <c r="A1083" s="4" t="s">
        <v>2876</v>
      </c>
      <c r="B1083" s="7">
        <f>IFERROR(__xludf.DUMMYFUNCTION("GOOGLEFINANCE(A1083, ""price"")"),875.0)</f>
        <v>875</v>
      </c>
      <c r="C1083" s="7">
        <f>IFERROR(__xludf.DUMMYFUNCTION("GOOGLEFINANCE(A1083, ""changepct"")"),0.56)</f>
        <v>0.56</v>
      </c>
      <c r="D1083" s="9">
        <f>IFERROR(__xludf.DUMMYFUNCTION("GOOGLEFINANCE(A1083, ""priceopen"")"),876.05)</f>
        <v>876.05</v>
      </c>
      <c r="E1083" s="9">
        <f>IFERROR(__xludf.DUMMYFUNCTION("GOOGLEFINANCE(A1083, ""high"")"),878.15)</f>
        <v>878.15</v>
      </c>
      <c r="F1083" s="9">
        <f>IFERROR(__xludf.DUMMYFUNCTION("GOOGLEFINANCE(A1083, ""low"")"),862.4)</f>
        <v>862.4</v>
      </c>
      <c r="G1083" s="9">
        <f>IFERROR(__xludf.DUMMYFUNCTION("GOOGLEFINANCE(A1083, ""price"")"),875.0)</f>
        <v>875</v>
      </c>
      <c r="H1083" s="9">
        <f>IFERROR(__xludf.DUMMYFUNCTION("MAX(INDEX(GOOGLEFINANCE(A1083, ""high"", TODAY()-30, TODAY()), 0, 2))"),1009.0)</f>
        <v>1009</v>
      </c>
      <c r="I1083" s="9">
        <f>IFERROR(__xludf.DUMMYFUNCTION("MIN(INDEX(GOOGLEFINANCE(A1083, ""low"", TODAY()-30, TODAY()), 0, 2))"),853.05)</f>
        <v>853.05</v>
      </c>
      <c r="J1083" s="9">
        <f>IFERROR(__xludf.DUMMYFUNCTION("GOOGLEFINANCE(A1083, ""high52"")"),1264.5)</f>
        <v>1264.5</v>
      </c>
      <c r="K1083" s="9">
        <f>IFERROR(__xludf.DUMMYFUNCTION("GOOGLEFINANCE(A1083, ""low52"")"),800.05)</f>
        <v>800.05</v>
      </c>
      <c r="L1083" s="9">
        <f t="shared" si="1"/>
        <v>0.3080268881</v>
      </c>
      <c r="M1083" s="9">
        <f t="shared" si="2"/>
        <v>0.0936816449</v>
      </c>
      <c r="N1083" s="9">
        <f t="shared" si="3"/>
        <v>0.01826298701</v>
      </c>
      <c r="O1083" s="9">
        <f t="shared" si="4"/>
        <v>0.1407502405</v>
      </c>
      <c r="P1083" s="9">
        <f>IFERROR(__xludf.DUMMYFUNCTION("GOOGLEFINANCE(A1083, ""pe"")"),25.33)</f>
        <v>25.33</v>
      </c>
      <c r="Q1083" s="9">
        <f>IFERROR(__xludf.DUMMYFUNCTION("IFERROR(GOOGLEFINANCE(A1083, ""volume"") / GOOGLEFINANCE(A1083, ""volumeavg""), 0)"),0.0)</f>
        <v>0</v>
      </c>
      <c r="R1083" s="9">
        <f>IFERROR(__xludf.DUMMYFUNCTION("AVERAGE(INDEX(GOOGLEFINANCE(A1083, ""price"", TODAY()-30, TODAY()), 0, 2))"),900.8130434782609)</f>
        <v>900.8130435</v>
      </c>
      <c r="S1083" s="9">
        <f>IFERROR(__xludf.DUMMYFUNCTION("AVERAGE(INDEX(GOOGLEFINANCE(A1083, ""price"", TODAY()-75, TODAY()), 0, 2))"),888.684905660377)</f>
        <v>888.6849057</v>
      </c>
      <c r="T1083" s="9">
        <f>IFERROR(__xludf.DUMMYFUNCTION("AVERAGE(INDEX(GOOGLEFINANCE(A1083, ""price"", TODAY()-300, TODAY()), 0, 2))"),962.083168316832)</f>
        <v>962.0831683</v>
      </c>
      <c r="U1083" s="9">
        <f t="shared" si="5"/>
        <v>-0.02865527277</v>
      </c>
      <c r="V1083" s="15">
        <f>IFERROR(__xludf.DUMMYFUNCTION("LET(hist, GOOGLEFINANCE(A1083,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rs))))))"),54.726735598227464)</f>
        <v>54.7267356</v>
      </c>
      <c r="W1083" s="16" t="str">
        <f>IFERROR(__xludf.DUMMYFUNCTION("IFERROR(GOOGLEFINANCE(A1083, ""volume"") / GOOGLEFINANCE(A1083, ""volumeavg""), )"),"")</f>
        <v/>
      </c>
      <c r="X1083" s="9">
        <f>IFERROR(__xludf.DUMMYFUNCTION("B1083 * GOOGLEFINANCE(A1083, ""volume"")"),7.1302875E7)</f>
        <v>71302875</v>
      </c>
      <c r="Y1083" s="9">
        <f>IFERROR(__xludf.DUMMYFUNCTION("IFERROR(((B1083 - GOOGLEFINANCE(A1083, ""priceopen"")) / GOOGLEFINANCE(A1083, ""priceopen"")) * GOOGLEFINANCE(A1083, ""volume""), 0)"),-97.66959648421471)</f>
        <v>-97.66959648</v>
      </c>
    </row>
    <row r="1084">
      <c r="A1084" s="4" t="s">
        <v>2877</v>
      </c>
      <c r="B1084" s="7">
        <f>IFERROR(__xludf.DUMMYFUNCTION("GOOGLEFINANCE(A1084, ""price"")"),2127.0)</f>
        <v>2127</v>
      </c>
      <c r="C1084" s="7">
        <f>IFERROR(__xludf.DUMMYFUNCTION("GOOGLEFINANCE(A1084, ""changepct"")"),-2.47)</f>
        <v>-2.47</v>
      </c>
      <c r="D1084" s="9">
        <f>IFERROR(__xludf.DUMMYFUNCTION("GOOGLEFINANCE(A1084, ""priceopen"")"),2195.0)</f>
        <v>2195</v>
      </c>
      <c r="E1084" s="9">
        <f>IFERROR(__xludf.DUMMYFUNCTION("GOOGLEFINANCE(A1084, ""high"")"),2195.0)</f>
        <v>2195</v>
      </c>
      <c r="F1084" s="9">
        <f>IFERROR(__xludf.DUMMYFUNCTION("GOOGLEFINANCE(A1084, ""low"")"),2105.8)</f>
        <v>2105.8</v>
      </c>
      <c r="G1084" s="9">
        <f>IFERROR(__xludf.DUMMYFUNCTION("GOOGLEFINANCE(A1084, ""price"")"),2127.0)</f>
        <v>2127</v>
      </c>
      <c r="H1084" s="9">
        <f>IFERROR(__xludf.DUMMYFUNCTION("MAX(INDEX(GOOGLEFINANCE(A1084, ""high"", TODAY()-30, TODAY()), 0, 2))"),2442.0)</f>
        <v>2442</v>
      </c>
      <c r="I1084" s="9">
        <f>IFERROR(__xludf.DUMMYFUNCTION("MIN(INDEX(GOOGLEFINANCE(A1084, ""low"", TODAY()-30, TODAY()), 0, 2))"),2050.0)</f>
        <v>2050</v>
      </c>
      <c r="J1084" s="9">
        <f>IFERROR(__xludf.DUMMYFUNCTION("GOOGLEFINANCE(A1084, ""high52"")"),2485.0)</f>
        <v>2485</v>
      </c>
      <c r="K1084" s="9">
        <f>IFERROR(__xludf.DUMMYFUNCTION("GOOGLEFINANCE(A1084, ""low52"")"),1351.0)</f>
        <v>1351</v>
      </c>
      <c r="L1084" s="9">
        <f t="shared" si="1"/>
        <v>0.1440643863</v>
      </c>
      <c r="M1084" s="9">
        <f t="shared" si="2"/>
        <v>0.5743893412</v>
      </c>
      <c r="N1084" s="9">
        <f t="shared" si="3"/>
        <v>0.0423591984</v>
      </c>
      <c r="O1084" s="9">
        <f t="shared" si="4"/>
        <v>0.1964285714</v>
      </c>
      <c r="P1084" s="9">
        <f>IFERROR(__xludf.DUMMYFUNCTION("GOOGLEFINANCE(A1084, ""pe"")"),39.82)</f>
        <v>39.82</v>
      </c>
      <c r="Q1084" s="9">
        <f>IFERROR(__xludf.DUMMYFUNCTION("IFERROR(GOOGLEFINANCE(A1084, ""volume"") / GOOGLEFINANCE(A1084, ""volumeavg""), 0)"),0.0)</f>
        <v>0</v>
      </c>
      <c r="R1084" s="9">
        <f>IFERROR(__xludf.DUMMYFUNCTION("AVERAGE(INDEX(GOOGLEFINANCE(A1084, ""price"", TODAY()-30, TODAY()), 0, 2))"),2227.1173913043476)</f>
        <v>2227.117391</v>
      </c>
      <c r="S1084" s="9">
        <f>IFERROR(__xludf.DUMMYFUNCTION("AVERAGE(INDEX(GOOGLEFINANCE(A1084, ""price"", TODAY()-75, TODAY()), 0, 2))"),2235.754716981132)</f>
        <v>2235.754717</v>
      </c>
      <c r="T1084" s="9">
        <f>IFERROR(__xludf.DUMMYFUNCTION("AVERAGE(INDEX(GOOGLEFINANCE(A1084, ""price"", TODAY()-300, TODAY()), 0, 2))"),1944.2181159420297)</f>
        <v>1944.218116</v>
      </c>
      <c r="U1084" s="9">
        <f t="shared" si="5"/>
        <v>-0.04495380068</v>
      </c>
      <c r="V1084" s="15">
        <f>IFERROR(__xludf.DUMMYFUNCTION("LET(hist, GOOGLEFINANCE(A1084,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rs))))))"),41.16879350348026)</f>
        <v>41.1687935</v>
      </c>
      <c r="W1084" s="16" t="str">
        <f>IFERROR(__xludf.DUMMYFUNCTION("IFERROR(GOOGLEFINANCE(A1084, ""volume"") / GOOGLEFINANCE(A1084, ""volumeavg""), )"),"")</f>
        <v/>
      </c>
      <c r="X1084" s="9">
        <f>IFERROR(__xludf.DUMMYFUNCTION("B1084 * GOOGLEFINANCE(A1084, ""volume"")"),8.4937491E7)</f>
        <v>84937491</v>
      </c>
      <c r="Y1084" s="9">
        <f>IFERROR(__xludf.DUMMYFUNCTION("IFERROR(((B1084 - GOOGLEFINANCE(A1084, ""priceopen"")) / GOOGLEFINANCE(A1084, ""priceopen"")) * GOOGLEFINANCE(A1084, ""volume""), 0)"),-1237.1043280182232)</f>
        <v>-1237.104328</v>
      </c>
    </row>
    <row r="1085">
      <c r="A1085" s="4" t="s">
        <v>2878</v>
      </c>
      <c r="B1085" s="7">
        <f>IFERROR(__xludf.DUMMYFUNCTION("GOOGLEFINANCE(A1085, ""price"")"),37.76)</f>
        <v>37.76</v>
      </c>
      <c r="C1085" s="7">
        <f>IFERROR(__xludf.DUMMYFUNCTION("GOOGLEFINANCE(A1085, ""changepct"")"),-1.85)</f>
        <v>-1.85</v>
      </c>
      <c r="D1085" s="9">
        <f>IFERROR(__xludf.DUMMYFUNCTION("GOOGLEFINANCE(A1085, ""priceopen"")"),38.47)</f>
        <v>38.47</v>
      </c>
      <c r="E1085" s="9">
        <f>IFERROR(__xludf.DUMMYFUNCTION("GOOGLEFINANCE(A1085, ""high"")"),39.0)</f>
        <v>39</v>
      </c>
      <c r="F1085" s="9">
        <f>IFERROR(__xludf.DUMMYFUNCTION("GOOGLEFINANCE(A1085, ""low"")"),36.7)</f>
        <v>36.7</v>
      </c>
      <c r="G1085" s="9">
        <f>IFERROR(__xludf.DUMMYFUNCTION("GOOGLEFINANCE(A1085, ""price"")"),37.76)</f>
        <v>37.76</v>
      </c>
      <c r="H1085" s="9">
        <f>IFERROR(__xludf.DUMMYFUNCTION("MAX(INDEX(GOOGLEFINANCE(A1085, ""high"", TODAY()-30, TODAY()), 0, 2))"),41.0)</f>
        <v>41</v>
      </c>
      <c r="I1085" s="9">
        <f>IFERROR(__xludf.DUMMYFUNCTION("MIN(INDEX(GOOGLEFINANCE(A1085, ""low"", TODAY()-30, TODAY()), 0, 2))"),35.36)</f>
        <v>35.36</v>
      </c>
      <c r="J1085" s="9">
        <f>IFERROR(__xludf.DUMMYFUNCTION("GOOGLEFINANCE(A1085, ""high52"")"),124.7)</f>
        <v>124.7</v>
      </c>
      <c r="K1085" s="9">
        <f>IFERROR(__xludf.DUMMYFUNCTION("GOOGLEFINANCE(A1085, ""low52"")"),31.05)</f>
        <v>31.05</v>
      </c>
      <c r="L1085" s="9">
        <f t="shared" si="1"/>
        <v>0.6971932638</v>
      </c>
      <c r="M1085" s="9">
        <f t="shared" si="2"/>
        <v>0.2161030596</v>
      </c>
      <c r="N1085" s="9">
        <f t="shared" si="3"/>
        <v>0.06267029973</v>
      </c>
      <c r="O1085" s="9">
        <f t="shared" si="4"/>
        <v>0.4255319149</v>
      </c>
      <c r="P1085" s="9">
        <f>IFERROR(__xludf.DUMMYFUNCTION("GOOGLEFINANCE(A1085, ""pe"")"),83.91)</f>
        <v>83.91</v>
      </c>
      <c r="Q1085" s="9">
        <f>IFERROR(__xludf.DUMMYFUNCTION("IFERROR(GOOGLEFINANCE(A1085, ""volume"") / GOOGLEFINANCE(A1085, ""volumeavg""), 0)"),0.0)</f>
        <v>0</v>
      </c>
      <c r="R1085" s="9">
        <f>IFERROR(__xludf.DUMMYFUNCTION("AVERAGE(INDEX(GOOGLEFINANCE(A1085, ""price"", TODAY()-30, TODAY()), 0, 2))"),38.339999999999996)</f>
        <v>38.34</v>
      </c>
      <c r="S1085" s="9">
        <f>IFERROR(__xludf.DUMMYFUNCTION("AVERAGE(INDEX(GOOGLEFINANCE(A1085, ""price"", TODAY()-75, TODAY()), 0, 2))"),37.09471698113208)</f>
        <v>37.09471698</v>
      </c>
      <c r="T1085" s="9">
        <f>IFERROR(__xludf.DUMMYFUNCTION("AVERAGE(INDEX(GOOGLEFINANCE(A1085, ""price"", TODAY()-300, TODAY()), 0, 2))"),44.78138613861388)</f>
        <v>44.78138614</v>
      </c>
      <c r="U1085" s="9">
        <f t="shared" si="5"/>
        <v>-0.01512780386</v>
      </c>
      <c r="V1085" s="15">
        <f>IFERROR(__xludf.DUMMYFUNCTION("LET(hist, GOOGLEFINANCE(A1085,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rs))))))"),43.86750223813785)</f>
        <v>43.86750224</v>
      </c>
      <c r="W1085" s="16" t="str">
        <f>IFERROR(__xludf.DUMMYFUNCTION("IFERROR(GOOGLEFINANCE(A1085, ""volume"") / GOOGLEFINANCE(A1085, ""volumeavg""), )"),"")</f>
        <v/>
      </c>
      <c r="X1085" s="9">
        <f>IFERROR(__xludf.DUMMYFUNCTION("B1085 * GOOGLEFINANCE(A1085, ""volume"")"),3.572911616E7)</f>
        <v>35729116.16</v>
      </c>
      <c r="Y1085" s="9">
        <f>IFERROR(__xludf.DUMMYFUNCTION("IFERROR(((B1085 - GOOGLEFINANCE(A1085, ""priceopen"")) / GOOGLEFINANCE(A1085, ""priceopen"")) * GOOGLEFINANCE(A1085, ""volume""), 0)"),-17463.305432804806)</f>
        <v>-17463.30543</v>
      </c>
    </row>
    <row r="1086">
      <c r="A1086" s="4" t="s">
        <v>2879</v>
      </c>
      <c r="B1086" s="7">
        <f>IFERROR(__xludf.DUMMYFUNCTION("GOOGLEFINANCE(A1086, ""price"")"),420.0)</f>
        <v>420</v>
      </c>
      <c r="C1086" s="7">
        <f>IFERROR(__xludf.DUMMYFUNCTION("GOOGLEFINANCE(A1086, ""changepct"")"),2.45)</f>
        <v>2.45</v>
      </c>
      <c r="D1086" s="9">
        <f>IFERROR(__xludf.DUMMYFUNCTION("GOOGLEFINANCE(A1086, ""priceopen"")"),409.25)</f>
        <v>409.25</v>
      </c>
      <c r="E1086" s="9">
        <f>IFERROR(__xludf.DUMMYFUNCTION("GOOGLEFINANCE(A1086, ""high"")"),436.0)</f>
        <v>436</v>
      </c>
      <c r="F1086" s="9">
        <f>IFERROR(__xludf.DUMMYFUNCTION("GOOGLEFINANCE(A1086, ""low"")"),405.0)</f>
        <v>405</v>
      </c>
      <c r="G1086" s="9">
        <f>IFERROR(__xludf.DUMMYFUNCTION("GOOGLEFINANCE(A1086, ""price"")"),420.0)</f>
        <v>420</v>
      </c>
      <c r="H1086" s="9">
        <f>IFERROR(__xludf.DUMMYFUNCTION("MAX(INDEX(GOOGLEFINANCE(A1086, ""high"", TODAY()-30, TODAY()), 0, 2))"),451.6)</f>
        <v>451.6</v>
      </c>
      <c r="I1086" s="9">
        <f>IFERROR(__xludf.DUMMYFUNCTION("MIN(INDEX(GOOGLEFINANCE(A1086, ""low"", TODAY()-30, TODAY()), 0, 2))"),380.7)</f>
        <v>380.7</v>
      </c>
      <c r="J1086" s="9">
        <f>IFERROR(__xludf.DUMMYFUNCTION("GOOGLEFINANCE(A1086, ""high52"")"),451.6)</f>
        <v>451.6</v>
      </c>
      <c r="K1086" s="9">
        <f>IFERROR(__xludf.DUMMYFUNCTION("GOOGLEFINANCE(A1086, ""low52"")"),219.9)</f>
        <v>219.9</v>
      </c>
      <c r="L1086" s="9">
        <f t="shared" si="1"/>
        <v>0.06997342781</v>
      </c>
      <c r="M1086" s="9">
        <f t="shared" si="2"/>
        <v>0.9099590723</v>
      </c>
      <c r="N1086" s="9">
        <f t="shared" si="3"/>
        <v>0.07654320988</v>
      </c>
      <c r="O1086" s="9">
        <f t="shared" si="4"/>
        <v>0.5543018336</v>
      </c>
      <c r="P1086" s="9">
        <f>IFERROR(__xludf.DUMMYFUNCTION("GOOGLEFINANCE(A1086, ""pe"")"),24.9)</f>
        <v>24.9</v>
      </c>
      <c r="Q1086" s="9">
        <f>IFERROR(__xludf.DUMMYFUNCTION("IFERROR(GOOGLEFINANCE(A1086, ""volume"") / GOOGLEFINANCE(A1086, ""volumeavg""), 0)"),0.0)</f>
        <v>0</v>
      </c>
      <c r="R1086" s="9">
        <f>IFERROR(__xludf.DUMMYFUNCTION("AVERAGE(INDEX(GOOGLEFINANCE(A1086, ""price"", TODAY()-30, TODAY()), 0, 2))"),408.61739130434785)</f>
        <v>408.6173913</v>
      </c>
      <c r="S1086" s="9">
        <f>IFERROR(__xludf.DUMMYFUNCTION("AVERAGE(INDEX(GOOGLEFINANCE(A1086, ""price"", TODAY()-75, TODAY()), 0, 2))"),391.4094339622641)</f>
        <v>391.409434</v>
      </c>
      <c r="T1086" s="9">
        <f>IFERROR(__xludf.DUMMYFUNCTION("AVERAGE(INDEX(GOOGLEFINANCE(A1086, ""price"", TODAY()-300, TODAY()), 0, 2))"),308.4100000000001)</f>
        <v>308.41</v>
      </c>
      <c r="U1086" s="9">
        <f t="shared" si="5"/>
        <v>0.02785639803</v>
      </c>
      <c r="V1086" s="15">
        <f>IFERROR(__xludf.DUMMYFUNCTION("LET(hist, GOOGLEFINANCE(A1086,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rs))))))"),60.542598762494066)</f>
        <v>60.54259876</v>
      </c>
      <c r="W1086" s="16" t="str">
        <f>IFERROR(__xludf.DUMMYFUNCTION("IFERROR(GOOGLEFINANCE(A1086, ""volume"") / GOOGLEFINANCE(A1086, ""volumeavg""), )"),"")</f>
        <v/>
      </c>
      <c r="X1086" s="9">
        <f>IFERROR(__xludf.DUMMYFUNCTION("B1086 * GOOGLEFINANCE(A1086, ""volume"")"),1.1489436E8)</f>
        <v>114894360</v>
      </c>
      <c r="Y1086" s="9">
        <f>IFERROR(__xludf.DUMMYFUNCTION("IFERROR(((B1086 - GOOGLEFINANCE(A1086, ""priceopen"")) / GOOGLEFINANCE(A1086, ""priceopen"")) * GOOGLEFINANCE(A1086, ""volume""), 0)"),7185.701893708002)</f>
        <v>7185.701894</v>
      </c>
    </row>
    <row r="1087">
      <c r="A1087" s="4" t="s">
        <v>2880</v>
      </c>
      <c r="B1087" s="7">
        <f>IFERROR(__xludf.DUMMYFUNCTION("GOOGLEFINANCE(A1087, ""price"")"),1477.0)</f>
        <v>1477</v>
      </c>
      <c r="C1087" s="7">
        <f>IFERROR(__xludf.DUMMYFUNCTION("GOOGLEFINANCE(A1087, ""changepct"")"),-1.9)</f>
        <v>-1.9</v>
      </c>
      <c r="D1087" s="9">
        <f>IFERROR(__xludf.DUMMYFUNCTION("GOOGLEFINANCE(A1087, ""priceopen"")"),1505.6)</f>
        <v>1505.6</v>
      </c>
      <c r="E1087" s="9">
        <f>IFERROR(__xludf.DUMMYFUNCTION("GOOGLEFINANCE(A1087, ""high"")"),1510.3)</f>
        <v>1510.3</v>
      </c>
      <c r="F1087" s="9">
        <f>IFERROR(__xludf.DUMMYFUNCTION("GOOGLEFINANCE(A1087, ""low"")"),1470.0)</f>
        <v>1470</v>
      </c>
      <c r="G1087" s="9">
        <f>IFERROR(__xludf.DUMMYFUNCTION("GOOGLEFINANCE(A1087, ""price"")"),1477.0)</f>
        <v>1477</v>
      </c>
      <c r="H1087" s="9">
        <f>IFERROR(__xludf.DUMMYFUNCTION("MAX(INDEX(GOOGLEFINANCE(A1087, ""high"", TODAY()-30, TODAY()), 0, 2))"),1597.0)</f>
        <v>1597</v>
      </c>
      <c r="I1087" s="9">
        <f>IFERROR(__xludf.DUMMYFUNCTION("MIN(INDEX(GOOGLEFINANCE(A1087, ""low"", TODAY()-30, TODAY()), 0, 2))"),1302.3)</f>
        <v>1302.3</v>
      </c>
      <c r="J1087" s="9">
        <f>IFERROR(__xludf.DUMMYFUNCTION("GOOGLEFINANCE(A1087, ""high52"")"),1597.0)</f>
        <v>1597</v>
      </c>
      <c r="K1087" s="9">
        <f>IFERROR(__xludf.DUMMYFUNCTION("GOOGLEFINANCE(A1087, ""low52"")"),848.0)</f>
        <v>848</v>
      </c>
      <c r="L1087" s="9">
        <f t="shared" si="1"/>
        <v>0.07514088917</v>
      </c>
      <c r="M1087" s="9">
        <f t="shared" si="2"/>
        <v>0.741745283</v>
      </c>
      <c r="N1087" s="9">
        <f t="shared" si="3"/>
        <v>0.02741496599</v>
      </c>
      <c r="O1087" s="9">
        <f t="shared" si="4"/>
        <v>0.5928062436</v>
      </c>
      <c r="P1087" s="9">
        <f>IFERROR(__xludf.DUMMYFUNCTION("GOOGLEFINANCE(A1087, ""pe"")"),22.68)</f>
        <v>22.68</v>
      </c>
      <c r="Q1087" s="9">
        <f>IFERROR(__xludf.DUMMYFUNCTION("IFERROR(GOOGLEFINANCE(A1087, ""volume"") / GOOGLEFINANCE(A1087, ""volumeavg""), 0)"),0.0)</f>
        <v>0</v>
      </c>
      <c r="R1087" s="9">
        <f>IFERROR(__xludf.DUMMYFUNCTION("AVERAGE(INDEX(GOOGLEFINANCE(A1087, ""price"", TODAY()-30, TODAY()), 0, 2))"),1455.0304347826086)</f>
        <v>1455.030435</v>
      </c>
      <c r="S1087" s="9">
        <f>IFERROR(__xludf.DUMMYFUNCTION("AVERAGE(INDEX(GOOGLEFINANCE(A1087, ""price"", TODAY()-75, TODAY()), 0, 2))"),1314.169811320755)</f>
        <v>1314.169811</v>
      </c>
      <c r="T1087" s="9">
        <f>IFERROR(__xludf.DUMMYFUNCTION("AVERAGE(INDEX(GOOGLEFINANCE(A1087, ""price"", TODAY()-300, TODAY()), 0, 2))"),1111.5009900990096)</f>
        <v>1111.50099</v>
      </c>
      <c r="U1087" s="9">
        <f t="shared" si="5"/>
        <v>0.01509904171</v>
      </c>
      <c r="V1087" s="15">
        <f>IFERROR(__xludf.DUMMYFUNCTION("LET(hist, GOOGLEFINANCE(A1087,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rs))))))"),51.90294957183634)</f>
        <v>51.90294957</v>
      </c>
      <c r="W1087" s="16" t="str">
        <f>IFERROR(__xludf.DUMMYFUNCTION("IFERROR(GOOGLEFINANCE(A1087, ""volume"") / GOOGLEFINANCE(A1087, ""volumeavg""), )"),"")</f>
        <v/>
      </c>
      <c r="X1087" s="9">
        <f>IFERROR(__xludf.DUMMYFUNCTION("B1087 * GOOGLEFINANCE(A1087, ""volume"")"),2.1496258E7)</f>
        <v>21496258</v>
      </c>
      <c r="Y1087" s="9">
        <f>IFERROR(__xludf.DUMMYFUNCTION("IFERROR(((B1087 - GOOGLEFINANCE(A1087, ""priceopen"")) / GOOGLEFINANCE(A1087, ""priceopen"")) * GOOGLEFINANCE(A1087, ""volume""), 0)"),-276.4641339001054)</f>
        <v>-276.4641339</v>
      </c>
    </row>
    <row r="1088">
      <c r="A1088" s="4" t="s">
        <v>2881</v>
      </c>
      <c r="B1088" s="7">
        <f>IFERROR(__xludf.DUMMYFUNCTION("GOOGLEFINANCE(A1088, ""price"")"),520.3)</f>
        <v>520.3</v>
      </c>
      <c r="C1088" s="7">
        <f>IFERROR(__xludf.DUMMYFUNCTION("GOOGLEFINANCE(A1088, ""changepct"")"),0.33)</f>
        <v>0.33</v>
      </c>
      <c r="D1088" s="9">
        <f>IFERROR(__xludf.DUMMYFUNCTION("GOOGLEFINANCE(A1088, ""priceopen"")"),522.35)</f>
        <v>522.35</v>
      </c>
      <c r="E1088" s="9">
        <f>IFERROR(__xludf.DUMMYFUNCTION("GOOGLEFINANCE(A1088, ""high"")"),524.95)</f>
        <v>524.95</v>
      </c>
      <c r="F1088" s="9">
        <f>IFERROR(__xludf.DUMMYFUNCTION("GOOGLEFINANCE(A1088, ""low"")"),515.0)</f>
        <v>515</v>
      </c>
      <c r="G1088" s="9">
        <f>IFERROR(__xludf.DUMMYFUNCTION("GOOGLEFINANCE(A1088, ""price"")"),520.3)</f>
        <v>520.3</v>
      </c>
      <c r="H1088" s="9">
        <f>IFERROR(__xludf.DUMMYFUNCTION("MAX(INDEX(GOOGLEFINANCE(A1088, ""high"", TODAY()-30, TODAY()), 0, 2))"),563.95)</f>
        <v>563.95</v>
      </c>
      <c r="I1088" s="9">
        <f>IFERROR(__xludf.DUMMYFUNCTION("MIN(INDEX(GOOGLEFINANCE(A1088, ""low"", TODAY()-30, TODAY()), 0, 2))"),468.6)</f>
        <v>468.6</v>
      </c>
      <c r="J1088" s="9">
        <f>IFERROR(__xludf.DUMMYFUNCTION("GOOGLEFINANCE(A1088, ""high52"")"),563.95)</f>
        <v>563.95</v>
      </c>
      <c r="K1088" s="9">
        <f>IFERROR(__xludf.DUMMYFUNCTION("GOOGLEFINANCE(A1088, ""low52"")"),305.55)</f>
        <v>305.55</v>
      </c>
      <c r="L1088" s="9">
        <f t="shared" si="1"/>
        <v>0.07740047877</v>
      </c>
      <c r="M1088" s="9">
        <f t="shared" si="2"/>
        <v>0.7028309606</v>
      </c>
      <c r="N1088" s="9">
        <f t="shared" si="3"/>
        <v>0.01932038835</v>
      </c>
      <c r="O1088" s="9">
        <f t="shared" si="4"/>
        <v>0.5422128998</v>
      </c>
      <c r="P1088" s="9">
        <f>IFERROR(__xludf.DUMMYFUNCTION("GOOGLEFINANCE(A1088, ""pe"")"),33.18)</f>
        <v>33.18</v>
      </c>
      <c r="Q1088" s="9">
        <f>IFERROR(__xludf.DUMMYFUNCTION("IFERROR(GOOGLEFINANCE(A1088, ""volume"") / GOOGLEFINANCE(A1088, ""volumeavg""), 0)"),0.0)</f>
        <v>0</v>
      </c>
      <c r="R1088" s="9">
        <f>IFERROR(__xludf.DUMMYFUNCTION("AVERAGE(INDEX(GOOGLEFINANCE(A1088, ""price"", TODAY()-30, TODAY()), 0, 2))"),503.1304347826088)</f>
        <v>503.1304348</v>
      </c>
      <c r="S1088" s="9">
        <f>IFERROR(__xludf.DUMMYFUNCTION("AVERAGE(INDEX(GOOGLEFINANCE(A1088, ""price"", TODAY()-75, TODAY()), 0, 2))"),470.61415094339617)</f>
        <v>470.6141509</v>
      </c>
      <c r="T1088" s="9">
        <f>IFERROR(__xludf.DUMMYFUNCTION("AVERAGE(INDEX(GOOGLEFINANCE(A1088, ""price"", TODAY()-300, TODAY()), 0, 2))"),441.6403465346534)</f>
        <v>441.6403465</v>
      </c>
      <c r="U1088" s="9">
        <f t="shared" si="5"/>
        <v>0.03412547529</v>
      </c>
      <c r="V1088" s="15">
        <f>IFERROR(__xludf.DUMMYFUNCTION("LET(hist, GOOGLEFINANCE(A1088,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rs))))))"),55.0794126460893)</f>
        <v>55.07941265</v>
      </c>
      <c r="W1088" s="16" t="str">
        <f>IFERROR(__xludf.DUMMYFUNCTION("IFERROR(GOOGLEFINANCE(A1088, ""volume"") / GOOGLEFINANCE(A1088, ""volumeavg""), )"),"")</f>
        <v/>
      </c>
      <c r="X1088" s="9">
        <f>IFERROR(__xludf.DUMMYFUNCTION("B1088 * GOOGLEFINANCE(A1088, ""volume"")"),2.95129769E7)</f>
        <v>29512976.9</v>
      </c>
      <c r="Y1088" s="9">
        <f>IFERROR(__xludf.DUMMYFUNCTION("IFERROR(((B1088 - GOOGLEFINANCE(A1088, ""priceopen"")) / GOOGLEFINANCE(A1088, ""priceopen"")) * GOOGLEFINANCE(A1088, ""volume""), 0)"),-222.61347755337198)</f>
        <v>-222.6134776</v>
      </c>
    </row>
    <row r="1089">
      <c r="A1089" s="4" t="s">
        <v>2882</v>
      </c>
      <c r="B1089" s="7">
        <f>IFERROR(__xludf.DUMMYFUNCTION("GOOGLEFINANCE(A1089, ""price"")"),115.98)</f>
        <v>115.98</v>
      </c>
      <c r="C1089" s="7">
        <f>IFERROR(__xludf.DUMMYFUNCTION("GOOGLEFINANCE(A1089, ""changepct"")"),-0.11)</f>
        <v>-0.11</v>
      </c>
      <c r="D1089" s="9">
        <f>IFERROR(__xludf.DUMMYFUNCTION("GOOGLEFINANCE(A1089, ""priceopen"")"),117.0)</f>
        <v>117</v>
      </c>
      <c r="E1089" s="9">
        <f>IFERROR(__xludf.DUMMYFUNCTION("GOOGLEFINANCE(A1089, ""high"")"),117.3)</f>
        <v>117.3</v>
      </c>
      <c r="F1089" s="9">
        <f>IFERROR(__xludf.DUMMYFUNCTION("GOOGLEFINANCE(A1089, ""low"")"),115.7)</f>
        <v>115.7</v>
      </c>
      <c r="G1089" s="9">
        <f>IFERROR(__xludf.DUMMYFUNCTION("GOOGLEFINANCE(A1089, ""price"")"),115.98)</f>
        <v>115.98</v>
      </c>
      <c r="H1089" s="9">
        <f>IFERROR(__xludf.DUMMYFUNCTION("MAX(INDEX(GOOGLEFINANCE(A1089, ""high"", TODAY()-30, TODAY()), 0, 2))"),130.0)</f>
        <v>130</v>
      </c>
      <c r="I1089" s="9">
        <f>IFERROR(__xludf.DUMMYFUNCTION("MIN(INDEX(GOOGLEFINANCE(A1089, ""low"", TODAY()-30, TODAY()), 0, 2))"),115.7)</f>
        <v>115.7</v>
      </c>
      <c r="J1089" s="9">
        <f>IFERROR(__xludf.DUMMYFUNCTION("GOOGLEFINANCE(A1089, ""high52"")"),195.45)</f>
        <v>195.45</v>
      </c>
      <c r="K1089" s="9">
        <f>IFERROR(__xludf.DUMMYFUNCTION("GOOGLEFINANCE(A1089, ""low52"")"),92.0)</f>
        <v>92</v>
      </c>
      <c r="L1089" s="9">
        <f t="shared" si="1"/>
        <v>0.4066001535</v>
      </c>
      <c r="M1089" s="9">
        <f t="shared" si="2"/>
        <v>0.2606521739</v>
      </c>
      <c r="N1089" s="9">
        <f t="shared" si="3"/>
        <v>0.01382886776</v>
      </c>
      <c r="O1089" s="9">
        <f t="shared" si="4"/>
        <v>0.01958041958</v>
      </c>
      <c r="P1089" s="9">
        <f>IFERROR(__xludf.DUMMYFUNCTION("GOOGLEFINANCE(A1089, ""pe"")"),89.05)</f>
        <v>89.05</v>
      </c>
      <c r="Q1089" s="9">
        <f>IFERROR(__xludf.DUMMYFUNCTION("IFERROR(GOOGLEFINANCE(A1089, ""volume"") / GOOGLEFINANCE(A1089, ""volumeavg""), 0)"),0.0)</f>
        <v>0</v>
      </c>
      <c r="R1089" s="9">
        <f>IFERROR(__xludf.DUMMYFUNCTION("AVERAGE(INDEX(GOOGLEFINANCE(A1089, ""price"", TODAY()-30, TODAY()), 0, 2))"),121.75739130434783)</f>
        <v>121.7573913</v>
      </c>
      <c r="S1089" s="9">
        <f>IFERROR(__xludf.DUMMYFUNCTION("AVERAGE(INDEX(GOOGLEFINANCE(A1089, ""price"", TODAY()-75, TODAY()), 0, 2))"),125.75660377358483)</f>
        <v>125.7566038</v>
      </c>
      <c r="T1089" s="9">
        <f>IFERROR(__xludf.DUMMYFUNCTION("AVERAGE(INDEX(GOOGLEFINANCE(A1089, ""price"", TODAY()-300, TODAY()), 0, 2))"),126.68198019801977)</f>
        <v>126.6819802</v>
      </c>
      <c r="U1089" s="9">
        <f t="shared" si="5"/>
        <v>-0.04745002535</v>
      </c>
      <c r="V1089" s="15">
        <f>IFERROR(__xludf.DUMMYFUNCTION("LET(hist, GOOGLEFINANCE(A1089,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rs))))))"),36.16456536164563)</f>
        <v>36.16456536</v>
      </c>
      <c r="W1089" s="16" t="str">
        <f>IFERROR(__xludf.DUMMYFUNCTION("IFERROR(GOOGLEFINANCE(A1089, ""volume"") / GOOGLEFINANCE(A1089, ""volumeavg""), )"),"")</f>
        <v/>
      </c>
      <c r="X1089" s="9">
        <f>IFERROR(__xludf.DUMMYFUNCTION("B1089 * GOOGLEFINANCE(A1089, ""volume"")"),4.33278084E7)</f>
        <v>43327808.4</v>
      </c>
      <c r="Y1089" s="9">
        <f>IFERROR(__xludf.DUMMYFUNCTION("IFERROR(((B1089 - GOOGLEFINANCE(A1089, ""priceopen"")) / GOOGLEFINANCE(A1089, ""priceopen"")) * GOOGLEFINANCE(A1089, ""volume""), 0)"),-3256.8512820512697)</f>
        <v>-3256.851282</v>
      </c>
    </row>
    <row r="1090">
      <c r="A1090" s="4" t="s">
        <v>2883</v>
      </c>
      <c r="B1090" s="7">
        <f>IFERROR(__xludf.DUMMYFUNCTION("GOOGLEFINANCE(A1090, ""price"")"),672.9)</f>
        <v>672.9</v>
      </c>
      <c r="C1090" s="7">
        <f>IFERROR(__xludf.DUMMYFUNCTION("GOOGLEFINANCE(A1090, ""changepct"")"),-0.29)</f>
        <v>-0.29</v>
      </c>
      <c r="D1090" s="9">
        <f>IFERROR(__xludf.DUMMYFUNCTION("GOOGLEFINANCE(A1090, ""priceopen"")"),679.8)</f>
        <v>679.8</v>
      </c>
      <c r="E1090" s="9">
        <f>IFERROR(__xludf.DUMMYFUNCTION("GOOGLEFINANCE(A1090, ""high"")"),679.8)</f>
        <v>679.8</v>
      </c>
      <c r="F1090" s="9">
        <f>IFERROR(__xludf.DUMMYFUNCTION("GOOGLEFINANCE(A1090, ""low"")"),660.55)</f>
        <v>660.55</v>
      </c>
      <c r="G1090" s="9">
        <f>IFERROR(__xludf.DUMMYFUNCTION("GOOGLEFINANCE(A1090, ""price"")"),672.9)</f>
        <v>672.9</v>
      </c>
      <c r="H1090" s="9">
        <f>IFERROR(__xludf.DUMMYFUNCTION("MAX(INDEX(GOOGLEFINANCE(A1090, ""high"", TODAY()-30, TODAY()), 0, 2))"),718.7)</f>
        <v>718.7</v>
      </c>
      <c r="I1090" s="9">
        <f>IFERROR(__xludf.DUMMYFUNCTION("MIN(INDEX(GOOGLEFINANCE(A1090, ""low"", TODAY()-30, TODAY()), 0, 2))"),623.25)</f>
        <v>623.25</v>
      </c>
      <c r="J1090" s="9">
        <f>IFERROR(__xludf.DUMMYFUNCTION("GOOGLEFINANCE(A1090, ""high52"")"),928.0)</f>
        <v>928</v>
      </c>
      <c r="K1090" s="9">
        <f>IFERROR(__xludf.DUMMYFUNCTION("GOOGLEFINANCE(A1090, ""low52"")"),556.0)</f>
        <v>556</v>
      </c>
      <c r="L1090" s="9">
        <f t="shared" si="1"/>
        <v>0.2748922414</v>
      </c>
      <c r="M1090" s="9">
        <f t="shared" si="2"/>
        <v>0.2102517986</v>
      </c>
      <c r="N1090" s="9">
        <f t="shared" si="3"/>
        <v>0.02914238135</v>
      </c>
      <c r="O1090" s="9">
        <f t="shared" si="4"/>
        <v>0.520167627</v>
      </c>
      <c r="P1090" s="9" t="str">
        <f>IFERROR(__xludf.DUMMYFUNCTION("GOOGLEFINANCE(A1090, ""pe"")"),"#N/A")</f>
        <v>#N/A</v>
      </c>
      <c r="Q1090" s="9">
        <f>IFERROR(__xludf.DUMMYFUNCTION("IFERROR(GOOGLEFINANCE(A1090, ""volume"") / GOOGLEFINANCE(A1090, ""volumeavg""), 0)"),0.0)</f>
        <v>0</v>
      </c>
      <c r="R1090" s="9">
        <f>IFERROR(__xludf.DUMMYFUNCTION("AVERAGE(INDEX(GOOGLEFINANCE(A1090, ""price"", TODAY()-30, TODAY()), 0, 2))"),663.3217391304348)</f>
        <v>663.3217391</v>
      </c>
      <c r="S1090" s="9">
        <f>IFERROR(__xludf.DUMMYFUNCTION("AVERAGE(INDEX(GOOGLEFINANCE(A1090, ""price"", TODAY()-75, TODAY()), 0, 2))"),657.3349056603773)</f>
        <v>657.3349057</v>
      </c>
      <c r="T1090" s="9">
        <f>IFERROR(__xludf.DUMMYFUNCTION("AVERAGE(INDEX(GOOGLEFINANCE(A1090, ""price"", TODAY()-300, TODAY()), 0, 2))"),674.792821782178)</f>
        <v>674.7928218</v>
      </c>
      <c r="U1090" s="9">
        <f t="shared" si="5"/>
        <v>0.01443984164</v>
      </c>
      <c r="V1090" s="15">
        <f>IFERROR(__xludf.DUMMYFUNCTION("LET(hist, GOOGLEFINANCE(A1090,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rs))))))"),40.63018242122719)</f>
        <v>40.63018242</v>
      </c>
      <c r="W1090" s="16" t="str">
        <f>IFERROR(__xludf.DUMMYFUNCTION("IFERROR(GOOGLEFINANCE(A1090, ""volume"") / GOOGLEFINANCE(A1090, ""volumeavg""), )"),"")</f>
        <v/>
      </c>
      <c r="X1090" s="9">
        <f>IFERROR(__xludf.DUMMYFUNCTION("B1090 * GOOGLEFINANCE(A1090, ""volume"")"),1.9069313099999998E7)</f>
        <v>19069313.1</v>
      </c>
      <c r="Y1090" s="9">
        <f>IFERROR(__xludf.DUMMYFUNCTION("IFERROR(((B1090 - GOOGLEFINANCE(A1090, ""priceopen"")) / GOOGLEFINANCE(A1090, ""priceopen"")) * GOOGLEFINANCE(A1090, ""volume""), 0)"),-287.64210061782785)</f>
        <v>-287.6421006</v>
      </c>
    </row>
    <row r="1091">
      <c r="A1091" s="4" t="s">
        <v>2884</v>
      </c>
      <c r="B1091" s="7">
        <f>IFERROR(__xludf.DUMMYFUNCTION("GOOGLEFINANCE(A1091, ""price"")"),83.1)</f>
        <v>83.1</v>
      </c>
      <c r="C1091" s="7">
        <f>IFERROR(__xludf.DUMMYFUNCTION("GOOGLEFINANCE(A1091, ""changepct"")"),-0.07)</f>
        <v>-0.07</v>
      </c>
      <c r="D1091" s="9">
        <f>IFERROR(__xludf.DUMMYFUNCTION("GOOGLEFINANCE(A1091, ""priceopen"")"),82.0)</f>
        <v>82</v>
      </c>
      <c r="E1091" s="9">
        <f>IFERROR(__xludf.DUMMYFUNCTION("GOOGLEFINANCE(A1091, ""high"")"),83.45)</f>
        <v>83.45</v>
      </c>
      <c r="F1091" s="9">
        <f>IFERROR(__xludf.DUMMYFUNCTION("GOOGLEFINANCE(A1091, ""low"")"),80.7)</f>
        <v>80.7</v>
      </c>
      <c r="G1091" s="9">
        <f>IFERROR(__xludf.DUMMYFUNCTION("GOOGLEFINANCE(A1091, ""price"")"),83.1)</f>
        <v>83.1</v>
      </c>
      <c r="H1091" s="9">
        <f>IFERROR(__xludf.DUMMYFUNCTION("MAX(INDEX(GOOGLEFINANCE(A1091, ""high"", TODAY()-30, TODAY()), 0, 2))"),95.49)</f>
        <v>95.49</v>
      </c>
      <c r="I1091" s="9">
        <f>IFERROR(__xludf.DUMMYFUNCTION("MIN(INDEX(GOOGLEFINANCE(A1091, ""low"", TODAY()-30, TODAY()), 0, 2))"),80.7)</f>
        <v>80.7</v>
      </c>
      <c r="J1091" s="9">
        <f>IFERROR(__xludf.DUMMYFUNCTION("GOOGLEFINANCE(A1091, ""high52"")"),237.88)</f>
        <v>237.88</v>
      </c>
      <c r="K1091" s="9">
        <f>IFERROR(__xludf.DUMMYFUNCTION("GOOGLEFINANCE(A1091, ""low52"")"),72.63)</f>
        <v>72.63</v>
      </c>
      <c r="L1091" s="9">
        <f t="shared" si="1"/>
        <v>0.6506642004</v>
      </c>
      <c r="M1091" s="9">
        <f t="shared" si="2"/>
        <v>0.1441553077</v>
      </c>
      <c r="N1091" s="9">
        <f t="shared" si="3"/>
        <v>0.03407682776</v>
      </c>
      <c r="O1091" s="9">
        <f t="shared" si="4"/>
        <v>0.1622718053</v>
      </c>
      <c r="P1091" s="9">
        <f>IFERROR(__xludf.DUMMYFUNCTION("GOOGLEFINANCE(A1091, ""pe"")"),21.81)</f>
        <v>21.81</v>
      </c>
      <c r="Q1091" s="9">
        <f>IFERROR(__xludf.DUMMYFUNCTION("IFERROR(GOOGLEFINANCE(A1091, ""volume"") / GOOGLEFINANCE(A1091, ""volumeavg""), 0)"),0.0)</f>
        <v>0</v>
      </c>
      <c r="R1091" s="9">
        <f>IFERROR(__xludf.DUMMYFUNCTION("AVERAGE(INDEX(GOOGLEFINANCE(A1091, ""price"", TODAY()-30, TODAY()), 0, 2))"),86.76173913043478)</f>
        <v>86.76173913</v>
      </c>
      <c r="S1091" s="9">
        <f>IFERROR(__xludf.DUMMYFUNCTION("AVERAGE(INDEX(GOOGLEFINANCE(A1091, ""price"", TODAY()-75, TODAY()), 0, 2))"),91.6045283018868)</f>
        <v>91.6045283</v>
      </c>
      <c r="T1091" s="9">
        <f>IFERROR(__xludf.DUMMYFUNCTION("AVERAGE(INDEX(GOOGLEFINANCE(A1091, ""price"", TODAY()-300, TODAY()), 0, 2))"),137.46326732673268)</f>
        <v>137.4632673</v>
      </c>
      <c r="U1091" s="9">
        <f t="shared" si="5"/>
        <v>-0.04220453817</v>
      </c>
      <c r="V1091" s="15">
        <f>IFERROR(__xludf.DUMMYFUNCTION("LET(hist, GOOGLEFINANCE(A1091,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rs))))))"),13.526192337763902)</f>
        <v>13.52619234</v>
      </c>
      <c r="W1091" s="16" t="str">
        <f>IFERROR(__xludf.DUMMYFUNCTION("IFERROR(GOOGLEFINANCE(A1091, ""volume"") / GOOGLEFINANCE(A1091, ""volumeavg""), )"),"")</f>
        <v/>
      </c>
      <c r="X1091" s="9">
        <f>IFERROR(__xludf.DUMMYFUNCTION("B1091 * GOOGLEFINANCE(A1091, ""volume"")"),7666805.999999999)</f>
        <v>7666806</v>
      </c>
      <c r="Y1091" s="9">
        <f>IFERROR(__xludf.DUMMYFUNCTION("IFERROR(((B1091 - GOOGLEFINANCE(A1091, ""priceopen"")) / GOOGLEFINANCE(A1091, ""priceopen"")) * GOOGLEFINANCE(A1091, ""volume""), 0)"),1237.634146341457)</f>
        <v>1237.634146</v>
      </c>
    </row>
    <row r="1092">
      <c r="A1092" s="4" t="s">
        <v>2885</v>
      </c>
      <c r="B1092" s="7">
        <f>IFERROR(__xludf.DUMMYFUNCTION("GOOGLEFINANCE(A1092, ""price"")"),557.0)</f>
        <v>557</v>
      </c>
      <c r="C1092" s="7">
        <f>IFERROR(__xludf.DUMMYFUNCTION("GOOGLEFINANCE(A1092, ""changepct"")"),-1.19)</f>
        <v>-1.19</v>
      </c>
      <c r="D1092" s="9">
        <f>IFERROR(__xludf.DUMMYFUNCTION("GOOGLEFINANCE(A1092, ""priceopen"")"),563.7)</f>
        <v>563.7</v>
      </c>
      <c r="E1092" s="9">
        <f>IFERROR(__xludf.DUMMYFUNCTION("GOOGLEFINANCE(A1092, ""high"")"),566.75)</f>
        <v>566.75</v>
      </c>
      <c r="F1092" s="9">
        <f>IFERROR(__xludf.DUMMYFUNCTION("GOOGLEFINANCE(A1092, ""low"")"),556.6)</f>
        <v>556.6</v>
      </c>
      <c r="G1092" s="9">
        <f>IFERROR(__xludf.DUMMYFUNCTION("GOOGLEFINANCE(A1092, ""price"")"),557.0)</f>
        <v>557</v>
      </c>
      <c r="H1092" s="9">
        <f>IFERROR(__xludf.DUMMYFUNCTION("MAX(INDEX(GOOGLEFINANCE(A1092, ""high"", TODAY()-30, TODAY()), 0, 2))"),648.0)</f>
        <v>648</v>
      </c>
      <c r="I1092" s="9">
        <f>IFERROR(__xludf.DUMMYFUNCTION("MIN(INDEX(GOOGLEFINANCE(A1092, ""low"", TODAY()-30, TODAY()), 0, 2))"),556.6)</f>
        <v>556.6</v>
      </c>
      <c r="J1092" s="9">
        <f>IFERROR(__xludf.DUMMYFUNCTION("GOOGLEFINANCE(A1092, ""high52"")"),945.5)</f>
        <v>945.5</v>
      </c>
      <c r="K1092" s="9">
        <f>IFERROR(__xludf.DUMMYFUNCTION("GOOGLEFINANCE(A1092, ""low52"")"),444.0)</f>
        <v>444</v>
      </c>
      <c r="L1092" s="9">
        <f t="shared" si="1"/>
        <v>0.410893707</v>
      </c>
      <c r="M1092" s="9">
        <f t="shared" si="2"/>
        <v>0.2545045045</v>
      </c>
      <c r="N1092" s="9">
        <f t="shared" si="3"/>
        <v>0.01823571685</v>
      </c>
      <c r="O1092" s="9">
        <f t="shared" si="4"/>
        <v>0.004376367615</v>
      </c>
      <c r="P1092" s="9">
        <f>IFERROR(__xludf.DUMMYFUNCTION("GOOGLEFINANCE(A1092, ""pe"")"),27.49)</f>
        <v>27.49</v>
      </c>
      <c r="Q1092" s="9">
        <f>IFERROR(__xludf.DUMMYFUNCTION("IFERROR(GOOGLEFINANCE(A1092, ""volume"") / GOOGLEFINANCE(A1092, ""volumeavg""), 0)"),0.0)</f>
        <v>0</v>
      </c>
      <c r="R1092" s="9">
        <f>IFERROR(__xludf.DUMMYFUNCTION("AVERAGE(INDEX(GOOGLEFINANCE(A1092, ""price"", TODAY()-30, TODAY()), 0, 2))"),592.908695652174)</f>
        <v>592.9086957</v>
      </c>
      <c r="S1092" s="9">
        <f>IFERROR(__xludf.DUMMYFUNCTION("AVERAGE(INDEX(GOOGLEFINANCE(A1092, ""price"", TODAY()-75, TODAY()), 0, 2))"),599.0641509433963)</f>
        <v>599.0641509</v>
      </c>
      <c r="T1092" s="9">
        <f>IFERROR(__xludf.DUMMYFUNCTION("AVERAGE(INDEX(GOOGLEFINANCE(A1092, ""price"", TODAY()-300, TODAY()), 0, 2))"),649.5150990099006)</f>
        <v>649.515099</v>
      </c>
      <c r="U1092" s="9">
        <f t="shared" si="5"/>
        <v>-0.06056361783</v>
      </c>
      <c r="V1092" s="15">
        <f>IFERROR(__xludf.DUMMYFUNCTION("LET(hist, GOOGLEFINANCE(A1092,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rs))))))"),46.42271982523211)</f>
        <v>46.42271983</v>
      </c>
      <c r="W1092" s="16" t="str">
        <f>IFERROR(__xludf.DUMMYFUNCTION("IFERROR(GOOGLEFINANCE(A1092, ""volume"") / GOOGLEFINANCE(A1092, ""volumeavg""), )"),"")</f>
        <v/>
      </c>
      <c r="X1092" s="9">
        <f>IFERROR(__xludf.DUMMYFUNCTION("B1092 * GOOGLEFINANCE(A1092, ""volume"")"),6.4061127E7)</f>
        <v>64061127</v>
      </c>
      <c r="Y1092" s="9">
        <f>IFERROR(__xludf.DUMMYFUNCTION("IFERROR(((B1092 - GOOGLEFINANCE(A1092, ""priceopen"")) / GOOGLEFINANCE(A1092, ""priceopen"")) * GOOGLEFINANCE(A1092, ""volume""), 0)"),-1366.992549228322)</f>
        <v>-1366.992549</v>
      </c>
    </row>
    <row r="1093">
      <c r="A1093" s="4" t="s">
        <v>2886</v>
      </c>
      <c r="B1093" s="7">
        <f>IFERROR(__xludf.DUMMYFUNCTION("GOOGLEFINANCE(A1093, ""price"")"),174.4)</f>
        <v>174.4</v>
      </c>
      <c r="C1093" s="7">
        <f>IFERROR(__xludf.DUMMYFUNCTION("GOOGLEFINANCE(A1093, ""changepct"")"),5.93)</f>
        <v>5.93</v>
      </c>
      <c r="D1093" s="9">
        <f>IFERROR(__xludf.DUMMYFUNCTION("GOOGLEFINANCE(A1093, ""priceopen"")"),172.0)</f>
        <v>172</v>
      </c>
      <c r="E1093" s="9">
        <f>IFERROR(__xludf.DUMMYFUNCTION("GOOGLEFINANCE(A1093, ""high"")"),181.4)</f>
        <v>181.4</v>
      </c>
      <c r="F1093" s="9">
        <f>IFERROR(__xludf.DUMMYFUNCTION("GOOGLEFINANCE(A1093, ""low"")"),170.78)</f>
        <v>170.78</v>
      </c>
      <c r="G1093" s="9">
        <f>IFERROR(__xludf.DUMMYFUNCTION("GOOGLEFINANCE(A1093, ""price"")"),174.4)</f>
        <v>174.4</v>
      </c>
      <c r="H1093" s="9">
        <f>IFERROR(__xludf.DUMMYFUNCTION("MAX(INDEX(GOOGLEFINANCE(A1093, ""high"", TODAY()-30, TODAY()), 0, 2))"),181.4)</f>
        <v>181.4</v>
      </c>
      <c r="I1093" s="9">
        <f>IFERROR(__xludf.DUMMYFUNCTION("MIN(INDEX(GOOGLEFINANCE(A1093, ""low"", TODAY()-30, TODAY()), 0, 2))"),154.06)</f>
        <v>154.06</v>
      </c>
      <c r="J1093" s="9">
        <f>IFERROR(__xludf.DUMMYFUNCTION("GOOGLEFINANCE(A1093, ""high52"")"),202.05)</f>
        <v>202.05</v>
      </c>
      <c r="K1093" s="9">
        <f>IFERROR(__xludf.DUMMYFUNCTION("GOOGLEFINANCE(A1093, ""low52"")"),119.9)</f>
        <v>119.9</v>
      </c>
      <c r="L1093" s="9">
        <f t="shared" si="1"/>
        <v>0.136847315</v>
      </c>
      <c r="M1093" s="9">
        <f t="shared" si="2"/>
        <v>0.4545454545</v>
      </c>
      <c r="N1093" s="9">
        <f t="shared" si="3"/>
        <v>0.0621852676</v>
      </c>
      <c r="O1093" s="9">
        <f t="shared" si="4"/>
        <v>0.7439648866</v>
      </c>
      <c r="P1093" s="9">
        <f>IFERROR(__xludf.DUMMYFUNCTION("GOOGLEFINANCE(A1093, ""pe"")"),6.73)</f>
        <v>6.73</v>
      </c>
      <c r="Q1093" s="9">
        <f>IFERROR(__xludf.DUMMYFUNCTION("IFERROR(GOOGLEFINANCE(A1093, ""volume"") / GOOGLEFINANCE(A1093, ""volumeavg""), 0)"),0.0)</f>
        <v>0</v>
      </c>
      <c r="R1093" s="9">
        <f>IFERROR(__xludf.DUMMYFUNCTION("AVERAGE(INDEX(GOOGLEFINANCE(A1093, ""price"", TODAY()-30, TODAY()), 0, 2))"),162.47565217391303)</f>
        <v>162.4756522</v>
      </c>
      <c r="S1093" s="9">
        <f>IFERROR(__xludf.DUMMYFUNCTION("AVERAGE(INDEX(GOOGLEFINANCE(A1093, ""price"", TODAY()-75, TODAY()), 0, 2))"),162.64377358490563)</f>
        <v>162.6437736</v>
      </c>
      <c r="T1093" s="9">
        <f>IFERROR(__xludf.DUMMYFUNCTION("AVERAGE(INDEX(GOOGLEFINANCE(A1093, ""price"", TODAY()-300, TODAY()), 0, 2))"),154.56432835820888)</f>
        <v>154.5643284</v>
      </c>
      <c r="U1093" s="9">
        <f t="shared" si="5"/>
        <v>0.07339159847</v>
      </c>
      <c r="V1093" s="15">
        <f>IFERROR(__xludf.DUMMYFUNCTION("LET(hist, GOOGLEFINANCE(A1093,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rs))))))"),78.0337443218689)</f>
        <v>78.03374432</v>
      </c>
      <c r="W1093" s="16" t="str">
        <f>IFERROR(__xludf.DUMMYFUNCTION("IFERROR(GOOGLEFINANCE(A1093, ""volume"") / GOOGLEFINANCE(A1093, ""volumeavg""), )"),"")</f>
        <v/>
      </c>
      <c r="X1093" s="9">
        <f>IFERROR(__xludf.DUMMYFUNCTION("B1093 * GOOGLEFINANCE(A1093, ""volume"")"),1.4153363984E9)</f>
        <v>1415336398</v>
      </c>
      <c r="Y1093" s="9">
        <f>IFERROR(__xludf.DUMMYFUNCTION("IFERROR(((B1093 - GOOGLEFINANCE(A1093, ""priceopen"")) / GOOGLEFINANCE(A1093, ""priceopen"")) * GOOGLEFINANCE(A1093, ""volume""), 0)"),113238.99069767469)</f>
        <v>113238.9907</v>
      </c>
    </row>
    <row r="1094">
      <c r="A1094" s="4" t="s">
        <v>2887</v>
      </c>
      <c r="B1094" s="7">
        <f>IFERROR(__xludf.DUMMYFUNCTION("GOOGLEFINANCE(A1094, ""price"")"),16.81)</f>
        <v>16.81</v>
      </c>
      <c r="C1094" s="7">
        <f>IFERROR(__xludf.DUMMYFUNCTION("GOOGLEFINANCE(A1094, ""changepct"")"),-3.61)</f>
        <v>-3.61</v>
      </c>
      <c r="D1094" s="9">
        <f>IFERROR(__xludf.DUMMYFUNCTION("GOOGLEFINANCE(A1094, ""priceopen"")"),17.43)</f>
        <v>17.43</v>
      </c>
      <c r="E1094" s="9">
        <f>IFERROR(__xludf.DUMMYFUNCTION("GOOGLEFINANCE(A1094, ""high"")"),17.91)</f>
        <v>17.91</v>
      </c>
      <c r="F1094" s="9">
        <f>IFERROR(__xludf.DUMMYFUNCTION("GOOGLEFINANCE(A1094, ""low"")"),16.6)</f>
        <v>16.6</v>
      </c>
      <c r="G1094" s="9">
        <f>IFERROR(__xludf.DUMMYFUNCTION("GOOGLEFINANCE(A1094, ""price"")"),16.81)</f>
        <v>16.81</v>
      </c>
      <c r="H1094" s="9">
        <f>IFERROR(__xludf.DUMMYFUNCTION("MAX(INDEX(GOOGLEFINANCE(A1094, ""high"", TODAY()-30, TODAY()), 0, 2))"),22.8)</f>
        <v>22.8</v>
      </c>
      <c r="I1094" s="9">
        <f>IFERROR(__xludf.DUMMYFUNCTION("MIN(INDEX(GOOGLEFINANCE(A1094, ""low"", TODAY()-30, TODAY()), 0, 2))"),15.3)</f>
        <v>15.3</v>
      </c>
      <c r="J1094" s="9">
        <f>IFERROR(__xludf.DUMMYFUNCTION("GOOGLEFINANCE(A1094, ""high52"")"),46.4)</f>
        <v>46.4</v>
      </c>
      <c r="K1094" s="9">
        <f>IFERROR(__xludf.DUMMYFUNCTION("GOOGLEFINANCE(A1094, ""low52"")"),15.3)</f>
        <v>15.3</v>
      </c>
      <c r="L1094" s="9">
        <f t="shared" si="1"/>
        <v>0.6377155172</v>
      </c>
      <c r="M1094" s="9">
        <f t="shared" si="2"/>
        <v>0.09869281046</v>
      </c>
      <c r="N1094" s="9">
        <f t="shared" si="3"/>
        <v>0.07891566265</v>
      </c>
      <c r="O1094" s="9">
        <f t="shared" si="4"/>
        <v>0.2013333333</v>
      </c>
      <c r="P1094" s="9">
        <f>IFERROR(__xludf.DUMMYFUNCTION("GOOGLEFINANCE(A1094, ""pe"")"),8.18)</f>
        <v>8.18</v>
      </c>
      <c r="Q1094" s="9">
        <f>IFERROR(__xludf.DUMMYFUNCTION("IFERROR(GOOGLEFINANCE(A1094, ""volume"") / GOOGLEFINANCE(A1094, ""volumeavg""), 0)"),0.0)</f>
        <v>0</v>
      </c>
      <c r="R1094" s="9">
        <f>IFERROR(__xludf.DUMMYFUNCTION("AVERAGE(INDEX(GOOGLEFINANCE(A1094, ""price"", TODAY()-30, TODAY()), 0, 2))"),17.304782608695653)</f>
        <v>17.30478261</v>
      </c>
      <c r="S1094" s="9">
        <f>IFERROR(__xludf.DUMMYFUNCTION("AVERAGE(INDEX(GOOGLEFINANCE(A1094, ""price"", TODAY()-75, TODAY()), 0, 2))"),23.34603773584907)</f>
        <v>23.34603774</v>
      </c>
      <c r="T1094" s="9">
        <f>IFERROR(__xludf.DUMMYFUNCTION("AVERAGE(INDEX(GOOGLEFINANCE(A1094, ""price"", TODAY()-300, TODAY()), 0, 2))"),27.400749999999995)</f>
        <v>27.40075</v>
      </c>
      <c r="U1094" s="9">
        <f t="shared" si="5"/>
        <v>-0.02859224643</v>
      </c>
      <c r="V1094" s="15">
        <f>IFERROR(__xludf.DUMMYFUNCTION("LET(hist, GOOGLEFINANCE(A1094,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rs))))))"),56.27644569816644)</f>
        <v>56.2764457</v>
      </c>
      <c r="W1094" s="16" t="str">
        <f>IFERROR(__xludf.DUMMYFUNCTION("IFERROR(GOOGLEFINANCE(A1094, ""volume"") / GOOGLEFINANCE(A1094, ""volumeavg""), )"),"")</f>
        <v/>
      </c>
      <c r="X1094" s="9">
        <f>IFERROR(__xludf.DUMMYFUNCTION("B1094 * GOOGLEFINANCE(A1094, ""volume"")"),3.267011733E7)</f>
        <v>32670117.33</v>
      </c>
      <c r="Y1094" s="9">
        <f>IFERROR(__xludf.DUMMYFUNCTION("IFERROR(((B1094 - GOOGLEFINANCE(A1094, ""priceopen"")) / GOOGLEFINANCE(A1094, ""priceopen"")) * GOOGLEFINANCE(A1094, ""volume""), 0)"),-69131.7074010328)</f>
        <v>-69131.7074</v>
      </c>
    </row>
    <row r="1095">
      <c r="A1095" s="4" t="s">
        <v>2888</v>
      </c>
      <c r="B1095" s="7">
        <f>IFERROR(__xludf.DUMMYFUNCTION("GOOGLEFINANCE(A1095, ""price"")"),1817.5)</f>
        <v>1817.5</v>
      </c>
      <c r="C1095" s="7">
        <f>IFERROR(__xludf.DUMMYFUNCTION("GOOGLEFINANCE(A1095, ""changepct"")"),2.33)</f>
        <v>2.33</v>
      </c>
      <c r="D1095" s="9">
        <f>IFERROR(__xludf.DUMMYFUNCTION("GOOGLEFINANCE(A1095, ""priceopen"")"),1768.8)</f>
        <v>1768.8</v>
      </c>
      <c r="E1095" s="9">
        <f>IFERROR(__xludf.DUMMYFUNCTION("GOOGLEFINANCE(A1095, ""high"")"),1824.5)</f>
        <v>1824.5</v>
      </c>
      <c r="F1095" s="9">
        <f>IFERROR(__xludf.DUMMYFUNCTION("GOOGLEFINANCE(A1095, ""low"")"),1768.8)</f>
        <v>1768.8</v>
      </c>
      <c r="G1095" s="9">
        <f>IFERROR(__xludf.DUMMYFUNCTION("GOOGLEFINANCE(A1095, ""price"")"),1817.5)</f>
        <v>1817.5</v>
      </c>
      <c r="H1095" s="9">
        <f>IFERROR(__xludf.DUMMYFUNCTION("MAX(INDEX(GOOGLEFINANCE(A1095, ""high"", TODAY()-30, TODAY()), 0, 2))"),1894.5)</f>
        <v>1894.5</v>
      </c>
      <c r="I1095" s="9">
        <f>IFERROR(__xludf.DUMMYFUNCTION("MIN(INDEX(GOOGLEFINANCE(A1095, ""low"", TODAY()-30, TODAY()), 0, 2))"),1692.2)</f>
        <v>1692.2</v>
      </c>
      <c r="J1095" s="9">
        <f>IFERROR(__xludf.DUMMYFUNCTION("GOOGLEFINANCE(A1095, ""high52"")"),1894.5)</f>
        <v>1894.5</v>
      </c>
      <c r="K1095" s="9">
        <f>IFERROR(__xludf.DUMMYFUNCTION("GOOGLEFINANCE(A1095, ""low52"")"),981.0)</f>
        <v>981</v>
      </c>
      <c r="L1095" s="9">
        <f t="shared" si="1"/>
        <v>0.04064396939</v>
      </c>
      <c r="M1095" s="9">
        <f t="shared" si="2"/>
        <v>0.8527013252</v>
      </c>
      <c r="N1095" s="9">
        <f t="shared" si="3"/>
        <v>0.03149027589</v>
      </c>
      <c r="O1095" s="9">
        <f t="shared" si="4"/>
        <v>0.6193771626</v>
      </c>
      <c r="P1095" s="9">
        <f>IFERROR(__xludf.DUMMYFUNCTION("GOOGLEFINANCE(A1095, ""pe"")"),26.51)</f>
        <v>26.51</v>
      </c>
      <c r="Q1095" s="9">
        <f>IFERROR(__xludf.DUMMYFUNCTION("IFERROR(GOOGLEFINANCE(A1095, ""volume"") / GOOGLEFINANCE(A1095, ""volumeavg""), 0)"),0.0)</f>
        <v>0</v>
      </c>
      <c r="R1095" s="9">
        <f>IFERROR(__xludf.DUMMYFUNCTION("AVERAGE(INDEX(GOOGLEFINANCE(A1095, ""price"", TODAY()-30, TODAY()), 0, 2))"),1765.0869565217388)</f>
        <v>1765.086957</v>
      </c>
      <c r="S1095" s="9">
        <f>IFERROR(__xludf.DUMMYFUNCTION("AVERAGE(INDEX(GOOGLEFINANCE(A1095, ""price"", TODAY()-75, TODAY()), 0, 2))"),1662.2132075471702)</f>
        <v>1662.213208</v>
      </c>
      <c r="T1095" s="9">
        <f>IFERROR(__xludf.DUMMYFUNCTION("AVERAGE(INDEX(GOOGLEFINANCE(A1095, ""price"", TODAY()-300, TODAY()), 0, 2))"),1395.033663366336)</f>
        <v>1395.033663</v>
      </c>
      <c r="U1095" s="9">
        <f t="shared" si="5"/>
        <v>0.02969431239</v>
      </c>
      <c r="V1095" s="15">
        <f>IFERROR(__xludf.DUMMYFUNCTION("LET(hist, GOOGLEFINANCE(A1095,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rs))))))"),60.061522686490655)</f>
        <v>60.06152269</v>
      </c>
      <c r="W1095" s="16" t="str">
        <f>IFERROR(__xludf.DUMMYFUNCTION("IFERROR(GOOGLEFINANCE(A1095, ""volume"") / GOOGLEFINANCE(A1095, ""volumeavg""), )"),"")</f>
        <v/>
      </c>
      <c r="X1095" s="9">
        <f>IFERROR(__xludf.DUMMYFUNCTION("B1095 * GOOGLEFINANCE(A1095, ""volume"")"),2.54431825E7)</f>
        <v>25443182.5</v>
      </c>
      <c r="Y1095" s="9">
        <f>IFERROR(__xludf.DUMMYFUNCTION("IFERROR(((B1095 - GOOGLEFINANCE(A1095, ""priceopen"")) / GOOGLEFINANCE(A1095, ""priceopen"")) * GOOGLEFINANCE(A1095, ""volume""), 0)"),385.4315355042971)</f>
        <v>385.4315355</v>
      </c>
    </row>
    <row r="1096">
      <c r="A1096" s="4" t="s">
        <v>2889</v>
      </c>
      <c r="B1096" s="7">
        <f>IFERROR(__xludf.DUMMYFUNCTION("GOOGLEFINANCE(A1096, ""price"")"),250.1)</f>
        <v>250.1</v>
      </c>
      <c r="C1096" s="7">
        <f>IFERROR(__xludf.DUMMYFUNCTION("GOOGLEFINANCE(A1096, ""changepct"")"),0.79)</f>
        <v>0.79</v>
      </c>
      <c r="D1096" s="9">
        <f>IFERROR(__xludf.DUMMYFUNCTION("GOOGLEFINANCE(A1096, ""priceopen"")"),249.9)</f>
        <v>249.9</v>
      </c>
      <c r="E1096" s="9">
        <f>IFERROR(__xludf.DUMMYFUNCTION("GOOGLEFINANCE(A1096, ""high"")"),253.45)</f>
        <v>253.45</v>
      </c>
      <c r="F1096" s="9">
        <f>IFERROR(__xludf.DUMMYFUNCTION("GOOGLEFINANCE(A1096, ""low"")"),245.3)</f>
        <v>245.3</v>
      </c>
      <c r="G1096" s="9">
        <f>IFERROR(__xludf.DUMMYFUNCTION("GOOGLEFINANCE(A1096, ""price"")"),250.1)</f>
        <v>250.1</v>
      </c>
      <c r="H1096" s="9">
        <f>IFERROR(__xludf.DUMMYFUNCTION("MAX(INDEX(GOOGLEFINANCE(A1096, ""high"", TODAY()-30, TODAY()), 0, 2))"),267.45)</f>
        <v>267.45</v>
      </c>
      <c r="I1096" s="9">
        <f>IFERROR(__xludf.DUMMYFUNCTION("MIN(INDEX(GOOGLEFINANCE(A1096, ""low"", TODAY()-30, TODAY()), 0, 2))"),219.74)</f>
        <v>219.74</v>
      </c>
      <c r="J1096" s="9">
        <f>IFERROR(__xludf.DUMMYFUNCTION("GOOGLEFINANCE(A1096, ""high52"")"),272.5)</f>
        <v>272.5</v>
      </c>
      <c r="K1096" s="9">
        <f>IFERROR(__xludf.DUMMYFUNCTION("GOOGLEFINANCE(A1096, ""low52"")"),130.02)</f>
        <v>130.02</v>
      </c>
      <c r="L1096" s="9">
        <f t="shared" si="1"/>
        <v>0.08220183486</v>
      </c>
      <c r="M1096" s="9">
        <f t="shared" si="2"/>
        <v>0.923550223</v>
      </c>
      <c r="N1096" s="9">
        <f t="shared" si="3"/>
        <v>0.03322462291</v>
      </c>
      <c r="O1096" s="9">
        <f t="shared" si="4"/>
        <v>0.6363445818</v>
      </c>
      <c r="P1096" s="9">
        <f>IFERROR(__xludf.DUMMYFUNCTION("GOOGLEFINANCE(A1096, ""pe"")"),21.52)</f>
        <v>21.52</v>
      </c>
      <c r="Q1096" s="9">
        <f>IFERROR(__xludf.DUMMYFUNCTION("IFERROR(GOOGLEFINANCE(A1096, ""volume"") / GOOGLEFINANCE(A1096, ""volumeavg""), 0)"),0.0)</f>
        <v>0</v>
      </c>
      <c r="R1096" s="9">
        <f>IFERROR(__xludf.DUMMYFUNCTION("AVERAGE(INDEX(GOOGLEFINANCE(A1096, ""price"", TODAY()-30, TODAY()), 0, 2))"),240.00652173913042)</f>
        <v>240.0065217</v>
      </c>
      <c r="S1096" s="9">
        <f>IFERROR(__xludf.DUMMYFUNCTION("AVERAGE(INDEX(GOOGLEFINANCE(A1096, ""price"", TODAY()-75, TODAY()), 0, 2))"),238.47641509433964)</f>
        <v>238.4764151</v>
      </c>
      <c r="T1096" s="9">
        <f>IFERROR(__xludf.DUMMYFUNCTION("AVERAGE(INDEX(GOOGLEFINANCE(A1096, ""price"", TODAY()-300, TODAY()), 0, 2))"),206.82366336633658)</f>
        <v>206.8236634</v>
      </c>
      <c r="U1096" s="9">
        <f t="shared" si="5"/>
        <v>0.04205501662</v>
      </c>
      <c r="V1096" s="15">
        <f>IFERROR(__xludf.DUMMYFUNCTION("LET(hist, GOOGLEFINANCE(A1096,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rs))))))"),61.69976171564733)</f>
        <v>61.69976172</v>
      </c>
      <c r="W1096" s="16" t="str">
        <f>IFERROR(__xludf.DUMMYFUNCTION("IFERROR(GOOGLEFINANCE(A1096, ""volume"") / GOOGLEFINANCE(A1096, ""volumeavg""), )"),"")</f>
        <v/>
      </c>
      <c r="X1096" s="9">
        <f>IFERROR(__xludf.DUMMYFUNCTION("B1096 * GOOGLEFINANCE(A1096, ""volume"")"),6.64460678E7)</f>
        <v>66446067.8</v>
      </c>
      <c r="Y1096" s="9">
        <f>IFERROR(__xludf.DUMMYFUNCTION("IFERROR(((B1096 - GOOGLEFINANCE(A1096, ""priceopen"")) / GOOGLEFINANCE(A1096, ""priceopen"")) * GOOGLEFINANCE(A1096, ""volume""), 0)"),212.62745098038008)</f>
        <v>212.627451</v>
      </c>
    </row>
    <row r="1097">
      <c r="A1097" s="4" t="s">
        <v>2890</v>
      </c>
      <c r="B1097" s="7">
        <f>IFERROR(__xludf.DUMMYFUNCTION("GOOGLEFINANCE(A1097, ""price"")"),978.7)</f>
        <v>978.7</v>
      </c>
      <c r="C1097" s="7">
        <f>IFERROR(__xludf.DUMMYFUNCTION("GOOGLEFINANCE(A1097, ""changepct"")"),-8.92)</f>
        <v>-8.92</v>
      </c>
      <c r="D1097" s="9">
        <f>IFERROR(__xludf.DUMMYFUNCTION("GOOGLEFINANCE(A1097, ""priceopen"")"),1049.5)</f>
        <v>1049.5</v>
      </c>
      <c r="E1097" s="9">
        <f>IFERROR(__xludf.DUMMYFUNCTION("GOOGLEFINANCE(A1097, ""high"")"),1049.5)</f>
        <v>1049.5</v>
      </c>
      <c r="F1097" s="9">
        <f>IFERROR(__xludf.DUMMYFUNCTION("GOOGLEFINANCE(A1097, ""low"")"),971.3)</f>
        <v>971.3</v>
      </c>
      <c r="G1097" s="9">
        <f>IFERROR(__xludf.DUMMYFUNCTION("GOOGLEFINANCE(A1097, ""price"")"),978.7)</f>
        <v>978.7</v>
      </c>
      <c r="H1097" s="9">
        <f>IFERROR(__xludf.DUMMYFUNCTION("MAX(INDEX(GOOGLEFINANCE(A1097, ""high"", TODAY()-30, TODAY()), 0, 2))"),1199.0)</f>
        <v>1199</v>
      </c>
      <c r="I1097" s="9">
        <f>IFERROR(__xludf.DUMMYFUNCTION("MIN(INDEX(GOOGLEFINANCE(A1097, ""low"", TODAY()-30, TODAY()), 0, 2))"),940.2)</f>
        <v>940.2</v>
      </c>
      <c r="J1097" s="9">
        <f>IFERROR(__xludf.DUMMYFUNCTION("GOOGLEFINANCE(A1097, ""high52"")"),1221.9)</f>
        <v>1221.9</v>
      </c>
      <c r="K1097" s="9">
        <f>IFERROR(__xludf.DUMMYFUNCTION("GOOGLEFINANCE(A1097, ""low52"")"),600.0)</f>
        <v>600</v>
      </c>
      <c r="L1097" s="9">
        <f t="shared" si="1"/>
        <v>0.1990342909</v>
      </c>
      <c r="M1097" s="9">
        <f t="shared" si="2"/>
        <v>0.6311666667</v>
      </c>
      <c r="N1097" s="9">
        <f t="shared" si="3"/>
        <v>0.08051065582</v>
      </c>
      <c r="O1097" s="9">
        <f t="shared" si="4"/>
        <v>0.148763524</v>
      </c>
      <c r="P1097" s="9">
        <f>IFERROR(__xludf.DUMMYFUNCTION("GOOGLEFINANCE(A1097, ""pe"")"),24.41)</f>
        <v>24.41</v>
      </c>
      <c r="Q1097" s="9">
        <f>IFERROR(__xludf.DUMMYFUNCTION("IFERROR(GOOGLEFINANCE(A1097, ""volume"") / GOOGLEFINANCE(A1097, ""volumeavg""), 0)"),0.0)</f>
        <v>0</v>
      </c>
      <c r="R1097" s="9">
        <f>IFERROR(__xludf.DUMMYFUNCTION("AVERAGE(INDEX(GOOGLEFINANCE(A1097, ""price"", TODAY()-30, TODAY()), 0, 2))"),1025.8847826086958)</f>
        <v>1025.884783</v>
      </c>
      <c r="S1097" s="9">
        <f>IFERROR(__xludf.DUMMYFUNCTION("AVERAGE(INDEX(GOOGLEFINANCE(A1097, ""price"", TODAY()-75, TODAY()), 0, 2))"),988.8622641509432)</f>
        <v>988.8622642</v>
      </c>
      <c r="T1097" s="9">
        <f>IFERROR(__xludf.DUMMYFUNCTION("AVERAGE(INDEX(GOOGLEFINANCE(A1097, ""price"", TODAY()-300, TODAY()), 0, 2))"),798.9643564356443)</f>
        <v>798.9643564</v>
      </c>
      <c r="U1097" s="9">
        <f t="shared" si="5"/>
        <v>-0.04599423191</v>
      </c>
      <c r="V1097" s="15">
        <f>IFERROR(__xludf.DUMMYFUNCTION("LET(hist, GOOGLEFINANCE(A1097,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rs))))))"),49.80268350434096)</f>
        <v>49.8026835</v>
      </c>
      <c r="W1097" s="16" t="str">
        <f>IFERROR(__xludf.DUMMYFUNCTION("IFERROR(GOOGLEFINANCE(A1097, ""volume"") / GOOGLEFINANCE(A1097, ""volumeavg""), )"),"")</f>
        <v/>
      </c>
      <c r="X1097" s="9">
        <f>IFERROR(__xludf.DUMMYFUNCTION("B1097 * GOOGLEFINANCE(A1097, ""volume"")"),2.225945493E8)</f>
        <v>222594549.3</v>
      </c>
      <c r="Y1097" s="9">
        <f>IFERROR(__xludf.DUMMYFUNCTION("IFERROR(((B1097 - GOOGLEFINANCE(A1097, ""priceopen"")) / GOOGLEFINANCE(A1097, ""priceopen"")) * GOOGLEFINANCE(A1097, ""volume""), 0)"),-15343.19313959027)</f>
        <v>-15343.19314</v>
      </c>
    </row>
    <row r="1098">
      <c r="A1098" s="4" t="s">
        <v>2891</v>
      </c>
      <c r="B1098" s="7">
        <f>IFERROR(__xludf.DUMMYFUNCTION("GOOGLEFINANCE(A1098, ""price"")"),351.5)</f>
        <v>351.5</v>
      </c>
      <c r="C1098" s="7">
        <f>IFERROR(__xludf.DUMMYFUNCTION("GOOGLEFINANCE(A1098, ""changepct"")"),-1.64)</f>
        <v>-1.64</v>
      </c>
      <c r="D1098" s="9">
        <f>IFERROR(__xludf.DUMMYFUNCTION("GOOGLEFINANCE(A1098, ""priceopen"")"),354.0)</f>
        <v>354</v>
      </c>
      <c r="E1098" s="9">
        <f>IFERROR(__xludf.DUMMYFUNCTION("GOOGLEFINANCE(A1098, ""high"")"),359.9)</f>
        <v>359.9</v>
      </c>
      <c r="F1098" s="9">
        <f>IFERROR(__xludf.DUMMYFUNCTION("GOOGLEFINANCE(A1098, ""low"")"),351.3)</f>
        <v>351.3</v>
      </c>
      <c r="G1098" s="9">
        <f>IFERROR(__xludf.DUMMYFUNCTION("GOOGLEFINANCE(A1098, ""price"")"),351.5)</f>
        <v>351.5</v>
      </c>
      <c r="H1098" s="9">
        <f>IFERROR(__xludf.DUMMYFUNCTION("MAX(INDEX(GOOGLEFINANCE(A1098, ""high"", TODAY()-30, TODAY()), 0, 2))"),370.0)</f>
        <v>370</v>
      </c>
      <c r="I1098" s="9">
        <f>IFERROR(__xludf.DUMMYFUNCTION("MIN(INDEX(GOOGLEFINANCE(A1098, ""low"", TODAY()-30, TODAY()), 0, 2))"),336.0)</f>
        <v>336</v>
      </c>
      <c r="J1098" s="9">
        <f>IFERROR(__xludf.DUMMYFUNCTION("GOOGLEFINANCE(A1098, ""high52"")"),475.2)</f>
        <v>475.2</v>
      </c>
      <c r="K1098" s="9">
        <f>IFERROR(__xludf.DUMMYFUNCTION("GOOGLEFINANCE(A1098, ""low52"")"),259.65)</f>
        <v>259.65</v>
      </c>
      <c r="L1098" s="9">
        <f t="shared" si="1"/>
        <v>0.2603114478</v>
      </c>
      <c r="M1098" s="9">
        <f t="shared" si="2"/>
        <v>0.3537454265</v>
      </c>
      <c r="N1098" s="9">
        <f t="shared" si="3"/>
        <v>0.024480501</v>
      </c>
      <c r="O1098" s="9">
        <f t="shared" si="4"/>
        <v>0.4558823529</v>
      </c>
      <c r="P1098" s="9">
        <f>IFERROR(__xludf.DUMMYFUNCTION("GOOGLEFINANCE(A1098, ""pe"")"),14.37)</f>
        <v>14.37</v>
      </c>
      <c r="Q1098" s="9">
        <f>IFERROR(__xludf.DUMMYFUNCTION("IFERROR(GOOGLEFINANCE(A1098, ""volume"") / GOOGLEFINANCE(A1098, ""volumeavg""), 0)"),0.0)</f>
        <v>0</v>
      </c>
      <c r="R1098" s="9">
        <f>IFERROR(__xludf.DUMMYFUNCTION("AVERAGE(INDEX(GOOGLEFINANCE(A1098, ""price"", TODAY()-30, TODAY()), 0, 2))"),351.8565217391305)</f>
        <v>351.8565217</v>
      </c>
      <c r="S1098" s="9">
        <f>IFERROR(__xludf.DUMMYFUNCTION("AVERAGE(INDEX(GOOGLEFINANCE(A1098, ""price"", TODAY()-75, TODAY()), 0, 2))"),350.3216981132074)</f>
        <v>350.3216981</v>
      </c>
      <c r="T1098" s="9">
        <f>IFERROR(__xludf.DUMMYFUNCTION("AVERAGE(INDEX(GOOGLEFINANCE(A1098, ""price"", TODAY()-300, TODAY()), 0, 2))"),332.95693069306947)</f>
        <v>332.9569307</v>
      </c>
      <c r="U1098" s="9">
        <f t="shared" si="5"/>
        <v>-0.001013258863</v>
      </c>
      <c r="V1098" s="15">
        <f>IFERROR(__xludf.DUMMYFUNCTION("LET(hist, GOOGLEFINANCE(A1098,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rs))))))"),51.148936170212735)</f>
        <v>51.14893617</v>
      </c>
      <c r="W1098" s="16" t="str">
        <f>IFERROR(__xludf.DUMMYFUNCTION("IFERROR(GOOGLEFINANCE(A1098, ""volume"") / GOOGLEFINANCE(A1098, ""volumeavg""), )"),"")</f>
        <v/>
      </c>
      <c r="X1098" s="9">
        <f>IFERROR(__xludf.DUMMYFUNCTION("B1098 * GOOGLEFINANCE(A1098, ""volume"")"),1.8717375E7)</f>
        <v>18717375</v>
      </c>
      <c r="Y1098" s="9">
        <f>IFERROR(__xludf.DUMMYFUNCTION("IFERROR(((B1098 - GOOGLEFINANCE(A1098, ""priceopen"")) / GOOGLEFINANCE(A1098, ""priceopen"")) * GOOGLEFINANCE(A1098, ""volume""), 0)"),-376.0593220338983)</f>
        <v>-376.059322</v>
      </c>
    </row>
    <row r="1099">
      <c r="A1099" s="4" t="s">
        <v>2892</v>
      </c>
      <c r="B1099" s="7">
        <f>IFERROR(__xludf.DUMMYFUNCTION("GOOGLEFINANCE(A1099, ""price"")"),117.62)</f>
        <v>117.62</v>
      </c>
      <c r="C1099" s="7">
        <f>IFERROR(__xludf.DUMMYFUNCTION("GOOGLEFINANCE(A1099, ""changepct"")"),-3.49)</f>
        <v>-3.49</v>
      </c>
      <c r="D1099" s="9">
        <f>IFERROR(__xludf.DUMMYFUNCTION("GOOGLEFINANCE(A1099, ""priceopen"")"),122.65)</f>
        <v>122.65</v>
      </c>
      <c r="E1099" s="9">
        <f>IFERROR(__xludf.DUMMYFUNCTION("GOOGLEFINANCE(A1099, ""high"")"),122.65)</f>
        <v>122.65</v>
      </c>
      <c r="F1099" s="9">
        <f>IFERROR(__xludf.DUMMYFUNCTION("GOOGLEFINANCE(A1099, ""low"")"),116.15)</f>
        <v>116.15</v>
      </c>
      <c r="G1099" s="9">
        <f>IFERROR(__xludf.DUMMYFUNCTION("GOOGLEFINANCE(A1099, ""price"")"),117.62)</f>
        <v>117.62</v>
      </c>
      <c r="H1099" s="9">
        <f>IFERROR(__xludf.DUMMYFUNCTION("MAX(INDEX(GOOGLEFINANCE(A1099, ""high"", TODAY()-30, TODAY()), 0, 2))"),138.0)</f>
        <v>138</v>
      </c>
      <c r="I1099" s="9">
        <f>IFERROR(__xludf.DUMMYFUNCTION("MIN(INDEX(GOOGLEFINANCE(A1099, ""low"", TODAY()-30, TODAY()), 0, 2))"),116.15)</f>
        <v>116.15</v>
      </c>
      <c r="J1099" s="9">
        <f>IFERROR(__xludf.DUMMYFUNCTION("GOOGLEFINANCE(A1099, ""high52"")"),221.4)</f>
        <v>221.4</v>
      </c>
      <c r="K1099" s="9">
        <f>IFERROR(__xludf.DUMMYFUNCTION("GOOGLEFINANCE(A1099, ""low52"")"),98.03)</f>
        <v>98.03</v>
      </c>
      <c r="L1099" s="9">
        <f t="shared" si="1"/>
        <v>0.4687443541</v>
      </c>
      <c r="M1099" s="9">
        <f t="shared" si="2"/>
        <v>0.1998367847</v>
      </c>
      <c r="N1099" s="9">
        <f t="shared" si="3"/>
        <v>0.05596211795</v>
      </c>
      <c r="O1099" s="9">
        <f t="shared" si="4"/>
        <v>0.06727688787</v>
      </c>
      <c r="P1099" s="9">
        <f>IFERROR(__xludf.DUMMYFUNCTION("GOOGLEFINANCE(A1099, ""pe"")"),17.24)</f>
        <v>17.24</v>
      </c>
      <c r="Q1099" s="9">
        <f>IFERROR(__xludf.DUMMYFUNCTION("IFERROR(GOOGLEFINANCE(A1099, ""volume"") / GOOGLEFINANCE(A1099, ""volumeavg""), 0)"),0.0)</f>
        <v>0</v>
      </c>
      <c r="R1099" s="9">
        <f>IFERROR(__xludf.DUMMYFUNCTION("AVERAGE(INDEX(GOOGLEFINANCE(A1099, ""price"", TODAY()-30, TODAY()), 0, 2))"),126.4882608695652)</f>
        <v>126.4882609</v>
      </c>
      <c r="S1099" s="9">
        <f>IFERROR(__xludf.DUMMYFUNCTION("AVERAGE(INDEX(GOOGLEFINANCE(A1099, ""price"", TODAY()-75, TODAY()), 0, 2))"),126.89377358490567)</f>
        <v>126.8937736</v>
      </c>
      <c r="T1099" s="9">
        <f>IFERROR(__xludf.DUMMYFUNCTION("AVERAGE(INDEX(GOOGLEFINANCE(A1099, ""price"", TODAY()-300, TODAY()), 0, 2))"),149.67004950495044)</f>
        <v>149.6700495</v>
      </c>
      <c r="U1099" s="9">
        <f t="shared" si="5"/>
        <v>-0.0701113353</v>
      </c>
      <c r="V1099" s="15">
        <f>IFERROR(__xludf.DUMMYFUNCTION("LET(hist, GOOGLEFINANCE(A1099,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rs))))))"),40.35689773507208)</f>
        <v>40.35689774</v>
      </c>
      <c r="W1099" s="16" t="str">
        <f>IFERROR(__xludf.DUMMYFUNCTION("IFERROR(GOOGLEFINANCE(A1099, ""volume"") / GOOGLEFINANCE(A1099, ""volumeavg""), )"),"")</f>
        <v/>
      </c>
      <c r="X1099" s="9">
        <f>IFERROR(__xludf.DUMMYFUNCTION("B1099 * GOOGLEFINANCE(A1099, ""volume"")"),4.264148432E7)</f>
        <v>42641484.32</v>
      </c>
      <c r="Y1099" s="9">
        <f>IFERROR(__xludf.DUMMYFUNCTION("IFERROR(((B1099 - GOOGLEFINANCE(A1099, ""priceopen"")) / GOOGLEFINANCE(A1099, ""priceopen"")) * GOOGLEFINANCE(A1099, ""volume""), 0)"),-14867.966408479417)</f>
        <v>-14867.96641</v>
      </c>
    </row>
    <row r="1100">
      <c r="A1100" s="4" t="s">
        <v>2893</v>
      </c>
      <c r="B1100" s="7">
        <f>IFERROR(__xludf.DUMMYFUNCTION("GOOGLEFINANCE(A1100, ""price"")"),505.6)</f>
        <v>505.6</v>
      </c>
      <c r="C1100" s="7">
        <f>IFERROR(__xludf.DUMMYFUNCTION("GOOGLEFINANCE(A1100, ""changepct"")"),-0.61)</f>
        <v>-0.61</v>
      </c>
      <c r="D1100" s="9">
        <f>IFERROR(__xludf.DUMMYFUNCTION("GOOGLEFINANCE(A1100, ""priceopen"")"),514.2)</f>
        <v>514.2</v>
      </c>
      <c r="E1100" s="9">
        <f>IFERROR(__xludf.DUMMYFUNCTION("GOOGLEFINANCE(A1100, ""high"")"),515.2)</f>
        <v>515.2</v>
      </c>
      <c r="F1100" s="9">
        <f>IFERROR(__xludf.DUMMYFUNCTION("GOOGLEFINANCE(A1100, ""low"")"),503.0)</f>
        <v>503</v>
      </c>
      <c r="G1100" s="9">
        <f>IFERROR(__xludf.DUMMYFUNCTION("GOOGLEFINANCE(A1100, ""price"")"),505.6)</f>
        <v>505.6</v>
      </c>
      <c r="H1100" s="9">
        <f>IFERROR(__xludf.DUMMYFUNCTION("MAX(INDEX(GOOGLEFINANCE(A1100, ""high"", TODAY()-30, TODAY()), 0, 2))"),591.45)</f>
        <v>591.45</v>
      </c>
      <c r="I1100" s="9">
        <f>IFERROR(__xludf.DUMMYFUNCTION("MIN(INDEX(GOOGLEFINANCE(A1100, ""low"", TODAY()-30, TODAY()), 0, 2))"),471.55)</f>
        <v>471.55</v>
      </c>
      <c r="J1100" s="9">
        <f>IFERROR(__xludf.DUMMYFUNCTION("GOOGLEFINANCE(A1100, ""high52"")"),712.0)</f>
        <v>712</v>
      </c>
      <c r="K1100" s="9">
        <f>IFERROR(__xludf.DUMMYFUNCTION("GOOGLEFINANCE(A1100, ""low52"")"),422.0)</f>
        <v>422</v>
      </c>
      <c r="L1100" s="9">
        <f t="shared" si="1"/>
        <v>0.2898876404</v>
      </c>
      <c r="M1100" s="9">
        <f t="shared" si="2"/>
        <v>0.1981042654</v>
      </c>
      <c r="N1100" s="9">
        <f t="shared" si="3"/>
        <v>0.02425447316</v>
      </c>
      <c r="O1100" s="9">
        <f t="shared" si="4"/>
        <v>0.2839866555</v>
      </c>
      <c r="P1100" s="9" t="str">
        <f>IFERROR(__xludf.DUMMYFUNCTION("GOOGLEFINANCE(A1100, ""pe"")"),"#N/A")</f>
        <v>#N/A</v>
      </c>
      <c r="Q1100" s="9">
        <f>IFERROR(__xludf.DUMMYFUNCTION("IFERROR(GOOGLEFINANCE(A1100, ""volume"") / GOOGLEFINANCE(A1100, ""volumeavg""), 0)"),0.0)</f>
        <v>0</v>
      </c>
      <c r="R1100" s="9">
        <f>IFERROR(__xludf.DUMMYFUNCTION("AVERAGE(INDEX(GOOGLEFINANCE(A1100, ""price"", TODAY()-30, TODAY()), 0, 2))"),530.5195652173913)</f>
        <v>530.5195652</v>
      </c>
      <c r="S1100" s="9">
        <f>IFERROR(__xludf.DUMMYFUNCTION("AVERAGE(INDEX(GOOGLEFINANCE(A1100, ""price"", TODAY()-75, TODAY()), 0, 2))"),550.8367924528302)</f>
        <v>550.8367925</v>
      </c>
      <c r="T1100" s="9">
        <f>IFERROR(__xludf.DUMMYFUNCTION("AVERAGE(INDEX(GOOGLEFINANCE(A1100, ""price"", TODAY()-300, TODAY()), 0, 2))"),531.2217821782178)</f>
        <v>531.2217822</v>
      </c>
      <c r="U1100" s="9">
        <f t="shared" si="5"/>
        <v>-0.04697200038</v>
      </c>
      <c r="V1100" s="15">
        <f>IFERROR(__xludf.DUMMYFUNCTION("LET(hist, GOOGLEFINANCE(A1100,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rs))))))"),40.95665171898358)</f>
        <v>40.95665172</v>
      </c>
      <c r="W1100" s="16" t="str">
        <f>IFERROR(__xludf.DUMMYFUNCTION("IFERROR(GOOGLEFINANCE(A1100, ""volume"") / GOOGLEFINANCE(A1100, ""volumeavg""), )"),"")</f>
        <v/>
      </c>
      <c r="X1100" s="9">
        <f>IFERROR(__xludf.DUMMYFUNCTION("B1100 * GOOGLEFINANCE(A1100, ""volume"")"),2.91963776E7)</f>
        <v>29196377.6</v>
      </c>
      <c r="Y1100" s="9">
        <f>IFERROR(__xludf.DUMMYFUNCTION("IFERROR(((B1100 - GOOGLEFINANCE(A1100, ""priceopen"")) / GOOGLEFINANCE(A1100, ""priceopen"")) * GOOGLEFINANCE(A1100, ""volume""), 0)"),-965.8024115130323)</f>
        <v>-965.8024115</v>
      </c>
    </row>
    <row r="1101">
      <c r="A1101" s="4" t="s">
        <v>2894</v>
      </c>
      <c r="B1101" s="7">
        <f>IFERROR(__xludf.DUMMYFUNCTION("GOOGLEFINANCE(A1101, ""price"")"),107.0)</f>
        <v>107</v>
      </c>
      <c r="C1101" s="7">
        <f>IFERROR(__xludf.DUMMYFUNCTION("GOOGLEFINANCE(A1101, ""changepct"")"),2.85)</f>
        <v>2.85</v>
      </c>
      <c r="D1101" s="9">
        <f>IFERROR(__xludf.DUMMYFUNCTION("GOOGLEFINANCE(A1101, ""priceopen"")"),104.8)</f>
        <v>104.8</v>
      </c>
      <c r="E1101" s="9">
        <f>IFERROR(__xludf.DUMMYFUNCTION("GOOGLEFINANCE(A1101, ""high"")"),107.9)</f>
        <v>107.9</v>
      </c>
      <c r="F1101" s="9">
        <f>IFERROR(__xludf.DUMMYFUNCTION("GOOGLEFINANCE(A1101, ""low"")"),102.0)</f>
        <v>102</v>
      </c>
      <c r="G1101" s="9">
        <f>IFERROR(__xludf.DUMMYFUNCTION("GOOGLEFINANCE(A1101, ""price"")"),107.0)</f>
        <v>107</v>
      </c>
      <c r="H1101" s="9">
        <f>IFERROR(__xludf.DUMMYFUNCTION("MAX(INDEX(GOOGLEFINANCE(A1101, ""high"", TODAY()-30, TODAY()), 0, 2))"),123.79)</f>
        <v>123.79</v>
      </c>
      <c r="I1101" s="9">
        <f>IFERROR(__xludf.DUMMYFUNCTION("MIN(INDEX(GOOGLEFINANCE(A1101, ""low"", TODAY()-30, TODAY()), 0, 2))"),102.0)</f>
        <v>102</v>
      </c>
      <c r="J1101" s="9">
        <f>IFERROR(__xludf.DUMMYFUNCTION("GOOGLEFINANCE(A1101, ""high52"")"),161.81)</f>
        <v>161.81</v>
      </c>
      <c r="K1101" s="9">
        <f>IFERROR(__xludf.DUMMYFUNCTION("GOOGLEFINANCE(A1101, ""low52"")"),79.75)</f>
        <v>79.75</v>
      </c>
      <c r="L1101" s="9">
        <f t="shared" si="1"/>
        <v>0.33873061</v>
      </c>
      <c r="M1101" s="9">
        <f t="shared" si="2"/>
        <v>0.34169279</v>
      </c>
      <c r="N1101" s="9">
        <f t="shared" si="3"/>
        <v>0.05784313725</v>
      </c>
      <c r="O1101" s="9">
        <f t="shared" si="4"/>
        <v>0.2294630564</v>
      </c>
      <c r="P1101" s="9">
        <f>IFERROR(__xludf.DUMMYFUNCTION("GOOGLEFINANCE(A1101, ""pe"")"),11.76)</f>
        <v>11.76</v>
      </c>
      <c r="Q1101" s="9">
        <f>IFERROR(__xludf.DUMMYFUNCTION("IFERROR(GOOGLEFINANCE(A1101, ""volume"") / GOOGLEFINANCE(A1101, ""volumeavg""), 0)"),0.0)</f>
        <v>0</v>
      </c>
      <c r="R1101" s="9">
        <f>IFERROR(__xludf.DUMMYFUNCTION("AVERAGE(INDEX(GOOGLEFINANCE(A1101, ""price"", TODAY()-30, TODAY()), 0, 2))"),113.54521739130432)</f>
        <v>113.5452174</v>
      </c>
      <c r="S1101" s="9">
        <f>IFERROR(__xludf.DUMMYFUNCTION("AVERAGE(INDEX(GOOGLEFINANCE(A1101, ""price"", TODAY()-75, TODAY()), 0, 2))"),115.61792452830184)</f>
        <v>115.6179245</v>
      </c>
      <c r="T1101" s="9">
        <f>IFERROR(__xludf.DUMMYFUNCTION("AVERAGE(INDEX(GOOGLEFINANCE(A1101, ""price"", TODAY()-300, TODAY()), 0, 2))"),118.22622641509439)</f>
        <v>118.2262264</v>
      </c>
      <c r="U1101" s="9">
        <f t="shared" si="5"/>
        <v>-0.05764414866</v>
      </c>
      <c r="V1101" s="15">
        <f>IFERROR(__xludf.DUMMYFUNCTION("LET(hist, GOOGLEFINANCE(A1101,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rs))))))"),35.315832649712874)</f>
        <v>35.31583265</v>
      </c>
      <c r="W1101" s="16" t="str">
        <f>IFERROR(__xludf.DUMMYFUNCTION("IFERROR(GOOGLEFINANCE(A1101, ""volume"") / GOOGLEFINANCE(A1101, ""volumeavg""), )"),"")</f>
        <v/>
      </c>
      <c r="X1101" s="9">
        <f>IFERROR(__xludf.DUMMYFUNCTION("B1101 * GOOGLEFINANCE(A1101, ""volume"")"),7.6506391E7)</f>
        <v>76506391</v>
      </c>
      <c r="Y1101" s="9">
        <f>IFERROR(__xludf.DUMMYFUNCTION("IFERROR(((B1101 - GOOGLEFINANCE(A1101, ""priceopen"")) / GOOGLEFINANCE(A1101, ""priceopen"")) * GOOGLEFINANCE(A1101, ""volume""), 0)"),15009.814885496204)</f>
        <v>15009.81489</v>
      </c>
    </row>
    <row r="1102">
      <c r="A1102" s="4" t="s">
        <v>2895</v>
      </c>
      <c r="B1102" s="7">
        <f>IFERROR(__xludf.DUMMYFUNCTION("GOOGLEFINANCE(A1102, ""price"")"),108.3)</f>
        <v>108.3</v>
      </c>
      <c r="C1102" s="7">
        <f>IFERROR(__xludf.DUMMYFUNCTION("GOOGLEFINANCE(A1102, ""changepct"")"),-13.71)</f>
        <v>-13.71</v>
      </c>
      <c r="D1102" s="9">
        <f>IFERROR(__xludf.DUMMYFUNCTION("GOOGLEFINANCE(A1102, ""priceopen"")"),119.0)</f>
        <v>119</v>
      </c>
      <c r="E1102" s="9">
        <f>IFERROR(__xludf.DUMMYFUNCTION("GOOGLEFINANCE(A1102, ""high"")"),119.84)</f>
        <v>119.84</v>
      </c>
      <c r="F1102" s="9">
        <f>IFERROR(__xludf.DUMMYFUNCTION("GOOGLEFINANCE(A1102, ""low"")"),107.0)</f>
        <v>107</v>
      </c>
      <c r="G1102" s="9">
        <f>IFERROR(__xludf.DUMMYFUNCTION("GOOGLEFINANCE(A1102, ""price"")"),108.3)</f>
        <v>108.3</v>
      </c>
      <c r="H1102" s="9">
        <f>IFERROR(__xludf.DUMMYFUNCTION("MAX(INDEX(GOOGLEFINANCE(A1102, ""high"", TODAY()-30, TODAY()), 0, 2))"),133.8)</f>
        <v>133.8</v>
      </c>
      <c r="I1102" s="9">
        <f>IFERROR(__xludf.DUMMYFUNCTION("MIN(INDEX(GOOGLEFINANCE(A1102, ""low"", TODAY()-30, TODAY()), 0, 2))"),107.0)</f>
        <v>107</v>
      </c>
      <c r="J1102" s="9">
        <f>IFERROR(__xludf.DUMMYFUNCTION("GOOGLEFINANCE(A1102, ""high52"")"),235.0)</f>
        <v>235</v>
      </c>
      <c r="K1102" s="9">
        <f>IFERROR(__xludf.DUMMYFUNCTION("GOOGLEFINANCE(A1102, ""low52"")"),96.21)</f>
        <v>96.21</v>
      </c>
      <c r="L1102" s="9">
        <f t="shared" si="1"/>
        <v>0.5391489362</v>
      </c>
      <c r="M1102" s="9">
        <f t="shared" si="2"/>
        <v>0.125662613</v>
      </c>
      <c r="N1102" s="9">
        <f t="shared" si="3"/>
        <v>0.12</v>
      </c>
      <c r="O1102" s="9">
        <f t="shared" si="4"/>
        <v>0.04850746269</v>
      </c>
      <c r="P1102" s="9" t="str">
        <f>IFERROR(__xludf.DUMMYFUNCTION("GOOGLEFINANCE(A1102, ""pe"")"),"#N/A")</f>
        <v>#N/A</v>
      </c>
      <c r="Q1102" s="9">
        <f>IFERROR(__xludf.DUMMYFUNCTION("IFERROR(GOOGLEFINANCE(A1102, ""volume"") / GOOGLEFINANCE(A1102, ""volumeavg""), 0)"),0.0)</f>
        <v>0</v>
      </c>
      <c r="R1102" s="9">
        <f>IFERROR(__xludf.DUMMYFUNCTION("AVERAGE(INDEX(GOOGLEFINANCE(A1102, ""price"", TODAY()-30, TODAY()), 0, 2))"),124.95608695652173)</f>
        <v>124.956087</v>
      </c>
      <c r="S1102" s="9">
        <f>IFERROR(__xludf.DUMMYFUNCTION("AVERAGE(INDEX(GOOGLEFINANCE(A1102, ""price"", TODAY()-75, TODAY()), 0, 2))"),128.76849056603774)</f>
        <v>128.7684906</v>
      </c>
      <c r="T1102" s="9">
        <f>IFERROR(__xludf.DUMMYFUNCTION("AVERAGE(INDEX(GOOGLEFINANCE(A1102, ""price"", TODAY()-300, TODAY()), 0, 2))"),141.14460396039604)</f>
        <v>141.144604</v>
      </c>
      <c r="U1102" s="9">
        <f t="shared" si="5"/>
        <v>-0.1332955229</v>
      </c>
      <c r="V1102" s="15">
        <f>IFERROR(__xludf.DUMMYFUNCTION("LET(hist, GOOGLEFINANCE(A1102,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rs))))))"),35.80551198745238)</f>
        <v>35.80551199</v>
      </c>
      <c r="W1102" s="16" t="str">
        <f>IFERROR(__xludf.DUMMYFUNCTION("IFERROR(GOOGLEFINANCE(A1102, ""volume"") / GOOGLEFINANCE(A1102, ""volumeavg""), )"),"")</f>
        <v/>
      </c>
      <c r="X1102" s="9">
        <f>IFERROR(__xludf.DUMMYFUNCTION("B1102 * GOOGLEFINANCE(A1102, ""volume"")"),6.623374578E8)</f>
        <v>662337457.8</v>
      </c>
      <c r="Y1102" s="9">
        <f>IFERROR(__xludf.DUMMYFUNCTION("IFERROR(((B1102 - GOOGLEFINANCE(A1102, ""priceopen"")) / GOOGLEFINANCE(A1102, ""priceopen"")) * GOOGLEFINANCE(A1102, ""volume""), 0)"),-549905.0100840338)</f>
        <v>-549905.0101</v>
      </c>
    </row>
    <row r="1103">
      <c r="A1103" s="4" t="s">
        <v>2896</v>
      </c>
      <c r="B1103" s="7">
        <f>IFERROR(__xludf.DUMMYFUNCTION("GOOGLEFINANCE(A1103, ""price"")"),409.2)</f>
        <v>409.2</v>
      </c>
      <c r="C1103" s="7">
        <f>IFERROR(__xludf.DUMMYFUNCTION("GOOGLEFINANCE(A1103, ""changepct"")"),-2.29)</f>
        <v>-2.29</v>
      </c>
      <c r="D1103" s="9">
        <f>IFERROR(__xludf.DUMMYFUNCTION("GOOGLEFINANCE(A1103, ""priceopen"")"),425.0)</f>
        <v>425</v>
      </c>
      <c r="E1103" s="9">
        <f>IFERROR(__xludf.DUMMYFUNCTION("GOOGLEFINANCE(A1103, ""high"")"),439.0)</f>
        <v>439</v>
      </c>
      <c r="F1103" s="9">
        <f>IFERROR(__xludf.DUMMYFUNCTION("GOOGLEFINANCE(A1103, ""low"")"),405.05)</f>
        <v>405.05</v>
      </c>
      <c r="G1103" s="9">
        <f>IFERROR(__xludf.DUMMYFUNCTION("GOOGLEFINANCE(A1103, ""price"")"),409.2)</f>
        <v>409.2</v>
      </c>
      <c r="H1103" s="9">
        <f>IFERROR(__xludf.DUMMYFUNCTION("MAX(INDEX(GOOGLEFINANCE(A1103, ""high"", TODAY()-30, TODAY()), 0, 2))"),558.0)</f>
        <v>558</v>
      </c>
      <c r="I1103" s="9">
        <f>IFERROR(__xludf.DUMMYFUNCTION("MIN(INDEX(GOOGLEFINANCE(A1103, ""low"", TODAY()-30, TODAY()), 0, 2))"),397.3)</f>
        <v>397.3</v>
      </c>
      <c r="J1103" s="9">
        <f>IFERROR(__xludf.DUMMYFUNCTION("GOOGLEFINANCE(A1103, ""high52"")"),558.0)</f>
        <v>558</v>
      </c>
      <c r="K1103" s="9">
        <f>IFERROR(__xludf.DUMMYFUNCTION("GOOGLEFINANCE(A1103, ""low52"")"),200.92)</f>
        <v>200.92</v>
      </c>
      <c r="L1103" s="9">
        <f t="shared" si="1"/>
        <v>0.2666666667</v>
      </c>
      <c r="M1103" s="9">
        <f t="shared" si="2"/>
        <v>1.036631495</v>
      </c>
      <c r="N1103" s="9">
        <f t="shared" si="3"/>
        <v>0.08381681274</v>
      </c>
      <c r="O1103" s="9">
        <f t="shared" si="4"/>
        <v>0.07405102676</v>
      </c>
      <c r="P1103" s="9">
        <f>IFERROR(__xludf.DUMMYFUNCTION("GOOGLEFINANCE(A1103, ""pe"")"),35.37)</f>
        <v>35.37</v>
      </c>
      <c r="Q1103" s="9">
        <f>IFERROR(__xludf.DUMMYFUNCTION("IFERROR(GOOGLEFINANCE(A1103, ""volume"") / GOOGLEFINANCE(A1103, ""volumeavg""), 0)"),0.0)</f>
        <v>0</v>
      </c>
      <c r="R1103" s="9">
        <f>IFERROR(__xludf.DUMMYFUNCTION("AVERAGE(INDEX(GOOGLEFINANCE(A1103, ""price"", TODAY()-30, TODAY()), 0, 2))"),457.4782608695652)</f>
        <v>457.4782609</v>
      </c>
      <c r="S1103" s="9">
        <f>IFERROR(__xludf.DUMMYFUNCTION("AVERAGE(INDEX(GOOGLEFINANCE(A1103, ""price"", TODAY()-75, TODAY()), 0, 2))"),461.98679245283023)</f>
        <v>461.9867925</v>
      </c>
      <c r="T1103" s="9">
        <f>IFERROR(__xludf.DUMMYFUNCTION("AVERAGE(INDEX(GOOGLEFINANCE(A1103, ""price"", TODAY()-300, TODAY()), 0, 2))"),319.39292079207934)</f>
        <v>319.3929208</v>
      </c>
      <c r="U1103" s="9">
        <f t="shared" si="5"/>
        <v>-0.1055312678</v>
      </c>
      <c r="V1103" s="15">
        <f>IFERROR(__xludf.DUMMYFUNCTION("LET(hist, GOOGLEFINANCE(A1103,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rs))))))"),31.541340592038097)</f>
        <v>31.54134059</v>
      </c>
      <c r="W1103" s="16" t="str">
        <f>IFERROR(__xludf.DUMMYFUNCTION("IFERROR(GOOGLEFINANCE(A1103, ""volume"") / GOOGLEFINANCE(A1103, ""volumeavg""), )"),"")</f>
        <v/>
      </c>
      <c r="X1103" s="9">
        <f>IFERROR(__xludf.DUMMYFUNCTION("B1103 * GOOGLEFINANCE(A1103, ""volume"")"),2.461362552E8)</f>
        <v>246136255.2</v>
      </c>
      <c r="Y1103" s="9">
        <f>IFERROR(__xludf.DUMMYFUNCTION("IFERROR(((B1103 - GOOGLEFINANCE(A1103, ""priceopen"")) / GOOGLEFINANCE(A1103, ""priceopen"")) * GOOGLEFINANCE(A1103, ""volume""), 0)"),-22361.87011764707)</f>
        <v>-22361.87012</v>
      </c>
    </row>
    <row r="1104">
      <c r="A1104" s="4" t="s">
        <v>2897</v>
      </c>
      <c r="B1104" s="7">
        <f>IFERROR(__xludf.DUMMYFUNCTION("GOOGLEFINANCE(A1104, ""price"")"),26.12)</f>
        <v>26.12</v>
      </c>
      <c r="C1104" s="7">
        <f>IFERROR(__xludf.DUMMYFUNCTION("GOOGLEFINANCE(A1104, ""changepct"")"),-3.3)</f>
        <v>-3.3</v>
      </c>
      <c r="D1104" s="9">
        <f>IFERROR(__xludf.DUMMYFUNCTION("GOOGLEFINANCE(A1104, ""priceopen"")"),26.82)</f>
        <v>26.82</v>
      </c>
      <c r="E1104" s="9">
        <f>IFERROR(__xludf.DUMMYFUNCTION("GOOGLEFINANCE(A1104, ""high"")"),27.5)</f>
        <v>27.5</v>
      </c>
      <c r="F1104" s="9">
        <f>IFERROR(__xludf.DUMMYFUNCTION("GOOGLEFINANCE(A1104, ""low"")"),26.0)</f>
        <v>26</v>
      </c>
      <c r="G1104" s="9">
        <f>IFERROR(__xludf.DUMMYFUNCTION("GOOGLEFINANCE(A1104, ""price"")"),26.12)</f>
        <v>26.12</v>
      </c>
      <c r="H1104" s="9">
        <f>IFERROR(__xludf.DUMMYFUNCTION("MAX(INDEX(GOOGLEFINANCE(A1104, ""high"", TODAY()-30, TODAY()), 0, 2))"),34.87)</f>
        <v>34.87</v>
      </c>
      <c r="I1104" s="9">
        <f>IFERROR(__xludf.DUMMYFUNCTION("MIN(INDEX(GOOGLEFINANCE(A1104, ""low"", TODAY()-30, TODAY()), 0, 2))"),26.0)</f>
        <v>26</v>
      </c>
      <c r="J1104" s="9">
        <f>IFERROR(__xludf.DUMMYFUNCTION("GOOGLEFINANCE(A1104, ""high52"")"),34.87)</f>
        <v>34.87</v>
      </c>
      <c r="K1104" s="9">
        <f>IFERROR(__xludf.DUMMYFUNCTION("GOOGLEFINANCE(A1104, ""low52"")"),20.32)</f>
        <v>20.32</v>
      </c>
      <c r="L1104" s="9">
        <f t="shared" si="1"/>
        <v>0.2509320333</v>
      </c>
      <c r="M1104" s="9">
        <f t="shared" si="2"/>
        <v>0.2854330709</v>
      </c>
      <c r="N1104" s="9">
        <f t="shared" si="3"/>
        <v>0.05769230769</v>
      </c>
      <c r="O1104" s="9">
        <f t="shared" si="4"/>
        <v>0.01352874859</v>
      </c>
      <c r="P1104" s="9">
        <f>IFERROR(__xludf.DUMMYFUNCTION("GOOGLEFINANCE(A1104, ""pe"")"),202.12)</f>
        <v>202.12</v>
      </c>
      <c r="Q1104" s="9">
        <f>IFERROR(__xludf.DUMMYFUNCTION("IFERROR(GOOGLEFINANCE(A1104, ""volume"") / GOOGLEFINANCE(A1104, ""volumeavg""), 0)"),0.0)</f>
        <v>0</v>
      </c>
      <c r="R1104" s="9">
        <f>IFERROR(__xludf.DUMMYFUNCTION("AVERAGE(INDEX(GOOGLEFINANCE(A1104, ""price"", TODAY()-30, TODAY()), 0, 2))"),29.678695652173907)</f>
        <v>29.67869565</v>
      </c>
      <c r="S1104" s="9">
        <f>IFERROR(__xludf.DUMMYFUNCTION("AVERAGE(INDEX(GOOGLEFINANCE(A1104, ""price"", TODAY()-75, TODAY()), 0, 2))"),29.05245283018867)</f>
        <v>29.05245283</v>
      </c>
      <c r="T1104" s="9">
        <f>IFERROR(__xludf.DUMMYFUNCTION("AVERAGE(INDEX(GOOGLEFINANCE(A1104, ""price"", TODAY()-300, TODAY()), 0, 2))"),26.16851485148517)</f>
        <v>26.16851485</v>
      </c>
      <c r="U1104" s="9">
        <f t="shared" si="5"/>
        <v>-0.1199074142</v>
      </c>
      <c r="V1104" s="15">
        <f>IFERROR(__xludf.DUMMYFUNCTION("LET(hist, GOOGLEFINANCE(A1104,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rs))))))"),40.92284417549168)</f>
        <v>40.92284418</v>
      </c>
      <c r="W1104" s="16" t="str">
        <f>IFERROR(__xludf.DUMMYFUNCTION("IFERROR(GOOGLEFINANCE(A1104, ""volume"") / GOOGLEFINANCE(A1104, ""volumeavg""), )"),"")</f>
        <v/>
      </c>
      <c r="X1104" s="9">
        <f>IFERROR(__xludf.DUMMYFUNCTION("B1104 * GOOGLEFINANCE(A1104, ""volume"")"),3.1333740064E8)</f>
        <v>313337400.6</v>
      </c>
      <c r="Y1104" s="9">
        <f>IFERROR(__xludf.DUMMYFUNCTION("IFERROR(((B1104 - GOOGLEFINANCE(A1104, ""priceopen"")) / GOOGLEFINANCE(A1104, ""priceopen"")) * GOOGLEFINANCE(A1104, ""volume""), 0)"),-313096.5846383293)</f>
        <v>-313096.5846</v>
      </c>
    </row>
    <row r="1105">
      <c r="A1105" s="4" t="s">
        <v>2898</v>
      </c>
      <c r="B1105" s="7">
        <f>IFERROR(__xludf.DUMMYFUNCTION("GOOGLEFINANCE(A1105, ""price"")"),1506.1)</f>
        <v>1506.1</v>
      </c>
      <c r="C1105" s="7">
        <f>IFERROR(__xludf.DUMMYFUNCTION("GOOGLEFINANCE(A1105, ""changepct"")"),-1.65)</f>
        <v>-1.65</v>
      </c>
      <c r="D1105" s="9">
        <f>IFERROR(__xludf.DUMMYFUNCTION("GOOGLEFINANCE(A1105, ""priceopen"")"),1533.0)</f>
        <v>1533</v>
      </c>
      <c r="E1105" s="9">
        <f>IFERROR(__xludf.DUMMYFUNCTION("GOOGLEFINANCE(A1105, ""high"")"),1550.0)</f>
        <v>1550</v>
      </c>
      <c r="F1105" s="9">
        <f>IFERROR(__xludf.DUMMYFUNCTION("GOOGLEFINANCE(A1105, ""low"")"),1502.0)</f>
        <v>1502</v>
      </c>
      <c r="G1105" s="9">
        <f>IFERROR(__xludf.DUMMYFUNCTION("GOOGLEFINANCE(A1105, ""price"")"),1506.1)</f>
        <v>1506.1</v>
      </c>
      <c r="H1105" s="9">
        <f>IFERROR(__xludf.DUMMYFUNCTION("MAX(INDEX(GOOGLEFINANCE(A1105, ""high"", TODAY()-30, TODAY()), 0, 2))"),1565.0)</f>
        <v>1565</v>
      </c>
      <c r="I1105" s="9">
        <f>IFERROR(__xludf.DUMMYFUNCTION("MIN(INDEX(GOOGLEFINANCE(A1105, ""low"", TODAY()-30, TODAY()), 0, 2))"),1373.0)</f>
        <v>1373</v>
      </c>
      <c r="J1105" s="9">
        <f>IFERROR(__xludf.DUMMYFUNCTION("GOOGLEFINANCE(A1105, ""high52"")"),2035.0)</f>
        <v>2035</v>
      </c>
      <c r="K1105" s="9">
        <f>IFERROR(__xludf.DUMMYFUNCTION("GOOGLEFINANCE(A1105, ""low52"")"),1238.2)</f>
        <v>1238.2</v>
      </c>
      <c r="L1105" s="9">
        <f t="shared" si="1"/>
        <v>0.2599017199</v>
      </c>
      <c r="M1105" s="9">
        <f t="shared" si="2"/>
        <v>0.2163624616</v>
      </c>
      <c r="N1105" s="9">
        <f t="shared" si="3"/>
        <v>0.03195739015</v>
      </c>
      <c r="O1105" s="9">
        <f t="shared" si="4"/>
        <v>0.6932291667</v>
      </c>
      <c r="P1105" s="9">
        <f>IFERROR(__xludf.DUMMYFUNCTION("GOOGLEFINANCE(A1105, ""pe"")"),13.36)</f>
        <v>13.36</v>
      </c>
      <c r="Q1105" s="9">
        <f>IFERROR(__xludf.DUMMYFUNCTION("IFERROR(GOOGLEFINANCE(A1105, ""volume"") / GOOGLEFINANCE(A1105, ""volumeavg""), 0)"),0.0)</f>
        <v>0</v>
      </c>
      <c r="R1105" s="9">
        <f>IFERROR(__xludf.DUMMYFUNCTION("AVERAGE(INDEX(GOOGLEFINANCE(A1105, ""price"", TODAY()-30, TODAY()), 0, 2))"),1433.382608695652)</f>
        <v>1433.382609</v>
      </c>
      <c r="S1105" s="9">
        <f>IFERROR(__xludf.DUMMYFUNCTION("AVERAGE(INDEX(GOOGLEFINANCE(A1105, ""price"", TODAY()-75, TODAY()), 0, 2))"),1442.7641509433965)</f>
        <v>1442.764151</v>
      </c>
      <c r="T1105" s="9">
        <f>IFERROR(__xludf.DUMMYFUNCTION("AVERAGE(INDEX(GOOGLEFINANCE(A1105, ""price"", TODAY()-300, TODAY()), 0, 2))"),1497.7480198019803)</f>
        <v>1497.74802</v>
      </c>
      <c r="U1105" s="9">
        <f t="shared" si="5"/>
        <v>0.05073131965</v>
      </c>
      <c r="V1105" s="15">
        <f>IFERROR(__xludf.DUMMYFUNCTION("LET(hist, GOOGLEFINANCE(A1105,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rs))))))"),80.19597730789073)</f>
        <v>80.19597731</v>
      </c>
      <c r="W1105" s="16" t="str">
        <f>IFERROR(__xludf.DUMMYFUNCTION("IFERROR(GOOGLEFINANCE(A1105, ""volume"") / GOOGLEFINANCE(A1105, ""volumeavg""), )"),"")</f>
        <v/>
      </c>
      <c r="X1105" s="9">
        <f>IFERROR(__xludf.DUMMYFUNCTION("B1105 * GOOGLEFINANCE(A1105, ""volume"")"),2.6169993599999998E7)</f>
        <v>26169993.6</v>
      </c>
      <c r="Y1105" s="9">
        <f>IFERROR(__xludf.DUMMYFUNCTION("IFERROR(((B1105 - GOOGLEFINANCE(A1105, ""priceopen"")) / GOOGLEFINANCE(A1105, ""priceopen"")) * GOOGLEFINANCE(A1105, ""volume""), 0)"),-304.9017612524472)</f>
        <v>-304.9017613</v>
      </c>
    </row>
    <row r="1106">
      <c r="A1106" s="4" t="s">
        <v>2899</v>
      </c>
      <c r="B1106" s="7">
        <f>IFERROR(__xludf.DUMMYFUNCTION("GOOGLEFINANCE(A1106, ""price"")"),549.85)</f>
        <v>549.85</v>
      </c>
      <c r="C1106" s="7">
        <f>IFERROR(__xludf.DUMMYFUNCTION("GOOGLEFINANCE(A1106, ""changepct"")"),-4.12)</f>
        <v>-4.12</v>
      </c>
      <c r="D1106" s="9">
        <f>IFERROR(__xludf.DUMMYFUNCTION("GOOGLEFINANCE(A1106, ""priceopen"")"),580.95)</f>
        <v>580.95</v>
      </c>
      <c r="E1106" s="9">
        <f>IFERROR(__xludf.DUMMYFUNCTION("GOOGLEFINANCE(A1106, ""high"")"),589.0)</f>
        <v>589</v>
      </c>
      <c r="F1106" s="9">
        <f>IFERROR(__xludf.DUMMYFUNCTION("GOOGLEFINANCE(A1106, ""low"")"),514.05)</f>
        <v>514.05</v>
      </c>
      <c r="G1106" s="9">
        <f>IFERROR(__xludf.DUMMYFUNCTION("GOOGLEFINANCE(A1106, ""price"")"),549.85)</f>
        <v>549.85</v>
      </c>
      <c r="H1106" s="9">
        <f>IFERROR(__xludf.DUMMYFUNCTION("MAX(INDEX(GOOGLEFINANCE(A1106, ""high"", TODAY()-30, TODAY()), 0, 2))"),594.7)</f>
        <v>594.7</v>
      </c>
      <c r="I1106" s="9">
        <f>IFERROR(__xludf.DUMMYFUNCTION("MIN(INDEX(GOOGLEFINANCE(A1106, ""low"", TODAY()-30, TODAY()), 0, 2))"),510.9)</f>
        <v>510.9</v>
      </c>
      <c r="J1106" s="9">
        <f>IFERROR(__xludf.DUMMYFUNCTION("GOOGLEFINANCE(A1106, ""high52"")"),706.0)</f>
        <v>706</v>
      </c>
      <c r="K1106" s="9">
        <f>IFERROR(__xludf.DUMMYFUNCTION("GOOGLEFINANCE(A1106, ""low52"")"),400.0)</f>
        <v>400</v>
      </c>
      <c r="L1106" s="9">
        <f t="shared" si="1"/>
        <v>0.2211756374</v>
      </c>
      <c r="M1106" s="9">
        <f t="shared" si="2"/>
        <v>0.374625</v>
      </c>
      <c r="N1106" s="9">
        <f t="shared" si="3"/>
        <v>0.1458029375</v>
      </c>
      <c r="O1106" s="9">
        <f t="shared" si="4"/>
        <v>0.464797136</v>
      </c>
      <c r="P1106" s="9">
        <f>IFERROR(__xludf.DUMMYFUNCTION("GOOGLEFINANCE(A1106, ""pe"")"),126.11)</f>
        <v>126.11</v>
      </c>
      <c r="Q1106" s="9">
        <f>IFERROR(__xludf.DUMMYFUNCTION("IFERROR(GOOGLEFINANCE(A1106, ""volume"") / GOOGLEFINANCE(A1106, ""volumeavg""), 0)"),0.0)</f>
        <v>0</v>
      </c>
      <c r="R1106" s="9">
        <f>IFERROR(__xludf.DUMMYFUNCTION("AVERAGE(INDEX(GOOGLEFINANCE(A1106, ""price"", TODAY()-30, TODAY()), 0, 2))"),555.895652173913)</f>
        <v>555.8956522</v>
      </c>
      <c r="S1106" s="9">
        <f>IFERROR(__xludf.DUMMYFUNCTION("AVERAGE(INDEX(GOOGLEFINANCE(A1106, ""price"", TODAY()-75, TODAY()), 0, 2))"),564.8207547169811)</f>
        <v>564.8207547</v>
      </c>
      <c r="T1106" s="9">
        <f>IFERROR(__xludf.DUMMYFUNCTION("AVERAGE(INDEX(GOOGLEFINANCE(A1106, ""price"", TODAY()-300, TODAY()), 0, 2))"),525.796111111111)</f>
        <v>525.7961111</v>
      </c>
      <c r="U1106" s="9">
        <f t="shared" si="5"/>
        <v>-0.01087551621</v>
      </c>
      <c r="V1106" s="15">
        <f>IFERROR(__xludf.DUMMYFUNCTION("LET(hist, GOOGLEFINANCE(A1106,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rs))))))"),52.783866725120554)</f>
        <v>52.78386673</v>
      </c>
      <c r="W1106" s="16" t="str">
        <f>IFERROR(__xludf.DUMMYFUNCTION("IFERROR(GOOGLEFINANCE(A1106, ""volume"") / GOOGLEFINANCE(A1106, ""volumeavg""), )"),"")</f>
        <v/>
      </c>
      <c r="X1106" s="9">
        <f>IFERROR(__xludf.DUMMYFUNCTION("B1106 * GOOGLEFINANCE(A1106, ""volume"")"),1.921769738E8)</f>
        <v>192176973.8</v>
      </c>
      <c r="Y1106" s="9">
        <f>IFERROR(__xludf.DUMMYFUNCTION("IFERROR(((B1106 - GOOGLEFINANCE(A1106, ""priceopen"")) / GOOGLEFINANCE(A1106, ""priceopen"")) * GOOGLEFINANCE(A1106, ""volume""), 0)"),-18710.21395989329)</f>
        <v>-18710.21396</v>
      </c>
    </row>
    <row r="1107">
      <c r="A1107" s="4" t="s">
        <v>2900</v>
      </c>
      <c r="B1107" s="7">
        <f>IFERROR(__xludf.DUMMYFUNCTION("GOOGLEFINANCE(A1107, ""price"")"),367.15)</f>
        <v>367.15</v>
      </c>
      <c r="C1107" s="7">
        <f>IFERROR(__xludf.DUMMYFUNCTION("GOOGLEFINANCE(A1107, ""changepct"")"),-2.44)</f>
        <v>-2.44</v>
      </c>
      <c r="D1107" s="9">
        <f>IFERROR(__xludf.DUMMYFUNCTION("GOOGLEFINANCE(A1107, ""priceopen"")"),363.85)</f>
        <v>363.85</v>
      </c>
      <c r="E1107" s="9">
        <f>IFERROR(__xludf.DUMMYFUNCTION("GOOGLEFINANCE(A1107, ""high"")"),374.8)</f>
        <v>374.8</v>
      </c>
      <c r="F1107" s="9">
        <f>IFERROR(__xludf.DUMMYFUNCTION("GOOGLEFINANCE(A1107, ""low"")"),363.85)</f>
        <v>363.85</v>
      </c>
      <c r="G1107" s="9">
        <f>IFERROR(__xludf.DUMMYFUNCTION("GOOGLEFINANCE(A1107, ""price"")"),367.15)</f>
        <v>367.15</v>
      </c>
      <c r="H1107" s="9">
        <f>IFERROR(__xludf.DUMMYFUNCTION("MAX(INDEX(GOOGLEFINANCE(A1107, ""high"", TODAY()-30, TODAY()), 0, 2))"),421.7)</f>
        <v>421.7</v>
      </c>
      <c r="I1107" s="9">
        <f>IFERROR(__xludf.DUMMYFUNCTION("MIN(INDEX(GOOGLEFINANCE(A1107, ""low"", TODAY()-30, TODAY()), 0, 2))"),363.85)</f>
        <v>363.85</v>
      </c>
      <c r="J1107" s="9">
        <f>IFERROR(__xludf.DUMMYFUNCTION("GOOGLEFINANCE(A1107, ""high52"")"),455.9)</f>
        <v>455.9</v>
      </c>
      <c r="K1107" s="9">
        <f>IFERROR(__xludf.DUMMYFUNCTION("GOOGLEFINANCE(A1107, ""low52"")"),333.6)</f>
        <v>333.6</v>
      </c>
      <c r="L1107" s="9">
        <f t="shared" si="1"/>
        <v>0.1946698837</v>
      </c>
      <c r="M1107" s="9">
        <f t="shared" si="2"/>
        <v>0.1005695444</v>
      </c>
      <c r="N1107" s="9">
        <f t="shared" si="3"/>
        <v>0.03009481929</v>
      </c>
      <c r="O1107" s="9">
        <f t="shared" si="4"/>
        <v>0.05704407952</v>
      </c>
      <c r="P1107" s="9">
        <f>IFERROR(__xludf.DUMMYFUNCTION("GOOGLEFINANCE(A1107, ""pe"")"),4.83)</f>
        <v>4.83</v>
      </c>
      <c r="Q1107" s="9">
        <f>IFERROR(__xludf.DUMMYFUNCTION("IFERROR(GOOGLEFINANCE(A1107, ""volume"") / GOOGLEFINANCE(A1107, ""volumeavg""), 0)"),0.0)</f>
        <v>0</v>
      </c>
      <c r="R1107" s="9">
        <f>IFERROR(__xludf.DUMMYFUNCTION("AVERAGE(INDEX(GOOGLEFINANCE(A1107, ""price"", TODAY()-30, TODAY()), 0, 2))"),391.9195652173914)</f>
        <v>391.9195652</v>
      </c>
      <c r="S1107" s="9">
        <f>IFERROR(__xludf.DUMMYFUNCTION("AVERAGE(INDEX(GOOGLEFINANCE(A1107, ""price"", TODAY()-75, TODAY()), 0, 2))"),393.63301886792436)</f>
        <v>393.6330189</v>
      </c>
      <c r="T1107" s="9">
        <f>IFERROR(__xludf.DUMMYFUNCTION("AVERAGE(INDEX(GOOGLEFINANCE(A1107, ""price"", TODAY()-300, TODAY()), 0, 2))"),397.5527227722773)</f>
        <v>397.5527228</v>
      </c>
      <c r="U1107" s="9">
        <f t="shared" si="5"/>
        <v>-0.06320063456</v>
      </c>
      <c r="V1107" s="15">
        <f>IFERROR(__xludf.DUMMYFUNCTION("LET(hist, GOOGLEFINANCE(A1107,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rs))))))"),32.53552729992519)</f>
        <v>32.5355273</v>
      </c>
      <c r="W1107" s="16" t="str">
        <f>IFERROR(__xludf.DUMMYFUNCTION("IFERROR(GOOGLEFINANCE(A1107, ""volume"") / GOOGLEFINANCE(A1107, ""volumeavg""), )"),"")</f>
        <v/>
      </c>
      <c r="X1107" s="9">
        <f>IFERROR(__xludf.DUMMYFUNCTION("B1107 * GOOGLEFINANCE(A1107, ""volume"")"),3.8308431E7)</f>
        <v>38308431</v>
      </c>
      <c r="Y1107" s="9">
        <f>IFERROR(__xludf.DUMMYFUNCTION("IFERROR(((B1107 - GOOGLEFINANCE(A1107, ""priceopen"")) / GOOGLEFINANCE(A1107, ""priceopen"")) * GOOGLEFINANCE(A1107, ""volume""), 0)"),946.3295314002892)</f>
        <v>946.3295314</v>
      </c>
    </row>
    <row r="1108">
      <c r="A1108" s="4" t="s">
        <v>2901</v>
      </c>
      <c r="B1108" s="7">
        <f>IFERROR(__xludf.DUMMYFUNCTION("GOOGLEFINANCE(A1108, ""price"")"),6.49)</f>
        <v>6.49</v>
      </c>
      <c r="C1108" s="7">
        <f>IFERROR(__xludf.DUMMYFUNCTION("GOOGLEFINANCE(A1108, ""changepct"")"),-1.37)</f>
        <v>-1.37</v>
      </c>
      <c r="D1108" s="9">
        <f>IFERROR(__xludf.DUMMYFUNCTION("GOOGLEFINANCE(A1108, ""priceopen"")"),6.58)</f>
        <v>6.58</v>
      </c>
      <c r="E1108" s="9">
        <f>IFERROR(__xludf.DUMMYFUNCTION("GOOGLEFINANCE(A1108, ""high"")"),6.6)</f>
        <v>6.6</v>
      </c>
      <c r="F1108" s="9">
        <f>IFERROR(__xludf.DUMMYFUNCTION("GOOGLEFINANCE(A1108, ""low"")"),6.42)</f>
        <v>6.42</v>
      </c>
      <c r="G1108" s="9">
        <f>IFERROR(__xludf.DUMMYFUNCTION("GOOGLEFINANCE(A1108, ""price"")"),6.49)</f>
        <v>6.49</v>
      </c>
      <c r="H1108" s="9">
        <f>IFERROR(__xludf.DUMMYFUNCTION("MAX(INDEX(GOOGLEFINANCE(A1108, ""high"", TODAY()-30, TODAY()), 0, 2))"),7.09)</f>
        <v>7.09</v>
      </c>
      <c r="I1108" s="9">
        <f>IFERROR(__xludf.DUMMYFUNCTION("MIN(INDEX(GOOGLEFINANCE(A1108, ""low"", TODAY()-30, TODAY()), 0, 2))"),6.42)</f>
        <v>6.42</v>
      </c>
      <c r="J1108" s="9">
        <f>IFERROR(__xludf.DUMMYFUNCTION("GOOGLEFINANCE(A1108, ""high52"")"),10.6)</f>
        <v>10.6</v>
      </c>
      <c r="K1108" s="9">
        <f>IFERROR(__xludf.DUMMYFUNCTION("GOOGLEFINANCE(A1108, ""low52"")"),5.77)</f>
        <v>5.77</v>
      </c>
      <c r="L1108" s="9">
        <f t="shared" si="1"/>
        <v>0.3877358491</v>
      </c>
      <c r="M1108" s="9">
        <f t="shared" si="2"/>
        <v>0.1247833622</v>
      </c>
      <c r="N1108" s="9">
        <f t="shared" si="3"/>
        <v>0.02803738318</v>
      </c>
      <c r="O1108" s="9">
        <f t="shared" si="4"/>
        <v>0.1044776119</v>
      </c>
      <c r="P1108" s="9" t="str">
        <f>IFERROR(__xludf.DUMMYFUNCTION("GOOGLEFINANCE(A1108, ""pe"")"),"#N/A")</f>
        <v>#N/A</v>
      </c>
      <c r="Q1108" s="9">
        <f>IFERROR(__xludf.DUMMYFUNCTION("IFERROR(GOOGLEFINANCE(A1108, ""volume"") / GOOGLEFINANCE(A1108, ""volumeavg""), 0)"),0.0)</f>
        <v>0</v>
      </c>
      <c r="R1108" s="9">
        <f>IFERROR(__xludf.DUMMYFUNCTION("AVERAGE(INDEX(GOOGLEFINANCE(A1108, ""price"", TODAY()-30, TODAY()), 0, 2))"),6.71521739130435)</f>
        <v>6.715217391</v>
      </c>
      <c r="S1108" s="9">
        <f>IFERROR(__xludf.DUMMYFUNCTION("AVERAGE(INDEX(GOOGLEFINANCE(A1108, ""price"", TODAY()-75, TODAY()), 0, 2))"),7.117358490566038)</f>
        <v>7.117358491</v>
      </c>
      <c r="T1108" s="9">
        <f>IFERROR(__xludf.DUMMYFUNCTION("AVERAGE(INDEX(GOOGLEFINANCE(A1108, ""price"", TODAY()-300, TODAY()), 0, 2))"),7.428465346534647)</f>
        <v>7.428465347</v>
      </c>
      <c r="U1108" s="9">
        <f t="shared" si="5"/>
        <v>-0.03353836193</v>
      </c>
      <c r="V1108" s="15">
        <f>IFERROR(__xludf.DUMMYFUNCTION("LET(hist, GOOGLEFINANCE(A1108,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rs))))))"),30.107526881720503)</f>
        <v>30.10752688</v>
      </c>
      <c r="W1108" s="16" t="str">
        <f>IFERROR(__xludf.DUMMYFUNCTION("IFERROR(GOOGLEFINANCE(A1108, ""volume"") / GOOGLEFINANCE(A1108, ""volumeavg""), )"),"")</f>
        <v/>
      </c>
      <c r="X1108" s="9">
        <f>IFERROR(__xludf.DUMMYFUNCTION("B1108 * GOOGLEFINANCE(A1108, ""volume"")"),1.291790368E8)</f>
        <v>129179036.8</v>
      </c>
      <c r="Y1108" s="9">
        <f>IFERROR(__xludf.DUMMYFUNCTION("IFERROR(((B1108 - GOOGLEFINANCE(A1108, ""priceopen"")) / GOOGLEFINANCE(A1108, ""priceopen"")) * GOOGLEFINANCE(A1108, ""volume""), 0)"),-272247.5379939205)</f>
        <v>-272247.538</v>
      </c>
    </row>
    <row r="1109">
      <c r="A1109" s="4" t="s">
        <v>2902</v>
      </c>
      <c r="B1109" s="7">
        <f>IFERROR(__xludf.DUMMYFUNCTION("GOOGLEFINANCE(A1109, ""price"")"),5439.0)</f>
        <v>5439</v>
      </c>
      <c r="C1109" s="7">
        <f>IFERROR(__xludf.DUMMYFUNCTION("GOOGLEFINANCE(A1109, ""changepct"")"),1.66)</f>
        <v>1.66</v>
      </c>
      <c r="D1109" s="9">
        <f>IFERROR(__xludf.DUMMYFUNCTION("GOOGLEFINANCE(A1109, ""priceopen"")"),5350.0)</f>
        <v>5350</v>
      </c>
      <c r="E1109" s="9">
        <f>IFERROR(__xludf.DUMMYFUNCTION("GOOGLEFINANCE(A1109, ""high"")"),5459.5)</f>
        <v>5459.5</v>
      </c>
      <c r="F1109" s="9">
        <f>IFERROR(__xludf.DUMMYFUNCTION("GOOGLEFINANCE(A1109, ""low"")"),5311.0)</f>
        <v>5311</v>
      </c>
      <c r="G1109" s="9">
        <f>IFERROR(__xludf.DUMMYFUNCTION("GOOGLEFINANCE(A1109, ""price"")"),5439.0)</f>
        <v>5439</v>
      </c>
      <c r="H1109" s="9">
        <f>IFERROR(__xludf.DUMMYFUNCTION("MAX(INDEX(GOOGLEFINANCE(A1109, ""high"", TODAY()-30, TODAY()), 0, 2))"),5821.0)</f>
        <v>5821</v>
      </c>
      <c r="I1109" s="9">
        <f>IFERROR(__xludf.DUMMYFUNCTION("MIN(INDEX(GOOGLEFINANCE(A1109, ""low"", TODAY()-30, TODAY()), 0, 2))"),5269.0)</f>
        <v>5269</v>
      </c>
      <c r="J1109" s="9">
        <f>IFERROR(__xludf.DUMMYFUNCTION("GOOGLEFINANCE(A1109, ""high52"")"),6554.9)</f>
        <v>6554.9</v>
      </c>
      <c r="K1109" s="9">
        <f>IFERROR(__xludf.DUMMYFUNCTION("GOOGLEFINANCE(A1109, ""low52"")"),4011.0)</f>
        <v>4011</v>
      </c>
      <c r="L1109" s="9">
        <f t="shared" si="1"/>
        <v>0.1702390578</v>
      </c>
      <c r="M1109" s="9">
        <f t="shared" si="2"/>
        <v>0.3560209424</v>
      </c>
      <c r="N1109" s="9">
        <f t="shared" si="3"/>
        <v>0.027960836</v>
      </c>
      <c r="O1109" s="9">
        <f t="shared" si="4"/>
        <v>0.3079710145</v>
      </c>
      <c r="P1109" s="9">
        <f>IFERROR(__xludf.DUMMYFUNCTION("GOOGLEFINANCE(A1109, ""pe"")"),64.57)</f>
        <v>64.57</v>
      </c>
      <c r="Q1109" s="9">
        <f>IFERROR(__xludf.DUMMYFUNCTION("IFERROR(GOOGLEFINANCE(A1109, ""volume"") / GOOGLEFINANCE(A1109, ""volumeavg""), 0)"),0.0)</f>
        <v>0</v>
      </c>
      <c r="R1109" s="9">
        <f>IFERROR(__xludf.DUMMYFUNCTION("AVERAGE(INDEX(GOOGLEFINANCE(A1109, ""price"", TODAY()-30, TODAY()), 0, 2))"),5471.217391304348)</f>
        <v>5471.217391</v>
      </c>
      <c r="S1109" s="9">
        <f>IFERROR(__xludf.DUMMYFUNCTION("AVERAGE(INDEX(GOOGLEFINANCE(A1109, ""price"", TODAY()-75, TODAY()), 0, 2))"),5329.601886792453)</f>
        <v>5329.601887</v>
      </c>
      <c r="T1109" s="9">
        <f>IFERROR(__xludf.DUMMYFUNCTION("AVERAGE(INDEX(GOOGLEFINANCE(A1109, ""price"", TODAY()-300, TODAY()), 0, 2))"),5021.35396039604)</f>
        <v>5021.35396</v>
      </c>
      <c r="U1109" s="9">
        <f t="shared" si="5"/>
        <v>-0.00588852334</v>
      </c>
      <c r="V1109" s="15">
        <f>IFERROR(__xludf.DUMMYFUNCTION("LET(hist, GOOGLEFINANCE(A1109,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rs))))))"),52.30572160546541)</f>
        <v>52.30572161</v>
      </c>
      <c r="W1109" s="16" t="str">
        <f>IFERROR(__xludf.DUMMYFUNCTION("IFERROR(GOOGLEFINANCE(A1109, ""volume"") / GOOGLEFINANCE(A1109, ""volumeavg""), )"),"")</f>
        <v/>
      </c>
      <c r="X1109" s="9">
        <f>IFERROR(__xludf.DUMMYFUNCTION("B1109 * GOOGLEFINANCE(A1109, ""volume"")"),4498053.0)</f>
        <v>4498053</v>
      </c>
      <c r="Y1109" s="9">
        <f>IFERROR(__xludf.DUMMYFUNCTION("IFERROR(((B1109 - GOOGLEFINANCE(A1109, ""priceopen"")) / GOOGLEFINANCE(A1109, ""priceopen"")) * GOOGLEFINANCE(A1109, ""volume""), 0)"),13.757570093457945)</f>
        <v>13.75757009</v>
      </c>
    </row>
    <row r="1110">
      <c r="A1110" s="4" t="s">
        <v>2903</v>
      </c>
      <c r="B1110" s="7">
        <f>IFERROR(__xludf.DUMMYFUNCTION("GOOGLEFINANCE(A1110, ""price"")"),4914.0)</f>
        <v>4914</v>
      </c>
      <c r="C1110" s="7">
        <f>IFERROR(__xludf.DUMMYFUNCTION("GOOGLEFINANCE(A1110, ""changepct"")"),9.08)</f>
        <v>9.08</v>
      </c>
      <c r="D1110" s="9">
        <f>IFERROR(__xludf.DUMMYFUNCTION("GOOGLEFINANCE(A1110, ""priceopen"")"),4549.4)</f>
        <v>4549.4</v>
      </c>
      <c r="E1110" s="9">
        <f>IFERROR(__xludf.DUMMYFUNCTION("GOOGLEFINANCE(A1110, ""high"")"),5199.0)</f>
        <v>5199</v>
      </c>
      <c r="F1110" s="9">
        <f>IFERROR(__xludf.DUMMYFUNCTION("GOOGLEFINANCE(A1110, ""low"")"),4535.2)</f>
        <v>4535.2</v>
      </c>
      <c r="G1110" s="9">
        <f>IFERROR(__xludf.DUMMYFUNCTION("GOOGLEFINANCE(A1110, ""price"")"),4914.0)</f>
        <v>4914</v>
      </c>
      <c r="H1110" s="9">
        <f>IFERROR(__xludf.DUMMYFUNCTION("MAX(INDEX(GOOGLEFINANCE(A1110, ""high"", TODAY()-30, TODAY()), 0, 2))"),5199.0)</f>
        <v>5199</v>
      </c>
      <c r="I1110" s="9">
        <f>IFERROR(__xludf.DUMMYFUNCTION("MIN(INDEX(GOOGLEFINANCE(A1110, ""low"", TODAY()-30, TODAY()), 0, 2))"),3551.0)</f>
        <v>3551</v>
      </c>
      <c r="J1110" s="9">
        <f>IFERROR(__xludf.DUMMYFUNCTION("GOOGLEFINANCE(A1110, ""high52"")"),6138.9)</f>
        <v>6138.9</v>
      </c>
      <c r="K1110" s="9">
        <f>IFERROR(__xludf.DUMMYFUNCTION("GOOGLEFINANCE(A1110, ""low52"")"),3100.5)</f>
        <v>3100.5</v>
      </c>
      <c r="L1110" s="9">
        <f t="shared" si="1"/>
        <v>0.1995308606</v>
      </c>
      <c r="M1110" s="9">
        <f t="shared" si="2"/>
        <v>0.5849056604</v>
      </c>
      <c r="N1110" s="9">
        <f t="shared" si="3"/>
        <v>0.1463662022</v>
      </c>
      <c r="O1110" s="9">
        <f t="shared" si="4"/>
        <v>0.8270631068</v>
      </c>
      <c r="P1110" s="9" t="str">
        <f>IFERROR(__xludf.DUMMYFUNCTION("GOOGLEFINANCE(A1110, ""pe"")"),"#N/A")</f>
        <v>#N/A</v>
      </c>
      <c r="Q1110" s="9">
        <f>IFERROR(__xludf.DUMMYFUNCTION("IFERROR(GOOGLEFINANCE(A1110, ""volume"") / GOOGLEFINANCE(A1110, ""volumeavg""), 0)"),0.0)</f>
        <v>0</v>
      </c>
      <c r="R1110" s="9">
        <f>IFERROR(__xludf.DUMMYFUNCTION("AVERAGE(INDEX(GOOGLEFINANCE(A1110, ""price"", TODAY()-30, TODAY()), 0, 2))"),4007.8826086956524)</f>
        <v>4007.882609</v>
      </c>
      <c r="S1110" s="9">
        <f>IFERROR(__xludf.DUMMYFUNCTION("AVERAGE(INDEX(GOOGLEFINANCE(A1110, ""price"", TODAY()-75, TODAY()), 0, 2))"),4000.5358490566036)</f>
        <v>4000.535849</v>
      </c>
      <c r="T1110" s="9">
        <f>IFERROR(__xludf.DUMMYFUNCTION("AVERAGE(INDEX(GOOGLEFINANCE(A1110, ""price"", TODAY()-300, TODAY()), 0, 2))"),4337.38910891089)</f>
        <v>4337.389109</v>
      </c>
      <c r="U1110" s="9">
        <f t="shared" si="5"/>
        <v>0.2260838153</v>
      </c>
      <c r="V1110" s="15">
        <f>IFERROR(__xludf.DUMMYFUNCTION("LET(hist, GOOGLEFINANCE(A1110,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rs))))))"),86.33229605223018)</f>
        <v>86.33229605</v>
      </c>
      <c r="W1110" s="16" t="str">
        <f>IFERROR(__xludf.DUMMYFUNCTION("IFERROR(GOOGLEFINANCE(A1110, ""volume"") / GOOGLEFINANCE(A1110, ""volumeavg""), )"),"")</f>
        <v/>
      </c>
      <c r="X1110" s="9">
        <f>IFERROR(__xludf.DUMMYFUNCTION("B1110 * GOOGLEFINANCE(A1110, ""volume"")"),2.93183982E9)</f>
        <v>2931839820</v>
      </c>
      <c r="Y1110" s="9">
        <f>IFERROR(__xludf.DUMMYFUNCTION("IFERROR(((B1110 - GOOGLEFINANCE(A1110, ""priceopen"")) / GOOGLEFINANCE(A1110, ""priceopen"")) * GOOGLEFINANCE(A1110, ""volume""), 0)"),47815.381808590195)</f>
        <v>47815.38181</v>
      </c>
    </row>
    <row r="1111">
      <c r="A1111" s="4" t="s">
        <v>2904</v>
      </c>
      <c r="B1111" s="7">
        <f>IFERROR(__xludf.DUMMYFUNCTION("GOOGLEFINANCE(A1111, ""price"")"),434.3)</f>
        <v>434.3</v>
      </c>
      <c r="C1111" s="7">
        <f>IFERROR(__xludf.DUMMYFUNCTION("GOOGLEFINANCE(A1111, ""changepct"")"),-1.82)</f>
        <v>-1.82</v>
      </c>
      <c r="D1111" s="9">
        <f>IFERROR(__xludf.DUMMYFUNCTION("GOOGLEFINANCE(A1111, ""priceopen"")"),442.6)</f>
        <v>442.6</v>
      </c>
      <c r="E1111" s="9">
        <f>IFERROR(__xludf.DUMMYFUNCTION("GOOGLEFINANCE(A1111, ""high"")"),443.6)</f>
        <v>443.6</v>
      </c>
      <c r="F1111" s="9">
        <f>IFERROR(__xludf.DUMMYFUNCTION("GOOGLEFINANCE(A1111, ""low"")"),431.9)</f>
        <v>431.9</v>
      </c>
      <c r="G1111" s="9">
        <f>IFERROR(__xludf.DUMMYFUNCTION("GOOGLEFINANCE(A1111, ""price"")"),434.3)</f>
        <v>434.3</v>
      </c>
      <c r="H1111" s="9">
        <f>IFERROR(__xludf.DUMMYFUNCTION("MAX(INDEX(GOOGLEFINANCE(A1111, ""high"", TODAY()-30, TODAY()), 0, 2))"),458.0)</f>
        <v>458</v>
      </c>
      <c r="I1111" s="9">
        <f>IFERROR(__xludf.DUMMYFUNCTION("MIN(INDEX(GOOGLEFINANCE(A1111, ""low"", TODAY()-30, TODAY()), 0, 2))"),385.0)</f>
        <v>385</v>
      </c>
      <c r="J1111" s="9">
        <f>IFERROR(__xludf.DUMMYFUNCTION("GOOGLEFINANCE(A1111, ""high52"")"),539.0)</f>
        <v>539</v>
      </c>
      <c r="K1111" s="9">
        <f>IFERROR(__xludf.DUMMYFUNCTION("GOOGLEFINANCE(A1111, ""low52"")"),385.0)</f>
        <v>385</v>
      </c>
      <c r="L1111" s="9">
        <f t="shared" si="1"/>
        <v>0.1942486085</v>
      </c>
      <c r="M1111" s="9">
        <f t="shared" si="2"/>
        <v>0.1280519481</v>
      </c>
      <c r="N1111" s="9">
        <f t="shared" si="3"/>
        <v>0.02708960408</v>
      </c>
      <c r="O1111" s="9">
        <f t="shared" si="4"/>
        <v>0.6753424658</v>
      </c>
      <c r="P1111" s="9">
        <f>IFERROR(__xludf.DUMMYFUNCTION("GOOGLEFINANCE(A1111, ""pe"")"),36.37)</f>
        <v>36.37</v>
      </c>
      <c r="Q1111" s="9">
        <f>IFERROR(__xludf.DUMMYFUNCTION("IFERROR(GOOGLEFINANCE(A1111, ""volume"") / GOOGLEFINANCE(A1111, ""volumeavg""), 0)"),0.0)</f>
        <v>0</v>
      </c>
      <c r="R1111" s="9">
        <f>IFERROR(__xludf.DUMMYFUNCTION("AVERAGE(INDEX(GOOGLEFINANCE(A1111, ""price"", TODAY()-30, TODAY()), 0, 2))"),413.4934782608696)</f>
        <v>413.4934783</v>
      </c>
      <c r="S1111" s="9">
        <f>IFERROR(__xludf.DUMMYFUNCTION("AVERAGE(INDEX(GOOGLEFINANCE(A1111, ""price"", TODAY()-75, TODAY()), 0, 2))"),411.8509433962265)</f>
        <v>411.8509434</v>
      </c>
      <c r="T1111" s="9">
        <f>IFERROR(__xludf.DUMMYFUNCTION("AVERAGE(INDEX(GOOGLEFINANCE(A1111, ""price"", TODAY()-300, TODAY()), 0, 2))"),451.7710396039601)</f>
        <v>451.7710396</v>
      </c>
      <c r="U1111" s="9">
        <f t="shared" si="5"/>
        <v>0.05031886313</v>
      </c>
      <c r="V1111" s="15">
        <f>IFERROR(__xludf.DUMMYFUNCTION("LET(hist, GOOGLEFINANCE(A1111,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rs))))))"),73.59955629506376)</f>
        <v>73.5995563</v>
      </c>
      <c r="W1111" s="16" t="str">
        <f>IFERROR(__xludf.DUMMYFUNCTION("IFERROR(GOOGLEFINANCE(A1111, ""volume"") / GOOGLEFINANCE(A1111, ""volumeavg""), )"),"")</f>
        <v/>
      </c>
      <c r="X1111" s="9">
        <f>IFERROR(__xludf.DUMMYFUNCTION("B1111 * GOOGLEFINANCE(A1111, ""volume"")"),1.604530036E8)</f>
        <v>160453003.6</v>
      </c>
      <c r="Y1111" s="9">
        <f>IFERROR(__xludf.DUMMYFUNCTION("IFERROR(((B1111 - GOOGLEFINANCE(A1111, ""priceopen"")) / GOOGLEFINANCE(A1111, ""priceopen"")) * GOOGLEFINANCE(A1111, ""volume""), 0)"),-6928.268413917768)</f>
        <v>-6928.268414</v>
      </c>
    </row>
    <row r="1112">
      <c r="A1112" s="4" t="s">
        <v>2905</v>
      </c>
      <c r="B1112" s="7">
        <f>IFERROR(__xludf.DUMMYFUNCTION("GOOGLEFINANCE(A1112, ""price"")"),9506.0)</f>
        <v>9506</v>
      </c>
      <c r="C1112" s="7">
        <f>IFERROR(__xludf.DUMMYFUNCTION("GOOGLEFINANCE(A1112, ""changepct"")"),1.59)</f>
        <v>1.59</v>
      </c>
      <c r="D1112" s="9">
        <f>IFERROR(__xludf.DUMMYFUNCTION("GOOGLEFINANCE(A1112, ""priceopen"")"),9360.5)</f>
        <v>9360.5</v>
      </c>
      <c r="E1112" s="9">
        <f>IFERROR(__xludf.DUMMYFUNCTION("GOOGLEFINANCE(A1112, ""high"")"),9550.0)</f>
        <v>9550</v>
      </c>
      <c r="F1112" s="9">
        <f>IFERROR(__xludf.DUMMYFUNCTION("GOOGLEFINANCE(A1112, ""low"")"),9225.0)</f>
        <v>9225</v>
      </c>
      <c r="G1112" s="9">
        <f>IFERROR(__xludf.DUMMYFUNCTION("GOOGLEFINANCE(A1112, ""price"")"),9506.0)</f>
        <v>9506</v>
      </c>
      <c r="H1112" s="9">
        <f>IFERROR(__xludf.DUMMYFUNCTION("MAX(INDEX(GOOGLEFINANCE(A1112, ""high"", TODAY()-30, TODAY()), 0, 2))"),9700.0)</f>
        <v>9700</v>
      </c>
      <c r="I1112" s="9">
        <f>IFERROR(__xludf.DUMMYFUNCTION("MIN(INDEX(GOOGLEFINANCE(A1112, ""low"", TODAY()-30, TODAY()), 0, 2))"),8655.0)</f>
        <v>8655</v>
      </c>
      <c r="J1112" s="9">
        <f>IFERROR(__xludf.DUMMYFUNCTION("GOOGLEFINANCE(A1112, ""high52"")"),10694.0)</f>
        <v>10694</v>
      </c>
      <c r="K1112" s="9">
        <f>IFERROR(__xludf.DUMMYFUNCTION("GOOGLEFINANCE(A1112, ""low52"")"),6430.0)</f>
        <v>6430</v>
      </c>
      <c r="L1112" s="9">
        <f t="shared" si="1"/>
        <v>0.111090331</v>
      </c>
      <c r="M1112" s="9">
        <f t="shared" si="2"/>
        <v>0.4783825816</v>
      </c>
      <c r="N1112" s="9">
        <f t="shared" si="3"/>
        <v>0.0352303523</v>
      </c>
      <c r="O1112" s="9">
        <f t="shared" si="4"/>
        <v>0.814354067</v>
      </c>
      <c r="P1112" s="9">
        <f>IFERROR(__xludf.DUMMYFUNCTION("GOOGLEFINANCE(A1112, ""pe"")"),69.2)</f>
        <v>69.2</v>
      </c>
      <c r="Q1112" s="9">
        <f>IFERROR(__xludf.DUMMYFUNCTION("IFERROR(GOOGLEFINANCE(A1112, ""volume"") / GOOGLEFINANCE(A1112, ""volumeavg""), 0)"),0.0)</f>
        <v>0</v>
      </c>
      <c r="R1112" s="9">
        <f>IFERROR(__xludf.DUMMYFUNCTION("AVERAGE(INDEX(GOOGLEFINANCE(A1112, ""price"", TODAY()-30, TODAY()), 0, 2))"),9147.760869565218)</f>
        <v>9147.76087</v>
      </c>
      <c r="S1112" s="9">
        <f>IFERROR(__xludf.DUMMYFUNCTION("AVERAGE(INDEX(GOOGLEFINANCE(A1112, ""price"", TODAY()-75, TODAY()), 0, 2))"),8642.433962264151)</f>
        <v>8642.433962</v>
      </c>
      <c r="T1112" s="9">
        <f>IFERROR(__xludf.DUMMYFUNCTION("AVERAGE(INDEX(GOOGLEFINANCE(A1112, ""price"", TODAY()-300, TODAY()), 0, 2))"),7944.717821782178)</f>
        <v>7944.717822</v>
      </c>
      <c r="U1112" s="9">
        <f t="shared" si="5"/>
        <v>0.03916140087</v>
      </c>
      <c r="V1112" s="15">
        <f>IFERROR(__xludf.DUMMYFUNCTION("LET(hist, GOOGLEFINANCE(A1112,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rs))))))"),56.78381256656017)</f>
        <v>56.78381257</v>
      </c>
      <c r="W1112" s="16" t="str">
        <f>IFERROR(__xludf.DUMMYFUNCTION("IFERROR(GOOGLEFINANCE(A1112, ""volume"") / GOOGLEFINANCE(A1112, ""volumeavg""), )"),"")</f>
        <v/>
      </c>
      <c r="X1112" s="9">
        <f>IFERROR(__xludf.DUMMYFUNCTION("B1112 * GOOGLEFINANCE(A1112, ""volume"")"),4.3280818E7)</f>
        <v>43280818</v>
      </c>
      <c r="Y1112" s="9">
        <f>IFERROR(__xludf.DUMMYFUNCTION("IFERROR(((B1112 - GOOGLEFINANCE(A1112, ""priceopen"")) / GOOGLEFINANCE(A1112, ""priceopen"")) * GOOGLEFINANCE(A1112, ""volume""), 0)"),70.7720207253886)</f>
        <v>70.77202073</v>
      </c>
    </row>
    <row r="1113">
      <c r="A1113" s="4" t="s">
        <v>2906</v>
      </c>
      <c r="B1113" s="7">
        <f>IFERROR(__xludf.DUMMYFUNCTION("GOOGLEFINANCE(A1113, ""price"")"),176.02)</f>
        <v>176.02</v>
      </c>
      <c r="C1113" s="7">
        <f>IFERROR(__xludf.DUMMYFUNCTION("GOOGLEFINANCE(A1113, ""changepct"")"),-4.12)</f>
        <v>-4.12</v>
      </c>
      <c r="D1113" s="9">
        <f>IFERROR(__xludf.DUMMYFUNCTION("GOOGLEFINANCE(A1113, ""priceopen"")"),184.0)</f>
        <v>184</v>
      </c>
      <c r="E1113" s="9">
        <f>IFERROR(__xludf.DUMMYFUNCTION("GOOGLEFINANCE(A1113, ""high"")"),185.2)</f>
        <v>185.2</v>
      </c>
      <c r="F1113" s="9">
        <f>IFERROR(__xludf.DUMMYFUNCTION("GOOGLEFINANCE(A1113, ""low"")"),176.0)</f>
        <v>176</v>
      </c>
      <c r="G1113" s="9">
        <f>IFERROR(__xludf.DUMMYFUNCTION("GOOGLEFINANCE(A1113, ""price"")"),176.02)</f>
        <v>176.02</v>
      </c>
      <c r="H1113" s="9">
        <f>IFERROR(__xludf.DUMMYFUNCTION("MAX(INDEX(GOOGLEFINANCE(A1113, ""high"", TODAY()-30, TODAY()), 0, 2))"),209.05)</f>
        <v>209.05</v>
      </c>
      <c r="I1113" s="9">
        <f>IFERROR(__xludf.DUMMYFUNCTION("MIN(INDEX(GOOGLEFINANCE(A1113, ""low"", TODAY()-30, TODAY()), 0, 2))"),176.0)</f>
        <v>176</v>
      </c>
      <c r="J1113" s="9">
        <f>IFERROR(__xludf.DUMMYFUNCTION("GOOGLEFINANCE(A1113, ""high52"")"),333.8)</f>
        <v>333.8</v>
      </c>
      <c r="K1113" s="9">
        <f>IFERROR(__xludf.DUMMYFUNCTION("GOOGLEFINANCE(A1113, ""low52"")"),163.01)</f>
        <v>163.01</v>
      </c>
      <c r="L1113" s="9">
        <f t="shared" si="1"/>
        <v>0.4726782504</v>
      </c>
      <c r="M1113" s="9">
        <f t="shared" si="2"/>
        <v>0.07981105454</v>
      </c>
      <c r="N1113" s="9">
        <f t="shared" si="3"/>
        <v>0.05227272727</v>
      </c>
      <c r="O1113" s="9">
        <f t="shared" si="4"/>
        <v>0.0006051437216</v>
      </c>
      <c r="P1113" s="9" t="str">
        <f>IFERROR(__xludf.DUMMYFUNCTION("GOOGLEFINANCE(A1113, ""pe"")"),"#N/A")</f>
        <v>#N/A</v>
      </c>
      <c r="Q1113" s="9">
        <f>IFERROR(__xludf.DUMMYFUNCTION("IFERROR(GOOGLEFINANCE(A1113, ""volume"") / GOOGLEFINANCE(A1113, ""volumeavg""), 0)"),0.0)</f>
        <v>0</v>
      </c>
      <c r="R1113" s="9">
        <f>IFERROR(__xludf.DUMMYFUNCTION("AVERAGE(INDEX(GOOGLEFINANCE(A1113, ""price"", TODAY()-30, TODAY()), 0, 2))"),194.29565217391306)</f>
        <v>194.2956522</v>
      </c>
      <c r="S1113" s="9">
        <f>IFERROR(__xludf.DUMMYFUNCTION("AVERAGE(INDEX(GOOGLEFINANCE(A1113, ""price"", TODAY()-75, TODAY()), 0, 2))"),192.47698113207545)</f>
        <v>192.4769811</v>
      </c>
      <c r="T1113" s="9">
        <f>IFERROR(__xludf.DUMMYFUNCTION("AVERAGE(INDEX(GOOGLEFINANCE(A1113, ""price"", TODAY()-300, TODAY()), 0, 2))"),217.97851485148516)</f>
        <v>217.9785149</v>
      </c>
      <c r="U1113" s="9">
        <f t="shared" si="5"/>
        <v>-0.09406104547</v>
      </c>
      <c r="V1113" s="15">
        <f>IFERROR(__xludf.DUMMYFUNCTION("LET(hist, GOOGLEFINANCE(A1113,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rs))))))"),29.90361445783138)</f>
        <v>29.90361446</v>
      </c>
      <c r="W1113" s="16" t="str">
        <f>IFERROR(__xludf.DUMMYFUNCTION("IFERROR(GOOGLEFINANCE(A1113, ""volume"") / GOOGLEFINANCE(A1113, ""volumeavg""), )"),"")</f>
        <v/>
      </c>
      <c r="X1113" s="9">
        <f>IFERROR(__xludf.DUMMYFUNCTION("B1113 * GOOGLEFINANCE(A1113, ""volume"")"),1.0105853862E8)</f>
        <v>101058538.6</v>
      </c>
      <c r="Y1113" s="9">
        <f>IFERROR(__xludf.DUMMYFUNCTION("IFERROR(((B1113 - GOOGLEFINANCE(A1113, ""priceopen"")) / GOOGLEFINANCE(A1113, ""priceopen"")) * GOOGLEFINANCE(A1113, ""volume""), 0)"),-24899.811847826055)</f>
        <v>-24899.81185</v>
      </c>
    </row>
    <row r="1114">
      <c r="A1114" s="4" t="s">
        <v>2907</v>
      </c>
      <c r="B1114" s="7">
        <f>IFERROR(__xludf.DUMMYFUNCTION("GOOGLEFINANCE(A1114, ""price"")"),1113.2)</f>
        <v>1113.2</v>
      </c>
      <c r="C1114" s="7">
        <f>IFERROR(__xludf.DUMMYFUNCTION("GOOGLEFINANCE(A1114, ""changepct"")"),0.96)</f>
        <v>0.96</v>
      </c>
      <c r="D1114" s="9">
        <f>IFERROR(__xludf.DUMMYFUNCTION("GOOGLEFINANCE(A1114, ""priceopen"")"),1102.0)</f>
        <v>1102</v>
      </c>
      <c r="E1114" s="9">
        <f>IFERROR(__xludf.DUMMYFUNCTION("GOOGLEFINANCE(A1114, ""high"")"),1122.3)</f>
        <v>1122.3</v>
      </c>
      <c r="F1114" s="9">
        <f>IFERROR(__xludf.DUMMYFUNCTION("GOOGLEFINANCE(A1114, ""low"")"),1080.3)</f>
        <v>1080.3</v>
      </c>
      <c r="G1114" s="9">
        <f>IFERROR(__xludf.DUMMYFUNCTION("GOOGLEFINANCE(A1114, ""price"")"),1113.2)</f>
        <v>1113.2</v>
      </c>
      <c r="H1114" s="9">
        <f>IFERROR(__xludf.DUMMYFUNCTION("MAX(INDEX(GOOGLEFINANCE(A1114, ""high"", TODAY()-30, TODAY()), 0, 2))"),1248.0)</f>
        <v>1248</v>
      </c>
      <c r="I1114" s="9">
        <f>IFERROR(__xludf.DUMMYFUNCTION("MIN(INDEX(GOOGLEFINANCE(A1114, ""low"", TODAY()-30, TODAY()), 0, 2))"),1063.0)</f>
        <v>1063</v>
      </c>
      <c r="J1114" s="9">
        <f>IFERROR(__xludf.DUMMYFUNCTION("GOOGLEFINANCE(A1114, ""high52"")"),1359.4)</f>
        <v>1359.4</v>
      </c>
      <c r="K1114" s="9">
        <f>IFERROR(__xludf.DUMMYFUNCTION("GOOGLEFINANCE(A1114, ""low52"")"),870.1)</f>
        <v>870.1</v>
      </c>
      <c r="L1114" s="9">
        <f t="shared" si="1"/>
        <v>0.1811093129</v>
      </c>
      <c r="M1114" s="9">
        <f t="shared" si="2"/>
        <v>0.2793931732</v>
      </c>
      <c r="N1114" s="9">
        <f t="shared" si="3"/>
        <v>0.03887808942</v>
      </c>
      <c r="O1114" s="9">
        <f t="shared" si="4"/>
        <v>0.2713513514</v>
      </c>
      <c r="P1114" s="9">
        <f>IFERROR(__xludf.DUMMYFUNCTION("GOOGLEFINANCE(A1114, ""pe"")"),64.76)</f>
        <v>64.76</v>
      </c>
      <c r="Q1114" s="9">
        <f>IFERROR(__xludf.DUMMYFUNCTION("IFERROR(GOOGLEFINANCE(A1114, ""volume"") / GOOGLEFINANCE(A1114, ""volumeavg""), 0)"),0.0)</f>
        <v>0</v>
      </c>
      <c r="R1114" s="9">
        <f>IFERROR(__xludf.DUMMYFUNCTION("AVERAGE(INDEX(GOOGLEFINANCE(A1114, ""price"", TODAY()-30, TODAY()), 0, 2))"),1130.4739130434784)</f>
        <v>1130.473913</v>
      </c>
      <c r="S1114" s="9">
        <f>IFERROR(__xludf.DUMMYFUNCTION("AVERAGE(INDEX(GOOGLEFINANCE(A1114, ""price"", TODAY()-75, TODAY()), 0, 2))"),1073.3971698113205)</f>
        <v>1073.39717</v>
      </c>
      <c r="T1114" s="9">
        <f>IFERROR(__xludf.DUMMYFUNCTION("AVERAGE(INDEX(GOOGLEFINANCE(A1114, ""price"", TODAY()-300, TODAY()), 0, 2))"),1042.20125)</f>
        <v>1042.20125</v>
      </c>
      <c r="U1114" s="9">
        <f t="shared" si="5"/>
        <v>-0.0152802403</v>
      </c>
      <c r="V1114" s="15">
        <f>IFERROR(__xludf.DUMMYFUNCTION("LET(hist, GOOGLEFINANCE(A1114,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rs))))))"),45.30434782608691)</f>
        <v>45.30434783</v>
      </c>
      <c r="W1114" s="16" t="str">
        <f>IFERROR(__xludf.DUMMYFUNCTION("IFERROR(GOOGLEFINANCE(A1114, ""volume"") / GOOGLEFINANCE(A1114, ""volumeavg""), )"),"")</f>
        <v/>
      </c>
      <c r="X1114" s="9">
        <f>IFERROR(__xludf.DUMMYFUNCTION("B1114 * GOOGLEFINANCE(A1114, ""volume"")"),2.0104392E7)</f>
        <v>20104392</v>
      </c>
      <c r="Y1114" s="9">
        <f>IFERROR(__xludf.DUMMYFUNCTION("IFERROR(((B1114 - GOOGLEFINANCE(A1114, ""priceopen"")) / GOOGLEFINANCE(A1114, ""priceopen"")) * GOOGLEFINANCE(A1114, ""volume""), 0)"),183.5499092558991)</f>
        <v>183.5499093</v>
      </c>
    </row>
    <row r="1115">
      <c r="A1115" s="4" t="s">
        <v>2908</v>
      </c>
      <c r="B1115" s="7">
        <f>IFERROR(__xludf.DUMMYFUNCTION("GOOGLEFINANCE(A1115, ""price"")"),5470.0)</f>
        <v>5470</v>
      </c>
      <c r="C1115" s="7">
        <f>IFERROR(__xludf.DUMMYFUNCTION("GOOGLEFINANCE(A1115, ""changepct"")"),2.93)</f>
        <v>2.93</v>
      </c>
      <c r="D1115" s="9">
        <f>IFERROR(__xludf.DUMMYFUNCTION("GOOGLEFINANCE(A1115, ""priceopen"")"),5213.0)</f>
        <v>5213</v>
      </c>
      <c r="E1115" s="9">
        <f>IFERROR(__xludf.DUMMYFUNCTION("GOOGLEFINANCE(A1115, ""high"")"),5475.0)</f>
        <v>5475</v>
      </c>
      <c r="F1115" s="9">
        <f>IFERROR(__xludf.DUMMYFUNCTION("GOOGLEFINANCE(A1115, ""low"")"),5170.0)</f>
        <v>5170</v>
      </c>
      <c r="G1115" s="9">
        <f>IFERROR(__xludf.DUMMYFUNCTION("GOOGLEFINANCE(A1115, ""price"")"),5470.0)</f>
        <v>5470</v>
      </c>
      <c r="H1115" s="9">
        <f>IFERROR(__xludf.DUMMYFUNCTION("MAX(INDEX(GOOGLEFINANCE(A1115, ""high"", TODAY()-30, TODAY()), 0, 2))"),5600.0)</f>
        <v>5600</v>
      </c>
      <c r="I1115" s="9">
        <f>IFERROR(__xludf.DUMMYFUNCTION("MIN(INDEX(GOOGLEFINANCE(A1115, ""low"", TODAY()-30, TODAY()), 0, 2))"),4910.5)</f>
        <v>4910.5</v>
      </c>
      <c r="J1115" s="9">
        <f>IFERROR(__xludf.DUMMYFUNCTION("GOOGLEFINANCE(A1115, ""high52"")"),6059.7)</f>
        <v>6059.7</v>
      </c>
      <c r="K1115" s="9">
        <f>IFERROR(__xludf.DUMMYFUNCTION("GOOGLEFINANCE(A1115, ""low52"")"),4600.0)</f>
        <v>4600</v>
      </c>
      <c r="L1115" s="9">
        <f t="shared" si="1"/>
        <v>0.0973150486</v>
      </c>
      <c r="M1115" s="9">
        <f t="shared" si="2"/>
        <v>0.1891304348</v>
      </c>
      <c r="N1115" s="9">
        <f t="shared" si="3"/>
        <v>0.05899419729</v>
      </c>
      <c r="O1115" s="9">
        <f t="shared" si="4"/>
        <v>0.811457578</v>
      </c>
      <c r="P1115" s="9">
        <f>IFERROR(__xludf.DUMMYFUNCTION("GOOGLEFINANCE(A1115, ""pe"")"),34.45)</f>
        <v>34.45</v>
      </c>
      <c r="Q1115" s="9">
        <f>IFERROR(__xludf.DUMMYFUNCTION("IFERROR(GOOGLEFINANCE(A1115, ""volume"") / GOOGLEFINANCE(A1115, ""volumeavg""), 0)"),0.0)</f>
        <v>0</v>
      </c>
      <c r="R1115" s="9">
        <f>IFERROR(__xludf.DUMMYFUNCTION("AVERAGE(INDEX(GOOGLEFINANCE(A1115, ""price"", TODAY()-30, TODAY()), 0, 2))"),5091.347826086957)</f>
        <v>5091.347826</v>
      </c>
      <c r="S1115" s="9">
        <f>IFERROR(__xludf.DUMMYFUNCTION("AVERAGE(INDEX(GOOGLEFINANCE(A1115, ""price"", TODAY()-75, TODAY()), 0, 2))"),5048.330188679245)</f>
        <v>5048.330189</v>
      </c>
      <c r="T1115" s="9">
        <f>IFERROR(__xludf.DUMMYFUNCTION("AVERAGE(INDEX(GOOGLEFINANCE(A1115, ""price"", TODAY()-300, TODAY()), 0, 2))"),5043.31)</f>
        <v>5043.31</v>
      </c>
      <c r="U1115" s="9">
        <f t="shared" si="5"/>
        <v>0.07437169623</v>
      </c>
      <c r="V1115" s="15">
        <f>IFERROR(__xludf.DUMMYFUNCTION("LET(hist, GOOGLEFINANCE(A1115,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rs))))))"),74.95769881556683)</f>
        <v>74.95769882</v>
      </c>
      <c r="W1115" s="16" t="str">
        <f>IFERROR(__xludf.DUMMYFUNCTION("IFERROR(GOOGLEFINANCE(A1115, ""volume"") / GOOGLEFINANCE(A1115, ""volumeavg""), )"),"")</f>
        <v/>
      </c>
      <c r="X1115" s="9">
        <f>IFERROR(__xludf.DUMMYFUNCTION("B1115 * GOOGLEFINANCE(A1115, ""volume"")"),1.607086E7)</f>
        <v>16070860</v>
      </c>
      <c r="Y1115" s="9">
        <f>IFERROR(__xludf.DUMMYFUNCTION("IFERROR(((B1115 - GOOGLEFINANCE(A1115, ""priceopen"")) / GOOGLEFINANCE(A1115, ""priceopen"")) * GOOGLEFINANCE(A1115, ""volume""), 0)"),144.8428927680798)</f>
        <v>144.8428928</v>
      </c>
    </row>
    <row r="1116">
      <c r="A1116" s="4" t="s">
        <v>2909</v>
      </c>
      <c r="B1116" s="7">
        <f>IFERROR(__xludf.DUMMYFUNCTION("GOOGLEFINANCE(A1116, ""price"")"),666.75)</f>
        <v>666.75</v>
      </c>
      <c r="C1116" s="7">
        <f>IFERROR(__xludf.DUMMYFUNCTION("GOOGLEFINANCE(A1116, ""changepct"")"),-1.78)</f>
        <v>-1.78</v>
      </c>
      <c r="D1116" s="9">
        <f>IFERROR(__xludf.DUMMYFUNCTION("GOOGLEFINANCE(A1116, ""priceopen"")"),683.0)</f>
        <v>683</v>
      </c>
      <c r="E1116" s="9">
        <f>IFERROR(__xludf.DUMMYFUNCTION("GOOGLEFINANCE(A1116, ""high"")"),683.35)</f>
        <v>683.35</v>
      </c>
      <c r="F1116" s="9">
        <f>IFERROR(__xludf.DUMMYFUNCTION("GOOGLEFINANCE(A1116, ""low"")"),652.0)</f>
        <v>652</v>
      </c>
      <c r="G1116" s="9">
        <f>IFERROR(__xludf.DUMMYFUNCTION("GOOGLEFINANCE(A1116, ""price"")"),666.75)</f>
        <v>666.75</v>
      </c>
      <c r="H1116" s="9">
        <f>IFERROR(__xludf.DUMMYFUNCTION("MAX(INDEX(GOOGLEFINANCE(A1116, ""high"", TODAY()-30, TODAY()), 0, 2))"),688.0)</f>
        <v>688</v>
      </c>
      <c r="I1116" s="9">
        <f>IFERROR(__xludf.DUMMYFUNCTION("MIN(INDEX(GOOGLEFINANCE(A1116, ""low"", TODAY()-30, TODAY()), 0, 2))"),597.0)</f>
        <v>597</v>
      </c>
      <c r="J1116" s="9">
        <f>IFERROR(__xludf.DUMMYFUNCTION("GOOGLEFINANCE(A1116, ""high52"")"),692.8)</f>
        <v>692.8</v>
      </c>
      <c r="K1116" s="9">
        <f>IFERROR(__xludf.DUMMYFUNCTION("GOOGLEFINANCE(A1116, ""low52"")"),281.85)</f>
        <v>281.85</v>
      </c>
      <c r="L1116" s="9">
        <f t="shared" si="1"/>
        <v>0.03760103926</v>
      </c>
      <c r="M1116" s="9">
        <f t="shared" si="2"/>
        <v>1.365620011</v>
      </c>
      <c r="N1116" s="9">
        <f t="shared" si="3"/>
        <v>0.04808282209</v>
      </c>
      <c r="O1116" s="9">
        <f t="shared" si="4"/>
        <v>0.7664835165</v>
      </c>
      <c r="P1116" s="9">
        <f>IFERROR(__xludf.DUMMYFUNCTION("GOOGLEFINANCE(A1116, ""pe"")"),31.65)</f>
        <v>31.65</v>
      </c>
      <c r="Q1116" s="9">
        <f>IFERROR(__xludf.DUMMYFUNCTION("IFERROR(GOOGLEFINANCE(A1116, ""volume"") / GOOGLEFINANCE(A1116, ""volumeavg""), 0)"),0.0)</f>
        <v>0</v>
      </c>
      <c r="R1116" s="9">
        <f>IFERROR(__xludf.DUMMYFUNCTION("AVERAGE(INDEX(GOOGLEFINANCE(A1116, ""price"", TODAY()-30, TODAY()), 0, 2))"),643.4239130434781)</f>
        <v>643.423913</v>
      </c>
      <c r="S1116" s="9">
        <f>IFERROR(__xludf.DUMMYFUNCTION("AVERAGE(INDEX(GOOGLEFINANCE(A1116, ""price"", TODAY()-75, TODAY()), 0, 2))"),603.4433962264151)</f>
        <v>603.4433962</v>
      </c>
      <c r="T1116" s="9">
        <f>IFERROR(__xludf.DUMMYFUNCTION("AVERAGE(INDEX(GOOGLEFINANCE(A1116, ""price"", TODAY()-300, TODAY()), 0, 2))"),467.1368811881189)</f>
        <v>467.1368812</v>
      </c>
      <c r="U1116" s="9">
        <f t="shared" si="5"/>
        <v>0.03625306191</v>
      </c>
      <c r="V1116" s="15">
        <f>IFERROR(__xludf.DUMMYFUNCTION("LET(hist, GOOGLEFINANCE(A1116,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rs))))))"),62.166722915963526)</f>
        <v>62.16672292</v>
      </c>
      <c r="W1116" s="16" t="str">
        <f>IFERROR(__xludf.DUMMYFUNCTION("IFERROR(GOOGLEFINANCE(A1116, ""volume"") / GOOGLEFINANCE(A1116, ""volumeavg""), )"),"")</f>
        <v/>
      </c>
      <c r="X1116" s="9">
        <f>IFERROR(__xludf.DUMMYFUNCTION("B1116 * GOOGLEFINANCE(A1116, ""volume"")"),2.2878659475E8)</f>
        <v>228786594.8</v>
      </c>
      <c r="Y1116" s="9">
        <f>IFERROR(__xludf.DUMMYFUNCTION("IFERROR(((B1116 - GOOGLEFINANCE(A1116, ""priceopen"")) / GOOGLEFINANCE(A1116, ""priceopen"")) * GOOGLEFINANCE(A1116, ""volume""), 0)"),-8163.947657393851)</f>
        <v>-8163.947657</v>
      </c>
    </row>
    <row r="1117">
      <c r="A1117" s="4" t="s">
        <v>2910</v>
      </c>
      <c r="B1117" s="7">
        <f>IFERROR(__xludf.DUMMYFUNCTION("GOOGLEFINANCE(A1117, ""price"")"),2558.0)</f>
        <v>2558</v>
      </c>
      <c r="C1117" s="7">
        <f>IFERROR(__xludf.DUMMYFUNCTION("GOOGLEFINANCE(A1117, ""changepct"")"),5.31)</f>
        <v>5.31</v>
      </c>
      <c r="D1117" s="9">
        <f>IFERROR(__xludf.DUMMYFUNCTION("GOOGLEFINANCE(A1117, ""priceopen"")"),2429.0)</f>
        <v>2429</v>
      </c>
      <c r="E1117" s="9">
        <f>IFERROR(__xludf.DUMMYFUNCTION("GOOGLEFINANCE(A1117, ""high"")"),2600.0)</f>
        <v>2600</v>
      </c>
      <c r="F1117" s="9">
        <f>IFERROR(__xludf.DUMMYFUNCTION("GOOGLEFINANCE(A1117, ""low"")"),2412.9)</f>
        <v>2412.9</v>
      </c>
      <c r="G1117" s="9">
        <f>IFERROR(__xludf.DUMMYFUNCTION("GOOGLEFINANCE(A1117, ""price"")"),2558.0)</f>
        <v>2558</v>
      </c>
      <c r="H1117" s="9">
        <f>IFERROR(__xludf.DUMMYFUNCTION("MAX(INDEX(GOOGLEFINANCE(A1117, ""high"", TODAY()-30, TODAY()), 0, 2))"),2600.0)</f>
        <v>2600</v>
      </c>
      <c r="I1117" s="9">
        <f>IFERROR(__xludf.DUMMYFUNCTION("MIN(INDEX(GOOGLEFINANCE(A1117, ""low"", TODAY()-30, TODAY()), 0, 2))"),1752.0)</f>
        <v>1752</v>
      </c>
      <c r="J1117" s="9">
        <f>IFERROR(__xludf.DUMMYFUNCTION("GOOGLEFINANCE(A1117, ""high52"")"),2600.0)</f>
        <v>2600</v>
      </c>
      <c r="K1117" s="9">
        <f>IFERROR(__xludf.DUMMYFUNCTION("GOOGLEFINANCE(A1117, ""low52"")"),963.9)</f>
        <v>963.9</v>
      </c>
      <c r="L1117" s="9">
        <f t="shared" si="1"/>
        <v>0.01615384615</v>
      </c>
      <c r="M1117" s="9">
        <f t="shared" si="2"/>
        <v>1.653802262</v>
      </c>
      <c r="N1117" s="9">
        <f t="shared" si="3"/>
        <v>0.07754154752</v>
      </c>
      <c r="O1117" s="9">
        <f t="shared" si="4"/>
        <v>0.9504716981</v>
      </c>
      <c r="P1117" s="9">
        <f>IFERROR(__xludf.DUMMYFUNCTION("GOOGLEFINANCE(A1117, ""pe"")"),13.77)</f>
        <v>13.77</v>
      </c>
      <c r="Q1117" s="9">
        <f>IFERROR(__xludf.DUMMYFUNCTION("IFERROR(GOOGLEFINANCE(A1117, ""volume"") / GOOGLEFINANCE(A1117, ""volumeavg""), 0)"),0.0)</f>
        <v>0</v>
      </c>
      <c r="R1117" s="9">
        <f>IFERROR(__xludf.DUMMYFUNCTION("AVERAGE(INDEX(GOOGLEFINANCE(A1117, ""price"", TODAY()-30, TODAY()), 0, 2))"),2061.8260869565215)</f>
        <v>2061.826087</v>
      </c>
      <c r="S1117" s="9">
        <f>IFERROR(__xludf.DUMMYFUNCTION("AVERAGE(INDEX(GOOGLEFINANCE(A1117, ""price"", TODAY()-75, TODAY()), 0, 2))"),2084.5679245283013)</f>
        <v>2084.567925</v>
      </c>
      <c r="T1117" s="9">
        <f>IFERROR(__xludf.DUMMYFUNCTION("AVERAGE(INDEX(GOOGLEFINANCE(A1117, ""price"", TODAY()-300, TODAY()), 0, 2))"),1532.371039603961)</f>
        <v>1532.37104</v>
      </c>
      <c r="U1117" s="9">
        <f t="shared" si="5"/>
        <v>0.2406478006</v>
      </c>
      <c r="V1117" s="15">
        <f>IFERROR(__xludf.DUMMYFUNCTION("LET(hist, GOOGLEFINANCE(A1117,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rs))))))"),81.69282802879192)</f>
        <v>81.69282803</v>
      </c>
      <c r="W1117" s="16" t="str">
        <f>IFERROR(__xludf.DUMMYFUNCTION("IFERROR(GOOGLEFINANCE(A1117, ""volume"") / GOOGLEFINANCE(A1117, ""volumeavg""), )"),"")</f>
        <v/>
      </c>
      <c r="X1117" s="9">
        <f>IFERROR(__xludf.DUMMYFUNCTION("B1117 * GOOGLEFINANCE(A1117, ""volume"")"),4.4537338E8)</f>
        <v>445373380</v>
      </c>
      <c r="Y1117" s="9">
        <f>IFERROR(__xludf.DUMMYFUNCTION("IFERROR(((B1117 - GOOGLEFINANCE(A1117, ""priceopen"")) / GOOGLEFINANCE(A1117, ""priceopen"")) * GOOGLEFINANCE(A1117, ""volume""), 0)"),9246.681762041992)</f>
        <v>9246.681762</v>
      </c>
    </row>
    <row r="1118">
      <c r="A1118" s="4" t="s">
        <v>2911</v>
      </c>
      <c r="B1118" s="7">
        <f>IFERROR(__xludf.DUMMYFUNCTION("GOOGLEFINANCE(A1118, ""price"")"),126.65)</f>
        <v>126.65</v>
      </c>
      <c r="C1118" s="7">
        <f>IFERROR(__xludf.DUMMYFUNCTION("GOOGLEFINANCE(A1118, ""changepct"")"),-1.36)</f>
        <v>-1.36</v>
      </c>
      <c r="D1118" s="9">
        <f>IFERROR(__xludf.DUMMYFUNCTION("GOOGLEFINANCE(A1118, ""priceopen"")"),128.39)</f>
        <v>128.39</v>
      </c>
      <c r="E1118" s="9">
        <f>IFERROR(__xludf.DUMMYFUNCTION("GOOGLEFINANCE(A1118, ""high"")"),128.62)</f>
        <v>128.62</v>
      </c>
      <c r="F1118" s="9">
        <f>IFERROR(__xludf.DUMMYFUNCTION("GOOGLEFINANCE(A1118, ""low"")"),125.66)</f>
        <v>125.66</v>
      </c>
      <c r="G1118" s="9">
        <f>IFERROR(__xludf.DUMMYFUNCTION("GOOGLEFINANCE(A1118, ""price"")"),126.65)</f>
        <v>126.65</v>
      </c>
      <c r="H1118" s="9">
        <f>IFERROR(__xludf.DUMMYFUNCTION("MAX(INDEX(GOOGLEFINANCE(A1118, ""high"", TODAY()-30, TODAY()), 0, 2))"),148.8)</f>
        <v>148.8</v>
      </c>
      <c r="I1118" s="9">
        <f>IFERROR(__xludf.DUMMYFUNCTION("MIN(INDEX(GOOGLEFINANCE(A1118, ""low"", TODAY()-30, TODAY()), 0, 2))"),123.5)</f>
        <v>123.5</v>
      </c>
      <c r="J1118" s="9">
        <f>IFERROR(__xludf.DUMMYFUNCTION("GOOGLEFINANCE(A1118, ""high52"")"),149.5)</f>
        <v>149.5</v>
      </c>
      <c r="K1118" s="9">
        <f>IFERROR(__xludf.DUMMYFUNCTION("GOOGLEFINANCE(A1118, ""low52"")"),80.0)</f>
        <v>80</v>
      </c>
      <c r="L1118" s="9">
        <f t="shared" si="1"/>
        <v>0.1528428094</v>
      </c>
      <c r="M1118" s="9">
        <f t="shared" si="2"/>
        <v>0.583125</v>
      </c>
      <c r="N1118" s="9">
        <f t="shared" si="3"/>
        <v>0.02355562629</v>
      </c>
      <c r="O1118" s="9">
        <f t="shared" si="4"/>
        <v>0.1245059289</v>
      </c>
      <c r="P1118" s="9">
        <f>IFERROR(__xludf.DUMMYFUNCTION("GOOGLEFINANCE(A1118, ""pe"")"),33.91)</f>
        <v>33.91</v>
      </c>
      <c r="Q1118" s="9">
        <f>IFERROR(__xludf.DUMMYFUNCTION("IFERROR(GOOGLEFINANCE(A1118, ""volume"") / GOOGLEFINANCE(A1118, ""volumeavg""), 0)"),0.0)</f>
        <v>0</v>
      </c>
      <c r="R1118" s="9">
        <f>IFERROR(__xludf.DUMMYFUNCTION("AVERAGE(INDEX(GOOGLEFINANCE(A1118, ""price"", TODAY()-30, TODAY()), 0, 2))"),132.58565217391305)</f>
        <v>132.5856522</v>
      </c>
      <c r="S1118" s="9">
        <f>IFERROR(__xludf.DUMMYFUNCTION("AVERAGE(INDEX(GOOGLEFINANCE(A1118, ""price"", TODAY()-75, TODAY()), 0, 2))"),125.90207547169814)</f>
        <v>125.9020755</v>
      </c>
      <c r="T1118" s="9">
        <f>IFERROR(__xludf.DUMMYFUNCTION("AVERAGE(INDEX(GOOGLEFINANCE(A1118, ""price"", TODAY()-300, TODAY()), 0, 2))"),110.70891089108906)</f>
        <v>110.7089109</v>
      </c>
      <c r="U1118" s="9">
        <f t="shared" si="5"/>
        <v>-0.04476843517</v>
      </c>
      <c r="V1118" s="15">
        <f>IFERROR(__xludf.DUMMYFUNCTION("LET(hist, GOOGLEFINANCE(A1118,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rs))))))"),48.65771812080537)</f>
        <v>48.65771812</v>
      </c>
      <c r="W1118" s="16" t="str">
        <f>IFERROR(__xludf.DUMMYFUNCTION("IFERROR(GOOGLEFINANCE(A1118, ""volume"") / GOOGLEFINANCE(A1118, ""volumeavg""), )"),"")</f>
        <v/>
      </c>
      <c r="X1118" s="9">
        <f>IFERROR(__xludf.DUMMYFUNCTION("B1118 * GOOGLEFINANCE(A1118, ""volume"")"),1.474927905E7)</f>
        <v>14749279.05</v>
      </c>
      <c r="Y1118" s="9">
        <f>IFERROR(__xludf.DUMMYFUNCTION("IFERROR(((B1118 - GOOGLEFINANCE(A1118, ""priceopen"")) / GOOGLEFINANCE(A1118, ""priceopen"")) * GOOGLEFINANCE(A1118, ""volume""), 0)"),-1578.2785263649644)</f>
        <v>-1578.278526</v>
      </c>
    </row>
    <row r="1119">
      <c r="A1119" s="4" t="s">
        <v>2912</v>
      </c>
      <c r="B1119" s="7">
        <f>IFERROR(__xludf.DUMMYFUNCTION("GOOGLEFINANCE(A1119, ""price"")"),912.55)</f>
        <v>912.55</v>
      </c>
      <c r="C1119" s="7">
        <f>IFERROR(__xludf.DUMMYFUNCTION("GOOGLEFINANCE(A1119, ""changepct"")"),-1.91)</f>
        <v>-1.91</v>
      </c>
      <c r="D1119" s="9">
        <f>IFERROR(__xludf.DUMMYFUNCTION("GOOGLEFINANCE(A1119, ""priceopen"")"),939.65)</f>
        <v>939.65</v>
      </c>
      <c r="E1119" s="9">
        <f>IFERROR(__xludf.DUMMYFUNCTION("GOOGLEFINANCE(A1119, ""high"")"),944.45)</f>
        <v>944.45</v>
      </c>
      <c r="F1119" s="9">
        <f>IFERROR(__xludf.DUMMYFUNCTION("GOOGLEFINANCE(A1119, ""low"")"),902.0)</f>
        <v>902</v>
      </c>
      <c r="G1119" s="9">
        <f>IFERROR(__xludf.DUMMYFUNCTION("GOOGLEFINANCE(A1119, ""price"")"),912.55)</f>
        <v>912.55</v>
      </c>
      <c r="H1119" s="9">
        <f>IFERROR(__xludf.DUMMYFUNCTION("MAX(INDEX(GOOGLEFINANCE(A1119, ""high"", TODAY()-30, TODAY()), 0, 2))"),954.95)</f>
        <v>954.95</v>
      </c>
      <c r="I1119" s="9">
        <f>IFERROR(__xludf.DUMMYFUNCTION("MIN(INDEX(GOOGLEFINANCE(A1119, ""low"", TODAY()-30, TODAY()), 0, 2))"),813.2)</f>
        <v>813.2</v>
      </c>
      <c r="J1119" s="9">
        <f>IFERROR(__xludf.DUMMYFUNCTION("GOOGLEFINANCE(A1119, ""high52"")"),1129.5)</f>
        <v>1129.5</v>
      </c>
      <c r="K1119" s="9">
        <f>IFERROR(__xludf.DUMMYFUNCTION("GOOGLEFINANCE(A1119, ""low52"")"),560.8)</f>
        <v>560.8</v>
      </c>
      <c r="L1119" s="9">
        <f t="shared" si="1"/>
        <v>0.1920761399</v>
      </c>
      <c r="M1119" s="9">
        <f t="shared" si="2"/>
        <v>0.6272289586</v>
      </c>
      <c r="N1119" s="9">
        <f t="shared" si="3"/>
        <v>0.04706208426</v>
      </c>
      <c r="O1119" s="9">
        <f t="shared" si="4"/>
        <v>0.7008818342</v>
      </c>
      <c r="P1119" s="9" t="str">
        <f>IFERROR(__xludf.DUMMYFUNCTION("GOOGLEFINANCE(A1119, ""pe"")"),"#N/A")</f>
        <v>#N/A</v>
      </c>
      <c r="Q1119" s="9">
        <f>IFERROR(__xludf.DUMMYFUNCTION("IFERROR(GOOGLEFINANCE(A1119, ""volume"") / GOOGLEFINANCE(A1119, ""volumeavg""), 0)"),0.0)</f>
        <v>0</v>
      </c>
      <c r="R1119" s="9">
        <f>IFERROR(__xludf.DUMMYFUNCTION("AVERAGE(INDEX(GOOGLEFINANCE(A1119, ""price"", TODAY()-30, TODAY()), 0, 2))"),877.5630434782607)</f>
        <v>877.5630435</v>
      </c>
      <c r="S1119" s="9">
        <f>IFERROR(__xludf.DUMMYFUNCTION("AVERAGE(INDEX(GOOGLEFINANCE(A1119, ""price"", TODAY()-75, TODAY()), 0, 2))"),819.1584905660379)</f>
        <v>819.1584906</v>
      </c>
      <c r="T1119" s="9">
        <f>IFERROR(__xludf.DUMMYFUNCTION("AVERAGE(INDEX(GOOGLEFINANCE(A1119, ""price"", TODAY()-300, TODAY()), 0, 2))"),737.2873762376239)</f>
        <v>737.2873762</v>
      </c>
      <c r="U1119" s="9">
        <f t="shared" si="5"/>
        <v>0.03986831121</v>
      </c>
      <c r="V1119" s="15">
        <f>IFERROR(__xludf.DUMMYFUNCTION("LET(hist, GOOGLEFINANCE(A1119,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rs))))))"),56.925787271526104)</f>
        <v>56.92578727</v>
      </c>
      <c r="W1119" s="16" t="str">
        <f>IFERROR(__xludf.DUMMYFUNCTION("IFERROR(GOOGLEFINANCE(A1119, ""volume"") / GOOGLEFINANCE(A1119, ""volumeavg""), )"),"")</f>
        <v/>
      </c>
      <c r="X1119" s="9">
        <f>IFERROR(__xludf.DUMMYFUNCTION("B1119 * GOOGLEFINANCE(A1119, ""volume"")"),6.4692494599999994E7)</f>
        <v>64692494.6</v>
      </c>
      <c r="Y1119" s="9">
        <f>IFERROR(__xludf.DUMMYFUNCTION("IFERROR(((B1119 - GOOGLEFINANCE(A1119, ""priceopen"")) / GOOGLEFINANCE(A1119, ""priceopen"")) * GOOGLEFINANCE(A1119, ""volume""), 0)"),-2044.5625498855975)</f>
        <v>-2044.56255</v>
      </c>
    </row>
    <row r="1120">
      <c r="A1120" s="4" t="s">
        <v>2913</v>
      </c>
      <c r="B1120" s="7">
        <f>IFERROR(__xludf.DUMMYFUNCTION("GOOGLEFINANCE(A1120, ""price"")"),84.2)</f>
        <v>84.2</v>
      </c>
      <c r="C1120" s="7">
        <f>IFERROR(__xludf.DUMMYFUNCTION("GOOGLEFINANCE(A1120, ""changepct"")"),-2.92)</f>
        <v>-2.92</v>
      </c>
      <c r="D1120" s="9">
        <f>IFERROR(__xludf.DUMMYFUNCTION("GOOGLEFINANCE(A1120, ""priceopen"")"),86.5)</f>
        <v>86.5</v>
      </c>
      <c r="E1120" s="9">
        <f>IFERROR(__xludf.DUMMYFUNCTION("GOOGLEFINANCE(A1120, ""high"")"),86.5)</f>
        <v>86.5</v>
      </c>
      <c r="F1120" s="9">
        <f>IFERROR(__xludf.DUMMYFUNCTION("GOOGLEFINANCE(A1120, ""low"")"),83.31)</f>
        <v>83.31</v>
      </c>
      <c r="G1120" s="9">
        <f>IFERROR(__xludf.DUMMYFUNCTION("GOOGLEFINANCE(A1120, ""price"")"),84.2)</f>
        <v>84.2</v>
      </c>
      <c r="H1120" s="9">
        <f>IFERROR(__xludf.DUMMYFUNCTION("MAX(INDEX(GOOGLEFINANCE(A1120, ""high"", TODAY()-30, TODAY()), 0, 2))"),92.17)</f>
        <v>92.17</v>
      </c>
      <c r="I1120" s="9">
        <f>IFERROR(__xludf.DUMMYFUNCTION("MIN(INDEX(GOOGLEFINANCE(A1120, ""low"", TODAY()-30, TODAY()), 0, 2))"),83.0)</f>
        <v>83</v>
      </c>
      <c r="J1120" s="9">
        <f>IFERROR(__xludf.DUMMYFUNCTION("GOOGLEFINANCE(A1120, ""high52"")"),110.56)</f>
        <v>110.56</v>
      </c>
      <c r="K1120" s="9">
        <f>IFERROR(__xludf.DUMMYFUNCTION("GOOGLEFINANCE(A1120, ""low52"")"),70.46)</f>
        <v>70.46</v>
      </c>
      <c r="L1120" s="9">
        <f t="shared" si="1"/>
        <v>0.238422576</v>
      </c>
      <c r="M1120" s="9">
        <f t="shared" si="2"/>
        <v>0.1950042577</v>
      </c>
      <c r="N1120" s="9">
        <f t="shared" si="3"/>
        <v>0.0382907214</v>
      </c>
      <c r="O1120" s="9">
        <f t="shared" si="4"/>
        <v>0.1308615049</v>
      </c>
      <c r="P1120" s="9">
        <f>IFERROR(__xludf.DUMMYFUNCTION("GOOGLEFINANCE(A1120, ""pe"")"),6.81)</f>
        <v>6.81</v>
      </c>
      <c r="Q1120" s="9">
        <f>IFERROR(__xludf.DUMMYFUNCTION("IFERROR(GOOGLEFINANCE(A1120, ""volume"") / GOOGLEFINANCE(A1120, ""volumeavg""), 0)"),0.0)</f>
        <v>0</v>
      </c>
      <c r="R1120" s="9">
        <f>IFERROR(__xludf.DUMMYFUNCTION("AVERAGE(INDEX(GOOGLEFINANCE(A1120, ""price"", TODAY()-30, TODAY()), 0, 2))"),88.57565217391306)</f>
        <v>88.57565217</v>
      </c>
      <c r="S1120" s="9">
        <f>IFERROR(__xludf.DUMMYFUNCTION("AVERAGE(INDEX(GOOGLEFINANCE(A1120, ""price"", TODAY()-75, TODAY()), 0, 2))"),89.02000000000001)</f>
        <v>89.02</v>
      </c>
      <c r="T1120" s="9">
        <f>IFERROR(__xludf.DUMMYFUNCTION("AVERAGE(INDEX(GOOGLEFINANCE(A1120, ""price"", TODAY()-300, TODAY()), 0, 2))"),92.55415841584154)</f>
        <v>92.55415842</v>
      </c>
      <c r="U1120" s="9">
        <f t="shared" si="5"/>
        <v>-0.04940016886</v>
      </c>
      <c r="V1120" s="15">
        <f>IFERROR(__xludf.DUMMYFUNCTION("LET(hist, GOOGLEFINANCE(A1120,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rs))))))"),40.2877697841727)</f>
        <v>40.28776978</v>
      </c>
      <c r="W1120" s="16" t="str">
        <f>IFERROR(__xludf.DUMMYFUNCTION("IFERROR(GOOGLEFINANCE(A1120, ""volume"") / GOOGLEFINANCE(A1120, ""volumeavg""), )"),"")</f>
        <v/>
      </c>
      <c r="X1120" s="9">
        <f>IFERROR(__xludf.DUMMYFUNCTION("B1120 * GOOGLEFINANCE(A1120, ""volume"")"),2.8712368400000002E7)</f>
        <v>28712368.4</v>
      </c>
      <c r="Y1120" s="9">
        <f>IFERROR(__xludf.DUMMYFUNCTION("IFERROR(((B1120 - GOOGLEFINANCE(A1120, ""priceopen"")) / GOOGLEFINANCE(A1120, ""priceopen"")) * GOOGLEFINANCE(A1120, ""volume""), 0)"),-9067.105202312126)</f>
        <v>-9067.105202</v>
      </c>
    </row>
    <row r="1121">
      <c r="A1121" s="4" t="s">
        <v>2914</v>
      </c>
      <c r="B1121" s="7">
        <f>IFERROR(__xludf.DUMMYFUNCTION("GOOGLEFINANCE(A1121, ""price"")"),204.8)</f>
        <v>204.8</v>
      </c>
      <c r="C1121" s="7">
        <f>IFERROR(__xludf.DUMMYFUNCTION("GOOGLEFINANCE(A1121, ""changepct"")"),-0.96)</f>
        <v>-0.96</v>
      </c>
      <c r="D1121" s="9">
        <f>IFERROR(__xludf.DUMMYFUNCTION("GOOGLEFINANCE(A1121, ""priceopen"")"),206.78)</f>
        <v>206.78</v>
      </c>
      <c r="E1121" s="9">
        <f>IFERROR(__xludf.DUMMYFUNCTION("GOOGLEFINANCE(A1121, ""high"")"),210.29)</f>
        <v>210.29</v>
      </c>
      <c r="F1121" s="9">
        <f>IFERROR(__xludf.DUMMYFUNCTION("GOOGLEFINANCE(A1121, ""low"")"),201.0)</f>
        <v>201</v>
      </c>
      <c r="G1121" s="9">
        <f>IFERROR(__xludf.DUMMYFUNCTION("GOOGLEFINANCE(A1121, ""price"")"),204.8)</f>
        <v>204.8</v>
      </c>
      <c r="H1121" s="9">
        <f>IFERROR(__xludf.DUMMYFUNCTION("MAX(INDEX(GOOGLEFINANCE(A1121, ""high"", TODAY()-30, TODAY()), 0, 2))"),222.0)</f>
        <v>222</v>
      </c>
      <c r="I1121" s="9">
        <f>IFERROR(__xludf.DUMMYFUNCTION("MIN(INDEX(GOOGLEFINANCE(A1121, ""low"", TODAY()-30, TODAY()), 0, 2))"),185.3)</f>
        <v>185.3</v>
      </c>
      <c r="J1121" s="9">
        <f>IFERROR(__xludf.DUMMYFUNCTION("GOOGLEFINANCE(A1121, ""high52"")"),222.0)</f>
        <v>222</v>
      </c>
      <c r="K1121" s="9">
        <f>IFERROR(__xludf.DUMMYFUNCTION("GOOGLEFINANCE(A1121, ""low52"")"),180.33)</f>
        <v>180.33</v>
      </c>
      <c r="L1121" s="9">
        <f t="shared" si="1"/>
        <v>0.07747747748</v>
      </c>
      <c r="M1121" s="9">
        <f t="shared" si="2"/>
        <v>0.1356956691</v>
      </c>
      <c r="N1121" s="9">
        <f t="shared" si="3"/>
        <v>0.04621890547</v>
      </c>
      <c r="O1121" s="9">
        <f t="shared" si="4"/>
        <v>0.5313351499</v>
      </c>
      <c r="P1121" s="9">
        <f>IFERROR(__xludf.DUMMYFUNCTION("GOOGLEFINANCE(A1121, ""pe"")"),27.03)</f>
        <v>27.03</v>
      </c>
      <c r="Q1121" s="9">
        <f>IFERROR(__xludf.DUMMYFUNCTION("IFERROR(GOOGLEFINANCE(A1121, ""volume"") / GOOGLEFINANCE(A1121, ""volumeavg""), 0)"),0.0)</f>
        <v>0</v>
      </c>
      <c r="R1121" s="9">
        <f>IFERROR(__xludf.DUMMYFUNCTION("AVERAGE(INDEX(GOOGLEFINANCE(A1121, ""price"", TODAY()-30, TODAY()), 0, 2))"),198.60913043478257)</f>
        <v>198.6091304</v>
      </c>
      <c r="S1121" s="9">
        <f>IFERROR(__xludf.DUMMYFUNCTION("AVERAGE(INDEX(GOOGLEFINANCE(A1121, ""price"", TODAY()-75, TODAY()), 0, 2))"),198.28)</f>
        <v>198.28</v>
      </c>
      <c r="T1121" s="9">
        <f>IFERROR(__xludf.DUMMYFUNCTION("AVERAGE(INDEX(GOOGLEFINANCE(A1121, ""price"", TODAY()-300, TODAY()), 0, 2))"),198.28)</f>
        <v>198.28</v>
      </c>
      <c r="U1121" s="9">
        <f t="shared" si="5"/>
        <v>0.03117112266</v>
      </c>
      <c r="V1121" s="15">
        <f>IFERROR(__xludf.DUMMYFUNCTION("LET(hist, GOOGLEFINANCE(A1121,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rs))))))"),57.578646329837945)</f>
        <v>57.57864633</v>
      </c>
      <c r="W1121" s="16" t="str">
        <f>IFERROR(__xludf.DUMMYFUNCTION("IFERROR(GOOGLEFINANCE(A1121, ""volume"") / GOOGLEFINANCE(A1121, ""volumeavg""), )"),"")</f>
        <v/>
      </c>
      <c r="X1121" s="9">
        <f>IFERROR(__xludf.DUMMYFUNCTION("B1121 * GOOGLEFINANCE(A1121, ""volume"")"),2.460145664E8)</f>
        <v>246014566.4</v>
      </c>
      <c r="Y1121" s="9">
        <f>IFERROR(__xludf.DUMMYFUNCTION("IFERROR(((B1121 - GOOGLEFINANCE(A1121, ""priceopen"")) / GOOGLEFINANCE(A1121, ""priceopen"")) * GOOGLEFINANCE(A1121, ""volume""), 0)"),-11502.375181352101)</f>
        <v>-11502.37518</v>
      </c>
    </row>
    <row r="1122">
      <c r="A1122" s="4" t="s">
        <v>2915</v>
      </c>
      <c r="B1122" s="7">
        <f>IFERROR(__xludf.DUMMYFUNCTION("GOOGLEFINANCE(A1122, ""price"")"),975.0)</f>
        <v>975</v>
      </c>
      <c r="C1122" s="7">
        <f>IFERROR(__xludf.DUMMYFUNCTION("GOOGLEFINANCE(A1122, ""changepct"")"),-2.02)</f>
        <v>-2.02</v>
      </c>
      <c r="D1122" s="9">
        <f>IFERROR(__xludf.DUMMYFUNCTION("GOOGLEFINANCE(A1122, ""priceopen"")"),999.6)</f>
        <v>999.6</v>
      </c>
      <c r="E1122" s="9">
        <f>IFERROR(__xludf.DUMMYFUNCTION("GOOGLEFINANCE(A1122, ""high"")"),1002.9)</f>
        <v>1002.9</v>
      </c>
      <c r="F1122" s="9">
        <f>IFERROR(__xludf.DUMMYFUNCTION("GOOGLEFINANCE(A1122, ""low"")"),971.5)</f>
        <v>971.5</v>
      </c>
      <c r="G1122" s="9">
        <f>IFERROR(__xludf.DUMMYFUNCTION("GOOGLEFINANCE(A1122, ""price"")"),975.0)</f>
        <v>975</v>
      </c>
      <c r="H1122" s="9">
        <f>IFERROR(__xludf.DUMMYFUNCTION("MAX(INDEX(GOOGLEFINANCE(A1122, ""high"", TODAY()-30, TODAY()), 0, 2))"),1026.0)</f>
        <v>1026</v>
      </c>
      <c r="I1122" s="9">
        <f>IFERROR(__xludf.DUMMYFUNCTION("MIN(INDEX(GOOGLEFINANCE(A1122, ""low"", TODAY()-30, TODAY()), 0, 2))"),841.2)</f>
        <v>841.2</v>
      </c>
      <c r="J1122" s="9">
        <f>IFERROR(__xludf.DUMMYFUNCTION("GOOGLEFINANCE(A1122, ""high52"")"),1026.0)</f>
        <v>1026</v>
      </c>
      <c r="K1122" s="9">
        <f>IFERROR(__xludf.DUMMYFUNCTION("GOOGLEFINANCE(A1122, ""low52"")"),500.1)</f>
        <v>500.1</v>
      </c>
      <c r="L1122" s="9">
        <f t="shared" si="1"/>
        <v>0.04970760234</v>
      </c>
      <c r="M1122" s="9">
        <f t="shared" si="2"/>
        <v>0.949610078</v>
      </c>
      <c r="N1122" s="9">
        <f t="shared" si="3"/>
        <v>0.03232115286</v>
      </c>
      <c r="O1122" s="9">
        <f t="shared" si="4"/>
        <v>0.724025974</v>
      </c>
      <c r="P1122" s="9">
        <f>IFERROR(__xludf.DUMMYFUNCTION("GOOGLEFINANCE(A1122, ""pe"")"),579.04)</f>
        <v>579.04</v>
      </c>
      <c r="Q1122" s="9">
        <f>IFERROR(__xludf.DUMMYFUNCTION("IFERROR(GOOGLEFINANCE(A1122, ""volume"") / GOOGLEFINANCE(A1122, ""volumeavg""), 0)"),0.0)</f>
        <v>0</v>
      </c>
      <c r="R1122" s="9">
        <f>IFERROR(__xludf.DUMMYFUNCTION("AVERAGE(INDEX(GOOGLEFINANCE(A1122, ""price"", TODAY()-30, TODAY()), 0, 2))"),942.769565217391)</f>
        <v>942.7695652</v>
      </c>
      <c r="S1122" s="9">
        <f>IFERROR(__xludf.DUMMYFUNCTION("AVERAGE(INDEX(GOOGLEFINANCE(A1122, ""price"", TODAY()-75, TODAY()), 0, 2))"),868.6405660377359)</f>
        <v>868.640566</v>
      </c>
      <c r="T1122" s="9">
        <f>IFERROR(__xludf.DUMMYFUNCTION("AVERAGE(INDEX(GOOGLEFINANCE(A1122, ""price"", TODAY()-300, TODAY()), 0, 2))"),749.9024752475249)</f>
        <v>749.9024752</v>
      </c>
      <c r="U1122" s="9">
        <f t="shared" si="5"/>
        <v>0.03418696994</v>
      </c>
      <c r="V1122" s="15">
        <f>IFERROR(__xludf.DUMMYFUNCTION("LET(hist, GOOGLEFINANCE(A1122,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rs))))))"),56.38095238095239)</f>
        <v>56.38095238</v>
      </c>
      <c r="W1122" s="16" t="str">
        <f>IFERROR(__xludf.DUMMYFUNCTION("IFERROR(GOOGLEFINANCE(A1122, ""volume"") / GOOGLEFINANCE(A1122, ""volumeavg""), )"),"")</f>
        <v/>
      </c>
      <c r="X1122" s="9">
        <f>IFERROR(__xludf.DUMMYFUNCTION("B1122 * GOOGLEFINANCE(A1122, ""volume"")"),1.5700425E8)</f>
        <v>157004250</v>
      </c>
      <c r="Y1122" s="9">
        <f>IFERROR(__xludf.DUMMYFUNCTION("IFERROR(((B1122 - GOOGLEFINANCE(A1122, ""priceopen"")) / GOOGLEFINANCE(A1122, ""priceopen"")) * GOOGLEFINANCE(A1122, ""volume""), 0)"),-3962.9231692677104)</f>
        <v>-3962.923169</v>
      </c>
    </row>
    <row r="1123">
      <c r="A1123" s="4" t="s">
        <v>2916</v>
      </c>
      <c r="B1123" s="7">
        <f>IFERROR(__xludf.DUMMYFUNCTION("GOOGLEFINANCE(A1123, ""price"")"),2570.0)</f>
        <v>2570</v>
      </c>
      <c r="C1123" s="7">
        <f>IFERROR(__xludf.DUMMYFUNCTION("GOOGLEFINANCE(A1123, ""changepct"")"),-3.68)</f>
        <v>-3.68</v>
      </c>
      <c r="D1123" s="9">
        <f>IFERROR(__xludf.DUMMYFUNCTION("GOOGLEFINANCE(A1123, ""priceopen"")"),2721.0)</f>
        <v>2721</v>
      </c>
      <c r="E1123" s="9">
        <f>IFERROR(__xludf.DUMMYFUNCTION("GOOGLEFINANCE(A1123, ""high"")"),2807.9)</f>
        <v>2807.9</v>
      </c>
      <c r="F1123" s="9">
        <f>IFERROR(__xludf.DUMMYFUNCTION("GOOGLEFINANCE(A1123, ""low"")"),2544.1)</f>
        <v>2544.1</v>
      </c>
      <c r="G1123" s="9">
        <f>IFERROR(__xludf.DUMMYFUNCTION("GOOGLEFINANCE(A1123, ""price"")"),2570.0)</f>
        <v>2570</v>
      </c>
      <c r="H1123" s="9">
        <f>IFERROR(__xludf.DUMMYFUNCTION("MAX(INDEX(GOOGLEFINANCE(A1123, ""high"", TODAY()-30, TODAY()), 0, 2))"),2807.9)</f>
        <v>2807.9</v>
      </c>
      <c r="I1123" s="9">
        <f>IFERROR(__xludf.DUMMYFUNCTION("MIN(INDEX(GOOGLEFINANCE(A1123, ""low"", TODAY()-30, TODAY()), 0, 2))"),2072.4)</f>
        <v>2072.4</v>
      </c>
      <c r="J1123" s="9">
        <f>IFERROR(__xludf.DUMMYFUNCTION("GOOGLEFINANCE(A1123, ""high52"")"),2807.9)</f>
        <v>2807.9</v>
      </c>
      <c r="K1123" s="9">
        <f>IFERROR(__xludf.DUMMYFUNCTION("GOOGLEFINANCE(A1123, ""low52"")"),990.1)</f>
        <v>990.1</v>
      </c>
      <c r="L1123" s="9">
        <f t="shared" si="1"/>
        <v>0.0847252395</v>
      </c>
      <c r="M1123" s="9">
        <f t="shared" si="2"/>
        <v>1.595697404</v>
      </c>
      <c r="N1123" s="9">
        <f t="shared" si="3"/>
        <v>0.1036908927</v>
      </c>
      <c r="O1123" s="9">
        <f t="shared" si="4"/>
        <v>0.676546567</v>
      </c>
      <c r="P1123" s="9">
        <f>IFERROR(__xludf.DUMMYFUNCTION("GOOGLEFINANCE(A1123, ""pe"")"),58.13)</f>
        <v>58.13</v>
      </c>
      <c r="Q1123" s="9">
        <f>IFERROR(__xludf.DUMMYFUNCTION("IFERROR(GOOGLEFINANCE(A1123, ""volume"") / GOOGLEFINANCE(A1123, ""volumeavg""), 0)"),0.0)</f>
        <v>0</v>
      </c>
      <c r="R1123" s="9">
        <f>IFERROR(__xludf.DUMMYFUNCTION("AVERAGE(INDEX(GOOGLEFINANCE(A1123, ""price"", TODAY()-30, TODAY()), 0, 2))"),2347.6478260869567)</f>
        <v>2347.647826</v>
      </c>
      <c r="S1123" s="9">
        <f>IFERROR(__xludf.DUMMYFUNCTION("AVERAGE(INDEX(GOOGLEFINANCE(A1123, ""price"", TODAY()-75, TODAY()), 0, 2))"),2074.6283018867916)</f>
        <v>2074.628302</v>
      </c>
      <c r="T1123" s="9">
        <f>IFERROR(__xludf.DUMMYFUNCTION("AVERAGE(INDEX(GOOGLEFINANCE(A1123, ""price"", TODAY()-300, TODAY()), 0, 2))"),1613.0301980198021)</f>
        <v>1613.030198</v>
      </c>
      <c r="U1123" s="9">
        <f t="shared" si="5"/>
        <v>0.09471274671</v>
      </c>
      <c r="V1123" s="15">
        <f>IFERROR(__xludf.DUMMYFUNCTION("LET(hist, GOOGLEFINANCE(A1123,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rs))))))"),61.164817749603806)</f>
        <v>61.16481775</v>
      </c>
      <c r="W1123" s="16" t="str">
        <f>IFERROR(__xludf.DUMMYFUNCTION("IFERROR(GOOGLEFINANCE(A1123, ""volume"") / GOOGLEFINANCE(A1123, ""volumeavg""), )"),"")</f>
        <v/>
      </c>
      <c r="X1123" s="9">
        <f>IFERROR(__xludf.DUMMYFUNCTION("B1123 * GOOGLEFINANCE(A1123, ""volume"")"),2.8504384E8)</f>
        <v>285043840</v>
      </c>
      <c r="Y1123" s="9">
        <f>IFERROR(__xludf.DUMMYFUNCTION("IFERROR(((B1123 - GOOGLEFINANCE(A1123, ""priceopen"")) / GOOGLEFINANCE(A1123, ""priceopen"")) * GOOGLEFINANCE(A1123, ""volume""), 0)"),-6154.984196986402)</f>
        <v>-6154.984197</v>
      </c>
    </row>
    <row r="1124">
      <c r="A1124" s="4" t="s">
        <v>2917</v>
      </c>
      <c r="B1124" s="7">
        <f>IFERROR(__xludf.DUMMYFUNCTION("GOOGLEFINANCE(A1124, ""price"")"),554.8)</f>
        <v>554.8</v>
      </c>
      <c r="C1124" s="7">
        <f>IFERROR(__xludf.DUMMYFUNCTION("GOOGLEFINANCE(A1124, ""changepct"")"),3.25)</f>
        <v>3.25</v>
      </c>
      <c r="D1124" s="9">
        <f>IFERROR(__xludf.DUMMYFUNCTION("GOOGLEFINANCE(A1124, ""priceopen"")"),541.7)</f>
        <v>541.7</v>
      </c>
      <c r="E1124" s="9">
        <f>IFERROR(__xludf.DUMMYFUNCTION("GOOGLEFINANCE(A1124, ""high"")"),556.4)</f>
        <v>556.4</v>
      </c>
      <c r="F1124" s="9">
        <f>IFERROR(__xludf.DUMMYFUNCTION("GOOGLEFINANCE(A1124, ""low"")"),537.05)</f>
        <v>537.05</v>
      </c>
      <c r="G1124" s="9">
        <f>IFERROR(__xludf.DUMMYFUNCTION("GOOGLEFINANCE(A1124, ""price"")"),554.8)</f>
        <v>554.8</v>
      </c>
      <c r="H1124" s="9">
        <f>IFERROR(__xludf.DUMMYFUNCTION("MAX(INDEX(GOOGLEFINANCE(A1124, ""high"", TODAY()-30, TODAY()), 0, 2))"),601.65)</f>
        <v>601.65</v>
      </c>
      <c r="I1124" s="9">
        <f>IFERROR(__xludf.DUMMYFUNCTION("MIN(INDEX(GOOGLEFINANCE(A1124, ""low"", TODAY()-30, TODAY()), 0, 2))"),465.15)</f>
        <v>465.15</v>
      </c>
      <c r="J1124" s="9">
        <f>IFERROR(__xludf.DUMMYFUNCTION("GOOGLEFINANCE(A1124, ""high52"")"),601.65)</f>
        <v>601.65</v>
      </c>
      <c r="K1124" s="9">
        <f>IFERROR(__xludf.DUMMYFUNCTION("GOOGLEFINANCE(A1124, ""low52"")"),291.8)</f>
        <v>291.8</v>
      </c>
      <c r="L1124" s="9">
        <f t="shared" si="1"/>
        <v>0.07786919305</v>
      </c>
      <c r="M1124" s="9">
        <f t="shared" si="2"/>
        <v>0.9013022618</v>
      </c>
      <c r="N1124" s="9">
        <f t="shared" si="3"/>
        <v>0.03603016479</v>
      </c>
      <c r="O1124" s="9">
        <f t="shared" si="4"/>
        <v>0.6567765568</v>
      </c>
      <c r="P1124" s="9">
        <f>IFERROR(__xludf.DUMMYFUNCTION("GOOGLEFINANCE(A1124, ""pe"")"),18.02)</f>
        <v>18.02</v>
      </c>
      <c r="Q1124" s="9">
        <f>IFERROR(__xludf.DUMMYFUNCTION("IFERROR(GOOGLEFINANCE(A1124, ""volume"") / GOOGLEFINANCE(A1124, ""volumeavg""), 0)"),0.0)</f>
        <v>0</v>
      </c>
      <c r="R1124" s="9">
        <f>IFERROR(__xludf.DUMMYFUNCTION("AVERAGE(INDEX(GOOGLEFINANCE(A1124, ""price"", TODAY()-30, TODAY()), 0, 2))"),531.608695652174)</f>
        <v>531.6086957</v>
      </c>
      <c r="S1124" s="9">
        <f>IFERROR(__xludf.DUMMYFUNCTION("AVERAGE(INDEX(GOOGLEFINANCE(A1124, ""price"", TODAY()-75, TODAY()), 0, 2))"),462.9264150943395)</f>
        <v>462.9264151</v>
      </c>
      <c r="T1124" s="9">
        <f>IFERROR(__xludf.DUMMYFUNCTION("AVERAGE(INDEX(GOOGLEFINANCE(A1124, ""price"", TODAY()-300, TODAY()), 0, 2))"),392.23034825870633)</f>
        <v>392.2303483</v>
      </c>
      <c r="U1124" s="9">
        <f t="shared" si="5"/>
        <v>0.04362476486</v>
      </c>
      <c r="V1124" s="15">
        <f>IFERROR(__xludf.DUMMYFUNCTION("LET(hist, GOOGLEFINANCE(A1124,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rs))))))"),74.01574803149602)</f>
        <v>74.01574803</v>
      </c>
      <c r="W1124" s="16" t="str">
        <f>IFERROR(__xludf.DUMMYFUNCTION("IFERROR(GOOGLEFINANCE(A1124, ""volume"") / GOOGLEFINANCE(A1124, ""volumeavg""), )"),"")</f>
        <v/>
      </c>
      <c r="X1124" s="9">
        <f>IFERROR(__xludf.DUMMYFUNCTION("B1124 * GOOGLEFINANCE(A1124, ""volume"")"),1.8925892399999997E8)</f>
        <v>189258924</v>
      </c>
      <c r="Y1124" s="9">
        <f>IFERROR(__xludf.DUMMYFUNCTION("IFERROR(((B1124 - GOOGLEFINANCE(A1124, ""priceopen"")) / GOOGLEFINANCE(A1124, ""priceopen"")) * GOOGLEFINANCE(A1124, ""volume""), 0)"),8249.590179065846)</f>
        <v>8249.590179</v>
      </c>
    </row>
    <row r="1125">
      <c r="A1125" s="4" t="s">
        <v>2918</v>
      </c>
      <c r="B1125" s="7">
        <f>IFERROR(__xludf.DUMMYFUNCTION("GOOGLEFINANCE(A1125, ""price"")"),2110.0)</f>
        <v>2110</v>
      </c>
      <c r="C1125" s="7">
        <f>IFERROR(__xludf.DUMMYFUNCTION("GOOGLEFINANCE(A1125, ""changepct"")"),-2.07)</f>
        <v>-2.07</v>
      </c>
      <c r="D1125" s="9">
        <f>IFERROR(__xludf.DUMMYFUNCTION("GOOGLEFINANCE(A1125, ""priceopen"")"),2100.0)</f>
        <v>2100</v>
      </c>
      <c r="E1125" s="9">
        <f>IFERROR(__xludf.DUMMYFUNCTION("GOOGLEFINANCE(A1125, ""high"")"),2174.6)</f>
        <v>2174.6</v>
      </c>
      <c r="F1125" s="9">
        <f>IFERROR(__xludf.DUMMYFUNCTION("GOOGLEFINANCE(A1125, ""low"")"),2080.4)</f>
        <v>2080.4</v>
      </c>
      <c r="G1125" s="9">
        <f>IFERROR(__xludf.DUMMYFUNCTION("GOOGLEFINANCE(A1125, ""price"")"),2110.0)</f>
        <v>2110</v>
      </c>
      <c r="H1125" s="9">
        <f>IFERROR(__xludf.DUMMYFUNCTION("MAX(INDEX(GOOGLEFINANCE(A1125, ""high"", TODAY()-30, TODAY()), 0, 2))"),2286.6)</f>
        <v>2286.6</v>
      </c>
      <c r="I1125" s="9">
        <f>IFERROR(__xludf.DUMMYFUNCTION("MIN(INDEX(GOOGLEFINANCE(A1125, ""low"", TODAY()-30, TODAY()), 0, 2))"),1825.1)</f>
        <v>1825.1</v>
      </c>
      <c r="J1125" s="9">
        <f>IFERROR(__xludf.DUMMYFUNCTION("GOOGLEFINANCE(A1125, ""high52"")"),2286.6)</f>
        <v>2286.6</v>
      </c>
      <c r="K1125" s="9">
        <f>IFERROR(__xludf.DUMMYFUNCTION("GOOGLEFINANCE(A1125, ""low52"")"),1443.6)</f>
        <v>1443.6</v>
      </c>
      <c r="L1125" s="9">
        <f t="shared" si="1"/>
        <v>0.07723257238</v>
      </c>
      <c r="M1125" s="9">
        <f t="shared" si="2"/>
        <v>0.4616237185</v>
      </c>
      <c r="N1125" s="9">
        <f t="shared" si="3"/>
        <v>0.04527975389</v>
      </c>
      <c r="O1125" s="9">
        <f t="shared" si="4"/>
        <v>0.6173347779</v>
      </c>
      <c r="P1125" s="9">
        <f>IFERROR(__xludf.DUMMYFUNCTION("GOOGLEFINANCE(A1125, ""pe"")"),46.48)</f>
        <v>46.48</v>
      </c>
      <c r="Q1125" s="9">
        <f>IFERROR(__xludf.DUMMYFUNCTION("IFERROR(GOOGLEFINANCE(A1125, ""volume"") / GOOGLEFINANCE(A1125, ""volumeavg""), 0)"),0.0)</f>
        <v>0</v>
      </c>
      <c r="R1125" s="9">
        <f>IFERROR(__xludf.DUMMYFUNCTION("AVERAGE(INDEX(GOOGLEFINANCE(A1125, ""price"", TODAY()-30, TODAY()), 0, 2))"),1994.5869565217392)</f>
        <v>1994.586957</v>
      </c>
      <c r="S1125" s="9">
        <f>IFERROR(__xludf.DUMMYFUNCTION("AVERAGE(INDEX(GOOGLEFINANCE(A1125, ""price"", TODAY()-75, TODAY()), 0, 2))"),1840.7245283018865)</f>
        <v>1840.724528</v>
      </c>
      <c r="T1125" s="9">
        <f>IFERROR(__xludf.DUMMYFUNCTION("AVERAGE(INDEX(GOOGLEFINANCE(A1125, ""price"", TODAY()-300, TODAY()), 0, 2))"),1741.1722772277233)</f>
        <v>1741.172277</v>
      </c>
      <c r="U1125" s="9">
        <f t="shared" si="5"/>
        <v>0.05786312956</v>
      </c>
      <c r="V1125" s="15">
        <f>IFERROR(__xludf.DUMMYFUNCTION("LET(hist, GOOGLEFINANCE(A1125,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rs))))))"),68.5847355769231)</f>
        <v>68.58473558</v>
      </c>
      <c r="W1125" s="16" t="str">
        <f>IFERROR(__xludf.DUMMYFUNCTION("IFERROR(GOOGLEFINANCE(A1125, ""volume"") / GOOGLEFINANCE(A1125, ""volumeavg""), )"),"")</f>
        <v/>
      </c>
      <c r="X1125" s="9">
        <f>IFERROR(__xludf.DUMMYFUNCTION("B1125 * GOOGLEFINANCE(A1125, ""volume"")"),7545360.0)</f>
        <v>7545360</v>
      </c>
      <c r="Y1125" s="9">
        <f>IFERROR(__xludf.DUMMYFUNCTION("IFERROR(((B1125 - GOOGLEFINANCE(A1125, ""priceopen"")) / GOOGLEFINANCE(A1125, ""priceopen"")) * GOOGLEFINANCE(A1125, ""volume""), 0)"),17.02857142857143)</f>
        <v>17.02857143</v>
      </c>
    </row>
    <row r="1126">
      <c r="A1126" s="4" t="s">
        <v>2919</v>
      </c>
      <c r="B1126" s="7">
        <f>IFERROR(__xludf.DUMMYFUNCTION("GOOGLEFINANCE(A1126, ""price"")"),381.25)</f>
        <v>381.25</v>
      </c>
      <c r="C1126" s="7">
        <f>IFERROR(__xludf.DUMMYFUNCTION("GOOGLEFINANCE(A1126, ""changepct"")"),-3.21)</f>
        <v>-3.21</v>
      </c>
      <c r="D1126" s="9">
        <f>IFERROR(__xludf.DUMMYFUNCTION("GOOGLEFINANCE(A1126, ""priceopen"")"),392.0)</f>
        <v>392</v>
      </c>
      <c r="E1126" s="9">
        <f>IFERROR(__xludf.DUMMYFUNCTION("GOOGLEFINANCE(A1126, ""high"")"),395.4)</f>
        <v>395.4</v>
      </c>
      <c r="F1126" s="9">
        <f>IFERROR(__xludf.DUMMYFUNCTION("GOOGLEFINANCE(A1126, ""low"")"),380.2)</f>
        <v>380.2</v>
      </c>
      <c r="G1126" s="9">
        <f>IFERROR(__xludf.DUMMYFUNCTION("GOOGLEFINANCE(A1126, ""price"")"),381.25)</f>
        <v>381.25</v>
      </c>
      <c r="H1126" s="9">
        <f>IFERROR(__xludf.DUMMYFUNCTION("MAX(INDEX(GOOGLEFINANCE(A1126, ""high"", TODAY()-30, TODAY()), 0, 2))"),464.7)</f>
        <v>464.7</v>
      </c>
      <c r="I1126" s="9">
        <f>IFERROR(__xludf.DUMMYFUNCTION("MIN(INDEX(GOOGLEFINANCE(A1126, ""low"", TODAY()-30, TODAY()), 0, 2))"),380.0)</f>
        <v>380</v>
      </c>
      <c r="J1126" s="9">
        <f>IFERROR(__xludf.DUMMYFUNCTION("GOOGLEFINANCE(A1126, ""high52"")"),593.85)</f>
        <v>593.85</v>
      </c>
      <c r="K1126" s="9">
        <f>IFERROR(__xludf.DUMMYFUNCTION("GOOGLEFINANCE(A1126, ""low52"")"),256.05)</f>
        <v>256.05</v>
      </c>
      <c r="L1126" s="9">
        <f t="shared" si="1"/>
        <v>0.3580028627</v>
      </c>
      <c r="M1126" s="9">
        <f t="shared" si="2"/>
        <v>0.4889669986</v>
      </c>
      <c r="N1126" s="9">
        <f t="shared" si="3"/>
        <v>0.03997895844</v>
      </c>
      <c r="O1126" s="9">
        <f t="shared" si="4"/>
        <v>0.0147579693</v>
      </c>
      <c r="P1126" s="9">
        <f>IFERROR(__xludf.DUMMYFUNCTION("GOOGLEFINANCE(A1126, ""pe"")"),23.39)</f>
        <v>23.39</v>
      </c>
      <c r="Q1126" s="9">
        <f>IFERROR(__xludf.DUMMYFUNCTION("IFERROR(GOOGLEFINANCE(A1126, ""volume"") / GOOGLEFINANCE(A1126, ""volumeavg""), 0)"),0.0)</f>
        <v>0</v>
      </c>
      <c r="R1126" s="9">
        <f>IFERROR(__xludf.DUMMYFUNCTION("AVERAGE(INDEX(GOOGLEFINANCE(A1126, ""price"", TODAY()-30, TODAY()), 0, 2))"),410.2869565217392)</f>
        <v>410.2869565</v>
      </c>
      <c r="S1126" s="9">
        <f>IFERROR(__xludf.DUMMYFUNCTION("AVERAGE(INDEX(GOOGLEFINANCE(A1126, ""price"", TODAY()-75, TODAY()), 0, 2))"),383.09716981132067)</f>
        <v>383.0971698</v>
      </c>
      <c r="T1126" s="9">
        <f>IFERROR(__xludf.DUMMYFUNCTION("AVERAGE(INDEX(GOOGLEFINANCE(A1126, ""price"", TODAY()-300, TODAY()), 0, 2))"),380.14009900990106)</f>
        <v>380.140099</v>
      </c>
      <c r="U1126" s="9">
        <f t="shared" si="5"/>
        <v>-0.07077231206</v>
      </c>
      <c r="V1126" s="15">
        <f>IFERROR(__xludf.DUMMYFUNCTION("LET(hist, GOOGLEFINANCE(A1126,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rs))))))"),37.85536159600998)</f>
        <v>37.8553616</v>
      </c>
      <c r="W1126" s="16" t="str">
        <f>IFERROR(__xludf.DUMMYFUNCTION("IFERROR(GOOGLEFINANCE(A1126, ""volume"") / GOOGLEFINANCE(A1126, ""volumeavg""), )"),"")</f>
        <v/>
      </c>
      <c r="X1126" s="9">
        <f>IFERROR(__xludf.DUMMYFUNCTION("B1126 * GOOGLEFINANCE(A1126, ""volume"")"),6.665431875E7)</f>
        <v>66654318.75</v>
      </c>
      <c r="Y1126" s="9">
        <f>IFERROR(__xludf.DUMMYFUNCTION("IFERROR(((B1126 - GOOGLEFINANCE(A1126, ""priceopen"")) / GOOGLEFINANCE(A1126, ""priceopen"")) * GOOGLEFINANCE(A1126, ""volume""), 0)"),-4794.472576530612)</f>
        <v>-4794.472577</v>
      </c>
    </row>
    <row r="1127">
      <c r="A1127" s="4" t="s">
        <v>2920</v>
      </c>
      <c r="B1127" s="7">
        <f>IFERROR(__xludf.DUMMYFUNCTION("GOOGLEFINANCE(A1127, ""price"")"),1945.2)</f>
        <v>1945.2</v>
      </c>
      <c r="C1127" s="7">
        <f>IFERROR(__xludf.DUMMYFUNCTION("GOOGLEFINANCE(A1127, ""changepct"")"),-1.91)</f>
        <v>-1.91</v>
      </c>
      <c r="D1127" s="9">
        <f>IFERROR(__xludf.DUMMYFUNCTION("GOOGLEFINANCE(A1127, ""priceopen"")"),1961.0)</f>
        <v>1961</v>
      </c>
      <c r="E1127" s="9">
        <f>IFERROR(__xludf.DUMMYFUNCTION("GOOGLEFINANCE(A1127, ""high"")"),1999.0)</f>
        <v>1999</v>
      </c>
      <c r="F1127" s="9">
        <f>IFERROR(__xludf.DUMMYFUNCTION("GOOGLEFINANCE(A1127, ""low"")"),1928.1)</f>
        <v>1928.1</v>
      </c>
      <c r="G1127" s="9">
        <f>IFERROR(__xludf.DUMMYFUNCTION("GOOGLEFINANCE(A1127, ""price"")"),1945.2)</f>
        <v>1945.2</v>
      </c>
      <c r="H1127" s="9">
        <f>IFERROR(__xludf.DUMMYFUNCTION("MAX(INDEX(GOOGLEFINANCE(A1127, ""high"", TODAY()-30, TODAY()), 0, 2))"),2089.0)</f>
        <v>2089</v>
      </c>
      <c r="I1127" s="9">
        <f>IFERROR(__xludf.DUMMYFUNCTION("MIN(INDEX(GOOGLEFINANCE(A1127, ""low"", TODAY()-30, TODAY()), 0, 2))"),1636.1)</f>
        <v>1636.1</v>
      </c>
      <c r="J1127" s="9">
        <f>IFERROR(__xludf.DUMMYFUNCTION("GOOGLEFINANCE(A1127, ""high52"")"),2089.0)</f>
        <v>2089</v>
      </c>
      <c r="K1127" s="9">
        <f>IFERROR(__xludf.DUMMYFUNCTION("GOOGLEFINANCE(A1127, ""low52"")"),1220.1)</f>
        <v>1220.1</v>
      </c>
      <c r="L1127" s="9">
        <f t="shared" si="1"/>
        <v>0.068836764</v>
      </c>
      <c r="M1127" s="9">
        <f t="shared" si="2"/>
        <v>0.5942955495</v>
      </c>
      <c r="N1127" s="9">
        <f t="shared" si="3"/>
        <v>0.03677195166</v>
      </c>
      <c r="O1127" s="9">
        <f t="shared" si="4"/>
        <v>0.682490616</v>
      </c>
      <c r="P1127" s="9">
        <f>IFERROR(__xludf.DUMMYFUNCTION("GOOGLEFINANCE(A1127, ""pe"")"),20.11)</f>
        <v>20.11</v>
      </c>
      <c r="Q1127" s="9">
        <f>IFERROR(__xludf.DUMMYFUNCTION("IFERROR(GOOGLEFINANCE(A1127, ""volume"") / GOOGLEFINANCE(A1127, ""volumeavg""), 0)"),0.0)</f>
        <v>0</v>
      </c>
      <c r="R1127" s="9">
        <f>IFERROR(__xludf.DUMMYFUNCTION("AVERAGE(INDEX(GOOGLEFINANCE(A1127, ""price"", TODAY()-30, TODAY()), 0, 2))"),1799.760869565217)</f>
        <v>1799.76087</v>
      </c>
      <c r="S1127" s="9">
        <f>IFERROR(__xludf.DUMMYFUNCTION("AVERAGE(INDEX(GOOGLEFINANCE(A1127, ""price"", TODAY()-75, TODAY()), 0, 2))"),1731.0735849056605)</f>
        <v>1731.073585</v>
      </c>
      <c r="T1127" s="9">
        <f>IFERROR(__xludf.DUMMYFUNCTION("AVERAGE(INDEX(GOOGLEFINANCE(A1127, ""price"", TODAY()-300, TODAY()), 0, 2))"),1523.0306930693066)</f>
        <v>1523.030693</v>
      </c>
      <c r="U1127" s="9">
        <f t="shared" si="5"/>
        <v>0.08081025257</v>
      </c>
      <c r="V1127" s="15">
        <f>IFERROR(__xludf.DUMMYFUNCTION("LET(hist, GOOGLEFINANCE(A1127,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rs))))))"),62.932454695222404)</f>
        <v>62.9324547</v>
      </c>
      <c r="W1127" s="16" t="str">
        <f>IFERROR(__xludf.DUMMYFUNCTION("IFERROR(GOOGLEFINANCE(A1127, ""volume"") / GOOGLEFINANCE(A1127, ""volumeavg""), )"),"")</f>
        <v/>
      </c>
      <c r="X1127" s="9">
        <f>IFERROR(__xludf.DUMMYFUNCTION("B1127 * GOOGLEFINANCE(A1127, ""volume"")"),6.844769760000001E7)</f>
        <v>68447697.6</v>
      </c>
      <c r="Y1127" s="9">
        <f>IFERROR(__xludf.DUMMYFUNCTION("IFERROR(((B1127 - GOOGLEFINANCE(A1127, ""priceopen"")) / GOOGLEFINANCE(A1127, ""priceopen"")) * GOOGLEFINANCE(A1127, ""volume""), 0)"),-283.51371749107517)</f>
        <v>-283.5137175</v>
      </c>
    </row>
    <row r="1128">
      <c r="A1128" s="4" t="s">
        <v>2921</v>
      </c>
      <c r="B1128" s="7">
        <f>IFERROR(__xludf.DUMMYFUNCTION("GOOGLEFINANCE(A1128, ""price"")"),170.93)</f>
        <v>170.93</v>
      </c>
      <c r="C1128" s="7">
        <f>IFERROR(__xludf.DUMMYFUNCTION("GOOGLEFINANCE(A1128, ""changepct"")"),-1.02)</f>
        <v>-1.02</v>
      </c>
      <c r="D1128" s="9">
        <f>IFERROR(__xludf.DUMMYFUNCTION("GOOGLEFINANCE(A1128, ""priceopen"")"),173.5)</f>
        <v>173.5</v>
      </c>
      <c r="E1128" s="9">
        <f>IFERROR(__xludf.DUMMYFUNCTION("GOOGLEFINANCE(A1128, ""high"")"),177.06)</f>
        <v>177.06</v>
      </c>
      <c r="F1128" s="9">
        <f>IFERROR(__xludf.DUMMYFUNCTION("GOOGLEFINANCE(A1128, ""low"")"),168.22)</f>
        <v>168.22</v>
      </c>
      <c r="G1128" s="9">
        <f>IFERROR(__xludf.DUMMYFUNCTION("GOOGLEFINANCE(A1128, ""price"")"),170.93)</f>
        <v>170.93</v>
      </c>
      <c r="H1128" s="9">
        <f>IFERROR(__xludf.DUMMYFUNCTION("MAX(INDEX(GOOGLEFINANCE(A1128, ""high"", TODAY()-30, TODAY()), 0, 2))"),177.06)</f>
        <v>177.06</v>
      </c>
      <c r="I1128" s="9">
        <f>IFERROR(__xludf.DUMMYFUNCTION("MIN(INDEX(GOOGLEFINANCE(A1128, ""low"", TODAY()-30, TODAY()), 0, 2))"),126.2)</f>
        <v>126.2</v>
      </c>
      <c r="J1128" s="9">
        <f>IFERROR(__xludf.DUMMYFUNCTION("GOOGLEFINANCE(A1128, ""high52"")"),275.5)</f>
        <v>275.5</v>
      </c>
      <c r="K1128" s="9">
        <f>IFERROR(__xludf.DUMMYFUNCTION("GOOGLEFINANCE(A1128, ""low52"")"),111.98)</f>
        <v>111.98</v>
      </c>
      <c r="L1128" s="9">
        <f t="shared" si="1"/>
        <v>0.3795644283</v>
      </c>
      <c r="M1128" s="9">
        <f t="shared" si="2"/>
        <v>0.5264332917</v>
      </c>
      <c r="N1128" s="9">
        <f t="shared" si="3"/>
        <v>0.05255023184</v>
      </c>
      <c r="O1128" s="9">
        <f t="shared" si="4"/>
        <v>0.8794730633</v>
      </c>
      <c r="P1128" s="9">
        <f>IFERROR(__xludf.DUMMYFUNCTION("GOOGLEFINANCE(A1128, ""pe"")"),26.57)</f>
        <v>26.57</v>
      </c>
      <c r="Q1128" s="9">
        <f>IFERROR(__xludf.DUMMYFUNCTION("IFERROR(GOOGLEFINANCE(A1128, ""volume"") / GOOGLEFINANCE(A1128, ""volumeavg""), 0)"),0.0)</f>
        <v>0</v>
      </c>
      <c r="R1128" s="9">
        <f>IFERROR(__xludf.DUMMYFUNCTION("AVERAGE(INDEX(GOOGLEFINANCE(A1128, ""price"", TODAY()-30, TODAY()), 0, 2))"),151.39217391304345)</f>
        <v>151.3921739</v>
      </c>
      <c r="S1128" s="9">
        <f>IFERROR(__xludf.DUMMYFUNCTION("AVERAGE(INDEX(GOOGLEFINANCE(A1128, ""price"", TODAY()-75, TODAY()), 0, 2))"),139.97698113207548)</f>
        <v>139.9769811</v>
      </c>
      <c r="T1128" s="9">
        <f>IFERROR(__xludf.DUMMYFUNCTION("AVERAGE(INDEX(GOOGLEFINANCE(A1128, ""price"", TODAY()-300, TODAY()), 0, 2))"),155.01935643564363)</f>
        <v>155.0193564</v>
      </c>
      <c r="U1128" s="9">
        <f t="shared" si="5"/>
        <v>0.1290543995</v>
      </c>
      <c r="V1128" s="15">
        <f>IFERROR(__xludf.DUMMYFUNCTION("LET(hist, GOOGLEFINANCE(A1128,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rs))))))"),76.16991883957866)</f>
        <v>76.16991884</v>
      </c>
      <c r="W1128" s="16" t="str">
        <f>IFERROR(__xludf.DUMMYFUNCTION("IFERROR(GOOGLEFINANCE(A1128, ""volume"") / GOOGLEFINANCE(A1128, ""volumeavg""), )"),"")</f>
        <v/>
      </c>
      <c r="X1128" s="9">
        <f>IFERROR(__xludf.DUMMYFUNCTION("B1128 * GOOGLEFINANCE(A1128, ""volume"")"),1.1540920112E8)</f>
        <v>115409201.1</v>
      </c>
      <c r="Y1128" s="9">
        <f>IFERROR(__xludf.DUMMYFUNCTION("IFERROR(((B1128 - GOOGLEFINANCE(A1128, ""priceopen"")) / GOOGLEFINANCE(A1128, ""priceopen"")) * GOOGLEFINANCE(A1128, ""volume""), 0)"),-10001.284610950983)</f>
        <v>-10001.28461</v>
      </c>
    </row>
    <row r="1129">
      <c r="A1129" s="4" t="s">
        <v>2922</v>
      </c>
      <c r="B1129" s="7">
        <f>IFERROR(__xludf.DUMMYFUNCTION("GOOGLEFINANCE(A1129, ""price"")"),352.0)</f>
        <v>352</v>
      </c>
      <c r="C1129" s="7">
        <f>IFERROR(__xludf.DUMMYFUNCTION("GOOGLEFINANCE(A1129, ""changepct"")"),-1.87)</f>
        <v>-1.87</v>
      </c>
      <c r="D1129" s="9">
        <f>IFERROR(__xludf.DUMMYFUNCTION("GOOGLEFINANCE(A1129, ""priceopen"")"),356.2)</f>
        <v>356.2</v>
      </c>
      <c r="E1129" s="9">
        <f>IFERROR(__xludf.DUMMYFUNCTION("GOOGLEFINANCE(A1129, ""high"")"),357.4)</f>
        <v>357.4</v>
      </c>
      <c r="F1129" s="9">
        <f>IFERROR(__xludf.DUMMYFUNCTION("GOOGLEFINANCE(A1129, ""low"")"),350.0)</f>
        <v>350</v>
      </c>
      <c r="G1129" s="9">
        <f>IFERROR(__xludf.DUMMYFUNCTION("GOOGLEFINANCE(A1129, ""price"")"),352.0)</f>
        <v>352</v>
      </c>
      <c r="H1129" s="9">
        <f>IFERROR(__xludf.DUMMYFUNCTION("MAX(INDEX(GOOGLEFINANCE(A1129, ""high"", TODAY()-30, TODAY()), 0, 2))"),374.0)</f>
        <v>374</v>
      </c>
      <c r="I1129" s="9">
        <f>IFERROR(__xludf.DUMMYFUNCTION("MIN(INDEX(GOOGLEFINANCE(A1129, ""low"", TODAY()-30, TODAY()), 0, 2))"),345.0)</f>
        <v>345</v>
      </c>
      <c r="J1129" s="9">
        <f>IFERROR(__xludf.DUMMYFUNCTION("GOOGLEFINANCE(A1129, ""high52"")"),512.65)</f>
        <v>512.65</v>
      </c>
      <c r="K1129" s="9">
        <f>IFERROR(__xludf.DUMMYFUNCTION("GOOGLEFINANCE(A1129, ""low52"")"),281.35)</f>
        <v>281.35</v>
      </c>
      <c r="L1129" s="9">
        <f t="shared" si="1"/>
        <v>0.3133716961</v>
      </c>
      <c r="M1129" s="9">
        <f t="shared" si="2"/>
        <v>0.2511107162</v>
      </c>
      <c r="N1129" s="9">
        <f t="shared" si="3"/>
        <v>0.02114285714</v>
      </c>
      <c r="O1129" s="9">
        <f t="shared" si="4"/>
        <v>0.2413793103</v>
      </c>
      <c r="P1129" s="9">
        <f>IFERROR(__xludf.DUMMYFUNCTION("GOOGLEFINANCE(A1129, ""pe"")"),5.4)</f>
        <v>5.4</v>
      </c>
      <c r="Q1129" s="9">
        <f>IFERROR(__xludf.DUMMYFUNCTION("IFERROR(GOOGLEFINANCE(A1129, ""volume"") / GOOGLEFINANCE(A1129, ""volumeavg""), 0)"),0.0)</f>
        <v>0</v>
      </c>
      <c r="R1129" s="9">
        <f>IFERROR(__xludf.DUMMYFUNCTION("AVERAGE(INDEX(GOOGLEFINANCE(A1129, ""price"", TODAY()-30, TODAY()), 0, 2))"),360.9652173913043)</f>
        <v>360.9652174</v>
      </c>
      <c r="S1129" s="9">
        <f>IFERROR(__xludf.DUMMYFUNCTION("AVERAGE(INDEX(GOOGLEFINANCE(A1129, ""price"", TODAY()-75, TODAY()), 0, 2))"),348.47924528301894)</f>
        <v>348.4792453</v>
      </c>
      <c r="T1129" s="9">
        <f>IFERROR(__xludf.DUMMYFUNCTION("AVERAGE(INDEX(GOOGLEFINANCE(A1129, ""price"", TODAY()-300, TODAY()), 0, 2))"),359.91509900990076)</f>
        <v>359.915099</v>
      </c>
      <c r="U1129" s="9">
        <f t="shared" si="5"/>
        <v>-0.02483679025</v>
      </c>
      <c r="V1129" s="15">
        <f>IFERROR(__xludf.DUMMYFUNCTION("LET(hist, GOOGLEFINANCE(A1129,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rs))))))"),39.97944501541626)</f>
        <v>39.97944502</v>
      </c>
      <c r="W1129" s="16" t="str">
        <f>IFERROR(__xludf.DUMMYFUNCTION("IFERROR(GOOGLEFINANCE(A1129, ""volume"") / GOOGLEFINANCE(A1129, ""volumeavg""), )"),"")</f>
        <v/>
      </c>
      <c r="X1129" s="9">
        <f>IFERROR(__xludf.DUMMYFUNCTION("B1129 * GOOGLEFINANCE(A1129, ""volume"")"),2.6764672E7)</f>
        <v>26764672</v>
      </c>
      <c r="Y1129" s="9">
        <f>IFERROR(__xludf.DUMMYFUNCTION("IFERROR(((B1129 - GOOGLEFINANCE(A1129, ""priceopen"")) / GOOGLEFINANCE(A1129, ""priceopen"")) * GOOGLEFINANCE(A1129, ""volume""), 0)"),-896.5502526670385)</f>
        <v>-896.5502527</v>
      </c>
    </row>
    <row r="1130">
      <c r="A1130" s="4" t="s">
        <v>2923</v>
      </c>
      <c r="B1130" s="7">
        <f>IFERROR(__xludf.DUMMYFUNCTION("GOOGLEFINANCE(A1130, ""price"")"),175.85)</f>
        <v>175.85</v>
      </c>
      <c r="C1130" s="7">
        <f>IFERROR(__xludf.DUMMYFUNCTION("GOOGLEFINANCE(A1130, ""changepct"")"),0.45)</f>
        <v>0.45</v>
      </c>
      <c r="D1130" s="9">
        <f>IFERROR(__xludf.DUMMYFUNCTION("GOOGLEFINANCE(A1130, ""priceopen"")"),174.1)</f>
        <v>174.1</v>
      </c>
      <c r="E1130" s="9">
        <f>IFERROR(__xludf.DUMMYFUNCTION("GOOGLEFINANCE(A1130, ""high"")"),177.98)</f>
        <v>177.98</v>
      </c>
      <c r="F1130" s="9">
        <f>IFERROR(__xludf.DUMMYFUNCTION("GOOGLEFINANCE(A1130, ""low"")"),173.5)</f>
        <v>173.5</v>
      </c>
      <c r="G1130" s="9">
        <f>IFERROR(__xludf.DUMMYFUNCTION("GOOGLEFINANCE(A1130, ""price"")"),175.85)</f>
        <v>175.85</v>
      </c>
      <c r="H1130" s="9">
        <f>IFERROR(__xludf.DUMMYFUNCTION("MAX(INDEX(GOOGLEFINANCE(A1130, ""high"", TODAY()-30, TODAY()), 0, 2))"),187.33)</f>
        <v>187.33</v>
      </c>
      <c r="I1130" s="9">
        <f>IFERROR(__xludf.DUMMYFUNCTION("MIN(INDEX(GOOGLEFINANCE(A1130, ""low"", TODAY()-30, TODAY()), 0, 2))"),171.12)</f>
        <v>171.12</v>
      </c>
      <c r="J1130" s="9">
        <f>IFERROR(__xludf.DUMMYFUNCTION("GOOGLEFINANCE(A1130, ""high52"")"),299.4)</f>
        <v>299.4</v>
      </c>
      <c r="K1130" s="9">
        <f>IFERROR(__xludf.DUMMYFUNCTION("GOOGLEFINANCE(A1130, ""low52"")"),148.7)</f>
        <v>148.7</v>
      </c>
      <c r="L1130" s="9">
        <f t="shared" si="1"/>
        <v>0.4126586506</v>
      </c>
      <c r="M1130" s="9">
        <f t="shared" si="2"/>
        <v>0.1825823806</v>
      </c>
      <c r="N1130" s="9">
        <f t="shared" si="3"/>
        <v>0.02582132565</v>
      </c>
      <c r="O1130" s="9">
        <f t="shared" si="4"/>
        <v>0.2917951882</v>
      </c>
      <c r="P1130" s="9" t="str">
        <f>IFERROR(__xludf.DUMMYFUNCTION("GOOGLEFINANCE(A1130, ""pe"")"),"#N/A")</f>
        <v>#N/A</v>
      </c>
      <c r="Q1130" s="9">
        <f>IFERROR(__xludf.DUMMYFUNCTION("IFERROR(GOOGLEFINANCE(A1130, ""volume"") / GOOGLEFINANCE(A1130, ""volumeavg""), 0)"),0.0)</f>
        <v>0</v>
      </c>
      <c r="R1130" s="9">
        <f>IFERROR(__xludf.DUMMYFUNCTION("AVERAGE(INDEX(GOOGLEFINANCE(A1130, ""price"", TODAY()-30, TODAY()), 0, 2))"),176.7186956521739)</f>
        <v>176.7186957</v>
      </c>
      <c r="S1130" s="9">
        <f>IFERROR(__xludf.DUMMYFUNCTION("AVERAGE(INDEX(GOOGLEFINANCE(A1130, ""price"", TODAY()-75, TODAY()), 0, 2))"),176.1747169811321)</f>
        <v>176.174717</v>
      </c>
      <c r="T1130" s="9">
        <f>IFERROR(__xludf.DUMMYFUNCTION("AVERAGE(INDEX(GOOGLEFINANCE(A1130, ""price"", TODAY()-300, TODAY()), 0, 2))"),192.14227722772284)</f>
        <v>192.1422772</v>
      </c>
      <c r="U1130" s="9">
        <f t="shared" si="5"/>
        <v>-0.00491569751</v>
      </c>
      <c r="V1130" s="15">
        <f>IFERROR(__xludf.DUMMYFUNCTION("LET(hist, GOOGLEFINANCE(A1130,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rs))))))"),46.934460887949285)</f>
        <v>46.93446089</v>
      </c>
      <c r="W1130" s="16" t="str">
        <f>IFERROR(__xludf.DUMMYFUNCTION("IFERROR(GOOGLEFINANCE(A1130, ""volume"") / GOOGLEFINANCE(A1130, ""volumeavg""), )"),"")</f>
        <v/>
      </c>
      <c r="X1130" s="9">
        <f>IFERROR(__xludf.DUMMYFUNCTION("B1130 * GOOGLEFINANCE(A1130, ""volume"")"),5066766.05)</f>
        <v>5066766.05</v>
      </c>
      <c r="Y1130" s="9">
        <f>IFERROR(__xludf.DUMMYFUNCTION("IFERROR(((B1130 - GOOGLEFINANCE(A1130, ""priceopen"")) / GOOGLEFINANCE(A1130, ""priceopen"")) * GOOGLEFINANCE(A1130, ""volume""), 0)"),289.61947156806434)</f>
        <v>289.6194716</v>
      </c>
    </row>
    <row r="1131">
      <c r="A1131" s="4" t="s">
        <v>2924</v>
      </c>
      <c r="B1131" s="7">
        <f>IFERROR(__xludf.DUMMYFUNCTION("GOOGLEFINANCE(A1131, ""price"")"),513.85)</f>
        <v>513.85</v>
      </c>
      <c r="C1131" s="7">
        <f>IFERROR(__xludf.DUMMYFUNCTION("GOOGLEFINANCE(A1131, ""changepct"")"),1.14)</f>
        <v>1.14</v>
      </c>
      <c r="D1131" s="9">
        <f>IFERROR(__xludf.DUMMYFUNCTION("GOOGLEFINANCE(A1131, ""priceopen"")"),510.0)</f>
        <v>510</v>
      </c>
      <c r="E1131" s="9">
        <f>IFERROR(__xludf.DUMMYFUNCTION("GOOGLEFINANCE(A1131, ""high"")"),517.0)</f>
        <v>517</v>
      </c>
      <c r="F1131" s="9">
        <f>IFERROR(__xludf.DUMMYFUNCTION("GOOGLEFINANCE(A1131, ""low"")"),504.1)</f>
        <v>504.1</v>
      </c>
      <c r="G1131" s="9">
        <f>IFERROR(__xludf.DUMMYFUNCTION("GOOGLEFINANCE(A1131, ""price"")"),513.85)</f>
        <v>513.85</v>
      </c>
      <c r="H1131" s="9">
        <f>IFERROR(__xludf.DUMMYFUNCTION("MAX(INDEX(GOOGLEFINANCE(A1131, ""high"", TODAY()-30, TODAY()), 0, 2))"),543.35)</f>
        <v>543.35</v>
      </c>
      <c r="I1131" s="9">
        <f>IFERROR(__xludf.DUMMYFUNCTION("MIN(INDEX(GOOGLEFINANCE(A1131, ""low"", TODAY()-30, TODAY()), 0, 2))"),475.05)</f>
        <v>475.05</v>
      </c>
      <c r="J1131" s="9">
        <f>IFERROR(__xludf.DUMMYFUNCTION("GOOGLEFINANCE(A1131, ""high52"")"),554.0)</f>
        <v>554</v>
      </c>
      <c r="K1131" s="9">
        <f>IFERROR(__xludf.DUMMYFUNCTION("GOOGLEFINANCE(A1131, ""low52"")"),252.1)</f>
        <v>252.1</v>
      </c>
      <c r="L1131" s="9">
        <f t="shared" si="1"/>
        <v>0.07247292419</v>
      </c>
      <c r="M1131" s="9">
        <f t="shared" si="2"/>
        <v>1.038278461</v>
      </c>
      <c r="N1131" s="9">
        <f t="shared" si="3"/>
        <v>0.02559016068</v>
      </c>
      <c r="O1131" s="9">
        <f t="shared" si="4"/>
        <v>0.5680819912</v>
      </c>
      <c r="P1131" s="9" t="str">
        <f>IFERROR(__xludf.DUMMYFUNCTION("GOOGLEFINANCE(A1131, ""pe"")"),"#N/A")</f>
        <v>#N/A</v>
      </c>
      <c r="Q1131" s="9">
        <f>IFERROR(__xludf.DUMMYFUNCTION("IFERROR(GOOGLEFINANCE(A1131, ""volume"") / GOOGLEFINANCE(A1131, ""volumeavg""), 0)"),0.0)</f>
        <v>0</v>
      </c>
      <c r="R1131" s="9">
        <f>IFERROR(__xludf.DUMMYFUNCTION("AVERAGE(INDEX(GOOGLEFINANCE(A1131, ""price"", TODAY()-30, TODAY()), 0, 2))"),506.5717391304348)</f>
        <v>506.5717391</v>
      </c>
      <c r="S1131" s="9">
        <f>IFERROR(__xludf.DUMMYFUNCTION("AVERAGE(INDEX(GOOGLEFINANCE(A1131, ""price"", TODAY()-75, TODAY()), 0, 2))"),495.7943396226413)</f>
        <v>495.7943396</v>
      </c>
      <c r="T1131" s="9">
        <f>IFERROR(__xludf.DUMMYFUNCTION("AVERAGE(INDEX(GOOGLEFINANCE(A1131, ""price"", TODAY()-300, TODAY()), 0, 2))"),392.7643564356438)</f>
        <v>392.7643564</v>
      </c>
      <c r="U1131" s="9">
        <f t="shared" si="5"/>
        <v>0.01436768044</v>
      </c>
      <c r="V1131" s="15">
        <f>IFERROR(__xludf.DUMMYFUNCTION("LET(hist, GOOGLEFINANCE(A1131,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rs))))))"),61.02430555555555)</f>
        <v>61.02430556</v>
      </c>
      <c r="W1131" s="16" t="str">
        <f>IFERROR(__xludf.DUMMYFUNCTION("IFERROR(GOOGLEFINANCE(A1131, ""volume"") / GOOGLEFINANCE(A1131, ""volumeavg""), )"),"")</f>
        <v/>
      </c>
      <c r="X1131" s="9">
        <f>IFERROR(__xludf.DUMMYFUNCTION("B1131 * GOOGLEFINANCE(A1131, ""volume"")"),6.4263622550000004E7)</f>
        <v>64263622.55</v>
      </c>
      <c r="Y1131" s="9">
        <f>IFERROR(__xludf.DUMMYFUNCTION("IFERROR(((B1131 - GOOGLEFINANCE(A1131, ""priceopen"")) / GOOGLEFINANCE(A1131, ""priceopen"")) * GOOGLEFINANCE(A1131, ""volume""), 0)"),944.1030392156919)</f>
        <v>944.1030392</v>
      </c>
    </row>
    <row r="1132">
      <c r="A1132" s="4" t="s">
        <v>2925</v>
      </c>
      <c r="B1132" s="7">
        <f>IFERROR(__xludf.DUMMYFUNCTION("GOOGLEFINANCE(A1132, ""price"")"),59.0)</f>
        <v>59</v>
      </c>
      <c r="C1132" s="7">
        <f>IFERROR(__xludf.DUMMYFUNCTION("GOOGLEFINANCE(A1132, ""changepct"")"),-1.34)</f>
        <v>-1.34</v>
      </c>
      <c r="D1132" s="9">
        <f>IFERROR(__xludf.DUMMYFUNCTION("GOOGLEFINANCE(A1132, ""priceopen"")"),60.27)</f>
        <v>60.27</v>
      </c>
      <c r="E1132" s="9">
        <f>IFERROR(__xludf.DUMMYFUNCTION("GOOGLEFINANCE(A1132, ""high"")"),60.27)</f>
        <v>60.27</v>
      </c>
      <c r="F1132" s="9">
        <f>IFERROR(__xludf.DUMMYFUNCTION("GOOGLEFINANCE(A1132, ""low"")"),59.0)</f>
        <v>59</v>
      </c>
      <c r="G1132" s="9">
        <f>IFERROR(__xludf.DUMMYFUNCTION("GOOGLEFINANCE(A1132, ""price"")"),59.0)</f>
        <v>59</v>
      </c>
      <c r="H1132" s="9">
        <f>IFERROR(__xludf.DUMMYFUNCTION("MAX(INDEX(GOOGLEFINANCE(A1132, ""high"", TODAY()-30, TODAY()), 0, 2))"),65.0)</f>
        <v>65</v>
      </c>
      <c r="I1132" s="9">
        <f>IFERROR(__xludf.DUMMYFUNCTION("MIN(INDEX(GOOGLEFINANCE(A1132, ""low"", TODAY()-30, TODAY()), 0, 2))"),58.99)</f>
        <v>58.99</v>
      </c>
      <c r="J1132" s="9">
        <f>IFERROR(__xludf.DUMMYFUNCTION("GOOGLEFINANCE(A1132, ""high52"")"),91.77)</f>
        <v>91.77</v>
      </c>
      <c r="K1132" s="9">
        <f>IFERROR(__xludf.DUMMYFUNCTION("GOOGLEFINANCE(A1132, ""low52"")"),54.36)</f>
        <v>54.36</v>
      </c>
      <c r="L1132" s="9">
        <f t="shared" si="1"/>
        <v>0.3570883731</v>
      </c>
      <c r="M1132" s="9">
        <f t="shared" si="2"/>
        <v>0.08535688006</v>
      </c>
      <c r="N1132" s="9">
        <f t="shared" si="3"/>
        <v>0.02152542373</v>
      </c>
      <c r="O1132" s="9">
        <f t="shared" si="4"/>
        <v>0.001663893511</v>
      </c>
      <c r="P1132" s="9">
        <f>IFERROR(__xludf.DUMMYFUNCTION("GOOGLEFINANCE(A1132, ""pe"")"),32.5)</f>
        <v>32.5</v>
      </c>
      <c r="Q1132" s="9">
        <f>IFERROR(__xludf.DUMMYFUNCTION("IFERROR(GOOGLEFINANCE(A1132, ""volume"") / GOOGLEFINANCE(A1132, ""volumeavg""), 0)"),0.0)</f>
        <v>0</v>
      </c>
      <c r="R1132" s="9">
        <f>IFERROR(__xludf.DUMMYFUNCTION("AVERAGE(INDEX(GOOGLEFINANCE(A1132, ""price"", TODAY()-30, TODAY()), 0, 2))"),61.07869565217391)</f>
        <v>61.07869565</v>
      </c>
      <c r="S1132" s="9">
        <f>IFERROR(__xludf.DUMMYFUNCTION("AVERAGE(INDEX(GOOGLEFINANCE(A1132, ""price"", TODAY()-75, TODAY()), 0, 2))"),62.39735849056601)</f>
        <v>62.39735849</v>
      </c>
      <c r="T1132" s="9">
        <f>IFERROR(__xludf.DUMMYFUNCTION("AVERAGE(INDEX(GOOGLEFINANCE(A1132, ""price"", TODAY()-300, TODAY()), 0, 2))"),66.11163366336635)</f>
        <v>66.11163366</v>
      </c>
      <c r="U1132" s="9">
        <f t="shared" si="5"/>
        <v>-0.03403307209</v>
      </c>
      <c r="V1132" s="15">
        <f>IFERROR(__xludf.DUMMYFUNCTION("LET(hist, GOOGLEFINANCE(A1132,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rs))))))"),37.277353689567406)</f>
        <v>37.27735369</v>
      </c>
      <c r="W1132" s="16" t="str">
        <f>IFERROR(__xludf.DUMMYFUNCTION("IFERROR(GOOGLEFINANCE(A1132, ""volume"") / GOOGLEFINANCE(A1132, ""volumeavg""), )"),"")</f>
        <v/>
      </c>
      <c r="X1132" s="9">
        <f>IFERROR(__xludf.DUMMYFUNCTION("B1132 * GOOGLEFINANCE(A1132, ""volume"")"),2717599.0)</f>
        <v>2717599</v>
      </c>
      <c r="Y1132" s="9">
        <f>IFERROR(__xludf.DUMMYFUNCTION("IFERROR(((B1132 - GOOGLEFINANCE(A1132, ""priceopen"")) / GOOGLEFINANCE(A1132, ""priceopen"")) * GOOGLEFINANCE(A1132, ""volume""), 0)"),-970.5901775344307)</f>
        <v>-970.5901775</v>
      </c>
    </row>
    <row r="1133">
      <c r="A1133" s="4" t="s">
        <v>2926</v>
      </c>
      <c r="B1133" s="7">
        <f>IFERROR(__xludf.DUMMYFUNCTION("GOOGLEFINANCE(A1133, ""price"")"),279.0)</f>
        <v>279</v>
      </c>
      <c r="C1133" s="7">
        <f>IFERROR(__xludf.DUMMYFUNCTION("GOOGLEFINANCE(A1133, ""changepct"")"),-4.34)</f>
        <v>-4.34</v>
      </c>
      <c r="D1133" s="9">
        <f>IFERROR(__xludf.DUMMYFUNCTION("GOOGLEFINANCE(A1133, ""priceopen"")"),291.65)</f>
        <v>291.65</v>
      </c>
      <c r="E1133" s="9">
        <f>IFERROR(__xludf.DUMMYFUNCTION("GOOGLEFINANCE(A1133, ""high"")"),292.95)</f>
        <v>292.95</v>
      </c>
      <c r="F1133" s="9">
        <f>IFERROR(__xludf.DUMMYFUNCTION("GOOGLEFINANCE(A1133, ""low"")"),273.35)</f>
        <v>273.35</v>
      </c>
      <c r="G1133" s="9">
        <f>IFERROR(__xludf.DUMMYFUNCTION("GOOGLEFINANCE(A1133, ""price"")"),279.0)</f>
        <v>279</v>
      </c>
      <c r="H1133" s="9">
        <f>IFERROR(__xludf.DUMMYFUNCTION("MAX(INDEX(GOOGLEFINANCE(A1133, ""high"", TODAY()-30, TODAY()), 0, 2))"),330.0)</f>
        <v>330</v>
      </c>
      <c r="I1133" s="9">
        <f>IFERROR(__xludf.DUMMYFUNCTION("MIN(INDEX(GOOGLEFINANCE(A1133, ""low"", TODAY()-30, TODAY()), 0, 2))"),209.02)</f>
        <v>209.02</v>
      </c>
      <c r="J1133" s="9">
        <f>IFERROR(__xludf.DUMMYFUNCTION("GOOGLEFINANCE(A1133, ""high52"")"),330.0)</f>
        <v>330</v>
      </c>
      <c r="K1133" s="9">
        <f>IFERROR(__xludf.DUMMYFUNCTION("GOOGLEFINANCE(A1133, ""low52"")"),148.6)</f>
        <v>148.6</v>
      </c>
      <c r="L1133" s="9">
        <f t="shared" si="1"/>
        <v>0.1545454545</v>
      </c>
      <c r="M1133" s="9">
        <f t="shared" si="2"/>
        <v>0.8775235532</v>
      </c>
      <c r="N1133" s="9">
        <f t="shared" si="3"/>
        <v>0.07170294494</v>
      </c>
      <c r="O1133" s="9">
        <f t="shared" si="4"/>
        <v>0.5784427178</v>
      </c>
      <c r="P1133" s="9">
        <f>IFERROR(__xludf.DUMMYFUNCTION("GOOGLEFINANCE(A1133, ""pe"")"),15.44)</f>
        <v>15.44</v>
      </c>
      <c r="Q1133" s="9">
        <f>IFERROR(__xludf.DUMMYFUNCTION("IFERROR(GOOGLEFINANCE(A1133, ""volume"") / GOOGLEFINANCE(A1133, ""volumeavg""), 0)"),0.0)</f>
        <v>0</v>
      </c>
      <c r="R1133" s="9">
        <f>IFERROR(__xludf.DUMMYFUNCTION("AVERAGE(INDEX(GOOGLEFINANCE(A1133, ""price"", TODAY()-30, TODAY()), 0, 2))"),276.02304347826083)</f>
        <v>276.0230435</v>
      </c>
      <c r="S1133" s="9">
        <f>IFERROR(__xludf.DUMMYFUNCTION("AVERAGE(INDEX(GOOGLEFINANCE(A1133, ""price"", TODAY()-75, TODAY()), 0, 2))"),225.44830188679242)</f>
        <v>225.4483019</v>
      </c>
      <c r="T1133" s="9">
        <f>IFERROR(__xludf.DUMMYFUNCTION("AVERAGE(INDEX(GOOGLEFINANCE(A1133, ""price"", TODAY()-300, TODAY()), 0, 2))"),203.9869306930694)</f>
        <v>203.9869307</v>
      </c>
      <c r="U1133" s="9">
        <f t="shared" si="5"/>
        <v>0.01078517389</v>
      </c>
      <c r="V1133" s="15">
        <f>IFERROR(__xludf.DUMMYFUNCTION("LET(hist, GOOGLEFINANCE(A1133,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rs))))))"),41.65934259096501)</f>
        <v>41.65934259</v>
      </c>
      <c r="W1133" s="16" t="str">
        <f>IFERROR(__xludf.DUMMYFUNCTION("IFERROR(GOOGLEFINANCE(A1133, ""volume"") / GOOGLEFINANCE(A1133, ""volumeavg""), )"),"")</f>
        <v/>
      </c>
      <c r="X1133" s="9">
        <f>IFERROR(__xludf.DUMMYFUNCTION("B1133 * GOOGLEFINANCE(A1133, ""volume"")"),7.4261988E7)</f>
        <v>74261988</v>
      </c>
      <c r="Y1133" s="9">
        <f>IFERROR(__xludf.DUMMYFUNCTION("IFERROR(((B1133 - GOOGLEFINANCE(A1133, ""priceopen"")) / GOOGLEFINANCE(A1133, ""priceopen"")) * GOOGLEFINANCE(A1133, ""volume""), 0)"),-11544.919595405432)</f>
        <v>-11544.9196</v>
      </c>
    </row>
    <row r="1134">
      <c r="A1134" s="4" t="s">
        <v>2927</v>
      </c>
      <c r="B1134" s="7">
        <f>IFERROR(__xludf.DUMMYFUNCTION("GOOGLEFINANCE(A1134, ""price"")"),162.5)</f>
        <v>162.5</v>
      </c>
      <c r="C1134" s="7">
        <f>IFERROR(__xludf.DUMMYFUNCTION("GOOGLEFINANCE(A1134, ""changepct"")"),-1.28)</f>
        <v>-1.28</v>
      </c>
      <c r="D1134" s="9">
        <f>IFERROR(__xludf.DUMMYFUNCTION("GOOGLEFINANCE(A1134, ""priceopen"")"),163.77)</f>
        <v>163.77</v>
      </c>
      <c r="E1134" s="9">
        <f>IFERROR(__xludf.DUMMYFUNCTION("GOOGLEFINANCE(A1134, ""high"")"),164.99)</f>
        <v>164.99</v>
      </c>
      <c r="F1134" s="9">
        <f>IFERROR(__xludf.DUMMYFUNCTION("GOOGLEFINANCE(A1134, ""low"")"),162.5)</f>
        <v>162.5</v>
      </c>
      <c r="G1134" s="9">
        <f>IFERROR(__xludf.DUMMYFUNCTION("GOOGLEFINANCE(A1134, ""price"")"),162.5)</f>
        <v>162.5</v>
      </c>
      <c r="H1134" s="9">
        <f>IFERROR(__xludf.DUMMYFUNCTION("MAX(INDEX(GOOGLEFINANCE(A1134, ""high"", TODAY()-30, TODAY()), 0, 2))"),189.99)</f>
        <v>189.99</v>
      </c>
      <c r="I1134" s="9">
        <f>IFERROR(__xludf.DUMMYFUNCTION("MIN(INDEX(GOOGLEFINANCE(A1134, ""low"", TODAY()-30, TODAY()), 0, 2))"),160.5)</f>
        <v>160.5</v>
      </c>
      <c r="J1134" s="9">
        <f>IFERROR(__xludf.DUMMYFUNCTION("GOOGLEFINANCE(A1134, ""high52"")"),229.68)</f>
        <v>229.68</v>
      </c>
      <c r="K1134" s="9">
        <f>IFERROR(__xludf.DUMMYFUNCTION("GOOGLEFINANCE(A1134, ""low52"")"),107.59)</f>
        <v>107.59</v>
      </c>
      <c r="L1134" s="9">
        <f t="shared" si="1"/>
        <v>0.2924939046</v>
      </c>
      <c r="M1134" s="9">
        <f t="shared" si="2"/>
        <v>0.5103634167</v>
      </c>
      <c r="N1134" s="9">
        <f t="shared" si="3"/>
        <v>0.01532307692</v>
      </c>
      <c r="O1134" s="9">
        <f t="shared" si="4"/>
        <v>0.06781959986</v>
      </c>
      <c r="P1134" s="9">
        <f>IFERROR(__xludf.DUMMYFUNCTION("GOOGLEFINANCE(A1134, ""pe"")"),16.31)</f>
        <v>16.31</v>
      </c>
      <c r="Q1134" s="9">
        <f>IFERROR(__xludf.DUMMYFUNCTION("IFERROR(GOOGLEFINANCE(A1134, ""volume"") / GOOGLEFINANCE(A1134, ""volumeavg""), 0)"),0.0)</f>
        <v>0</v>
      </c>
      <c r="R1134" s="9">
        <f>IFERROR(__xludf.DUMMYFUNCTION("AVERAGE(INDEX(GOOGLEFINANCE(A1134, ""price"", TODAY()-30, TODAY()), 0, 2))"),171.99521739130438)</f>
        <v>171.9952174</v>
      </c>
      <c r="S1134" s="9">
        <f>IFERROR(__xludf.DUMMYFUNCTION("AVERAGE(INDEX(GOOGLEFINANCE(A1134, ""price"", TODAY()-75, TODAY()), 0, 2))"),162.40509433962265)</f>
        <v>162.4050943</v>
      </c>
      <c r="T1134" s="9">
        <f>IFERROR(__xludf.DUMMYFUNCTION("AVERAGE(INDEX(GOOGLEFINANCE(A1134, ""price"", TODAY()-300, TODAY()), 0, 2))"),165.739405940594)</f>
        <v>165.7394059</v>
      </c>
      <c r="U1134" s="9">
        <f t="shared" si="5"/>
        <v>-0.05520628733</v>
      </c>
      <c r="V1134" s="15">
        <f>IFERROR(__xludf.DUMMYFUNCTION("LET(hist, GOOGLEFINANCE(A1134,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rs))))))"),48.234510326449026)</f>
        <v>48.23451033</v>
      </c>
      <c r="W1134" s="16" t="str">
        <f>IFERROR(__xludf.DUMMYFUNCTION("IFERROR(GOOGLEFINANCE(A1134, ""volume"") / GOOGLEFINANCE(A1134, ""volumeavg""), )"),"")</f>
        <v/>
      </c>
      <c r="X1134" s="9">
        <f>IFERROR(__xludf.DUMMYFUNCTION("B1134 * GOOGLEFINANCE(A1134, ""volume"")"),4.22084E7)</f>
        <v>42208400</v>
      </c>
      <c r="Y1134" s="9">
        <f>IFERROR(__xludf.DUMMYFUNCTION("IFERROR(((B1134 - GOOGLEFINANCE(A1134, ""priceopen"")) / GOOGLEFINANCE(A1134, ""priceopen"")) * GOOGLEFINANCE(A1134, ""volume""), 0)"),-2014.2570678390587)</f>
        <v>-2014.257068</v>
      </c>
    </row>
    <row r="1135">
      <c r="A1135" s="4" t="s">
        <v>2928</v>
      </c>
      <c r="B1135" s="7">
        <f>IFERROR(__xludf.DUMMYFUNCTION("GOOGLEFINANCE(A1135, ""price"")"),550.0)</f>
        <v>550</v>
      </c>
      <c r="C1135" s="7">
        <f>IFERROR(__xludf.DUMMYFUNCTION("GOOGLEFINANCE(A1135, ""changepct"")"),-3.8)</f>
        <v>-3.8</v>
      </c>
      <c r="D1135" s="9">
        <f>IFERROR(__xludf.DUMMYFUNCTION("GOOGLEFINANCE(A1135, ""priceopen"")"),571.95)</f>
        <v>571.95</v>
      </c>
      <c r="E1135" s="9">
        <f>IFERROR(__xludf.DUMMYFUNCTION("GOOGLEFINANCE(A1135, ""high"")"),573.05)</f>
        <v>573.05</v>
      </c>
      <c r="F1135" s="9">
        <f>IFERROR(__xludf.DUMMYFUNCTION("GOOGLEFINANCE(A1135, ""low"")"),528.0)</f>
        <v>528</v>
      </c>
      <c r="G1135" s="9">
        <f>IFERROR(__xludf.DUMMYFUNCTION("GOOGLEFINANCE(A1135, ""price"")"),550.0)</f>
        <v>550</v>
      </c>
      <c r="H1135" s="9">
        <f>IFERROR(__xludf.DUMMYFUNCTION("MAX(INDEX(GOOGLEFINANCE(A1135, ""high"", TODAY()-30, TODAY()), 0, 2))"),585.0)</f>
        <v>585</v>
      </c>
      <c r="I1135" s="9">
        <f>IFERROR(__xludf.DUMMYFUNCTION("MIN(INDEX(GOOGLEFINANCE(A1135, ""low"", TODAY()-30, TODAY()), 0, 2))"),416.5)</f>
        <v>416.5</v>
      </c>
      <c r="J1135" s="9">
        <f>IFERROR(__xludf.DUMMYFUNCTION("GOOGLEFINANCE(A1135, ""high52"")"),662.8)</f>
        <v>662.8</v>
      </c>
      <c r="K1135" s="9">
        <f>IFERROR(__xludf.DUMMYFUNCTION("GOOGLEFINANCE(A1135, ""low52"")"),339.5)</f>
        <v>339.5</v>
      </c>
      <c r="L1135" s="9">
        <f t="shared" si="1"/>
        <v>0.1701870851</v>
      </c>
      <c r="M1135" s="9">
        <f t="shared" si="2"/>
        <v>0.6200294551</v>
      </c>
      <c r="N1135" s="9">
        <f t="shared" si="3"/>
        <v>0.0853219697</v>
      </c>
      <c r="O1135" s="9">
        <f t="shared" si="4"/>
        <v>0.7922848665</v>
      </c>
      <c r="P1135" s="9">
        <f>IFERROR(__xludf.DUMMYFUNCTION("GOOGLEFINANCE(A1135, ""pe"")"),142.86)</f>
        <v>142.86</v>
      </c>
      <c r="Q1135" s="9">
        <f>IFERROR(__xludf.DUMMYFUNCTION("IFERROR(GOOGLEFINANCE(A1135, ""volume"") / GOOGLEFINANCE(A1135, ""volumeavg""), 0)"),0.0)</f>
        <v>0</v>
      </c>
      <c r="R1135" s="9">
        <f>IFERROR(__xludf.DUMMYFUNCTION("AVERAGE(INDEX(GOOGLEFINANCE(A1135, ""price"", TODAY()-30, TODAY()), 0, 2))"),528.0978260869564)</f>
        <v>528.0978261</v>
      </c>
      <c r="S1135" s="9">
        <f>IFERROR(__xludf.DUMMYFUNCTION("AVERAGE(INDEX(GOOGLEFINANCE(A1135, ""price"", TODAY()-75, TODAY()), 0, 2))"),468.7896226415094)</f>
        <v>468.7896226</v>
      </c>
      <c r="T1135" s="9">
        <f>IFERROR(__xludf.DUMMYFUNCTION("AVERAGE(INDEX(GOOGLEFINANCE(A1135, ""price"", TODAY()-300, TODAY()), 0, 2))"),459.1353960396041)</f>
        <v>459.135396</v>
      </c>
      <c r="U1135" s="9">
        <f t="shared" si="5"/>
        <v>0.04147370588</v>
      </c>
      <c r="V1135" s="15">
        <f>IFERROR(__xludf.DUMMYFUNCTION("LET(hist, GOOGLEFINANCE(A1135,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rs))))))"),65.6877323420074)</f>
        <v>65.68773234</v>
      </c>
      <c r="W1135" s="16" t="str">
        <f>IFERROR(__xludf.DUMMYFUNCTION("IFERROR(GOOGLEFINANCE(A1135, ""volume"") / GOOGLEFINANCE(A1135, ""volumeavg""), )"),"")</f>
        <v/>
      </c>
      <c r="X1135" s="9">
        <f>IFERROR(__xludf.DUMMYFUNCTION("B1135 * GOOGLEFINANCE(A1135, ""volume"")"),4.3179565E8)</f>
        <v>431795650</v>
      </c>
      <c r="Y1135" s="9">
        <f>IFERROR(__xludf.DUMMYFUNCTION("IFERROR(((B1135 - GOOGLEFINANCE(A1135, ""priceopen"")) / GOOGLEFINANCE(A1135, ""priceopen"")) * GOOGLEFINANCE(A1135, ""volume""), 0)"),-30129.507561849874)</f>
        <v>-30129.50756</v>
      </c>
    </row>
    <row r="1136">
      <c r="A1136" s="4" t="s">
        <v>2929</v>
      </c>
      <c r="B1136" s="7">
        <f>IFERROR(__xludf.DUMMYFUNCTION("GOOGLEFINANCE(A1136, ""price"")"),685.85)</f>
        <v>685.85</v>
      </c>
      <c r="C1136" s="7">
        <f>IFERROR(__xludf.DUMMYFUNCTION("GOOGLEFINANCE(A1136, ""changepct"")"),1.03)</f>
        <v>1.03</v>
      </c>
      <c r="D1136" s="9">
        <f>IFERROR(__xludf.DUMMYFUNCTION("GOOGLEFINANCE(A1136, ""priceopen"")"),678.85)</f>
        <v>678.85</v>
      </c>
      <c r="E1136" s="9">
        <f>IFERROR(__xludf.DUMMYFUNCTION("GOOGLEFINANCE(A1136, ""high"")"),689.15)</f>
        <v>689.15</v>
      </c>
      <c r="F1136" s="9">
        <f>IFERROR(__xludf.DUMMYFUNCTION("GOOGLEFINANCE(A1136, ""low"")"),675.0)</f>
        <v>675</v>
      </c>
      <c r="G1136" s="9">
        <f>IFERROR(__xludf.DUMMYFUNCTION("GOOGLEFINANCE(A1136, ""price"")"),685.85)</f>
        <v>685.85</v>
      </c>
      <c r="H1136" s="9">
        <f>IFERROR(__xludf.DUMMYFUNCTION("MAX(INDEX(GOOGLEFINANCE(A1136, ""high"", TODAY()-30, TODAY()), 0, 2))"),744.95)</f>
        <v>744.95</v>
      </c>
      <c r="I1136" s="9">
        <f>IFERROR(__xludf.DUMMYFUNCTION("MIN(INDEX(GOOGLEFINANCE(A1136, ""low"", TODAY()-30, TODAY()), 0, 2))"),641.35)</f>
        <v>641.35</v>
      </c>
      <c r="J1136" s="9">
        <f>IFERROR(__xludf.DUMMYFUNCTION("GOOGLEFINANCE(A1136, ""high52"")"),870.5)</f>
        <v>870.5</v>
      </c>
      <c r="K1136" s="9">
        <f>IFERROR(__xludf.DUMMYFUNCTION("GOOGLEFINANCE(A1136, ""low52"")"),464.9)</f>
        <v>464.9</v>
      </c>
      <c r="L1136" s="9">
        <f t="shared" si="1"/>
        <v>0.2121194716</v>
      </c>
      <c r="M1136" s="9">
        <f t="shared" si="2"/>
        <v>0.4752634975</v>
      </c>
      <c r="N1136" s="9">
        <f t="shared" si="3"/>
        <v>0.02096296296</v>
      </c>
      <c r="O1136" s="9">
        <f t="shared" si="4"/>
        <v>0.4295366795</v>
      </c>
      <c r="P1136" s="9">
        <f>IFERROR(__xludf.DUMMYFUNCTION("GOOGLEFINANCE(A1136, ""pe"")"),29.96)</f>
        <v>29.96</v>
      </c>
      <c r="Q1136" s="9">
        <f>IFERROR(__xludf.DUMMYFUNCTION("IFERROR(GOOGLEFINANCE(A1136, ""volume"") / GOOGLEFINANCE(A1136, ""volumeavg""), 0)"),0.0)</f>
        <v>0</v>
      </c>
      <c r="R1136" s="9">
        <f>IFERROR(__xludf.DUMMYFUNCTION("AVERAGE(INDEX(GOOGLEFINANCE(A1136, ""price"", TODAY()-30, TODAY()), 0, 2))"),686.4717391304349)</f>
        <v>686.4717391</v>
      </c>
      <c r="S1136" s="9">
        <f>IFERROR(__xludf.DUMMYFUNCTION("AVERAGE(INDEX(GOOGLEFINANCE(A1136, ""price"", TODAY()-75, TODAY()), 0, 2))"),690.4141509433961)</f>
        <v>690.4141509</v>
      </c>
      <c r="T1136" s="9">
        <f>IFERROR(__xludf.DUMMYFUNCTION("AVERAGE(INDEX(GOOGLEFINANCE(A1136, ""price"", TODAY()-300, TODAY()), 0, 2))"),621.9210396039609)</f>
        <v>621.9210396</v>
      </c>
      <c r="U1136" s="9">
        <f t="shared" si="5"/>
        <v>-0.0009057024419</v>
      </c>
      <c r="V1136" s="15">
        <f>IFERROR(__xludf.DUMMYFUNCTION("LET(hist, GOOGLEFINANCE(A1136,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rs))))))"),39.878397711015744)</f>
        <v>39.87839771</v>
      </c>
      <c r="W1136" s="16" t="str">
        <f>IFERROR(__xludf.DUMMYFUNCTION("IFERROR(GOOGLEFINANCE(A1136, ""volume"") / GOOGLEFINANCE(A1136, ""volumeavg""), )"),"")</f>
        <v/>
      </c>
      <c r="X1136" s="9">
        <f>IFERROR(__xludf.DUMMYFUNCTION("B1136 * GOOGLEFINANCE(A1136, ""volume"")"),2.1607018400000002E7)</f>
        <v>21607018.4</v>
      </c>
      <c r="Y1136" s="9">
        <f>IFERROR(__xludf.DUMMYFUNCTION("IFERROR(((B1136 - GOOGLEFINANCE(A1136, ""priceopen"")) / GOOGLEFINANCE(A1136, ""priceopen"")) * GOOGLEFINANCE(A1136, ""volume""), 0)"),324.85526994181333)</f>
        <v>324.8552699</v>
      </c>
    </row>
    <row r="1137">
      <c r="A1137" s="4" t="s">
        <v>2930</v>
      </c>
      <c r="B1137" s="7">
        <f>IFERROR(__xludf.DUMMYFUNCTION("GOOGLEFINANCE(A1137, ""price"")"),159.8)</f>
        <v>159.8</v>
      </c>
      <c r="C1137" s="7">
        <f>IFERROR(__xludf.DUMMYFUNCTION("GOOGLEFINANCE(A1137, ""changepct"")"),0.31)</f>
        <v>0.31</v>
      </c>
      <c r="D1137" s="9">
        <f>IFERROR(__xludf.DUMMYFUNCTION("GOOGLEFINANCE(A1137, ""priceopen"")"),159.5)</f>
        <v>159.5</v>
      </c>
      <c r="E1137" s="9">
        <f>IFERROR(__xludf.DUMMYFUNCTION("GOOGLEFINANCE(A1137, ""high"")"),162.19)</f>
        <v>162.19</v>
      </c>
      <c r="F1137" s="9">
        <f>IFERROR(__xludf.DUMMYFUNCTION("GOOGLEFINANCE(A1137, ""low"")"),159.5)</f>
        <v>159.5</v>
      </c>
      <c r="G1137" s="9">
        <f>IFERROR(__xludf.DUMMYFUNCTION("GOOGLEFINANCE(A1137, ""price"")"),159.8)</f>
        <v>159.8</v>
      </c>
      <c r="H1137" s="9">
        <f>IFERROR(__xludf.DUMMYFUNCTION("MAX(INDEX(GOOGLEFINANCE(A1137, ""high"", TODAY()-30, TODAY()), 0, 2))"),185.0)</f>
        <v>185</v>
      </c>
      <c r="I1137" s="9">
        <f>IFERROR(__xludf.DUMMYFUNCTION("MIN(INDEX(GOOGLEFINANCE(A1137, ""low"", TODAY()-30, TODAY()), 0, 2))"),158.31)</f>
        <v>158.31</v>
      </c>
      <c r="J1137" s="9">
        <f>IFERROR(__xludf.DUMMYFUNCTION("GOOGLEFINANCE(A1137, ""high52"")"),279.9)</f>
        <v>279.9</v>
      </c>
      <c r="K1137" s="9">
        <f>IFERROR(__xludf.DUMMYFUNCTION("GOOGLEFINANCE(A1137, ""low52"")"),129.1)</f>
        <v>129.1</v>
      </c>
      <c r="L1137" s="9">
        <f t="shared" si="1"/>
        <v>0.4290818149</v>
      </c>
      <c r="M1137" s="9">
        <f t="shared" si="2"/>
        <v>0.2378001549</v>
      </c>
      <c r="N1137" s="9">
        <f t="shared" si="3"/>
        <v>0.01686520376</v>
      </c>
      <c r="O1137" s="9">
        <f t="shared" si="4"/>
        <v>0.05582615212</v>
      </c>
      <c r="P1137" s="9">
        <f>IFERROR(__xludf.DUMMYFUNCTION("GOOGLEFINANCE(A1137, ""pe"")"),5.28)</f>
        <v>5.28</v>
      </c>
      <c r="Q1137" s="9">
        <f>IFERROR(__xludf.DUMMYFUNCTION("IFERROR(GOOGLEFINANCE(A1137, ""volume"") / GOOGLEFINANCE(A1137, ""volumeavg""), 0)"),0.0)</f>
        <v>0</v>
      </c>
      <c r="R1137" s="9">
        <f>IFERROR(__xludf.DUMMYFUNCTION("AVERAGE(INDEX(GOOGLEFINANCE(A1137, ""price"", TODAY()-30, TODAY()), 0, 2))"),165.85130434782607)</f>
        <v>165.8513043</v>
      </c>
      <c r="S1137" s="9">
        <f>IFERROR(__xludf.DUMMYFUNCTION("AVERAGE(INDEX(GOOGLEFINANCE(A1137, ""price"", TODAY()-75, TODAY()), 0, 2))"),163.7947169811321)</f>
        <v>163.794717</v>
      </c>
      <c r="T1137" s="9">
        <f>IFERROR(__xludf.DUMMYFUNCTION("AVERAGE(INDEX(GOOGLEFINANCE(A1137, ""price"", TODAY()-300, TODAY()), 0, 2))"),178.6989603960396)</f>
        <v>178.6989604</v>
      </c>
      <c r="U1137" s="9">
        <f t="shared" si="5"/>
        <v>-0.03648632353</v>
      </c>
      <c r="V1137" s="15">
        <f>IFERROR(__xludf.DUMMYFUNCTION("LET(hist, GOOGLEFINANCE(A1137,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rs))))))"),43.29608938547482)</f>
        <v>43.29608939</v>
      </c>
      <c r="W1137" s="16" t="str">
        <f>IFERROR(__xludf.DUMMYFUNCTION("IFERROR(GOOGLEFINANCE(A1137, ""volume"") / GOOGLEFINANCE(A1137, ""volumeavg""), )"),"")</f>
        <v/>
      </c>
      <c r="X1137" s="9">
        <f>IFERROR(__xludf.DUMMYFUNCTION("B1137 * GOOGLEFINANCE(A1137, ""volume"")"),5.0824070400000006E7)</f>
        <v>50824070.4</v>
      </c>
      <c r="Y1137" s="9">
        <f>IFERROR(__xludf.DUMMYFUNCTION("IFERROR(((B1137 - GOOGLEFINANCE(A1137, ""priceopen"")) / GOOGLEFINANCE(A1137, ""priceopen"")) * GOOGLEFINANCE(A1137, ""volume""), 0)"),598.2094043887374)</f>
        <v>598.2094044</v>
      </c>
    </row>
    <row r="1138">
      <c r="A1138" s="4" t="s">
        <v>2931</v>
      </c>
      <c r="B1138" s="7">
        <f>IFERROR(__xludf.DUMMYFUNCTION("GOOGLEFINANCE(A1138, ""price"")"),112750.0)</f>
        <v>112750</v>
      </c>
      <c r="C1138" s="7">
        <f>IFERROR(__xludf.DUMMYFUNCTION("GOOGLEFINANCE(A1138, ""changepct"")"),0.53)</f>
        <v>0.53</v>
      </c>
      <c r="D1138" s="9">
        <f>IFERROR(__xludf.DUMMYFUNCTION("GOOGLEFINANCE(A1138, ""priceopen"")"),113000.0)</f>
        <v>113000</v>
      </c>
      <c r="E1138" s="9">
        <f>IFERROR(__xludf.DUMMYFUNCTION("GOOGLEFINANCE(A1138, ""high"")"),113000.0)</f>
        <v>113000</v>
      </c>
      <c r="F1138" s="9">
        <f>IFERROR(__xludf.DUMMYFUNCTION("GOOGLEFINANCE(A1138, ""low"")"),109160.0)</f>
        <v>109160</v>
      </c>
      <c r="G1138" s="9">
        <f>IFERROR(__xludf.DUMMYFUNCTION("GOOGLEFINANCE(A1138, ""price"")"),112750.0)</f>
        <v>112750</v>
      </c>
      <c r="H1138" s="9">
        <f>IFERROR(__xludf.DUMMYFUNCTION("MAX(INDEX(GOOGLEFINANCE(A1138, ""high"", TODAY()-30, TODAY()), 0, 2))"),114555.0)</f>
        <v>114555</v>
      </c>
      <c r="I1138" s="9">
        <f>IFERROR(__xludf.DUMMYFUNCTION("MIN(INDEX(GOOGLEFINANCE(A1138, ""low"", TODAY()-30, TODAY()), 0, 2))"),105505.0)</f>
        <v>105505</v>
      </c>
      <c r="J1138" s="9">
        <f>IFERROR(__xludf.DUMMYFUNCTION("GOOGLEFINANCE(A1138, ""high52"")"),137000.0)</f>
        <v>137000</v>
      </c>
      <c r="K1138" s="9">
        <f>IFERROR(__xludf.DUMMYFUNCTION("GOOGLEFINANCE(A1138, ""low52"")"),105505.0)</f>
        <v>105505</v>
      </c>
      <c r="L1138" s="9">
        <f t="shared" si="1"/>
        <v>0.1770072993</v>
      </c>
      <c r="M1138" s="9">
        <f t="shared" si="2"/>
        <v>0.06866973129</v>
      </c>
      <c r="N1138" s="9">
        <f t="shared" si="3"/>
        <v>0.03517772078</v>
      </c>
      <c r="O1138" s="9">
        <f t="shared" si="4"/>
        <v>0.8005524862</v>
      </c>
      <c r="P1138" s="9">
        <f>IFERROR(__xludf.DUMMYFUNCTION("GOOGLEFINANCE(A1138, ""pe"")"),20.78)</f>
        <v>20.78</v>
      </c>
      <c r="Q1138" s="9">
        <f>IFERROR(__xludf.DUMMYFUNCTION("IFERROR(GOOGLEFINANCE(A1138, ""volume"") / GOOGLEFINANCE(A1138, ""volumeavg""), 0)"),0.0)</f>
        <v>0</v>
      </c>
      <c r="R1138" s="9">
        <f>IFERROR(__xludf.DUMMYFUNCTION("AVERAGE(INDEX(GOOGLEFINANCE(A1138, ""price"", TODAY()-30, TODAY()), 0, 2))"),111524.78260869565)</f>
        <v>111524.7826</v>
      </c>
      <c r="S1138" s="9">
        <f>IFERROR(__xludf.DUMMYFUNCTION("AVERAGE(INDEX(GOOGLEFINANCE(A1138, ""price"", TODAY()-75, TODAY()), 0, 2))"),114085.28301886792)</f>
        <v>114085.283</v>
      </c>
      <c r="T1138" s="9">
        <f>IFERROR(__xludf.DUMMYFUNCTION("AVERAGE(INDEX(GOOGLEFINANCE(A1138, ""price"", TODAY()-300, TODAY()), 0, 2))"),117053.083125)</f>
        <v>117053.0831</v>
      </c>
      <c r="U1138" s="9">
        <f t="shared" si="5"/>
        <v>0.01098605496</v>
      </c>
      <c r="V1138" s="15">
        <f>IFERROR(__xludf.DUMMYFUNCTION("LET(hist, GOOGLEFINANCE(A1138,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rs))))))"),60.38062283737024)</f>
        <v>60.38062284</v>
      </c>
      <c r="W1138" s="16" t="str">
        <f>IFERROR(__xludf.DUMMYFUNCTION("IFERROR(GOOGLEFINANCE(A1138, ""volume"") / GOOGLEFINANCE(A1138, ""volumeavg""), )"),"")</f>
        <v/>
      </c>
      <c r="X1138" s="9">
        <f>IFERROR(__xludf.DUMMYFUNCTION("B1138 * GOOGLEFINANCE(A1138, ""volume"")"),2818750.0)</f>
        <v>2818750</v>
      </c>
      <c r="Y1138" s="9">
        <f>IFERROR(__xludf.DUMMYFUNCTION("IFERROR(((B1138 - GOOGLEFINANCE(A1138, ""priceopen"")) / GOOGLEFINANCE(A1138, ""priceopen"")) * GOOGLEFINANCE(A1138, ""volume""), 0)"),-0.05530973451327434)</f>
        <v>-0.05530973451</v>
      </c>
    </row>
    <row r="1139">
      <c r="A1139" s="4" t="s">
        <v>2932</v>
      </c>
      <c r="B1139" s="7">
        <f>IFERROR(__xludf.DUMMYFUNCTION("GOOGLEFINANCE(A1139, ""price"")"),121.16)</f>
        <v>121.16</v>
      </c>
      <c r="C1139" s="7">
        <f>IFERROR(__xludf.DUMMYFUNCTION("GOOGLEFINANCE(A1139, ""changepct"")"),-0.52)</f>
        <v>-0.52</v>
      </c>
      <c r="D1139" s="9">
        <f>IFERROR(__xludf.DUMMYFUNCTION("GOOGLEFINANCE(A1139, ""priceopen"")"),122.0)</f>
        <v>122</v>
      </c>
      <c r="E1139" s="9">
        <f>IFERROR(__xludf.DUMMYFUNCTION("GOOGLEFINANCE(A1139, ""high"")"),123.4)</f>
        <v>123.4</v>
      </c>
      <c r="F1139" s="9">
        <f>IFERROR(__xludf.DUMMYFUNCTION("GOOGLEFINANCE(A1139, ""low"")"),118.91)</f>
        <v>118.91</v>
      </c>
      <c r="G1139" s="9">
        <f>IFERROR(__xludf.DUMMYFUNCTION("GOOGLEFINANCE(A1139, ""price"")"),121.16)</f>
        <v>121.16</v>
      </c>
      <c r="H1139" s="9">
        <f>IFERROR(__xludf.DUMMYFUNCTION("MAX(INDEX(GOOGLEFINANCE(A1139, ""high"", TODAY()-30, TODAY()), 0, 2))"),131.9)</f>
        <v>131.9</v>
      </c>
      <c r="I1139" s="9">
        <f>IFERROR(__xludf.DUMMYFUNCTION("MIN(INDEX(GOOGLEFINANCE(A1139, ""low"", TODAY()-30, TODAY()), 0, 2))"),118.91)</f>
        <v>118.91</v>
      </c>
      <c r="J1139" s="9">
        <f>IFERROR(__xludf.DUMMYFUNCTION("GOOGLEFINANCE(A1139, ""high52"")"),177.0)</f>
        <v>177</v>
      </c>
      <c r="K1139" s="9">
        <f>IFERROR(__xludf.DUMMYFUNCTION("GOOGLEFINANCE(A1139, ""low52"")"),110.24)</f>
        <v>110.24</v>
      </c>
      <c r="L1139" s="9">
        <f t="shared" si="1"/>
        <v>0.315480226</v>
      </c>
      <c r="M1139" s="9">
        <f t="shared" si="2"/>
        <v>0.09905660377</v>
      </c>
      <c r="N1139" s="9">
        <f t="shared" si="3"/>
        <v>0.03775965016</v>
      </c>
      <c r="O1139" s="9">
        <f t="shared" si="4"/>
        <v>0.1732101617</v>
      </c>
      <c r="P1139" s="9">
        <f>IFERROR(__xludf.DUMMYFUNCTION("GOOGLEFINANCE(A1139, ""pe"")"),6.51)</f>
        <v>6.51</v>
      </c>
      <c r="Q1139" s="9">
        <f>IFERROR(__xludf.DUMMYFUNCTION("IFERROR(GOOGLEFINANCE(A1139, ""volume"") / GOOGLEFINANCE(A1139, ""volumeavg""), 0)"),0.0)</f>
        <v>0</v>
      </c>
      <c r="R1139" s="9">
        <f>IFERROR(__xludf.DUMMYFUNCTION("AVERAGE(INDEX(GOOGLEFINANCE(A1139, ""price"", TODAY()-30, TODAY()), 0, 2))"),125.3982608695652)</f>
        <v>125.3982609</v>
      </c>
      <c r="S1139" s="9">
        <f>IFERROR(__xludf.DUMMYFUNCTION("AVERAGE(INDEX(GOOGLEFINANCE(A1139, ""price"", TODAY()-75, TODAY()), 0, 2))"),134.37962264150943)</f>
        <v>134.3796226</v>
      </c>
      <c r="T1139" s="9">
        <f>IFERROR(__xludf.DUMMYFUNCTION("AVERAGE(INDEX(GOOGLEFINANCE(A1139, ""price"", TODAY()-300, TODAY()), 0, 2))"),136.63504950495056)</f>
        <v>136.6350495</v>
      </c>
      <c r="U1139" s="9">
        <f t="shared" si="5"/>
        <v>-0.03379840231</v>
      </c>
      <c r="V1139" s="15">
        <f>IFERROR(__xludf.DUMMYFUNCTION("LET(hist, GOOGLEFINANCE(A1139,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rs))))))"),47.20873786407765)</f>
        <v>47.20873786</v>
      </c>
      <c r="W1139" s="16" t="str">
        <f>IFERROR(__xludf.DUMMYFUNCTION("IFERROR(GOOGLEFINANCE(A1139, ""volume"") / GOOGLEFINANCE(A1139, ""volumeavg""), )"),"")</f>
        <v/>
      </c>
      <c r="X1139" s="9">
        <f>IFERROR(__xludf.DUMMYFUNCTION("B1139 * GOOGLEFINANCE(A1139, ""volume"")"),7.359597648E7)</f>
        <v>73595976.48</v>
      </c>
      <c r="Y1139" s="9">
        <f>IFERROR(__xludf.DUMMYFUNCTION("IFERROR(((B1139 - GOOGLEFINANCE(A1139, ""priceopen"")) / GOOGLEFINANCE(A1139, ""priceopen"")) * GOOGLEFINANCE(A1139, ""volume""), 0)"),-4182.291147541001)</f>
        <v>-4182.291148</v>
      </c>
    </row>
    <row r="1140">
      <c r="A1140" s="4" t="s">
        <v>2933</v>
      </c>
      <c r="B1140" s="7">
        <f>IFERROR(__xludf.DUMMYFUNCTION("GOOGLEFINANCE(A1140, ""price"")"),213.0)</f>
        <v>213</v>
      </c>
      <c r="C1140" s="7">
        <f>IFERROR(__xludf.DUMMYFUNCTION("GOOGLEFINANCE(A1140, ""changepct"")"),-6.28)</f>
        <v>-6.28</v>
      </c>
      <c r="D1140" s="9">
        <f>IFERROR(__xludf.DUMMYFUNCTION("GOOGLEFINANCE(A1140, ""priceopen"")"),225.0)</f>
        <v>225</v>
      </c>
      <c r="E1140" s="9">
        <f>IFERROR(__xludf.DUMMYFUNCTION("GOOGLEFINANCE(A1140, ""high"")"),226.0)</f>
        <v>226</v>
      </c>
      <c r="F1140" s="9">
        <f>IFERROR(__xludf.DUMMYFUNCTION("GOOGLEFINANCE(A1140, ""low"")"),209.76)</f>
        <v>209.76</v>
      </c>
      <c r="G1140" s="9">
        <f>IFERROR(__xludf.DUMMYFUNCTION("GOOGLEFINANCE(A1140, ""price"")"),213.0)</f>
        <v>213</v>
      </c>
      <c r="H1140" s="9">
        <f>IFERROR(__xludf.DUMMYFUNCTION("MAX(INDEX(GOOGLEFINANCE(A1140, ""high"", TODAY()-30, TODAY()), 0, 2))"),251.8)</f>
        <v>251.8</v>
      </c>
      <c r="I1140" s="9">
        <f>IFERROR(__xludf.DUMMYFUNCTION("MIN(INDEX(GOOGLEFINANCE(A1140, ""low"", TODAY()-30, TODAY()), 0, 2))"),209.76)</f>
        <v>209.76</v>
      </c>
      <c r="J1140" s="9">
        <f>IFERROR(__xludf.DUMMYFUNCTION("GOOGLEFINANCE(A1140, ""high52"")"),409.5)</f>
        <v>409.5</v>
      </c>
      <c r="K1140" s="9">
        <f>IFERROR(__xludf.DUMMYFUNCTION("GOOGLEFINANCE(A1140, ""low52"")"),196.15)</f>
        <v>196.15</v>
      </c>
      <c r="L1140" s="9">
        <f t="shared" si="1"/>
        <v>0.4798534799</v>
      </c>
      <c r="M1140" s="9">
        <f t="shared" si="2"/>
        <v>0.08590364517</v>
      </c>
      <c r="N1140" s="9">
        <f t="shared" si="3"/>
        <v>0.07742181541</v>
      </c>
      <c r="O1140" s="9">
        <f t="shared" si="4"/>
        <v>0.07706945766</v>
      </c>
      <c r="P1140" s="9">
        <f>IFERROR(__xludf.DUMMYFUNCTION("GOOGLEFINANCE(A1140, ""pe"")"),626.47)</f>
        <v>626.47</v>
      </c>
      <c r="Q1140" s="9">
        <f>IFERROR(__xludf.DUMMYFUNCTION("IFERROR(GOOGLEFINANCE(A1140, ""volume"") / GOOGLEFINANCE(A1140, ""volumeavg""), 0)"),0.0)</f>
        <v>0</v>
      </c>
      <c r="R1140" s="9">
        <f>IFERROR(__xludf.DUMMYFUNCTION("AVERAGE(INDEX(GOOGLEFINANCE(A1140, ""price"", TODAY()-30, TODAY()), 0, 2))"),233.45739130434785)</f>
        <v>233.4573913</v>
      </c>
      <c r="S1140" s="9">
        <f>IFERROR(__xludf.DUMMYFUNCTION("AVERAGE(INDEX(GOOGLEFINANCE(A1140, ""price"", TODAY()-75, TODAY()), 0, 2))"),231.79773584905658)</f>
        <v>231.7977358</v>
      </c>
      <c r="T1140" s="9">
        <f>IFERROR(__xludf.DUMMYFUNCTION("AVERAGE(INDEX(GOOGLEFINANCE(A1140, ""price"", TODAY()-300, TODAY()), 0, 2))"),255.09860696517404)</f>
        <v>255.098607</v>
      </c>
      <c r="U1140" s="9">
        <f t="shared" si="5"/>
        <v>-0.0876279444</v>
      </c>
      <c r="V1140" s="15">
        <f>IFERROR(__xludf.DUMMYFUNCTION("LET(hist, GOOGLEFINANCE(A1140,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rs))))))"),26.167512690355295)</f>
        <v>26.16751269</v>
      </c>
      <c r="W1140" s="16" t="str">
        <f>IFERROR(__xludf.DUMMYFUNCTION("IFERROR(GOOGLEFINANCE(A1140, ""volume"") / GOOGLEFINANCE(A1140, ""volumeavg""), )"),"")</f>
        <v/>
      </c>
      <c r="X1140" s="9">
        <f>IFERROR(__xludf.DUMMYFUNCTION("B1140 * GOOGLEFINANCE(A1140, ""volume"")"),2.60469819E8)</f>
        <v>260469819</v>
      </c>
      <c r="Y1140" s="9">
        <f>IFERROR(__xludf.DUMMYFUNCTION("IFERROR(((B1140 - GOOGLEFINANCE(A1140, ""priceopen"")) / GOOGLEFINANCE(A1140, ""priceopen"")) * GOOGLEFINANCE(A1140, ""volume""), 0)"),-65219.36)</f>
        <v>-65219.36</v>
      </c>
    </row>
    <row r="1141">
      <c r="A1141" s="4" t="s">
        <v>2934</v>
      </c>
      <c r="B1141" s="7">
        <f>IFERROR(__xludf.DUMMYFUNCTION("GOOGLEFINANCE(A1141, ""price"")"),141.7)</f>
        <v>141.7</v>
      </c>
      <c r="C1141" s="7">
        <f>IFERROR(__xludf.DUMMYFUNCTION("GOOGLEFINANCE(A1141, ""changepct"")"),-1.56)</f>
        <v>-1.56</v>
      </c>
      <c r="D1141" s="9">
        <f>IFERROR(__xludf.DUMMYFUNCTION("GOOGLEFINANCE(A1141, ""priceopen"")"),144.79)</f>
        <v>144.79</v>
      </c>
      <c r="E1141" s="9">
        <f>IFERROR(__xludf.DUMMYFUNCTION("GOOGLEFINANCE(A1141, ""high"")"),146.49)</f>
        <v>146.49</v>
      </c>
      <c r="F1141" s="9">
        <f>IFERROR(__xludf.DUMMYFUNCTION("GOOGLEFINANCE(A1141, ""low"")"),140.0)</f>
        <v>140</v>
      </c>
      <c r="G1141" s="9">
        <f>IFERROR(__xludf.DUMMYFUNCTION("GOOGLEFINANCE(A1141, ""price"")"),141.7)</f>
        <v>141.7</v>
      </c>
      <c r="H1141" s="9">
        <f>IFERROR(__xludf.DUMMYFUNCTION("MAX(INDEX(GOOGLEFINANCE(A1141, ""high"", TODAY()-30, TODAY()), 0, 2))"),180.9)</f>
        <v>180.9</v>
      </c>
      <c r="I1141" s="9">
        <f>IFERROR(__xludf.DUMMYFUNCTION("MIN(INDEX(GOOGLEFINANCE(A1141, ""low"", TODAY()-30, TODAY()), 0, 2))"),140.0)</f>
        <v>140</v>
      </c>
      <c r="J1141" s="9">
        <f>IFERROR(__xludf.DUMMYFUNCTION("GOOGLEFINANCE(A1141, ""high52"")"),182.9)</f>
        <v>182.9</v>
      </c>
      <c r="K1141" s="9">
        <f>IFERROR(__xludf.DUMMYFUNCTION("GOOGLEFINANCE(A1141, ""low52"")"),75.6)</f>
        <v>75.6</v>
      </c>
      <c r="L1141" s="9">
        <f t="shared" si="1"/>
        <v>0.2252597048</v>
      </c>
      <c r="M1141" s="9">
        <f t="shared" si="2"/>
        <v>0.8743386243</v>
      </c>
      <c r="N1141" s="9">
        <f t="shared" si="3"/>
        <v>0.04635714286</v>
      </c>
      <c r="O1141" s="9">
        <f t="shared" si="4"/>
        <v>0.04156479218</v>
      </c>
      <c r="P1141" s="9" t="str">
        <f>IFERROR(__xludf.DUMMYFUNCTION("GOOGLEFINANCE(A1141, ""pe"")"),"#N/A")</f>
        <v>#N/A</v>
      </c>
      <c r="Q1141" s="9">
        <f>IFERROR(__xludf.DUMMYFUNCTION("IFERROR(GOOGLEFINANCE(A1141, ""volume"") / GOOGLEFINANCE(A1141, ""volumeavg""), 0)"),0.0)</f>
        <v>0</v>
      </c>
      <c r="R1141" s="9">
        <f>IFERROR(__xludf.DUMMYFUNCTION("AVERAGE(INDEX(GOOGLEFINANCE(A1141, ""price"", TODAY()-30, TODAY()), 0, 2))"),161.80565217391302)</f>
        <v>161.8056522</v>
      </c>
      <c r="S1141" s="9">
        <f>IFERROR(__xludf.DUMMYFUNCTION("AVERAGE(INDEX(GOOGLEFINANCE(A1141, ""price"", TODAY()-75, TODAY()), 0, 2))"),160.77452830188682)</f>
        <v>160.7745283</v>
      </c>
      <c r="T1141" s="9">
        <f>IFERROR(__xludf.DUMMYFUNCTION("AVERAGE(INDEX(GOOGLEFINANCE(A1141, ""price"", TODAY()-300, TODAY()), 0, 2))"),124.30782178217825)</f>
        <v>124.3078218</v>
      </c>
      <c r="U1141" s="9">
        <f t="shared" si="5"/>
        <v>-0.1242580337</v>
      </c>
      <c r="V1141" s="15">
        <f>IFERROR(__xludf.DUMMYFUNCTION("LET(hist, GOOGLEFINANCE(A1141,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rs))))))"),31.917231276322994)</f>
        <v>31.91723128</v>
      </c>
      <c r="W1141" s="16" t="str">
        <f>IFERROR(__xludf.DUMMYFUNCTION("IFERROR(GOOGLEFINANCE(A1141, ""volume"") / GOOGLEFINANCE(A1141, ""volumeavg""), )"),"")</f>
        <v/>
      </c>
      <c r="X1141" s="9">
        <f>IFERROR(__xludf.DUMMYFUNCTION("B1141 * GOOGLEFINANCE(A1141, ""volume"")"),1.407212781E8)</f>
        <v>140721278.1</v>
      </c>
      <c r="Y1141" s="9">
        <f>IFERROR(__xludf.DUMMYFUNCTION("IFERROR(((B1141 - GOOGLEFINANCE(A1141, ""priceopen"")) / GOOGLEFINANCE(A1141, ""priceopen"")) * GOOGLEFINANCE(A1141, ""volume""), 0)"),-21193.84881552596)</f>
        <v>-21193.84882</v>
      </c>
    </row>
    <row r="1142">
      <c r="A1142" s="4" t="s">
        <v>2935</v>
      </c>
      <c r="B1142" s="7">
        <f>IFERROR(__xludf.DUMMYFUNCTION("GOOGLEFINANCE(A1142, ""price"")"),236.5)</f>
        <v>236.5</v>
      </c>
      <c r="C1142" s="7">
        <f>IFERROR(__xludf.DUMMYFUNCTION("GOOGLEFINANCE(A1142, ""changepct"")"),-2.84)</f>
        <v>-2.84</v>
      </c>
      <c r="D1142" s="9">
        <f>IFERROR(__xludf.DUMMYFUNCTION("GOOGLEFINANCE(A1142, ""priceopen"")"),242.01)</f>
        <v>242.01</v>
      </c>
      <c r="E1142" s="9">
        <f>IFERROR(__xludf.DUMMYFUNCTION("GOOGLEFINANCE(A1142, ""high"")"),242.82)</f>
        <v>242.82</v>
      </c>
      <c r="F1142" s="9">
        <f>IFERROR(__xludf.DUMMYFUNCTION("GOOGLEFINANCE(A1142, ""low"")"),235.01)</f>
        <v>235.01</v>
      </c>
      <c r="G1142" s="9">
        <f>IFERROR(__xludf.DUMMYFUNCTION("GOOGLEFINANCE(A1142, ""price"")"),236.5)</f>
        <v>236.5</v>
      </c>
      <c r="H1142" s="9">
        <f>IFERROR(__xludf.DUMMYFUNCTION("MAX(INDEX(GOOGLEFINANCE(A1142, ""high"", TODAY()-30, TODAY()), 0, 2))"),303.17)</f>
        <v>303.17</v>
      </c>
      <c r="I1142" s="9">
        <f>IFERROR(__xludf.DUMMYFUNCTION("MIN(INDEX(GOOGLEFINANCE(A1142, ""low"", TODAY()-30, TODAY()), 0, 2))"),200.4)</f>
        <v>200.4</v>
      </c>
      <c r="J1142" s="9">
        <f>IFERROR(__xludf.DUMMYFUNCTION("GOOGLEFINANCE(A1142, ""high52"")"),303.17)</f>
        <v>303.17</v>
      </c>
      <c r="K1142" s="9">
        <f>IFERROR(__xludf.DUMMYFUNCTION("GOOGLEFINANCE(A1142, ""low52"")"),115.0)</f>
        <v>115</v>
      </c>
      <c r="L1142" s="9">
        <f t="shared" si="1"/>
        <v>0.2199096217</v>
      </c>
      <c r="M1142" s="9">
        <f t="shared" si="2"/>
        <v>1.056521739</v>
      </c>
      <c r="N1142" s="9">
        <f t="shared" si="3"/>
        <v>0.0332326284</v>
      </c>
      <c r="O1142" s="9">
        <f t="shared" si="4"/>
        <v>0.3512698258</v>
      </c>
      <c r="P1142" s="9">
        <f>IFERROR(__xludf.DUMMYFUNCTION("GOOGLEFINANCE(A1142, ""pe"")"),7.68)</f>
        <v>7.68</v>
      </c>
      <c r="Q1142" s="9">
        <f>IFERROR(__xludf.DUMMYFUNCTION("IFERROR(GOOGLEFINANCE(A1142, ""volume"") / GOOGLEFINANCE(A1142, ""volumeavg""), 0)"),0.0)</f>
        <v>0</v>
      </c>
      <c r="R1142" s="9">
        <f>IFERROR(__xludf.DUMMYFUNCTION("AVERAGE(INDEX(GOOGLEFINANCE(A1142, ""price"", TODAY()-30, TODAY()), 0, 2))"),232.5330434782608)</f>
        <v>232.5330435</v>
      </c>
      <c r="S1142" s="9">
        <f>IFERROR(__xludf.DUMMYFUNCTION("AVERAGE(INDEX(GOOGLEFINANCE(A1142, ""price"", TODAY()-75, TODAY()), 0, 2))"),198.3230188679245)</f>
        <v>198.3230189</v>
      </c>
      <c r="T1142" s="9">
        <f>IFERROR(__xludf.DUMMYFUNCTION("AVERAGE(INDEX(GOOGLEFINANCE(A1142, ""price"", TODAY()-300, TODAY()), 0, 2))"),156.57227722772285)</f>
        <v>156.5722772</v>
      </c>
      <c r="U1142" s="9">
        <f t="shared" si="5"/>
        <v>0.01705975401</v>
      </c>
      <c r="V1142" s="15">
        <f>IFERROR(__xludf.DUMMYFUNCTION("LET(hist, GOOGLEFINANCE(A1142,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rs))))))"),31.17322120537554)</f>
        <v>31.17322121</v>
      </c>
      <c r="W1142" s="16" t="str">
        <f>IFERROR(__xludf.DUMMYFUNCTION("IFERROR(GOOGLEFINANCE(A1142, ""volume"") / GOOGLEFINANCE(A1142, ""volumeavg""), )"),"")</f>
        <v/>
      </c>
      <c r="X1142" s="9">
        <f>IFERROR(__xludf.DUMMYFUNCTION("B1142 * GOOGLEFINANCE(A1142, ""volume"")"),2.20180554E8)</f>
        <v>220180554</v>
      </c>
      <c r="Y1142" s="9">
        <f>IFERROR(__xludf.DUMMYFUNCTION("IFERROR(((B1142 - GOOGLEFINANCE(A1142, ""priceopen"")) / GOOGLEFINANCE(A1142, ""priceopen"")) * GOOGLEFINANCE(A1142, ""volume""), 0)"),-21196.595016734813)</f>
        <v>-21196.59502</v>
      </c>
    </row>
    <row r="1143">
      <c r="A1143" s="4" t="s">
        <v>2936</v>
      </c>
      <c r="B1143" s="7">
        <f>IFERROR(__xludf.DUMMYFUNCTION("GOOGLEFINANCE(A1143, ""price"")"),619.9)</f>
        <v>619.9</v>
      </c>
      <c r="C1143" s="7">
        <f>IFERROR(__xludf.DUMMYFUNCTION("GOOGLEFINANCE(A1143, ""changepct"")"),-5.0)</f>
        <v>-5</v>
      </c>
      <c r="D1143" s="9">
        <f>IFERROR(__xludf.DUMMYFUNCTION("GOOGLEFINANCE(A1143, ""priceopen"")"),650.85)</f>
        <v>650.85</v>
      </c>
      <c r="E1143" s="9">
        <f>IFERROR(__xludf.DUMMYFUNCTION("GOOGLEFINANCE(A1143, ""high"")"),652.5)</f>
        <v>652.5</v>
      </c>
      <c r="F1143" s="9">
        <f>IFERROR(__xludf.DUMMYFUNCTION("GOOGLEFINANCE(A1143, ""low"")"),619.9)</f>
        <v>619.9</v>
      </c>
      <c r="G1143" s="9">
        <f>IFERROR(__xludf.DUMMYFUNCTION("GOOGLEFINANCE(A1143, ""price"")"),619.9)</f>
        <v>619.9</v>
      </c>
      <c r="H1143" s="9">
        <f>IFERROR(__xludf.DUMMYFUNCTION("MAX(INDEX(GOOGLEFINANCE(A1143, ""high"", TODAY()-30, TODAY()), 0, 2))"),905.0)</f>
        <v>905</v>
      </c>
      <c r="I1143" s="9">
        <f>IFERROR(__xludf.DUMMYFUNCTION("MIN(INDEX(GOOGLEFINANCE(A1143, ""low"", TODAY()-30, TODAY()), 0, 2))"),561.3)</f>
        <v>561.3</v>
      </c>
      <c r="J1143" s="9">
        <f>IFERROR(__xludf.DUMMYFUNCTION("GOOGLEFINANCE(A1143, ""high52"")"),967.5)</f>
        <v>967.5</v>
      </c>
      <c r="K1143" s="9">
        <f>IFERROR(__xludf.DUMMYFUNCTION("GOOGLEFINANCE(A1143, ""low52"")"),342.1)</f>
        <v>342.1</v>
      </c>
      <c r="L1143" s="9">
        <f t="shared" si="1"/>
        <v>0.3592764858</v>
      </c>
      <c r="M1143" s="9">
        <f t="shared" si="2"/>
        <v>0.8120432622</v>
      </c>
      <c r="N1143" s="9">
        <f t="shared" si="3"/>
        <v>0.05258912728</v>
      </c>
      <c r="O1143" s="9">
        <f t="shared" si="4"/>
        <v>0.1704975269</v>
      </c>
      <c r="P1143" s="9">
        <f>IFERROR(__xludf.DUMMYFUNCTION("GOOGLEFINANCE(A1143, ""pe"")"),56.58)</f>
        <v>56.58</v>
      </c>
      <c r="Q1143" s="9">
        <f>IFERROR(__xludf.DUMMYFUNCTION("IFERROR(GOOGLEFINANCE(A1143, ""volume"") / GOOGLEFINANCE(A1143, ""volumeavg""), 0)"),0.0)</f>
        <v>0</v>
      </c>
      <c r="R1143" s="9">
        <f>IFERROR(__xludf.DUMMYFUNCTION("AVERAGE(INDEX(GOOGLEFINANCE(A1143, ""price"", TODAY()-30, TODAY()), 0, 2))"),698.4195652173913)</f>
        <v>698.4195652</v>
      </c>
      <c r="S1143" s="9">
        <f>IFERROR(__xludf.DUMMYFUNCTION("AVERAGE(INDEX(GOOGLEFINANCE(A1143, ""price"", TODAY()-75, TODAY()), 0, 2))"),665.3339622641511)</f>
        <v>665.3339623</v>
      </c>
      <c r="T1143" s="9">
        <f>IFERROR(__xludf.DUMMYFUNCTION("AVERAGE(INDEX(GOOGLEFINANCE(A1143, ""price"", TODAY()-300, TODAY()), 0, 2))"),544.2952970297026)</f>
        <v>544.295297</v>
      </c>
      <c r="U1143" s="9">
        <f t="shared" si="5"/>
        <v>-0.1124246357</v>
      </c>
      <c r="V1143" s="15">
        <f>IFERROR(__xludf.DUMMYFUNCTION("LET(hist, GOOGLEFINANCE(A1143,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rs))))))"),29.388942774005827)</f>
        <v>29.38894277</v>
      </c>
      <c r="W1143" s="16" t="str">
        <f>IFERROR(__xludf.DUMMYFUNCTION("IFERROR(GOOGLEFINANCE(A1143, ""volume"") / GOOGLEFINANCE(A1143, ""volumeavg""), )"),"")</f>
        <v/>
      </c>
      <c r="X1143" s="9">
        <f>IFERROR(__xludf.DUMMYFUNCTION("B1143 * GOOGLEFINANCE(A1143, ""volume"")"),9.14309107E7)</f>
        <v>91430910.7</v>
      </c>
      <c r="Y1143" s="9">
        <f>IFERROR(__xludf.DUMMYFUNCTION("IFERROR(((B1143 - GOOGLEFINANCE(A1143, ""priceopen"")) / GOOGLEFINANCE(A1143, ""priceopen"")) * GOOGLEFINANCE(A1143, ""volume""), 0)"),-7013.7640777444985)</f>
        <v>-7013.764078</v>
      </c>
    </row>
    <row r="1144">
      <c r="A1144" s="4" t="s">
        <v>2937</v>
      </c>
      <c r="B1144" s="7">
        <f>IFERROR(__xludf.DUMMYFUNCTION("GOOGLEFINANCE(A1144, ""price"")"),39.65)</f>
        <v>39.65</v>
      </c>
      <c r="C1144" s="7">
        <f>IFERROR(__xludf.DUMMYFUNCTION("GOOGLEFINANCE(A1144, ""changepct"")"),3.01)</f>
        <v>3.01</v>
      </c>
      <c r="D1144" s="9">
        <f>IFERROR(__xludf.DUMMYFUNCTION("GOOGLEFINANCE(A1144, ""priceopen"")"),38.43)</f>
        <v>38.43</v>
      </c>
      <c r="E1144" s="9">
        <f>IFERROR(__xludf.DUMMYFUNCTION("GOOGLEFINANCE(A1144, ""high"")"),40.4)</f>
        <v>40.4</v>
      </c>
      <c r="F1144" s="9">
        <f>IFERROR(__xludf.DUMMYFUNCTION("GOOGLEFINANCE(A1144, ""low"")"),36.57)</f>
        <v>36.57</v>
      </c>
      <c r="G1144" s="9">
        <f>IFERROR(__xludf.DUMMYFUNCTION("GOOGLEFINANCE(A1144, ""price"")"),39.65)</f>
        <v>39.65</v>
      </c>
      <c r="H1144" s="9">
        <f>IFERROR(__xludf.DUMMYFUNCTION("MAX(INDEX(GOOGLEFINANCE(A1144, ""high"", TODAY()-30, TODAY()), 0, 2))"),44.25)</f>
        <v>44.25</v>
      </c>
      <c r="I1144" s="9">
        <f>IFERROR(__xludf.DUMMYFUNCTION("MIN(INDEX(GOOGLEFINANCE(A1144, ""low"", TODAY()-30, TODAY()), 0, 2))"),34.51)</f>
        <v>34.51</v>
      </c>
      <c r="J1144" s="9">
        <f>IFERROR(__xludf.DUMMYFUNCTION("GOOGLEFINANCE(A1144, ""high52"")"),44.25)</f>
        <v>44.25</v>
      </c>
      <c r="K1144" s="9">
        <f>IFERROR(__xludf.DUMMYFUNCTION("GOOGLEFINANCE(A1144, ""low52"")"),19.78)</f>
        <v>19.78</v>
      </c>
      <c r="L1144" s="9">
        <f t="shared" si="1"/>
        <v>0.1039548023</v>
      </c>
      <c r="M1144" s="9">
        <f t="shared" si="2"/>
        <v>1.004550051</v>
      </c>
      <c r="N1144" s="9">
        <f t="shared" si="3"/>
        <v>0.1047306535</v>
      </c>
      <c r="O1144" s="9">
        <f t="shared" si="4"/>
        <v>0.5277207392</v>
      </c>
      <c r="P1144" s="9" t="str">
        <f>IFERROR(__xludf.DUMMYFUNCTION("GOOGLEFINANCE(A1144, ""pe"")"),"#N/A")</f>
        <v>#N/A</v>
      </c>
      <c r="Q1144" s="9">
        <f>IFERROR(__xludf.DUMMYFUNCTION("IFERROR(GOOGLEFINANCE(A1144, ""volume"") / GOOGLEFINANCE(A1144, ""volumeavg""), 0)"),0.0)</f>
        <v>0</v>
      </c>
      <c r="R1144" s="9">
        <f>IFERROR(__xludf.DUMMYFUNCTION("AVERAGE(INDEX(GOOGLEFINANCE(A1144, ""price"", TODAY()-30, TODAY()), 0, 2))"),38.09391304347827)</f>
        <v>38.09391304</v>
      </c>
      <c r="S1144" s="9">
        <f>IFERROR(__xludf.DUMMYFUNCTION("AVERAGE(INDEX(GOOGLEFINANCE(A1144, ""price"", TODAY()-75, TODAY()), 0, 2))"),34.227924528301884)</f>
        <v>34.22792453</v>
      </c>
      <c r="T1144" s="9">
        <f>IFERROR(__xludf.DUMMYFUNCTION("AVERAGE(INDEX(GOOGLEFINANCE(A1144, ""price"", TODAY()-300, TODAY()), 0, 2))"),28.58532338308457)</f>
        <v>28.58532338</v>
      </c>
      <c r="U1144" s="9">
        <f t="shared" si="5"/>
        <v>0.04084870343</v>
      </c>
      <c r="V1144" s="15">
        <f>IFERROR(__xludf.DUMMYFUNCTION("LET(hist, GOOGLEFINANCE(A1144,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rs))))))"),60.73219658976932)</f>
        <v>60.73219659</v>
      </c>
      <c r="W1144" s="16" t="str">
        <f>IFERROR(__xludf.DUMMYFUNCTION("IFERROR(GOOGLEFINANCE(A1144, ""volume"") / GOOGLEFINANCE(A1144, ""volumeavg""), )"),"")</f>
        <v/>
      </c>
      <c r="X1144" s="9">
        <f>IFERROR(__xludf.DUMMYFUNCTION("B1144 * GOOGLEFINANCE(A1144, ""volume"")"),6.69270589E7)</f>
        <v>66927058.9</v>
      </c>
      <c r="Y1144" s="9">
        <f>IFERROR(__xludf.DUMMYFUNCTION("IFERROR(((B1144 - GOOGLEFINANCE(A1144, ""priceopen"")) / GOOGLEFINANCE(A1144, ""priceopen"")) * GOOGLEFINANCE(A1144, ""volume""), 0)"),53585.58730158725)</f>
        <v>53585.5873</v>
      </c>
    </row>
    <row r="1145">
      <c r="A1145" s="4" t="s">
        <v>2938</v>
      </c>
      <c r="B1145" s="7">
        <f>IFERROR(__xludf.DUMMYFUNCTION("GOOGLEFINANCE(A1145, ""price"")"),146.79)</f>
        <v>146.79</v>
      </c>
      <c r="C1145" s="7">
        <f>IFERROR(__xludf.DUMMYFUNCTION("GOOGLEFINANCE(A1145, ""changepct"")"),-1.48)</f>
        <v>-1.48</v>
      </c>
      <c r="D1145" s="9">
        <f>IFERROR(__xludf.DUMMYFUNCTION("GOOGLEFINANCE(A1145, ""priceopen"")"),148.82)</f>
        <v>148.82</v>
      </c>
      <c r="E1145" s="9">
        <f>IFERROR(__xludf.DUMMYFUNCTION("GOOGLEFINANCE(A1145, ""high"")"),150.2)</f>
        <v>150.2</v>
      </c>
      <c r="F1145" s="9">
        <f>IFERROR(__xludf.DUMMYFUNCTION("GOOGLEFINANCE(A1145, ""low"")"),146.0)</f>
        <v>146</v>
      </c>
      <c r="G1145" s="9">
        <f>IFERROR(__xludf.DUMMYFUNCTION("GOOGLEFINANCE(A1145, ""price"")"),146.79)</f>
        <v>146.79</v>
      </c>
      <c r="H1145" s="9">
        <f>IFERROR(__xludf.DUMMYFUNCTION("MAX(INDEX(GOOGLEFINANCE(A1145, ""high"", TODAY()-30, TODAY()), 0, 2))"),168.0)</f>
        <v>168</v>
      </c>
      <c r="I1145" s="9">
        <f>IFERROR(__xludf.DUMMYFUNCTION("MIN(INDEX(GOOGLEFINANCE(A1145, ""low"", TODAY()-30, TODAY()), 0, 2))"),145.5)</f>
        <v>145.5</v>
      </c>
      <c r="J1145" s="9">
        <f>IFERROR(__xludf.DUMMYFUNCTION("GOOGLEFINANCE(A1145, ""high52"")"),179.85)</f>
        <v>179.85</v>
      </c>
      <c r="K1145" s="9">
        <f>IFERROR(__xludf.DUMMYFUNCTION("GOOGLEFINANCE(A1145, ""low52"")"),120.24)</f>
        <v>120.24</v>
      </c>
      <c r="L1145" s="9">
        <f t="shared" si="1"/>
        <v>0.1838198499</v>
      </c>
      <c r="M1145" s="9">
        <f t="shared" si="2"/>
        <v>0.2208083832</v>
      </c>
      <c r="N1145" s="9">
        <f t="shared" si="3"/>
        <v>0.02876712329</v>
      </c>
      <c r="O1145" s="9">
        <f t="shared" si="4"/>
        <v>0.05733333333</v>
      </c>
      <c r="P1145" s="9">
        <f>IFERROR(__xludf.DUMMYFUNCTION("GOOGLEFINANCE(A1145, ""pe"")"),28.95)</f>
        <v>28.95</v>
      </c>
      <c r="Q1145" s="9">
        <f>IFERROR(__xludf.DUMMYFUNCTION("IFERROR(GOOGLEFINANCE(A1145, ""volume"") / GOOGLEFINANCE(A1145, ""volumeavg""), 0)"),0.0)</f>
        <v>0</v>
      </c>
      <c r="R1145" s="9">
        <f>IFERROR(__xludf.DUMMYFUNCTION("AVERAGE(INDEX(GOOGLEFINANCE(A1145, ""price"", TODAY()-30, TODAY()), 0, 2))"),155.19000000000003)</f>
        <v>155.19</v>
      </c>
      <c r="S1145" s="9">
        <f>IFERROR(__xludf.DUMMYFUNCTION("AVERAGE(INDEX(GOOGLEFINANCE(A1145, ""price"", TODAY()-75, TODAY()), 0, 2))"),154.56622641509435)</f>
        <v>154.5662264</v>
      </c>
      <c r="T1145" s="9">
        <f>IFERROR(__xludf.DUMMYFUNCTION("AVERAGE(INDEX(GOOGLEFINANCE(A1145, ""price"", TODAY()-300, TODAY()), 0, 2))"),149.66178217821775)</f>
        <v>149.6617822</v>
      </c>
      <c r="U1145" s="9">
        <f t="shared" si="5"/>
        <v>-0.05412719892</v>
      </c>
      <c r="V1145" s="15">
        <f>IFERROR(__xludf.DUMMYFUNCTION("LET(hist, GOOGLEFINANCE(A1145,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rs))))))"),38.53481515082783)</f>
        <v>38.53481515</v>
      </c>
      <c r="W1145" s="16" t="str">
        <f>IFERROR(__xludf.DUMMYFUNCTION("IFERROR(GOOGLEFINANCE(A1145, ""volume"") / GOOGLEFINANCE(A1145, ""volumeavg""), )"),"")</f>
        <v/>
      </c>
      <c r="X1145" s="9">
        <f>IFERROR(__xludf.DUMMYFUNCTION("B1145 * GOOGLEFINANCE(A1145, ""volume"")"),1.7207105454E8)</f>
        <v>172071054.5</v>
      </c>
      <c r="Y1145" s="9">
        <f>IFERROR(__xludf.DUMMYFUNCTION("IFERROR(((B1145 - GOOGLEFINANCE(A1145, ""priceopen"")) / GOOGLEFINANCE(A1145, ""priceopen"")) * GOOGLEFINANCE(A1145, ""volume""), 0)"),-15989.912511759181)</f>
        <v>-15989.91251</v>
      </c>
    </row>
    <row r="1146">
      <c r="A1146" s="4" t="s">
        <v>2939</v>
      </c>
      <c r="B1146" s="7">
        <f>IFERROR(__xludf.DUMMYFUNCTION("GOOGLEFINANCE(A1146, ""price"")"),230.0)</f>
        <v>230</v>
      </c>
      <c r="C1146" s="7">
        <f>IFERROR(__xludf.DUMMYFUNCTION("GOOGLEFINANCE(A1146, ""changepct"")"),-1.44)</f>
        <v>-1.44</v>
      </c>
      <c r="D1146" s="9">
        <f>IFERROR(__xludf.DUMMYFUNCTION("GOOGLEFINANCE(A1146, ""priceopen"")"),234.9)</f>
        <v>234.9</v>
      </c>
      <c r="E1146" s="9">
        <f>IFERROR(__xludf.DUMMYFUNCTION("GOOGLEFINANCE(A1146, ""high"")"),236.0)</f>
        <v>236</v>
      </c>
      <c r="F1146" s="9">
        <f>IFERROR(__xludf.DUMMYFUNCTION("GOOGLEFINANCE(A1146, ""low"")"),228.1)</f>
        <v>228.1</v>
      </c>
      <c r="G1146" s="9">
        <f>IFERROR(__xludf.DUMMYFUNCTION("GOOGLEFINANCE(A1146, ""price"")"),230.0)</f>
        <v>230</v>
      </c>
      <c r="H1146" s="9">
        <f>IFERROR(__xludf.DUMMYFUNCTION("MAX(INDEX(GOOGLEFINANCE(A1146, ""high"", TODAY()-30, TODAY()), 0, 2))"),242.0)</f>
        <v>242</v>
      </c>
      <c r="I1146" s="9">
        <f>IFERROR(__xludf.DUMMYFUNCTION("MIN(INDEX(GOOGLEFINANCE(A1146, ""low"", TODAY()-30, TODAY()), 0, 2))"),215.06)</f>
        <v>215.06</v>
      </c>
      <c r="J1146" s="9">
        <f>IFERROR(__xludf.DUMMYFUNCTION("GOOGLEFINANCE(A1146, ""high52"")"),266.5)</f>
        <v>266.5</v>
      </c>
      <c r="K1146" s="9">
        <f>IFERROR(__xludf.DUMMYFUNCTION("GOOGLEFINANCE(A1146, ""low52"")"),166.0)</f>
        <v>166</v>
      </c>
      <c r="L1146" s="9">
        <f t="shared" si="1"/>
        <v>0.1369606004</v>
      </c>
      <c r="M1146" s="9">
        <f t="shared" si="2"/>
        <v>0.3855421687</v>
      </c>
      <c r="N1146" s="9">
        <f t="shared" si="3"/>
        <v>0.03463393249</v>
      </c>
      <c r="O1146" s="9">
        <f t="shared" si="4"/>
        <v>0.5545657016</v>
      </c>
      <c r="P1146" s="9">
        <f>IFERROR(__xludf.DUMMYFUNCTION("GOOGLEFINANCE(A1146, ""pe"")"),16.97)</f>
        <v>16.97</v>
      </c>
      <c r="Q1146" s="9">
        <f>IFERROR(__xludf.DUMMYFUNCTION("IFERROR(GOOGLEFINANCE(A1146, ""volume"") / GOOGLEFINANCE(A1146, ""volumeavg""), 0)"),0.0)</f>
        <v>0</v>
      </c>
      <c r="R1146" s="9">
        <f>IFERROR(__xludf.DUMMYFUNCTION("AVERAGE(INDEX(GOOGLEFINANCE(A1146, ""price"", TODAY()-30, TODAY()), 0, 2))"),226.00260869565219)</f>
        <v>226.0026087</v>
      </c>
      <c r="S1146" s="9">
        <f>IFERROR(__xludf.DUMMYFUNCTION("AVERAGE(INDEX(GOOGLEFINANCE(A1146, ""price"", TODAY()-75, TODAY()), 0, 2))"),220.04245283018864)</f>
        <v>220.0424528</v>
      </c>
      <c r="T1146" s="9">
        <f>IFERROR(__xludf.DUMMYFUNCTION("AVERAGE(INDEX(GOOGLEFINANCE(A1146, ""price"", TODAY()-300, TODAY()), 0, 2))"),216.61584158415835)</f>
        <v>216.6158416</v>
      </c>
      <c r="U1146" s="9">
        <f t="shared" si="5"/>
        <v>0.01768736798</v>
      </c>
      <c r="V1146" s="15">
        <f>IFERROR(__xludf.DUMMYFUNCTION("LET(hist, GOOGLEFINANCE(A1146,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rs))))))"),70.63246351172052)</f>
        <v>70.63246351</v>
      </c>
      <c r="W1146" s="16" t="str">
        <f>IFERROR(__xludf.DUMMYFUNCTION("IFERROR(GOOGLEFINANCE(A1146, ""volume"") / GOOGLEFINANCE(A1146, ""volumeavg""), )"),"")</f>
        <v/>
      </c>
      <c r="X1146" s="9">
        <f>IFERROR(__xludf.DUMMYFUNCTION("B1146 * GOOGLEFINANCE(A1146, ""volume"")"),1.908793E8)</f>
        <v>190879300</v>
      </c>
      <c r="Y1146" s="9">
        <f>IFERROR(__xludf.DUMMYFUNCTION("IFERROR(((B1146 - GOOGLEFINANCE(A1146, ""priceopen"")) / GOOGLEFINANCE(A1146, ""priceopen"")) * GOOGLEFINANCE(A1146, ""volume""), 0)"),-17311.873137505343)</f>
        <v>-17311.87314</v>
      </c>
    </row>
    <row r="1147">
      <c r="A1147" s="4" t="s">
        <v>2940</v>
      </c>
      <c r="B1147" s="7">
        <f>IFERROR(__xludf.DUMMYFUNCTION("GOOGLEFINANCE(A1147, ""price"")"),561.95)</f>
        <v>561.95</v>
      </c>
      <c r="C1147" s="7">
        <f>IFERROR(__xludf.DUMMYFUNCTION("GOOGLEFINANCE(A1147, ""changepct"")"),0.07)</f>
        <v>0.07</v>
      </c>
      <c r="D1147" s="9">
        <f>IFERROR(__xludf.DUMMYFUNCTION("GOOGLEFINANCE(A1147, ""priceopen"")"),561.2)</f>
        <v>561.2</v>
      </c>
      <c r="E1147" s="9">
        <f>IFERROR(__xludf.DUMMYFUNCTION("GOOGLEFINANCE(A1147, ""high"")"),562.8)</f>
        <v>562.8</v>
      </c>
      <c r="F1147" s="9">
        <f>IFERROR(__xludf.DUMMYFUNCTION("GOOGLEFINANCE(A1147, ""low"")"),553.05)</f>
        <v>553.05</v>
      </c>
      <c r="G1147" s="9">
        <f>IFERROR(__xludf.DUMMYFUNCTION("GOOGLEFINANCE(A1147, ""price"")"),561.95)</f>
        <v>561.95</v>
      </c>
      <c r="H1147" s="9">
        <f>IFERROR(__xludf.DUMMYFUNCTION("MAX(INDEX(GOOGLEFINANCE(A1147, ""high"", TODAY()-30, TODAY()), 0, 2))"),694.55)</f>
        <v>694.55</v>
      </c>
      <c r="I1147" s="9">
        <f>IFERROR(__xludf.DUMMYFUNCTION("MIN(INDEX(GOOGLEFINANCE(A1147, ""low"", TODAY()-30, TODAY()), 0, 2))"),553.05)</f>
        <v>553.05</v>
      </c>
      <c r="J1147" s="9">
        <f>IFERROR(__xludf.DUMMYFUNCTION("GOOGLEFINANCE(A1147, ""high52"")"),898.7)</f>
        <v>898.7</v>
      </c>
      <c r="K1147" s="9">
        <f>IFERROR(__xludf.DUMMYFUNCTION("GOOGLEFINANCE(A1147, ""low52"")"),368.7)</f>
        <v>368.7</v>
      </c>
      <c r="L1147" s="9">
        <f t="shared" si="1"/>
        <v>0.3747079114</v>
      </c>
      <c r="M1147" s="9">
        <f t="shared" si="2"/>
        <v>0.5241388663</v>
      </c>
      <c r="N1147" s="9">
        <f t="shared" si="3"/>
        <v>0.01762950909</v>
      </c>
      <c r="O1147" s="9">
        <f t="shared" si="4"/>
        <v>0.0628975265</v>
      </c>
      <c r="P1147" s="9">
        <f>IFERROR(__xludf.DUMMYFUNCTION("GOOGLEFINANCE(A1147, ""pe"")"),13.38)</f>
        <v>13.38</v>
      </c>
      <c r="Q1147" s="9">
        <f>IFERROR(__xludf.DUMMYFUNCTION("IFERROR(GOOGLEFINANCE(A1147, ""volume"") / GOOGLEFINANCE(A1147, ""volumeavg""), 0)"),0.0)</f>
        <v>0</v>
      </c>
      <c r="R1147" s="9">
        <f>IFERROR(__xludf.DUMMYFUNCTION("AVERAGE(INDEX(GOOGLEFINANCE(A1147, ""price"", TODAY()-30, TODAY()), 0, 2))"),586.5260869565218)</f>
        <v>586.526087</v>
      </c>
      <c r="S1147" s="9">
        <f>IFERROR(__xludf.DUMMYFUNCTION("AVERAGE(INDEX(GOOGLEFINANCE(A1147, ""price"", TODAY()-75, TODAY()), 0, 2))"),597.8415094339622)</f>
        <v>597.8415094</v>
      </c>
      <c r="T1147" s="9">
        <f>IFERROR(__xludf.DUMMYFUNCTION("AVERAGE(INDEX(GOOGLEFINANCE(A1147, ""price"", TODAY()-300, TODAY()), 0, 2))"),580.7856435643564)</f>
        <v>580.7856436</v>
      </c>
      <c r="U1147" s="9">
        <f t="shared" si="5"/>
        <v>-0.04190109784</v>
      </c>
      <c r="V1147" s="15">
        <f>IFERROR(__xludf.DUMMYFUNCTION("LET(hist, GOOGLEFINANCE(A1147,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rs))))))"),35.66384180790962)</f>
        <v>35.66384181</v>
      </c>
      <c r="W1147" s="16" t="str">
        <f>IFERROR(__xludf.DUMMYFUNCTION("IFERROR(GOOGLEFINANCE(A1147, ""volume"") / GOOGLEFINANCE(A1147, ""volumeavg""), )"),"")</f>
        <v/>
      </c>
      <c r="X1147" s="9">
        <f>IFERROR(__xludf.DUMMYFUNCTION("B1147 * GOOGLEFINANCE(A1147, ""volume"")"),1.847410625E7)</f>
        <v>18474106.25</v>
      </c>
      <c r="Y1147" s="9">
        <f>IFERROR(__xludf.DUMMYFUNCTION("IFERROR(((B1147 - GOOGLEFINANCE(A1147, ""priceopen"")) / GOOGLEFINANCE(A1147, ""priceopen"")) * GOOGLEFINANCE(A1147, ""volume""), 0)"),43.93487170349251)</f>
        <v>43.9348717</v>
      </c>
    </row>
    <row r="1148">
      <c r="A1148" s="4" t="s">
        <v>2941</v>
      </c>
      <c r="B1148" s="7">
        <f>IFERROR(__xludf.DUMMYFUNCTION("GOOGLEFINANCE(A1148, ""price"")"),27.1)</f>
        <v>27.1</v>
      </c>
      <c r="C1148" s="7">
        <f>IFERROR(__xludf.DUMMYFUNCTION("GOOGLEFINANCE(A1148, ""changepct"")"),-2.8)</f>
        <v>-2.8</v>
      </c>
      <c r="D1148" s="9">
        <f>IFERROR(__xludf.DUMMYFUNCTION("GOOGLEFINANCE(A1148, ""priceopen"")"),27.83)</f>
        <v>27.83</v>
      </c>
      <c r="E1148" s="9">
        <f>IFERROR(__xludf.DUMMYFUNCTION("GOOGLEFINANCE(A1148, ""high"")"),27.94)</f>
        <v>27.94</v>
      </c>
      <c r="F1148" s="9">
        <f>IFERROR(__xludf.DUMMYFUNCTION("GOOGLEFINANCE(A1148, ""low"")"),26.9)</f>
        <v>26.9</v>
      </c>
      <c r="G1148" s="9">
        <f>IFERROR(__xludf.DUMMYFUNCTION("GOOGLEFINANCE(A1148, ""price"")"),27.1)</f>
        <v>27.1</v>
      </c>
      <c r="H1148" s="9">
        <f>IFERROR(__xludf.DUMMYFUNCTION("MAX(INDEX(GOOGLEFINANCE(A1148, ""high"", TODAY()-30, TODAY()), 0, 2))"),32.46)</f>
        <v>32.46</v>
      </c>
      <c r="I1148" s="9">
        <f>IFERROR(__xludf.DUMMYFUNCTION("MIN(INDEX(GOOGLEFINANCE(A1148, ""low"", TODAY()-30, TODAY()), 0, 2))"),26.9)</f>
        <v>26.9</v>
      </c>
      <c r="J1148" s="9">
        <f>IFERROR(__xludf.DUMMYFUNCTION("GOOGLEFINANCE(A1148, ""high52"")"),59.0)</f>
        <v>59</v>
      </c>
      <c r="K1148" s="9">
        <f>IFERROR(__xludf.DUMMYFUNCTION("GOOGLEFINANCE(A1148, ""low52"")"),26.9)</f>
        <v>26.9</v>
      </c>
      <c r="L1148" s="9">
        <f t="shared" si="1"/>
        <v>0.5406779661</v>
      </c>
      <c r="M1148" s="9">
        <f t="shared" si="2"/>
        <v>0.007434944238</v>
      </c>
      <c r="N1148" s="9">
        <f t="shared" si="3"/>
        <v>0.03866171004</v>
      </c>
      <c r="O1148" s="9">
        <f t="shared" si="4"/>
        <v>0.03597122302</v>
      </c>
      <c r="P1148" s="9" t="str">
        <f>IFERROR(__xludf.DUMMYFUNCTION("GOOGLEFINANCE(A1148, ""pe"")"),"#N/A")</f>
        <v>#N/A</v>
      </c>
      <c r="Q1148" s="9">
        <f>IFERROR(__xludf.DUMMYFUNCTION("IFERROR(GOOGLEFINANCE(A1148, ""volume"") / GOOGLEFINANCE(A1148, ""volumeavg""), 0)"),0.0)</f>
        <v>0</v>
      </c>
      <c r="R1148" s="9">
        <f>IFERROR(__xludf.DUMMYFUNCTION("AVERAGE(INDEX(GOOGLEFINANCE(A1148, ""price"", TODAY()-30, TODAY()), 0, 2))"),30.273043478260867)</f>
        <v>30.27304348</v>
      </c>
      <c r="S1148" s="9">
        <f>IFERROR(__xludf.DUMMYFUNCTION("AVERAGE(INDEX(GOOGLEFINANCE(A1148, ""price"", TODAY()-75, TODAY()), 0, 2))"),31.582830188679246)</f>
        <v>31.58283019</v>
      </c>
      <c r="T1148" s="9">
        <f>IFERROR(__xludf.DUMMYFUNCTION("AVERAGE(INDEX(GOOGLEFINANCE(A1148, ""price"", TODAY()-300, TODAY()), 0, 2))"),36.38233830845772)</f>
        <v>36.38233831</v>
      </c>
      <c r="U1148" s="9">
        <f t="shared" si="5"/>
        <v>-0.1048141552</v>
      </c>
      <c r="V1148" s="15">
        <f>IFERROR(__xludf.DUMMYFUNCTION("LET(hist, GOOGLEFINANCE(A1148,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rs))))))"),37.17948717948718)</f>
        <v>37.17948718</v>
      </c>
      <c r="W1148" s="16" t="str">
        <f>IFERROR(__xludf.DUMMYFUNCTION("IFERROR(GOOGLEFINANCE(A1148, ""volume"") / GOOGLEFINANCE(A1148, ""volumeavg""), )"),"")</f>
        <v/>
      </c>
      <c r="X1148" s="9">
        <f>IFERROR(__xludf.DUMMYFUNCTION("B1148 * GOOGLEFINANCE(A1148, ""volume"")"),6.70626627E7)</f>
        <v>67062662.7</v>
      </c>
      <c r="Y1148" s="9">
        <f>IFERROR(__xludf.DUMMYFUNCTION("IFERROR(((B1148 - GOOGLEFINANCE(A1148, ""priceopen"")) / GOOGLEFINANCE(A1148, ""priceopen"")) * GOOGLEFINANCE(A1148, ""volume""), 0)"),-64911.42687747008)</f>
        <v>-64911.42688</v>
      </c>
    </row>
    <row r="1149">
      <c r="A1149" s="4" t="s">
        <v>2942</v>
      </c>
      <c r="B1149" s="7">
        <f>IFERROR(__xludf.DUMMYFUNCTION("GOOGLEFINANCE(A1149, ""price"")"),1447.0)</f>
        <v>1447</v>
      </c>
      <c r="C1149" s="7">
        <f>IFERROR(__xludf.DUMMYFUNCTION("GOOGLEFINANCE(A1149, ""changepct"")"),0.89)</f>
        <v>0.89</v>
      </c>
      <c r="D1149" s="9">
        <f>IFERROR(__xludf.DUMMYFUNCTION("GOOGLEFINANCE(A1149, ""priceopen"")"),1441.0)</f>
        <v>1441</v>
      </c>
      <c r="E1149" s="9">
        <f>IFERROR(__xludf.DUMMYFUNCTION("GOOGLEFINANCE(A1149, ""high"")"),1460.9)</f>
        <v>1460.9</v>
      </c>
      <c r="F1149" s="9">
        <f>IFERROR(__xludf.DUMMYFUNCTION("GOOGLEFINANCE(A1149, ""low"")"),1420.0)</f>
        <v>1420</v>
      </c>
      <c r="G1149" s="9">
        <f>IFERROR(__xludf.DUMMYFUNCTION("GOOGLEFINANCE(A1149, ""price"")"),1447.0)</f>
        <v>1447</v>
      </c>
      <c r="H1149" s="9">
        <f>IFERROR(__xludf.DUMMYFUNCTION("MAX(INDEX(GOOGLEFINANCE(A1149, ""high"", TODAY()-30, TODAY()), 0, 2))"),1637.9)</f>
        <v>1637.9</v>
      </c>
      <c r="I1149" s="9">
        <f>IFERROR(__xludf.DUMMYFUNCTION("MIN(INDEX(GOOGLEFINANCE(A1149, ""low"", TODAY()-30, TODAY()), 0, 2))"),1323.8)</f>
        <v>1323.8</v>
      </c>
      <c r="J1149" s="9">
        <f>IFERROR(__xludf.DUMMYFUNCTION("GOOGLEFINANCE(A1149, ""high52"")"),1848.0)</f>
        <v>1848</v>
      </c>
      <c r="K1149" s="9">
        <f>IFERROR(__xludf.DUMMYFUNCTION("GOOGLEFINANCE(A1149, ""low52"")"),809.6)</f>
        <v>809.6</v>
      </c>
      <c r="L1149" s="9">
        <f t="shared" si="1"/>
        <v>0.216991342</v>
      </c>
      <c r="M1149" s="9">
        <f t="shared" si="2"/>
        <v>0.7873023715</v>
      </c>
      <c r="N1149" s="9">
        <f t="shared" si="3"/>
        <v>0.0288028169</v>
      </c>
      <c r="O1149" s="9">
        <f t="shared" si="4"/>
        <v>0.3922317733</v>
      </c>
      <c r="P1149" s="9">
        <f>IFERROR(__xludf.DUMMYFUNCTION("GOOGLEFINANCE(A1149, ""pe"")"),424.34)</f>
        <v>424.34</v>
      </c>
      <c r="Q1149" s="9">
        <f>IFERROR(__xludf.DUMMYFUNCTION("IFERROR(GOOGLEFINANCE(A1149, ""volume"") / GOOGLEFINANCE(A1149, ""volumeavg""), 0)"),0.0)</f>
        <v>0</v>
      </c>
      <c r="R1149" s="9">
        <f>IFERROR(__xludf.DUMMYFUNCTION("AVERAGE(INDEX(GOOGLEFINANCE(A1149, ""price"", TODAY()-30, TODAY()), 0, 2))"),1469.378260869565)</f>
        <v>1469.378261</v>
      </c>
      <c r="S1149" s="9">
        <f>IFERROR(__xludf.DUMMYFUNCTION("AVERAGE(INDEX(GOOGLEFINANCE(A1149, ""price"", TODAY()-75, TODAY()), 0, 2))"),1545.3849056603772)</f>
        <v>1545.384906</v>
      </c>
      <c r="T1149" s="9">
        <f>IFERROR(__xludf.DUMMYFUNCTION("AVERAGE(INDEX(GOOGLEFINANCE(A1149, ""price"", TODAY()-300, TODAY()), 0, 2))"),1210.5351485148515)</f>
        <v>1210.535149</v>
      </c>
      <c r="U1149" s="9">
        <f t="shared" si="5"/>
        <v>-0.01522974816</v>
      </c>
      <c r="V1149" s="15">
        <f>IFERROR(__xludf.DUMMYFUNCTION("LET(hist, GOOGLEFINANCE(A1149,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rs))))))"),41.83927091963547)</f>
        <v>41.83927092</v>
      </c>
      <c r="W1149" s="16" t="str">
        <f>IFERROR(__xludf.DUMMYFUNCTION("IFERROR(GOOGLEFINANCE(A1149, ""volume"") / GOOGLEFINANCE(A1149, ""volumeavg""), )"),"")</f>
        <v/>
      </c>
      <c r="X1149" s="9">
        <f>IFERROR(__xludf.DUMMYFUNCTION("B1149 * GOOGLEFINANCE(A1149, ""volume"")"),1.07817417E8)</f>
        <v>107817417</v>
      </c>
      <c r="Y1149" s="9">
        <f>IFERROR(__xludf.DUMMYFUNCTION("IFERROR(((B1149 - GOOGLEFINANCE(A1149, ""priceopen"")) / GOOGLEFINANCE(A1149, ""priceopen"")) * GOOGLEFINANCE(A1149, ""volume""), 0)"),310.2470506592644)</f>
        <v>310.2470507</v>
      </c>
    </row>
    <row r="1150">
      <c r="A1150" s="4" t="s">
        <v>2943</v>
      </c>
      <c r="B1150" s="7">
        <f>IFERROR(__xludf.DUMMYFUNCTION("GOOGLEFINANCE(A1150, ""price"")"),321.0)</f>
        <v>321</v>
      </c>
      <c r="C1150" s="7">
        <f>IFERROR(__xludf.DUMMYFUNCTION("GOOGLEFINANCE(A1150, ""changepct"")"),-1.58)</f>
        <v>-1.58</v>
      </c>
      <c r="D1150" s="9">
        <f>IFERROR(__xludf.DUMMYFUNCTION("GOOGLEFINANCE(A1150, ""priceopen"")"),326.15)</f>
        <v>326.15</v>
      </c>
      <c r="E1150" s="9">
        <f>IFERROR(__xludf.DUMMYFUNCTION("GOOGLEFINANCE(A1150, ""high"")"),330.0)</f>
        <v>330</v>
      </c>
      <c r="F1150" s="9">
        <f>IFERROR(__xludf.DUMMYFUNCTION("GOOGLEFINANCE(A1150, ""low"")"),321.0)</f>
        <v>321</v>
      </c>
      <c r="G1150" s="9">
        <f>IFERROR(__xludf.DUMMYFUNCTION("GOOGLEFINANCE(A1150, ""price"")"),321.0)</f>
        <v>321</v>
      </c>
      <c r="H1150" s="9">
        <f>IFERROR(__xludf.DUMMYFUNCTION("MAX(INDEX(GOOGLEFINANCE(A1150, ""high"", TODAY()-30, TODAY()), 0, 2))"),360.0)</f>
        <v>360</v>
      </c>
      <c r="I1150" s="9">
        <f>IFERROR(__xludf.DUMMYFUNCTION("MIN(INDEX(GOOGLEFINANCE(A1150, ""low"", TODAY()-30, TODAY()), 0, 2))"),321.0)</f>
        <v>321</v>
      </c>
      <c r="J1150" s="9">
        <f>IFERROR(__xludf.DUMMYFUNCTION("GOOGLEFINANCE(A1150, ""high52"")"),597.65)</f>
        <v>597.65</v>
      </c>
      <c r="K1150" s="9">
        <f>IFERROR(__xludf.DUMMYFUNCTION("GOOGLEFINANCE(A1150, ""low52"")"),255.55)</f>
        <v>255.55</v>
      </c>
      <c r="L1150" s="9">
        <f t="shared" si="1"/>
        <v>0.462896344</v>
      </c>
      <c r="M1150" s="9">
        <f t="shared" si="2"/>
        <v>0.2561142634</v>
      </c>
      <c r="N1150" s="9">
        <f t="shared" si="3"/>
        <v>0.02803738318</v>
      </c>
      <c r="O1150" s="9">
        <f t="shared" si="4"/>
        <v>0</v>
      </c>
      <c r="P1150" s="9">
        <f>IFERROR(__xludf.DUMMYFUNCTION("GOOGLEFINANCE(A1150, ""pe"")"),22.69)</f>
        <v>22.69</v>
      </c>
      <c r="Q1150" s="9">
        <f>IFERROR(__xludf.DUMMYFUNCTION("IFERROR(GOOGLEFINANCE(A1150, ""volume"") / GOOGLEFINANCE(A1150, ""volumeavg""), 0)"),0.0)</f>
        <v>0</v>
      </c>
      <c r="R1150" s="9">
        <f>IFERROR(__xludf.DUMMYFUNCTION("AVERAGE(INDEX(GOOGLEFINANCE(A1150, ""price"", TODAY()-30, TODAY()), 0, 2))"),339.27173913043475)</f>
        <v>339.2717391</v>
      </c>
      <c r="S1150" s="9">
        <f>IFERROR(__xludf.DUMMYFUNCTION("AVERAGE(INDEX(GOOGLEFINANCE(A1150, ""price"", TODAY()-75, TODAY()), 0, 2))"),351.15660377358495)</f>
        <v>351.1566038</v>
      </c>
      <c r="T1150" s="9">
        <f>IFERROR(__xludf.DUMMYFUNCTION("AVERAGE(INDEX(GOOGLEFINANCE(A1150, ""price"", TODAY()-300, TODAY()), 0, 2))"),364.139054726368)</f>
        <v>364.1390547</v>
      </c>
      <c r="U1150" s="9">
        <f t="shared" si="5"/>
        <v>-0.05385576523</v>
      </c>
      <c r="V1150" s="15">
        <f>IFERROR(__xludf.DUMMYFUNCTION("LET(hist, GOOGLEFINANCE(A1150,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rs))))))"),38.729198184568865)</f>
        <v>38.72919818</v>
      </c>
      <c r="W1150" s="16" t="str">
        <f>IFERROR(__xludf.DUMMYFUNCTION("IFERROR(GOOGLEFINANCE(A1150, ""volume"") / GOOGLEFINANCE(A1150, ""volumeavg""), )"),"")</f>
        <v/>
      </c>
      <c r="X1150" s="9">
        <f>IFERROR(__xludf.DUMMYFUNCTION("B1150 * GOOGLEFINANCE(A1150, ""volume"")"),3.262965E7)</f>
        <v>32629650</v>
      </c>
      <c r="Y1150" s="9">
        <f>IFERROR(__xludf.DUMMYFUNCTION("IFERROR(((B1150 - GOOGLEFINANCE(A1150, ""priceopen"")) / GOOGLEFINANCE(A1150, ""priceopen"")) * GOOGLEFINANCE(A1150, ""volume""), 0)"),-1605.0820174766143)</f>
        <v>-1605.082017</v>
      </c>
    </row>
    <row r="1151">
      <c r="A1151" s="4" t="s">
        <v>2944</v>
      </c>
      <c r="B1151" s="7">
        <f>IFERROR(__xludf.DUMMYFUNCTION("GOOGLEFINANCE(A1151, ""price"")"),162.4)</f>
        <v>162.4</v>
      </c>
      <c r="C1151" s="7">
        <f>IFERROR(__xludf.DUMMYFUNCTION("GOOGLEFINANCE(A1151, ""changepct"")"),-1.49)</f>
        <v>-1.49</v>
      </c>
      <c r="D1151" s="9">
        <f>IFERROR(__xludf.DUMMYFUNCTION("GOOGLEFINANCE(A1151, ""priceopen"")"),166.82)</f>
        <v>166.82</v>
      </c>
      <c r="E1151" s="9">
        <f>IFERROR(__xludf.DUMMYFUNCTION("GOOGLEFINANCE(A1151, ""high"")"),166.99)</f>
        <v>166.99</v>
      </c>
      <c r="F1151" s="9">
        <f>IFERROR(__xludf.DUMMYFUNCTION("GOOGLEFINANCE(A1151, ""low"")"),161.61)</f>
        <v>161.61</v>
      </c>
      <c r="G1151" s="9">
        <f>IFERROR(__xludf.DUMMYFUNCTION("GOOGLEFINANCE(A1151, ""price"")"),162.4)</f>
        <v>162.4</v>
      </c>
      <c r="H1151" s="9">
        <f>IFERROR(__xludf.DUMMYFUNCTION("MAX(INDEX(GOOGLEFINANCE(A1151, ""high"", TODAY()-30, TODAY()), 0, 2))"),169.5)</f>
        <v>169.5</v>
      </c>
      <c r="I1151" s="9">
        <f>IFERROR(__xludf.DUMMYFUNCTION("MIN(INDEX(GOOGLEFINANCE(A1151, ""low"", TODAY()-30, TODAY()), 0, 2))"),152.15)</f>
        <v>152.15</v>
      </c>
      <c r="J1151" s="9">
        <f>IFERROR(__xludf.DUMMYFUNCTION("GOOGLEFINANCE(A1151, ""high52"")"),188.65)</f>
        <v>188.65</v>
      </c>
      <c r="K1151" s="9">
        <f>IFERROR(__xludf.DUMMYFUNCTION("GOOGLEFINANCE(A1151, ""low52"")"),117.5)</f>
        <v>117.5</v>
      </c>
      <c r="L1151" s="9">
        <f t="shared" si="1"/>
        <v>0.1391465677</v>
      </c>
      <c r="M1151" s="9">
        <f t="shared" si="2"/>
        <v>0.3821276596</v>
      </c>
      <c r="N1151" s="9">
        <f t="shared" si="3"/>
        <v>0.03329001918</v>
      </c>
      <c r="O1151" s="9">
        <f t="shared" si="4"/>
        <v>0.590778098</v>
      </c>
      <c r="P1151" s="9">
        <f>IFERROR(__xludf.DUMMYFUNCTION("GOOGLEFINANCE(A1151, ""pe"")"),34.26)</f>
        <v>34.26</v>
      </c>
      <c r="Q1151" s="9">
        <f>IFERROR(__xludf.DUMMYFUNCTION("IFERROR(GOOGLEFINANCE(A1151, ""volume"") / GOOGLEFINANCE(A1151, ""volumeavg""), 0)"),0.0)</f>
        <v>0</v>
      </c>
      <c r="R1151" s="9">
        <f>IFERROR(__xludf.DUMMYFUNCTION("AVERAGE(INDEX(GOOGLEFINANCE(A1151, ""price"", TODAY()-30, TODAY()), 0, 2))"),159.94478260869565)</f>
        <v>159.9447826</v>
      </c>
      <c r="S1151" s="9">
        <f>IFERROR(__xludf.DUMMYFUNCTION("AVERAGE(INDEX(GOOGLEFINANCE(A1151, ""price"", TODAY()-75, TODAY()), 0, 2))"),161.88924528301885)</f>
        <v>161.8892453</v>
      </c>
      <c r="T1151" s="9">
        <f>IFERROR(__xludf.DUMMYFUNCTION("AVERAGE(INDEX(GOOGLEFINANCE(A1151, ""price"", TODAY()-300, TODAY()), 0, 2))"),152.9653960396039)</f>
        <v>152.965396</v>
      </c>
      <c r="U1151" s="9">
        <f t="shared" si="5"/>
        <v>0.01535040625</v>
      </c>
      <c r="V1151" s="15">
        <f>IFERROR(__xludf.DUMMYFUNCTION("LET(hist, GOOGLEFINANCE(A1151,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rs))))))"),42.1262254901961)</f>
        <v>42.12622549</v>
      </c>
      <c r="W1151" s="16" t="str">
        <f>IFERROR(__xludf.DUMMYFUNCTION("IFERROR(GOOGLEFINANCE(A1151, ""volume"") / GOOGLEFINANCE(A1151, ""volumeavg""), )"),"")</f>
        <v/>
      </c>
      <c r="X1151" s="9">
        <f>IFERROR(__xludf.DUMMYFUNCTION("B1151 * GOOGLEFINANCE(A1151, ""volume"")"),6.43289136E7)</f>
        <v>64328913.6</v>
      </c>
      <c r="Y1151" s="9">
        <f>IFERROR(__xludf.DUMMYFUNCTION("IFERROR(((B1151 - GOOGLEFINANCE(A1151, ""priceopen"")) / GOOGLEFINANCE(A1151, ""priceopen"")) * GOOGLEFINANCE(A1151, ""volume""), 0)"),-10495.287615393809)</f>
        <v>-10495.28762</v>
      </c>
    </row>
    <row r="1152">
      <c r="A1152" s="4" t="s">
        <v>2945</v>
      </c>
      <c r="B1152" s="7">
        <f>IFERROR(__xludf.DUMMYFUNCTION("GOOGLEFINANCE(A1152, ""price"")"),78.05)</f>
        <v>78.05</v>
      </c>
      <c r="C1152" s="7">
        <f>IFERROR(__xludf.DUMMYFUNCTION("GOOGLEFINANCE(A1152, ""changepct"")"),1.65)</f>
        <v>1.65</v>
      </c>
      <c r="D1152" s="9">
        <f>IFERROR(__xludf.DUMMYFUNCTION("GOOGLEFINANCE(A1152, ""priceopen"")"),77.09)</f>
        <v>77.09</v>
      </c>
      <c r="E1152" s="9">
        <f>IFERROR(__xludf.DUMMYFUNCTION("GOOGLEFINANCE(A1152, ""high"")"),78.17)</f>
        <v>78.17</v>
      </c>
      <c r="F1152" s="9">
        <f>IFERROR(__xludf.DUMMYFUNCTION("GOOGLEFINANCE(A1152, ""low"")"),74.67)</f>
        <v>74.67</v>
      </c>
      <c r="G1152" s="9">
        <f>IFERROR(__xludf.DUMMYFUNCTION("GOOGLEFINANCE(A1152, ""price"")"),78.05)</f>
        <v>78.05</v>
      </c>
      <c r="H1152" s="9">
        <f>IFERROR(__xludf.DUMMYFUNCTION("MAX(INDEX(GOOGLEFINANCE(A1152, ""high"", TODAY()-30, TODAY()), 0, 2))"),83.92)</f>
        <v>83.92</v>
      </c>
      <c r="I1152" s="9">
        <f>IFERROR(__xludf.DUMMYFUNCTION("MIN(INDEX(GOOGLEFINANCE(A1152, ""low"", TODAY()-30, TODAY()), 0, 2))"),72.1)</f>
        <v>72.1</v>
      </c>
      <c r="J1152" s="9">
        <f>IFERROR(__xludf.DUMMYFUNCTION("GOOGLEFINANCE(A1152, ""high52"")"),85.39)</f>
        <v>85.39</v>
      </c>
      <c r="K1152" s="9">
        <f>IFERROR(__xludf.DUMMYFUNCTION("GOOGLEFINANCE(A1152, ""low52"")"),50.86)</f>
        <v>50.86</v>
      </c>
      <c r="L1152" s="9">
        <f t="shared" si="1"/>
        <v>0.08595854315</v>
      </c>
      <c r="M1152" s="9">
        <f t="shared" si="2"/>
        <v>0.5346047975</v>
      </c>
      <c r="N1152" s="9">
        <f t="shared" si="3"/>
        <v>0.04687290746</v>
      </c>
      <c r="O1152" s="9">
        <f t="shared" si="4"/>
        <v>0.5033840948</v>
      </c>
      <c r="P1152" s="9">
        <f>IFERROR(__xludf.DUMMYFUNCTION("GOOGLEFINANCE(A1152, ""pe"")"),30.0)</f>
        <v>30</v>
      </c>
      <c r="Q1152" s="9">
        <f>IFERROR(__xludf.DUMMYFUNCTION("IFERROR(GOOGLEFINANCE(A1152, ""volume"") / GOOGLEFINANCE(A1152, ""volumeavg""), 0)"),0.0)</f>
        <v>0</v>
      </c>
      <c r="R1152" s="9">
        <f>IFERROR(__xludf.DUMMYFUNCTION("AVERAGE(INDEX(GOOGLEFINANCE(A1152, ""price"", TODAY()-30, TODAY()), 0, 2))"),78.47391304347825)</f>
        <v>78.47391304</v>
      </c>
      <c r="S1152" s="9">
        <f>IFERROR(__xludf.DUMMYFUNCTION("AVERAGE(INDEX(GOOGLEFINANCE(A1152, ""price"", TODAY()-75, TODAY()), 0, 2))"),77.4456603773585)</f>
        <v>77.44566038</v>
      </c>
      <c r="T1152" s="9">
        <f>IFERROR(__xludf.DUMMYFUNCTION("AVERAGE(INDEX(GOOGLEFINANCE(A1152, ""price"", TODAY()-300, TODAY()), 0, 2))"),71.4042574257426)</f>
        <v>71.40425743</v>
      </c>
      <c r="U1152" s="9">
        <f t="shared" si="5"/>
        <v>-0.005401961327</v>
      </c>
      <c r="V1152" s="15">
        <f>IFERROR(__xludf.DUMMYFUNCTION("LET(hist, GOOGLEFINANCE(A1152,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rs))))))"),47.33295901179112)</f>
        <v>47.33295901</v>
      </c>
      <c r="W1152" s="16" t="str">
        <f>IFERROR(__xludf.DUMMYFUNCTION("IFERROR(GOOGLEFINANCE(A1152, ""volume"") / GOOGLEFINANCE(A1152, ""volumeavg""), )"),"")</f>
        <v/>
      </c>
      <c r="X1152" s="9">
        <f>IFERROR(__xludf.DUMMYFUNCTION("B1152 * GOOGLEFINANCE(A1152, ""volume"")"),3.2197732349999998E7)</f>
        <v>32197732.35</v>
      </c>
      <c r="Y1152" s="9">
        <f>IFERROR(__xludf.DUMMYFUNCTION("IFERROR(((B1152 - GOOGLEFINANCE(A1152, ""priceopen"")) / GOOGLEFINANCE(A1152, ""priceopen"")) * GOOGLEFINANCE(A1152, ""volume""), 0)"),5137.189259307269)</f>
        <v>5137.189259</v>
      </c>
    </row>
    <row r="1153">
      <c r="A1153" s="4" t="s">
        <v>2946</v>
      </c>
      <c r="B1153" s="7">
        <f>IFERROR(__xludf.DUMMYFUNCTION("GOOGLEFINANCE(A1153, ""price"")"),1364.7)</f>
        <v>1364.7</v>
      </c>
      <c r="C1153" s="7">
        <f>IFERROR(__xludf.DUMMYFUNCTION("GOOGLEFINANCE(A1153, ""changepct"")"),-1.39)</f>
        <v>-1.39</v>
      </c>
      <c r="D1153" s="9">
        <f>IFERROR(__xludf.DUMMYFUNCTION("GOOGLEFINANCE(A1153, ""priceopen"")"),1380.0)</f>
        <v>1380</v>
      </c>
      <c r="E1153" s="9">
        <f>IFERROR(__xludf.DUMMYFUNCTION("GOOGLEFINANCE(A1153, ""high"")"),1380.0)</f>
        <v>1380</v>
      </c>
      <c r="F1153" s="9">
        <f>IFERROR(__xludf.DUMMYFUNCTION("GOOGLEFINANCE(A1153, ""low"")"),1343.4)</f>
        <v>1343.4</v>
      </c>
      <c r="G1153" s="9">
        <f>IFERROR(__xludf.DUMMYFUNCTION("GOOGLEFINANCE(A1153, ""price"")"),1364.7)</f>
        <v>1364.7</v>
      </c>
      <c r="H1153" s="9">
        <f>IFERROR(__xludf.DUMMYFUNCTION("MAX(INDEX(GOOGLEFINANCE(A1153, ""high"", TODAY()-30, TODAY()), 0, 2))"),1433.0)</f>
        <v>1433</v>
      </c>
      <c r="I1153" s="9">
        <f>IFERROR(__xludf.DUMMYFUNCTION("MIN(INDEX(GOOGLEFINANCE(A1153, ""low"", TODAY()-30, TODAY()), 0, 2))"),1250.0)</f>
        <v>1250</v>
      </c>
      <c r="J1153" s="9">
        <f>IFERROR(__xludf.DUMMYFUNCTION("GOOGLEFINANCE(A1153, ""high52"")"),3000.0)</f>
        <v>3000</v>
      </c>
      <c r="K1153" s="9">
        <f>IFERROR(__xludf.DUMMYFUNCTION("GOOGLEFINANCE(A1153, ""low52"")"),1203.0)</f>
        <v>1203</v>
      </c>
      <c r="L1153" s="9">
        <f t="shared" si="1"/>
        <v>0.5451</v>
      </c>
      <c r="M1153" s="9">
        <f t="shared" si="2"/>
        <v>0.1344139651</v>
      </c>
      <c r="N1153" s="9">
        <f t="shared" si="3"/>
        <v>0.02724430549</v>
      </c>
      <c r="O1153" s="9">
        <f t="shared" si="4"/>
        <v>0.6267759563</v>
      </c>
      <c r="P1153" s="9">
        <f>IFERROR(__xludf.DUMMYFUNCTION("GOOGLEFINANCE(A1153, ""pe"")"),15.57)</f>
        <v>15.57</v>
      </c>
      <c r="Q1153" s="9">
        <f>IFERROR(__xludf.DUMMYFUNCTION("IFERROR(GOOGLEFINANCE(A1153, ""volume"") / GOOGLEFINANCE(A1153, ""volumeavg""), 0)"),0.0)</f>
        <v>0</v>
      </c>
      <c r="R1153" s="9">
        <f>IFERROR(__xludf.DUMMYFUNCTION("AVERAGE(INDEX(GOOGLEFINANCE(A1153, ""price"", TODAY()-30, TODAY()), 0, 2))"),1326.6130434782608)</f>
        <v>1326.613043</v>
      </c>
      <c r="S1153" s="9">
        <f>IFERROR(__xludf.DUMMYFUNCTION("AVERAGE(INDEX(GOOGLEFINANCE(A1153, ""price"", TODAY()-75, TODAY()), 0, 2))"),1362.656603773585)</f>
        <v>1362.656604</v>
      </c>
      <c r="T1153" s="9">
        <f>IFERROR(__xludf.DUMMYFUNCTION("AVERAGE(INDEX(GOOGLEFINANCE(A1153, ""price"", TODAY()-300, TODAY()), 0, 2))"),2278.5839108910873)</f>
        <v>2278.583911</v>
      </c>
      <c r="U1153" s="9">
        <f t="shared" si="5"/>
        <v>0.02870992164</v>
      </c>
      <c r="V1153" s="15">
        <f>IFERROR(__xludf.DUMMYFUNCTION("LET(hist, GOOGLEFINANCE(A1153,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rs))))))"),70.94322753687972)</f>
        <v>70.94322754</v>
      </c>
      <c r="W1153" s="16" t="str">
        <f>IFERROR(__xludf.DUMMYFUNCTION("IFERROR(GOOGLEFINANCE(A1153, ""volume"") / GOOGLEFINANCE(A1153, ""volumeavg""), )"),"")</f>
        <v/>
      </c>
      <c r="X1153" s="9">
        <f>IFERROR(__xludf.DUMMYFUNCTION("B1153 * GOOGLEFINANCE(A1153, ""volume"")"),1.3402718700000001E7)</f>
        <v>13402718.7</v>
      </c>
      <c r="Y1153" s="9">
        <f>IFERROR(__xludf.DUMMYFUNCTION("IFERROR(((B1153 - GOOGLEFINANCE(A1153, ""priceopen"")) / GOOGLEFINANCE(A1153, ""priceopen"")) * GOOGLEFINANCE(A1153, ""volume""), 0)"),-108.88499999999968)</f>
        <v>-108.885</v>
      </c>
    </row>
    <row r="1154">
      <c r="A1154" s="4" t="s">
        <v>2947</v>
      </c>
      <c r="B1154" s="7">
        <f>IFERROR(__xludf.DUMMYFUNCTION("GOOGLEFINANCE(A1154, ""price"")"),2100.3)</f>
        <v>2100.3</v>
      </c>
      <c r="C1154" s="7">
        <f>IFERROR(__xludf.DUMMYFUNCTION("GOOGLEFINANCE(A1154, ""changepct"")"),-0.34)</f>
        <v>-0.34</v>
      </c>
      <c r="D1154" s="9">
        <f>IFERROR(__xludf.DUMMYFUNCTION("GOOGLEFINANCE(A1154, ""priceopen"")"),2116.3)</f>
        <v>2116.3</v>
      </c>
      <c r="E1154" s="9">
        <f>IFERROR(__xludf.DUMMYFUNCTION("GOOGLEFINANCE(A1154, ""high"")"),2132.9)</f>
        <v>2132.9</v>
      </c>
      <c r="F1154" s="9">
        <f>IFERROR(__xludf.DUMMYFUNCTION("GOOGLEFINANCE(A1154, ""low"")"),2100.0)</f>
        <v>2100</v>
      </c>
      <c r="G1154" s="9">
        <f>IFERROR(__xludf.DUMMYFUNCTION("GOOGLEFINANCE(A1154, ""price"")"),2100.3)</f>
        <v>2100.3</v>
      </c>
      <c r="H1154" s="9">
        <f>IFERROR(__xludf.DUMMYFUNCTION("MAX(INDEX(GOOGLEFINANCE(A1154, ""high"", TODAY()-30, TODAY()), 0, 2))"),2155.0)</f>
        <v>2155</v>
      </c>
      <c r="I1154" s="9">
        <f>IFERROR(__xludf.DUMMYFUNCTION("MIN(INDEX(GOOGLEFINANCE(A1154, ""low"", TODAY()-30, TODAY()), 0, 2))"),2062.0)</f>
        <v>2062</v>
      </c>
      <c r="J1154" s="9">
        <f>IFERROR(__xludf.DUMMYFUNCTION("GOOGLEFINANCE(A1154, ""high52"")"),3216.0)</f>
        <v>3216</v>
      </c>
      <c r="K1154" s="9">
        <f>IFERROR(__xludf.DUMMYFUNCTION("GOOGLEFINANCE(A1154, ""low52"")"),1816.6)</f>
        <v>1816.6</v>
      </c>
      <c r="L1154" s="9">
        <f t="shared" si="1"/>
        <v>0.3469216418</v>
      </c>
      <c r="M1154" s="9">
        <f t="shared" si="2"/>
        <v>0.1561708687</v>
      </c>
      <c r="N1154" s="9">
        <f t="shared" si="3"/>
        <v>0.01566666667</v>
      </c>
      <c r="O1154" s="9">
        <f t="shared" si="4"/>
        <v>0.411827957</v>
      </c>
      <c r="P1154" s="9">
        <f>IFERROR(__xludf.DUMMYFUNCTION("GOOGLEFINANCE(A1154, ""pe"")"),32.35)</f>
        <v>32.35</v>
      </c>
      <c r="Q1154" s="9">
        <f>IFERROR(__xludf.DUMMYFUNCTION("IFERROR(GOOGLEFINANCE(A1154, ""volume"") / GOOGLEFINANCE(A1154, ""volumeavg""), 0)"),0.0)</f>
        <v>0</v>
      </c>
      <c r="R1154" s="9">
        <f>IFERROR(__xludf.DUMMYFUNCTION("AVERAGE(INDEX(GOOGLEFINANCE(A1154, ""price"", TODAY()-30, TODAY()), 0, 2))"),2106.7652173913048)</f>
        <v>2106.765217</v>
      </c>
      <c r="S1154" s="9">
        <f>IFERROR(__xludf.DUMMYFUNCTION("AVERAGE(INDEX(GOOGLEFINANCE(A1154, ""price"", TODAY()-75, TODAY()), 0, 2))"),2164.5490566037734)</f>
        <v>2164.549057</v>
      </c>
      <c r="T1154" s="9">
        <f>IFERROR(__xludf.DUMMYFUNCTION("AVERAGE(INDEX(GOOGLEFINANCE(A1154, ""price"", TODAY()-300, TODAY()), 0, 2))"),2244.2544554455453)</f>
        <v>2244.254455</v>
      </c>
      <c r="U1154" s="9">
        <f t="shared" si="5"/>
        <v>-0.003068788747</v>
      </c>
      <c r="V1154" s="15">
        <f>IFERROR(__xludf.DUMMYFUNCTION("LET(hist, GOOGLEFINANCE(A1154,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rs))))))"),52.14408233276158)</f>
        <v>52.14408233</v>
      </c>
      <c r="W1154" s="16" t="str">
        <f>IFERROR(__xludf.DUMMYFUNCTION("IFERROR(GOOGLEFINANCE(A1154, ""volume"") / GOOGLEFINANCE(A1154, ""volumeavg""), )"),"")</f>
        <v/>
      </c>
      <c r="X1154" s="9">
        <f>IFERROR(__xludf.DUMMYFUNCTION("B1154 * GOOGLEFINANCE(A1154, ""volume"")"),3812044.5000000005)</f>
        <v>3812044.5</v>
      </c>
      <c r="Y1154" s="9">
        <f>IFERROR(__xludf.DUMMYFUNCTION("IFERROR(((B1154 - GOOGLEFINANCE(A1154, ""priceopen"")) / GOOGLEFINANCE(A1154, ""priceopen"")) * GOOGLEFINANCE(A1154, ""volume""), 0)"),-13.722062089495816)</f>
        <v>-13.72206209</v>
      </c>
    </row>
    <row r="1155">
      <c r="A1155" s="4" t="s">
        <v>2948</v>
      </c>
      <c r="B1155" s="7">
        <f>IFERROR(__xludf.DUMMYFUNCTION("GOOGLEFINANCE(A1155, ""price"")"),68.16)</f>
        <v>68.16</v>
      </c>
      <c r="C1155" s="7">
        <f>IFERROR(__xludf.DUMMYFUNCTION("GOOGLEFINANCE(A1155, ""changepct"")"),0.4)</f>
        <v>0.4</v>
      </c>
      <c r="D1155" s="9">
        <f>IFERROR(__xludf.DUMMYFUNCTION("GOOGLEFINANCE(A1155, ""priceopen"")"),67.98)</f>
        <v>67.98</v>
      </c>
      <c r="E1155" s="9">
        <f>IFERROR(__xludf.DUMMYFUNCTION("GOOGLEFINANCE(A1155, ""high"")"),69.36)</f>
        <v>69.36</v>
      </c>
      <c r="F1155" s="9">
        <f>IFERROR(__xludf.DUMMYFUNCTION("GOOGLEFINANCE(A1155, ""low"")"),65.45)</f>
        <v>65.45</v>
      </c>
      <c r="G1155" s="9">
        <f>IFERROR(__xludf.DUMMYFUNCTION("GOOGLEFINANCE(A1155, ""price"")"),68.16)</f>
        <v>68.16</v>
      </c>
      <c r="H1155" s="9">
        <f>IFERROR(__xludf.DUMMYFUNCTION("MAX(INDEX(GOOGLEFINANCE(A1155, ""high"", TODAY()-30, TODAY()), 0, 2))"),71.76)</f>
        <v>71.76</v>
      </c>
      <c r="I1155" s="9">
        <f>IFERROR(__xludf.DUMMYFUNCTION("MIN(INDEX(GOOGLEFINANCE(A1155, ""low"", TODAY()-30, TODAY()), 0, 2))"),59.5)</f>
        <v>59.5</v>
      </c>
      <c r="J1155" s="9">
        <f>IFERROR(__xludf.DUMMYFUNCTION("GOOGLEFINANCE(A1155, ""high52"")"),75.7)</f>
        <v>75.7</v>
      </c>
      <c r="K1155" s="9">
        <f>IFERROR(__xludf.DUMMYFUNCTION("GOOGLEFINANCE(A1155, ""low52"")"),28.3)</f>
        <v>28.3</v>
      </c>
      <c r="L1155" s="9">
        <f t="shared" si="1"/>
        <v>0.09960369881</v>
      </c>
      <c r="M1155" s="9">
        <f t="shared" si="2"/>
        <v>1.408480565</v>
      </c>
      <c r="N1155" s="9">
        <f t="shared" si="3"/>
        <v>0.05974025974</v>
      </c>
      <c r="O1155" s="9">
        <f t="shared" si="4"/>
        <v>0.7063621533</v>
      </c>
      <c r="P1155" s="9">
        <f>IFERROR(__xludf.DUMMYFUNCTION("GOOGLEFINANCE(A1155, ""pe"")"),34.78)</f>
        <v>34.78</v>
      </c>
      <c r="Q1155" s="9">
        <f>IFERROR(__xludf.DUMMYFUNCTION("IFERROR(GOOGLEFINANCE(A1155, ""volume"") / GOOGLEFINANCE(A1155, ""volumeavg""), 0)"),0.0)</f>
        <v>0</v>
      </c>
      <c r="R1155" s="9">
        <f>IFERROR(__xludf.DUMMYFUNCTION("AVERAGE(INDEX(GOOGLEFINANCE(A1155, ""price"", TODAY()-30, TODAY()), 0, 2))"),65.02478260869566)</f>
        <v>65.02478261</v>
      </c>
      <c r="S1155" s="9">
        <f>IFERROR(__xludf.DUMMYFUNCTION("AVERAGE(INDEX(GOOGLEFINANCE(A1155, ""price"", TODAY()-75, TODAY()), 0, 2))"),66.38698113207546)</f>
        <v>66.38698113</v>
      </c>
      <c r="T1155" s="9">
        <f>IFERROR(__xludf.DUMMYFUNCTION("AVERAGE(INDEX(GOOGLEFINANCE(A1155, ""price"", TODAY()-300, TODAY()), 0, 2))"),46.478663366336626)</f>
        <v>46.47866337</v>
      </c>
      <c r="U1155" s="9">
        <f t="shared" si="5"/>
        <v>0.04821573046</v>
      </c>
      <c r="V1155" s="15">
        <f>IFERROR(__xludf.DUMMYFUNCTION("LET(hist, GOOGLEFINANCE(A1155,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rs))))))"),67.14780600461894)</f>
        <v>67.147806</v>
      </c>
      <c r="W1155" s="16" t="str">
        <f>IFERROR(__xludf.DUMMYFUNCTION("IFERROR(GOOGLEFINANCE(A1155, ""volume"") / GOOGLEFINANCE(A1155, ""volumeavg""), )"),"")</f>
        <v/>
      </c>
      <c r="X1155" s="9">
        <f>IFERROR(__xludf.DUMMYFUNCTION("B1155 * GOOGLEFINANCE(A1155, ""volume"")"),1.1646560544E8)</f>
        <v>116465605.4</v>
      </c>
      <c r="Y1155" s="9">
        <f>IFERROR(__xludf.DUMMYFUNCTION("IFERROR(((B1155 - GOOGLEFINANCE(A1155, ""priceopen"")) / GOOGLEFINANCE(A1155, ""priceopen"")) * GOOGLEFINANCE(A1155, ""volume""), 0)"),4524.383936451712)</f>
        <v>4524.383936</v>
      </c>
    </row>
    <row r="1156">
      <c r="A1156" s="4" t="s">
        <v>2949</v>
      </c>
      <c r="B1156" s="7">
        <f>IFERROR(__xludf.DUMMYFUNCTION("GOOGLEFINANCE(A1156, ""price"")"),159.0)</f>
        <v>159</v>
      </c>
      <c r="C1156" s="7">
        <f>IFERROR(__xludf.DUMMYFUNCTION("GOOGLEFINANCE(A1156, ""changepct"")"),-0.6)</f>
        <v>-0.6</v>
      </c>
      <c r="D1156" s="9">
        <f>IFERROR(__xludf.DUMMYFUNCTION("GOOGLEFINANCE(A1156, ""priceopen"")"),163.39)</f>
        <v>163.39</v>
      </c>
      <c r="E1156" s="9">
        <f>IFERROR(__xludf.DUMMYFUNCTION("GOOGLEFINANCE(A1156, ""high"")"),164.0)</f>
        <v>164</v>
      </c>
      <c r="F1156" s="9">
        <f>IFERROR(__xludf.DUMMYFUNCTION("GOOGLEFINANCE(A1156, ""low"")"),156.02)</f>
        <v>156.02</v>
      </c>
      <c r="G1156" s="9">
        <f>IFERROR(__xludf.DUMMYFUNCTION("GOOGLEFINANCE(A1156, ""price"")"),159.0)</f>
        <v>159</v>
      </c>
      <c r="H1156" s="9">
        <f>IFERROR(__xludf.DUMMYFUNCTION("MAX(INDEX(GOOGLEFINANCE(A1156, ""high"", TODAY()-30, TODAY()), 0, 2))"),166.35)</f>
        <v>166.35</v>
      </c>
      <c r="I1156" s="9">
        <f>IFERROR(__xludf.DUMMYFUNCTION("MIN(INDEX(GOOGLEFINANCE(A1156, ""low"", TODAY()-30, TODAY()), 0, 2))"),137.91)</f>
        <v>137.91</v>
      </c>
      <c r="J1156" s="9">
        <f>IFERROR(__xludf.DUMMYFUNCTION("GOOGLEFINANCE(A1156, ""high52"")"),268.19)</f>
        <v>268.19</v>
      </c>
      <c r="K1156" s="9">
        <f>IFERROR(__xludf.DUMMYFUNCTION("GOOGLEFINANCE(A1156, ""low52"")"),137.91)</f>
        <v>137.91</v>
      </c>
      <c r="L1156" s="9">
        <f t="shared" si="1"/>
        <v>0.4071367314</v>
      </c>
      <c r="M1156" s="9">
        <f t="shared" si="2"/>
        <v>0.1529258212</v>
      </c>
      <c r="N1156" s="9">
        <f t="shared" si="3"/>
        <v>0.05114728881</v>
      </c>
      <c r="O1156" s="9">
        <f t="shared" si="4"/>
        <v>0.7415611814</v>
      </c>
      <c r="P1156" s="9">
        <f>IFERROR(__xludf.DUMMYFUNCTION("GOOGLEFINANCE(A1156, ""pe"")"),1903.96)</f>
        <v>1903.96</v>
      </c>
      <c r="Q1156" s="9">
        <f>IFERROR(__xludf.DUMMYFUNCTION("IFERROR(GOOGLEFINANCE(A1156, ""volume"") / GOOGLEFINANCE(A1156, ""volumeavg""), 0)"),0.0)</f>
        <v>0</v>
      </c>
      <c r="R1156" s="9">
        <f>IFERROR(__xludf.DUMMYFUNCTION("AVERAGE(INDEX(GOOGLEFINANCE(A1156, ""price"", TODAY()-30, TODAY()), 0, 2))"),149.14869565217393)</f>
        <v>149.1486957</v>
      </c>
      <c r="S1156" s="9">
        <f>IFERROR(__xludf.DUMMYFUNCTION("AVERAGE(INDEX(GOOGLEFINANCE(A1156, ""price"", TODAY()-75, TODAY()), 0, 2))"),152.66943396226415)</f>
        <v>152.669434</v>
      </c>
      <c r="T1156" s="9">
        <f>IFERROR(__xludf.DUMMYFUNCTION("AVERAGE(INDEX(GOOGLEFINANCE(A1156, ""price"", TODAY()-300, TODAY()), 0, 2))"),166.9225247524752)</f>
        <v>166.9225248</v>
      </c>
      <c r="U1156" s="9">
        <f t="shared" si="5"/>
        <v>0.06605022126</v>
      </c>
      <c r="V1156" s="15">
        <f>IFERROR(__xludf.DUMMYFUNCTION("LET(hist, GOOGLEFINANCE(A1156,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rs))))))"),84.03738317757015)</f>
        <v>84.03738318</v>
      </c>
      <c r="W1156" s="16" t="str">
        <f>IFERROR(__xludf.DUMMYFUNCTION("IFERROR(GOOGLEFINANCE(A1156, ""volume"") / GOOGLEFINANCE(A1156, ""volumeavg""), )"),"")</f>
        <v/>
      </c>
      <c r="X1156" s="9">
        <f>IFERROR(__xludf.DUMMYFUNCTION("B1156 * GOOGLEFINANCE(A1156, ""volume"")"),6430596.0)</f>
        <v>6430596</v>
      </c>
      <c r="Y1156" s="9">
        <f>IFERROR(__xludf.DUMMYFUNCTION("IFERROR(((B1156 - GOOGLEFINANCE(A1156, ""priceopen"")) / GOOGLEFINANCE(A1156, ""priceopen"")) * GOOGLEFINANCE(A1156, ""volume""), 0)"),-1086.658669441211)</f>
        <v>-1086.658669</v>
      </c>
    </row>
    <row r="1157">
      <c r="A1157" s="4" t="s">
        <v>2950</v>
      </c>
      <c r="B1157" s="7">
        <f>IFERROR(__xludf.DUMMYFUNCTION("GOOGLEFINANCE(A1157, ""price"")"),1647.1)</f>
        <v>1647.1</v>
      </c>
      <c r="C1157" s="7">
        <f>IFERROR(__xludf.DUMMYFUNCTION("GOOGLEFINANCE(A1157, ""changepct"")"),5.0)</f>
        <v>5</v>
      </c>
      <c r="D1157" s="9">
        <f>IFERROR(__xludf.DUMMYFUNCTION("GOOGLEFINANCE(A1157, ""priceopen"")"),1539.8)</f>
        <v>1539.8</v>
      </c>
      <c r="E1157" s="9">
        <f>IFERROR(__xludf.DUMMYFUNCTION("GOOGLEFINANCE(A1157, ""high"")"),1647.1)</f>
        <v>1647.1</v>
      </c>
      <c r="F1157" s="9">
        <f>IFERROR(__xludf.DUMMYFUNCTION("GOOGLEFINANCE(A1157, ""low"")"),1530.3)</f>
        <v>1530.3</v>
      </c>
      <c r="G1157" s="9">
        <f>IFERROR(__xludf.DUMMYFUNCTION("GOOGLEFINANCE(A1157, ""price"")"),1647.1)</f>
        <v>1647.1</v>
      </c>
      <c r="H1157" s="9">
        <f>IFERROR(__xludf.DUMMYFUNCTION("MAX(INDEX(GOOGLEFINANCE(A1157, ""high"", TODAY()-30, TODAY()), 0, 2))"),1959.0)</f>
        <v>1959</v>
      </c>
      <c r="I1157" s="9">
        <f>IFERROR(__xludf.DUMMYFUNCTION("MIN(INDEX(GOOGLEFINANCE(A1157, ""low"", TODAY()-30, TODAY()), 0, 2))"),1446.9)</f>
        <v>1446.9</v>
      </c>
      <c r="J1157" s="9">
        <f>IFERROR(__xludf.DUMMYFUNCTION("GOOGLEFINANCE(A1157, ""high52"")"),2044.3)</f>
        <v>2044.3</v>
      </c>
      <c r="K1157" s="9">
        <f>IFERROR(__xludf.DUMMYFUNCTION("GOOGLEFINANCE(A1157, ""low52"")"),424.0)</f>
        <v>424</v>
      </c>
      <c r="L1157" s="9">
        <f t="shared" si="1"/>
        <v>0.1942963362</v>
      </c>
      <c r="M1157" s="9">
        <f t="shared" si="2"/>
        <v>2.884669811</v>
      </c>
      <c r="N1157" s="9">
        <f t="shared" si="3"/>
        <v>0.07632490361</v>
      </c>
      <c r="O1157" s="9">
        <f t="shared" si="4"/>
        <v>0.3909392697</v>
      </c>
      <c r="P1157" s="9">
        <f>IFERROR(__xludf.DUMMYFUNCTION("GOOGLEFINANCE(A1157, ""pe"")"),18.95)</f>
        <v>18.95</v>
      </c>
      <c r="Q1157" s="9">
        <f>IFERROR(__xludf.DUMMYFUNCTION("IFERROR(GOOGLEFINANCE(A1157, ""volume"") / GOOGLEFINANCE(A1157, ""volumeavg""), 0)"),0.0)</f>
        <v>0</v>
      </c>
      <c r="R1157" s="9">
        <f>IFERROR(__xludf.DUMMYFUNCTION("AVERAGE(INDEX(GOOGLEFINANCE(A1157, ""price"", TODAY()-30, TODAY()), 0, 2))"),1647.573913043478)</f>
        <v>1647.573913</v>
      </c>
      <c r="S1157" s="9">
        <f>IFERROR(__xludf.DUMMYFUNCTION("AVERAGE(INDEX(GOOGLEFINANCE(A1157, ""price"", TODAY()-75, TODAY()), 0, 2))"),1676.0028301886794)</f>
        <v>1676.00283</v>
      </c>
      <c r="T1157" s="9">
        <f>IFERROR(__xludf.DUMMYFUNCTION("AVERAGE(INDEX(GOOGLEFINANCE(A1157, ""price"", TODAY()-300, TODAY()), 0, 2))"),1015.0455445544557)</f>
        <v>1015.045545</v>
      </c>
      <c r="U1157" s="9">
        <f t="shared" si="5"/>
        <v>-0.0002876429638</v>
      </c>
      <c r="V1157" s="15">
        <f>IFERROR(__xludf.DUMMYFUNCTION("LET(hist, GOOGLEFINANCE(A1157,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rs))))))"),49.24455375966269)</f>
        <v>49.24455376</v>
      </c>
      <c r="W1157" s="16" t="str">
        <f>IFERROR(__xludf.DUMMYFUNCTION("IFERROR(GOOGLEFINANCE(A1157, ""volume"") / GOOGLEFINANCE(A1157, ""volumeavg""), )"),"")</f>
        <v/>
      </c>
      <c r="X1157" s="9">
        <f>IFERROR(__xludf.DUMMYFUNCTION("B1157 * GOOGLEFINANCE(A1157, ""volume"")"),1.262633918E8)</f>
        <v>126263391.8</v>
      </c>
      <c r="Y1157" s="9">
        <f>IFERROR(__xludf.DUMMYFUNCTION("IFERROR(((B1157 - GOOGLEFINANCE(A1157, ""priceopen"")) / GOOGLEFINANCE(A1157, ""priceopen"")) * GOOGLEFINANCE(A1157, ""volume""), 0)"),5341.864787634756)</f>
        <v>5341.864788</v>
      </c>
    </row>
    <row r="1158">
      <c r="A1158" s="4" t="s">
        <v>2951</v>
      </c>
      <c r="B1158" s="7">
        <f>IFERROR(__xludf.DUMMYFUNCTION("GOOGLEFINANCE(A1158, ""price"")"),1514.0)</f>
        <v>1514</v>
      </c>
      <c r="C1158" s="7">
        <f>IFERROR(__xludf.DUMMYFUNCTION("GOOGLEFINANCE(A1158, ""changepct"")"),-1.55)</f>
        <v>-1.55</v>
      </c>
      <c r="D1158" s="9">
        <f>IFERROR(__xludf.DUMMYFUNCTION("GOOGLEFINANCE(A1158, ""priceopen"")"),1575.0)</f>
        <v>1575</v>
      </c>
      <c r="E1158" s="9">
        <f>IFERROR(__xludf.DUMMYFUNCTION("GOOGLEFINANCE(A1158, ""high"")"),1588.0)</f>
        <v>1588</v>
      </c>
      <c r="F1158" s="9">
        <f>IFERROR(__xludf.DUMMYFUNCTION("GOOGLEFINANCE(A1158, ""low"")"),1504.0)</f>
        <v>1504</v>
      </c>
      <c r="G1158" s="9">
        <f>IFERROR(__xludf.DUMMYFUNCTION("GOOGLEFINANCE(A1158, ""price"")"),1514.0)</f>
        <v>1514</v>
      </c>
      <c r="H1158" s="9">
        <f>IFERROR(__xludf.DUMMYFUNCTION("MAX(INDEX(GOOGLEFINANCE(A1158, ""high"", TODAY()-30, TODAY()), 0, 2))"),1679.0)</f>
        <v>1679</v>
      </c>
      <c r="I1158" s="9">
        <f>IFERROR(__xludf.DUMMYFUNCTION("MIN(INDEX(GOOGLEFINANCE(A1158, ""low"", TODAY()-30, TODAY()), 0, 2))"),1440.0)</f>
        <v>1440</v>
      </c>
      <c r="J1158" s="9">
        <f>IFERROR(__xludf.DUMMYFUNCTION("GOOGLEFINANCE(A1158, ""high52"")"),1800.0)</f>
        <v>1800</v>
      </c>
      <c r="K1158" s="9">
        <f>IFERROR(__xludf.DUMMYFUNCTION("GOOGLEFINANCE(A1158, ""low52"")"),1165.0)</f>
        <v>1165</v>
      </c>
      <c r="L1158" s="9">
        <f t="shared" si="1"/>
        <v>0.1588888889</v>
      </c>
      <c r="M1158" s="9">
        <f t="shared" si="2"/>
        <v>0.2995708155</v>
      </c>
      <c r="N1158" s="9">
        <f t="shared" si="3"/>
        <v>0.05585106383</v>
      </c>
      <c r="O1158" s="9">
        <f t="shared" si="4"/>
        <v>0.309623431</v>
      </c>
      <c r="P1158" s="9">
        <f>IFERROR(__xludf.DUMMYFUNCTION("GOOGLEFINANCE(A1158, ""pe"")"),15.32)</f>
        <v>15.32</v>
      </c>
      <c r="Q1158" s="9">
        <f>IFERROR(__xludf.DUMMYFUNCTION("IFERROR(GOOGLEFINANCE(A1158, ""volume"") / GOOGLEFINANCE(A1158, ""volumeavg""), 0)"),0.0)</f>
        <v>0</v>
      </c>
      <c r="R1158" s="9">
        <f>IFERROR(__xludf.DUMMYFUNCTION("AVERAGE(INDEX(GOOGLEFINANCE(A1158, ""price"", TODAY()-30, TODAY()), 0, 2))"),1522.5304347826088)</f>
        <v>1522.530435</v>
      </c>
      <c r="S1158" s="9">
        <f>IFERROR(__xludf.DUMMYFUNCTION("AVERAGE(INDEX(GOOGLEFINANCE(A1158, ""price"", TODAY()-75, TODAY()), 0, 2))"),1464.1339622641506)</f>
        <v>1464.133962</v>
      </c>
      <c r="T1158" s="9">
        <f>IFERROR(__xludf.DUMMYFUNCTION("AVERAGE(INDEX(GOOGLEFINANCE(A1158, ""price"", TODAY()-300, TODAY()), 0, 2))"),1450.4693069306934)</f>
        <v>1450.469307</v>
      </c>
      <c r="U1158" s="9">
        <f t="shared" si="5"/>
        <v>-0.005602800829</v>
      </c>
      <c r="V1158" s="15">
        <f>IFERROR(__xludf.DUMMYFUNCTION("LET(hist, GOOGLEFINANCE(A1158,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rs))))))"),51.462765957446784)</f>
        <v>51.46276596</v>
      </c>
      <c r="W1158" s="16" t="str">
        <f>IFERROR(__xludf.DUMMYFUNCTION("IFERROR(GOOGLEFINANCE(A1158, ""volume"") / GOOGLEFINANCE(A1158, ""volumeavg""), )"),"")</f>
        <v/>
      </c>
      <c r="X1158" s="9">
        <f>IFERROR(__xludf.DUMMYFUNCTION("B1158 * GOOGLEFINANCE(A1158, ""volume"")"),2.0274731E8)</f>
        <v>202747310</v>
      </c>
      <c r="Y1158" s="9">
        <f>IFERROR(__xludf.DUMMYFUNCTION("IFERROR(((B1158 - GOOGLEFINANCE(A1158, ""priceopen"")) / GOOGLEFINANCE(A1158, ""priceopen"")) * GOOGLEFINANCE(A1158, ""volume""), 0)"),-5186.5492063492065)</f>
        <v>-5186.549206</v>
      </c>
    </row>
    <row r="1159">
      <c r="A1159" s="4" t="s">
        <v>2952</v>
      </c>
      <c r="B1159" s="7">
        <f>IFERROR(__xludf.DUMMYFUNCTION("GOOGLEFINANCE(A1159, ""price"")"),2485.0)</f>
        <v>2485</v>
      </c>
      <c r="C1159" s="7">
        <f>IFERROR(__xludf.DUMMYFUNCTION("GOOGLEFINANCE(A1159, ""changepct"")"),-0.11)</f>
        <v>-0.11</v>
      </c>
      <c r="D1159" s="9">
        <f>IFERROR(__xludf.DUMMYFUNCTION("GOOGLEFINANCE(A1159, ""priceopen"")"),2487.8)</f>
        <v>2487.8</v>
      </c>
      <c r="E1159" s="9">
        <f>IFERROR(__xludf.DUMMYFUNCTION("GOOGLEFINANCE(A1159, ""high"")"),2500.0)</f>
        <v>2500</v>
      </c>
      <c r="F1159" s="9">
        <f>IFERROR(__xludf.DUMMYFUNCTION("GOOGLEFINANCE(A1159, ""low"")"),2451.0)</f>
        <v>2451</v>
      </c>
      <c r="G1159" s="9">
        <f>IFERROR(__xludf.DUMMYFUNCTION("GOOGLEFINANCE(A1159, ""price"")"),2485.0)</f>
        <v>2485</v>
      </c>
      <c r="H1159" s="9">
        <f>IFERROR(__xludf.DUMMYFUNCTION("MAX(INDEX(GOOGLEFINANCE(A1159, ""high"", TODAY()-30, TODAY()), 0, 2))"),2683.6)</f>
        <v>2683.6</v>
      </c>
      <c r="I1159" s="9">
        <f>IFERROR(__xludf.DUMMYFUNCTION("MIN(INDEX(GOOGLEFINANCE(A1159, ""low"", TODAY()-30, TODAY()), 0, 2))"),2110.0)</f>
        <v>2110</v>
      </c>
      <c r="J1159" s="9">
        <f>IFERROR(__xludf.DUMMYFUNCTION("GOOGLEFINANCE(A1159, ""high52"")"),2683.6)</f>
        <v>2683.6</v>
      </c>
      <c r="K1159" s="9">
        <f>IFERROR(__xludf.DUMMYFUNCTION("GOOGLEFINANCE(A1159, ""low52"")"),1239.3)</f>
        <v>1239.3</v>
      </c>
      <c r="L1159" s="9">
        <f t="shared" si="1"/>
        <v>0.07400506782</v>
      </c>
      <c r="M1159" s="9">
        <f t="shared" si="2"/>
        <v>1.005164206</v>
      </c>
      <c r="N1159" s="9">
        <f t="shared" si="3"/>
        <v>0.01999184007</v>
      </c>
      <c r="O1159" s="9">
        <f t="shared" si="4"/>
        <v>0.6537656904</v>
      </c>
      <c r="P1159" s="9">
        <f>IFERROR(__xludf.DUMMYFUNCTION("GOOGLEFINANCE(A1159, ""pe"")"),15.66)</f>
        <v>15.66</v>
      </c>
      <c r="Q1159" s="9">
        <f>IFERROR(__xludf.DUMMYFUNCTION("IFERROR(GOOGLEFINANCE(A1159, ""volume"") / GOOGLEFINANCE(A1159, ""volumeavg""), 0)"),0.0)</f>
        <v>0</v>
      </c>
      <c r="R1159" s="9">
        <f>IFERROR(__xludf.DUMMYFUNCTION("AVERAGE(INDEX(GOOGLEFINANCE(A1159, ""price"", TODAY()-30, TODAY()), 0, 2))"),2458.6391304347835)</f>
        <v>2458.63913</v>
      </c>
      <c r="S1159" s="9">
        <f>IFERROR(__xludf.DUMMYFUNCTION("AVERAGE(INDEX(GOOGLEFINANCE(A1159, ""price"", TODAY()-75, TODAY()), 0, 2))"),2242.405660377358)</f>
        <v>2242.40566</v>
      </c>
      <c r="T1159" s="9">
        <f>IFERROR(__xludf.DUMMYFUNCTION("AVERAGE(INDEX(GOOGLEFINANCE(A1159, ""price"", TODAY()-300, TODAY()), 0, 2))"),1752.3900990099014)</f>
        <v>1752.390099</v>
      </c>
      <c r="U1159" s="9">
        <f t="shared" si="5"/>
        <v>0.01072173189</v>
      </c>
      <c r="V1159" s="15">
        <f>IFERROR(__xludf.DUMMYFUNCTION("LET(hist, GOOGLEFINANCE(A1159,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rs))))))"),59.87788063817217)</f>
        <v>59.87788064</v>
      </c>
      <c r="W1159" s="16" t="str">
        <f>IFERROR(__xludf.DUMMYFUNCTION("IFERROR(GOOGLEFINANCE(A1159, ""volume"") / GOOGLEFINANCE(A1159, ""volumeavg""), )"),"")</f>
        <v/>
      </c>
      <c r="X1159" s="9">
        <f>IFERROR(__xludf.DUMMYFUNCTION("B1159 * GOOGLEFINANCE(A1159, ""volume"")"),1.2820115E7)</f>
        <v>12820115</v>
      </c>
      <c r="Y1159" s="9">
        <f>IFERROR(__xludf.DUMMYFUNCTION("IFERROR(((B1159 - GOOGLEFINANCE(A1159, ""priceopen"")) / GOOGLEFINANCE(A1159, ""priceopen"")) * GOOGLEFINANCE(A1159, ""volume""), 0)"),-5.806415306697057)</f>
        <v>-5.806415307</v>
      </c>
    </row>
    <row r="1160">
      <c r="A1160" s="4" t="s">
        <v>2953</v>
      </c>
      <c r="B1160" s="7">
        <f>IFERROR(__xludf.DUMMYFUNCTION("GOOGLEFINANCE(A1160, ""price"")"),160.9)</f>
        <v>160.9</v>
      </c>
      <c r="C1160" s="7">
        <f>IFERROR(__xludf.DUMMYFUNCTION("GOOGLEFINANCE(A1160, ""changepct"")"),-1.07)</f>
        <v>-1.07</v>
      </c>
      <c r="D1160" s="9">
        <f>IFERROR(__xludf.DUMMYFUNCTION("GOOGLEFINANCE(A1160, ""priceopen"")"),162.79)</f>
        <v>162.79</v>
      </c>
      <c r="E1160" s="9">
        <f>IFERROR(__xludf.DUMMYFUNCTION("GOOGLEFINANCE(A1160, ""high"")"),163.05)</f>
        <v>163.05</v>
      </c>
      <c r="F1160" s="9">
        <f>IFERROR(__xludf.DUMMYFUNCTION("GOOGLEFINANCE(A1160, ""low"")"),160.09)</f>
        <v>160.09</v>
      </c>
      <c r="G1160" s="9">
        <f>IFERROR(__xludf.DUMMYFUNCTION("GOOGLEFINANCE(A1160, ""price"")"),160.9)</f>
        <v>160.9</v>
      </c>
      <c r="H1160" s="9">
        <f>IFERROR(__xludf.DUMMYFUNCTION("MAX(INDEX(GOOGLEFINANCE(A1160, ""high"", TODAY()-30, TODAY()), 0, 2))"),189.0)</f>
        <v>189</v>
      </c>
      <c r="I1160" s="9">
        <f>IFERROR(__xludf.DUMMYFUNCTION("MIN(INDEX(GOOGLEFINANCE(A1160, ""low"", TODAY()-30, TODAY()), 0, 2))"),158.3)</f>
        <v>158.3</v>
      </c>
      <c r="J1160" s="9">
        <f>IFERROR(__xludf.DUMMYFUNCTION("GOOGLEFINANCE(A1160, ""high52"")"),328.8)</f>
        <v>328.8</v>
      </c>
      <c r="K1160" s="9">
        <f>IFERROR(__xludf.DUMMYFUNCTION("GOOGLEFINANCE(A1160, ""low52"")"),158.0)</f>
        <v>158</v>
      </c>
      <c r="L1160" s="9">
        <f t="shared" si="1"/>
        <v>0.5106447689</v>
      </c>
      <c r="M1160" s="9">
        <f t="shared" si="2"/>
        <v>0.01835443038</v>
      </c>
      <c r="N1160" s="9">
        <f t="shared" si="3"/>
        <v>0.0184895996</v>
      </c>
      <c r="O1160" s="9">
        <f t="shared" si="4"/>
        <v>0.08469055375</v>
      </c>
      <c r="P1160" s="9" t="str">
        <f>IFERROR(__xludf.DUMMYFUNCTION("GOOGLEFINANCE(A1160, ""pe"")"),"#N/A")</f>
        <v>#N/A</v>
      </c>
      <c r="Q1160" s="9">
        <f>IFERROR(__xludf.DUMMYFUNCTION("IFERROR(GOOGLEFINANCE(A1160, ""volume"") / GOOGLEFINANCE(A1160, ""volumeavg""), 0)"),0.0)</f>
        <v>0</v>
      </c>
      <c r="R1160" s="9">
        <f>IFERROR(__xludf.DUMMYFUNCTION("AVERAGE(INDEX(GOOGLEFINANCE(A1160, ""price"", TODAY()-30, TODAY()), 0, 2))"),168.45999999999998)</f>
        <v>168.46</v>
      </c>
      <c r="S1160" s="9">
        <f>IFERROR(__xludf.DUMMYFUNCTION("AVERAGE(INDEX(GOOGLEFINANCE(A1160, ""price"", TODAY()-75, TODAY()), 0, 2))"),171.7466037735849)</f>
        <v>171.7466038</v>
      </c>
      <c r="T1160" s="9">
        <f>IFERROR(__xludf.DUMMYFUNCTION("AVERAGE(INDEX(GOOGLEFINANCE(A1160, ""price"", TODAY()-300, TODAY()), 0, 2))"),204.18886138613863)</f>
        <v>204.1888614</v>
      </c>
      <c r="U1160" s="9">
        <f t="shared" si="5"/>
        <v>-0.04487712217</v>
      </c>
      <c r="V1160" s="15">
        <f>IFERROR(__xludf.DUMMYFUNCTION("LET(hist, GOOGLEFINANCE(A1160,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rs))))))"),42.86580436540016)</f>
        <v>42.86580437</v>
      </c>
      <c r="W1160" s="16" t="str">
        <f>IFERROR(__xludf.DUMMYFUNCTION("IFERROR(GOOGLEFINANCE(A1160, ""volume"") / GOOGLEFINANCE(A1160, ""volumeavg""), )"),"")</f>
        <v/>
      </c>
      <c r="X1160" s="9">
        <f>IFERROR(__xludf.DUMMYFUNCTION("B1160 * GOOGLEFINANCE(A1160, ""volume"")"),3.4122384800000004E7)</f>
        <v>34122384.8</v>
      </c>
      <c r="Y1160" s="9">
        <f>IFERROR(__xludf.DUMMYFUNCTION("IFERROR(((B1160 - GOOGLEFINANCE(A1160, ""priceopen"")) / GOOGLEFINANCE(A1160, ""priceopen"")) * GOOGLEFINANCE(A1160, ""volume""), 0)"),-2462.1664721420057)</f>
        <v>-2462.166472</v>
      </c>
    </row>
    <row r="1161">
      <c r="A1161" s="4" t="s">
        <v>2954</v>
      </c>
      <c r="B1161" s="7">
        <f>IFERROR(__xludf.DUMMYFUNCTION("GOOGLEFINANCE(A1161, ""price"")"),245.5)</f>
        <v>245.5</v>
      </c>
      <c r="C1161" s="7">
        <f>IFERROR(__xludf.DUMMYFUNCTION("GOOGLEFINANCE(A1161, ""changepct"")"),-1.5)</f>
        <v>-1.5</v>
      </c>
      <c r="D1161" s="9">
        <f>IFERROR(__xludf.DUMMYFUNCTION("GOOGLEFINANCE(A1161, ""priceopen"")"),251.1)</f>
        <v>251.1</v>
      </c>
      <c r="E1161" s="9">
        <f>IFERROR(__xludf.DUMMYFUNCTION("GOOGLEFINANCE(A1161, ""high"")"),252.35)</f>
        <v>252.35</v>
      </c>
      <c r="F1161" s="9">
        <f>IFERROR(__xludf.DUMMYFUNCTION("GOOGLEFINANCE(A1161, ""low"")"),244.15)</f>
        <v>244.15</v>
      </c>
      <c r="G1161" s="9">
        <f>IFERROR(__xludf.DUMMYFUNCTION("GOOGLEFINANCE(A1161, ""price"")"),245.5)</f>
        <v>245.5</v>
      </c>
      <c r="H1161" s="9">
        <f>IFERROR(__xludf.DUMMYFUNCTION("MAX(INDEX(GOOGLEFINANCE(A1161, ""high"", TODAY()-30, TODAY()), 0, 2))"),317.0)</f>
        <v>317</v>
      </c>
      <c r="I1161" s="9">
        <f>IFERROR(__xludf.DUMMYFUNCTION("MIN(INDEX(GOOGLEFINANCE(A1161, ""low"", TODAY()-30, TODAY()), 0, 2))"),244.15)</f>
        <v>244.15</v>
      </c>
      <c r="J1161" s="9">
        <f>IFERROR(__xludf.DUMMYFUNCTION("GOOGLEFINANCE(A1161, ""high52"")"),319.4)</f>
        <v>319.4</v>
      </c>
      <c r="K1161" s="9">
        <f>IFERROR(__xludf.DUMMYFUNCTION("GOOGLEFINANCE(A1161, ""low52"")"),181.1)</f>
        <v>181.1</v>
      </c>
      <c r="L1161" s="9">
        <f t="shared" si="1"/>
        <v>0.2313713212</v>
      </c>
      <c r="M1161" s="9">
        <f t="shared" si="2"/>
        <v>0.3556046383</v>
      </c>
      <c r="N1161" s="9">
        <f t="shared" si="3"/>
        <v>0.0335859103</v>
      </c>
      <c r="O1161" s="9">
        <f t="shared" si="4"/>
        <v>0.01853122855</v>
      </c>
      <c r="P1161" s="9" t="str">
        <f>IFERROR(__xludf.DUMMYFUNCTION("GOOGLEFINANCE(A1161, ""pe"")"),"#N/A")</f>
        <v>#N/A</v>
      </c>
      <c r="Q1161" s="9">
        <f>IFERROR(__xludf.DUMMYFUNCTION("IFERROR(GOOGLEFINANCE(A1161, ""volume"") / GOOGLEFINANCE(A1161, ""volumeavg""), 0)"),0.0)</f>
        <v>0</v>
      </c>
      <c r="R1161" s="9">
        <f>IFERROR(__xludf.DUMMYFUNCTION("AVERAGE(INDEX(GOOGLEFINANCE(A1161, ""price"", TODAY()-30, TODAY()), 0, 2))"),273.9021739130435)</f>
        <v>273.9021739</v>
      </c>
      <c r="S1161" s="9">
        <f>IFERROR(__xludf.DUMMYFUNCTION("AVERAGE(INDEX(GOOGLEFINANCE(A1161, ""price"", TODAY()-75, TODAY()), 0, 2))"),267.62509433962265)</f>
        <v>267.6250943</v>
      </c>
      <c r="T1161" s="9">
        <f>IFERROR(__xludf.DUMMYFUNCTION("AVERAGE(INDEX(GOOGLEFINANCE(A1161, ""price"", TODAY()-300, TODAY()), 0, 2))"),252.29237623762378)</f>
        <v>252.2923762</v>
      </c>
      <c r="U1161" s="9">
        <f t="shared" si="5"/>
        <v>-0.1036945911</v>
      </c>
      <c r="V1161" s="15">
        <f>IFERROR(__xludf.DUMMYFUNCTION("LET(hist, GOOGLEFINANCE(A1161,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rs))))))"),17.747440273037498)</f>
        <v>17.74744027</v>
      </c>
      <c r="W1161" s="16" t="str">
        <f>IFERROR(__xludf.DUMMYFUNCTION("IFERROR(GOOGLEFINANCE(A1161, ""volume"") / GOOGLEFINANCE(A1161, ""volumeavg""), )"),"")</f>
        <v/>
      </c>
      <c r="X1161" s="9">
        <f>IFERROR(__xludf.DUMMYFUNCTION("B1161 * GOOGLEFINANCE(A1161, ""volume"")"),5.0228318E7)</f>
        <v>50228318</v>
      </c>
      <c r="Y1161" s="9">
        <f>IFERROR(__xludf.DUMMYFUNCTION("IFERROR(((B1161 - GOOGLEFINANCE(A1161, ""priceopen"")) / GOOGLEFINANCE(A1161, ""priceopen"")) * GOOGLEFINANCE(A1161, ""volume""), 0)"),-4562.873755475902)</f>
        <v>-4562.873755</v>
      </c>
    </row>
    <row r="1162">
      <c r="A1162" s="4" t="s">
        <v>2955</v>
      </c>
      <c r="B1162" s="7">
        <f>IFERROR(__xludf.DUMMYFUNCTION("GOOGLEFINANCE(A1162, ""price"")"),152.0)</f>
        <v>152</v>
      </c>
      <c r="C1162" s="7">
        <f>IFERROR(__xludf.DUMMYFUNCTION("GOOGLEFINANCE(A1162, ""changepct"")"),-0.12)</f>
        <v>-0.12</v>
      </c>
      <c r="D1162" s="9">
        <f>IFERROR(__xludf.DUMMYFUNCTION("GOOGLEFINANCE(A1162, ""priceopen"")"),152.0)</f>
        <v>152</v>
      </c>
      <c r="E1162" s="9">
        <f>IFERROR(__xludf.DUMMYFUNCTION("GOOGLEFINANCE(A1162, ""high"")"),153.8)</f>
        <v>153.8</v>
      </c>
      <c r="F1162" s="9">
        <f>IFERROR(__xludf.DUMMYFUNCTION("GOOGLEFINANCE(A1162, ""low"")"),150.5)</f>
        <v>150.5</v>
      </c>
      <c r="G1162" s="9">
        <f>IFERROR(__xludf.DUMMYFUNCTION("GOOGLEFINANCE(A1162, ""price"")"),152.0)</f>
        <v>152</v>
      </c>
      <c r="H1162" s="9">
        <f>IFERROR(__xludf.DUMMYFUNCTION("MAX(INDEX(GOOGLEFINANCE(A1162, ""high"", TODAY()-30, TODAY()), 0, 2))"),176.1)</f>
        <v>176.1</v>
      </c>
      <c r="I1162" s="9">
        <f>IFERROR(__xludf.DUMMYFUNCTION("MIN(INDEX(GOOGLEFINANCE(A1162, ""low"", TODAY()-30, TODAY()), 0, 2))"),148.98)</f>
        <v>148.98</v>
      </c>
      <c r="J1162" s="9">
        <f>IFERROR(__xludf.DUMMYFUNCTION("GOOGLEFINANCE(A1162, ""high52"")"),212.7)</f>
        <v>212.7</v>
      </c>
      <c r="K1162" s="9">
        <f>IFERROR(__xludf.DUMMYFUNCTION("GOOGLEFINANCE(A1162, ""low52"")"),125.0)</f>
        <v>125</v>
      </c>
      <c r="L1162" s="9">
        <f t="shared" si="1"/>
        <v>0.2853784673</v>
      </c>
      <c r="M1162" s="9">
        <f t="shared" si="2"/>
        <v>0.216</v>
      </c>
      <c r="N1162" s="9">
        <f t="shared" si="3"/>
        <v>0.0219269103</v>
      </c>
      <c r="O1162" s="9">
        <f t="shared" si="4"/>
        <v>0.1113569322</v>
      </c>
      <c r="P1162" s="9">
        <f>IFERROR(__xludf.DUMMYFUNCTION("GOOGLEFINANCE(A1162, ""pe"")"),11.5)</f>
        <v>11.5</v>
      </c>
      <c r="Q1162" s="9">
        <f>IFERROR(__xludf.DUMMYFUNCTION("IFERROR(GOOGLEFINANCE(A1162, ""volume"") / GOOGLEFINANCE(A1162, ""volumeavg""), 0)"),0.0)</f>
        <v>0</v>
      </c>
      <c r="R1162" s="9">
        <f>IFERROR(__xludf.DUMMYFUNCTION("AVERAGE(INDEX(GOOGLEFINANCE(A1162, ""price"", TODAY()-30, TODAY()), 0, 2))"),161.85521739130436)</f>
        <v>161.8552174</v>
      </c>
      <c r="S1162" s="9">
        <f>IFERROR(__xludf.DUMMYFUNCTION("AVERAGE(INDEX(GOOGLEFINANCE(A1162, ""price"", TODAY()-75, TODAY()), 0, 2))"),164.62698113207549)</f>
        <v>164.6269811</v>
      </c>
      <c r="T1162" s="9">
        <f>IFERROR(__xludf.DUMMYFUNCTION("AVERAGE(INDEX(GOOGLEFINANCE(A1162, ""price"", TODAY()-300, TODAY()), 0, 2))"),170.16163366336633)</f>
        <v>170.1616337</v>
      </c>
      <c r="U1162" s="9">
        <f t="shared" si="5"/>
        <v>-0.06088909304</v>
      </c>
      <c r="V1162" s="15">
        <f>IFERROR(__xludf.DUMMYFUNCTION("LET(hist, GOOGLEFINANCE(A1162,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rs))))))"),30.489671002295395)</f>
        <v>30.489671</v>
      </c>
      <c r="W1162" s="16" t="str">
        <f>IFERROR(__xludf.DUMMYFUNCTION("IFERROR(GOOGLEFINANCE(A1162, ""volume"") / GOOGLEFINANCE(A1162, ""volumeavg""), )"),"")</f>
        <v/>
      </c>
      <c r="X1162" s="9">
        <f>IFERROR(__xludf.DUMMYFUNCTION("B1162 * GOOGLEFINANCE(A1162, ""volume"")"),1.1190088E7)</f>
        <v>11190088</v>
      </c>
      <c r="Y1162" s="9">
        <f>IFERROR(__xludf.DUMMYFUNCTION("IFERROR(((B1162 - GOOGLEFINANCE(A1162, ""priceopen"")) / GOOGLEFINANCE(A1162, ""priceopen"")) * GOOGLEFINANCE(A1162, ""volume""), 0)"),0.0)</f>
        <v>0</v>
      </c>
    </row>
    <row r="1163">
      <c r="A1163" s="4" t="s">
        <v>2956</v>
      </c>
      <c r="B1163" s="7">
        <f>IFERROR(__xludf.DUMMYFUNCTION("GOOGLEFINANCE(A1163, ""price"")"),260.4)</f>
        <v>260.4</v>
      </c>
      <c r="C1163" s="7">
        <f>IFERROR(__xludf.DUMMYFUNCTION("GOOGLEFINANCE(A1163, ""changepct"")"),-4.0)</f>
        <v>-4</v>
      </c>
      <c r="D1163" s="9">
        <f>IFERROR(__xludf.DUMMYFUNCTION("GOOGLEFINANCE(A1163, ""priceopen"")"),270.0)</f>
        <v>270</v>
      </c>
      <c r="E1163" s="9">
        <f>IFERROR(__xludf.DUMMYFUNCTION("GOOGLEFINANCE(A1163, ""high"")"),271.2)</f>
        <v>271.2</v>
      </c>
      <c r="F1163" s="9">
        <f>IFERROR(__xludf.DUMMYFUNCTION("GOOGLEFINANCE(A1163, ""low"")"),255.35)</f>
        <v>255.35</v>
      </c>
      <c r="G1163" s="9">
        <f>IFERROR(__xludf.DUMMYFUNCTION("GOOGLEFINANCE(A1163, ""price"")"),260.4)</f>
        <v>260.4</v>
      </c>
      <c r="H1163" s="9">
        <f>IFERROR(__xludf.DUMMYFUNCTION("MAX(INDEX(GOOGLEFINANCE(A1163, ""high"", TODAY()-30, TODAY()), 0, 2))"),337.95)</f>
        <v>337.95</v>
      </c>
      <c r="I1163" s="9">
        <f>IFERROR(__xludf.DUMMYFUNCTION("MIN(INDEX(GOOGLEFINANCE(A1163, ""low"", TODAY()-30, TODAY()), 0, 2))"),255.35)</f>
        <v>255.35</v>
      </c>
      <c r="J1163" s="9">
        <f>IFERROR(__xludf.DUMMYFUNCTION("GOOGLEFINANCE(A1163, ""high52"")"),463.25)</f>
        <v>463.25</v>
      </c>
      <c r="K1163" s="9">
        <f>IFERROR(__xludf.DUMMYFUNCTION("GOOGLEFINANCE(A1163, ""low52"")"),237.9)</f>
        <v>237.9</v>
      </c>
      <c r="L1163" s="9">
        <f t="shared" si="1"/>
        <v>0.4378845116</v>
      </c>
      <c r="M1163" s="9">
        <f t="shared" si="2"/>
        <v>0.09457755359</v>
      </c>
      <c r="N1163" s="9">
        <f t="shared" si="3"/>
        <v>0.06207166634</v>
      </c>
      <c r="O1163" s="9">
        <f t="shared" si="4"/>
        <v>0.06113801453</v>
      </c>
      <c r="P1163" s="9">
        <f>IFERROR(__xludf.DUMMYFUNCTION("GOOGLEFINANCE(A1163, ""pe"")"),9.69)</f>
        <v>9.69</v>
      </c>
      <c r="Q1163" s="9">
        <f>IFERROR(__xludf.DUMMYFUNCTION("IFERROR(GOOGLEFINANCE(A1163, ""volume"") / GOOGLEFINANCE(A1163, ""volumeavg""), 0)"),0.0)</f>
        <v>0</v>
      </c>
      <c r="R1163" s="9">
        <f>IFERROR(__xludf.DUMMYFUNCTION("AVERAGE(INDEX(GOOGLEFINANCE(A1163, ""price"", TODAY()-30, TODAY()), 0, 2))"),307.9608695652174)</f>
        <v>307.9608696</v>
      </c>
      <c r="S1163" s="9">
        <f>IFERROR(__xludf.DUMMYFUNCTION("AVERAGE(INDEX(GOOGLEFINANCE(A1163, ""price"", TODAY()-75, TODAY()), 0, 2))"),327.982075471698)</f>
        <v>327.9820755</v>
      </c>
      <c r="T1163" s="9">
        <f>IFERROR(__xludf.DUMMYFUNCTION("AVERAGE(INDEX(GOOGLEFINANCE(A1163, ""price"", TODAY()-300, TODAY()), 0, 2))"),337.46029702970304)</f>
        <v>337.460297</v>
      </c>
      <c r="U1163" s="9">
        <f t="shared" si="5"/>
        <v>-0.1544380285</v>
      </c>
      <c r="V1163" s="15">
        <f>IFERROR(__xludf.DUMMYFUNCTION("LET(hist, GOOGLEFINANCE(A1163,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rs))))))"),26.687598116169553)</f>
        <v>26.68759812</v>
      </c>
      <c r="W1163" s="16" t="str">
        <f>IFERROR(__xludf.DUMMYFUNCTION("IFERROR(GOOGLEFINANCE(A1163, ""volume"") / GOOGLEFINANCE(A1163, ""volumeavg""), )"),"")</f>
        <v/>
      </c>
      <c r="X1163" s="9">
        <f>IFERROR(__xludf.DUMMYFUNCTION("B1163 * GOOGLEFINANCE(A1163, ""volume"")"),1.63410114E8)</f>
        <v>163410114</v>
      </c>
      <c r="Y1163" s="9">
        <f>IFERROR(__xludf.DUMMYFUNCTION("IFERROR(((B1163 - GOOGLEFINANCE(A1163, ""priceopen"")) / GOOGLEFINANCE(A1163, ""priceopen"")) * GOOGLEFINANCE(A1163, ""volume""), 0)"),-22312.35555555561)</f>
        <v>-22312.35556</v>
      </c>
    </row>
    <row r="1164">
      <c r="A1164" s="4" t="s">
        <v>2957</v>
      </c>
      <c r="B1164" s="7">
        <f>IFERROR(__xludf.DUMMYFUNCTION("GOOGLEFINANCE(A1164, ""price"")"),548.8)</f>
        <v>548.8</v>
      </c>
      <c r="C1164" s="7">
        <f>IFERROR(__xludf.DUMMYFUNCTION("GOOGLEFINANCE(A1164, ""changepct"")"),1.11)</f>
        <v>1.11</v>
      </c>
      <c r="D1164" s="9">
        <f>IFERROR(__xludf.DUMMYFUNCTION("GOOGLEFINANCE(A1164, ""priceopen"")"),545.55)</f>
        <v>545.55</v>
      </c>
      <c r="E1164" s="9">
        <f>IFERROR(__xludf.DUMMYFUNCTION("GOOGLEFINANCE(A1164, ""high"")"),556.75)</f>
        <v>556.75</v>
      </c>
      <c r="F1164" s="9">
        <f>IFERROR(__xludf.DUMMYFUNCTION("GOOGLEFINANCE(A1164, ""low"")"),539.9)</f>
        <v>539.9</v>
      </c>
      <c r="G1164" s="9">
        <f>IFERROR(__xludf.DUMMYFUNCTION("GOOGLEFINANCE(A1164, ""price"")"),548.8)</f>
        <v>548.8</v>
      </c>
      <c r="H1164" s="9">
        <f>IFERROR(__xludf.DUMMYFUNCTION("MAX(INDEX(GOOGLEFINANCE(A1164, ""high"", TODAY()-30, TODAY()), 0, 2))"),614.7)</f>
        <v>614.7</v>
      </c>
      <c r="I1164" s="9">
        <f>IFERROR(__xludf.DUMMYFUNCTION("MIN(INDEX(GOOGLEFINANCE(A1164, ""low"", TODAY()-30, TODAY()), 0, 2))"),527.0)</f>
        <v>527</v>
      </c>
      <c r="J1164" s="9">
        <f>IFERROR(__xludf.DUMMYFUNCTION("GOOGLEFINANCE(A1164, ""high52"")"),780.0)</f>
        <v>780</v>
      </c>
      <c r="K1164" s="9">
        <f>IFERROR(__xludf.DUMMYFUNCTION("GOOGLEFINANCE(A1164, ""low52"")"),447.55)</f>
        <v>447.55</v>
      </c>
      <c r="L1164" s="9">
        <f t="shared" si="1"/>
        <v>0.2964102564</v>
      </c>
      <c r="M1164" s="9">
        <f t="shared" si="2"/>
        <v>0.226231706</v>
      </c>
      <c r="N1164" s="9">
        <f t="shared" si="3"/>
        <v>0.03120948324</v>
      </c>
      <c r="O1164" s="9">
        <f t="shared" si="4"/>
        <v>0.2485746864</v>
      </c>
      <c r="P1164" s="9">
        <f>IFERROR(__xludf.DUMMYFUNCTION("GOOGLEFINANCE(A1164, ""pe"")"),25.65)</f>
        <v>25.65</v>
      </c>
      <c r="Q1164" s="9">
        <f>IFERROR(__xludf.DUMMYFUNCTION("IFERROR(GOOGLEFINANCE(A1164, ""volume"") / GOOGLEFINANCE(A1164, ""volumeavg""), 0)"),0.0)</f>
        <v>0</v>
      </c>
      <c r="R1164" s="9">
        <f>IFERROR(__xludf.DUMMYFUNCTION("AVERAGE(INDEX(GOOGLEFINANCE(A1164, ""price"", TODAY()-30, TODAY()), 0, 2))"),561.0260869565218)</f>
        <v>561.026087</v>
      </c>
      <c r="S1164" s="9">
        <f>IFERROR(__xludf.DUMMYFUNCTION("AVERAGE(INDEX(GOOGLEFINANCE(A1164, ""price"", TODAY()-75, TODAY()), 0, 2))"),539.9754716981132)</f>
        <v>539.9754717</v>
      </c>
      <c r="T1164" s="9">
        <f>IFERROR(__xludf.DUMMYFUNCTION("AVERAGE(INDEX(GOOGLEFINANCE(A1164, ""price"", TODAY()-300, TODAY()), 0, 2))"),552.6049504950494)</f>
        <v>552.6049505</v>
      </c>
      <c r="U1164" s="9">
        <f t="shared" si="5"/>
        <v>-0.02179236802</v>
      </c>
      <c r="V1164" s="15">
        <f>IFERROR(__xludf.DUMMYFUNCTION("LET(hist, GOOGLEFINANCE(A1164,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rs))))))"),44.24507658643328)</f>
        <v>44.24507659</v>
      </c>
      <c r="W1164" s="16" t="str">
        <f>IFERROR(__xludf.DUMMYFUNCTION("IFERROR(GOOGLEFINANCE(A1164, ""volume"") / GOOGLEFINANCE(A1164, ""volumeavg""), )"),"")</f>
        <v/>
      </c>
      <c r="X1164" s="9">
        <f>IFERROR(__xludf.DUMMYFUNCTION("B1164 * GOOGLEFINANCE(A1164, ""volume"")"),1.8410593599999998E7)</f>
        <v>18410593.6</v>
      </c>
      <c r="Y1164" s="9">
        <f>IFERROR(__xludf.DUMMYFUNCTION("IFERROR(((B1164 - GOOGLEFINANCE(A1164, ""priceopen"")) / GOOGLEFINANCE(A1164, ""priceopen"")) * GOOGLEFINANCE(A1164, ""volume""), 0)"),199.84923471725781)</f>
        <v>199.8492347</v>
      </c>
    </row>
    <row r="1165">
      <c r="A1165" s="4" t="s">
        <v>2958</v>
      </c>
      <c r="B1165" s="7">
        <f>IFERROR(__xludf.DUMMYFUNCTION("GOOGLEFINANCE(A1165, ""price"")"),255.05)</f>
        <v>255.05</v>
      </c>
      <c r="C1165" s="7">
        <f>IFERROR(__xludf.DUMMYFUNCTION("GOOGLEFINANCE(A1165, ""changepct"")"),-2.07)</f>
        <v>-2.07</v>
      </c>
      <c r="D1165" s="9">
        <f>IFERROR(__xludf.DUMMYFUNCTION("GOOGLEFINANCE(A1165, ""priceopen"")"),260.45)</f>
        <v>260.45</v>
      </c>
      <c r="E1165" s="9">
        <f>IFERROR(__xludf.DUMMYFUNCTION("GOOGLEFINANCE(A1165, ""high"")"),261.9)</f>
        <v>261.9</v>
      </c>
      <c r="F1165" s="9">
        <f>IFERROR(__xludf.DUMMYFUNCTION("GOOGLEFINANCE(A1165, ""low"")"),255.05)</f>
        <v>255.05</v>
      </c>
      <c r="G1165" s="9">
        <f>IFERROR(__xludf.DUMMYFUNCTION("GOOGLEFINANCE(A1165, ""price"")"),255.05)</f>
        <v>255.05</v>
      </c>
      <c r="H1165" s="9">
        <f>IFERROR(__xludf.DUMMYFUNCTION("MAX(INDEX(GOOGLEFINANCE(A1165, ""high"", TODAY()-30, TODAY()), 0, 2))"),306.5)</f>
        <v>306.5</v>
      </c>
      <c r="I1165" s="9">
        <f>IFERROR(__xludf.DUMMYFUNCTION("MIN(INDEX(GOOGLEFINANCE(A1165, ""low"", TODAY()-30, TODAY()), 0, 2))"),246.1)</f>
        <v>246.1</v>
      </c>
      <c r="J1165" s="9">
        <f>IFERROR(__xludf.DUMMYFUNCTION("GOOGLEFINANCE(A1165, ""high52"")"),490.8)</f>
        <v>490.8</v>
      </c>
      <c r="K1165" s="9">
        <f>IFERROR(__xludf.DUMMYFUNCTION("GOOGLEFINANCE(A1165, ""low52"")"),109.33)</f>
        <v>109.33</v>
      </c>
      <c r="L1165" s="9">
        <f t="shared" si="1"/>
        <v>0.4803382233</v>
      </c>
      <c r="M1165" s="9">
        <f t="shared" si="2"/>
        <v>1.332845514</v>
      </c>
      <c r="N1165" s="9">
        <f t="shared" si="3"/>
        <v>0.02685747893</v>
      </c>
      <c r="O1165" s="9">
        <f t="shared" si="4"/>
        <v>0.1481788079</v>
      </c>
      <c r="P1165" s="9" t="str">
        <f>IFERROR(__xludf.DUMMYFUNCTION("GOOGLEFINANCE(A1165, ""pe"")"),"#N/A")</f>
        <v>#N/A</v>
      </c>
      <c r="Q1165" s="9">
        <f>IFERROR(__xludf.DUMMYFUNCTION("IFERROR(GOOGLEFINANCE(A1165, ""volume"") / GOOGLEFINANCE(A1165, ""volumeavg""), 0)"),0.0)</f>
        <v>0</v>
      </c>
      <c r="R1165" s="9">
        <f>IFERROR(__xludf.DUMMYFUNCTION("AVERAGE(INDEX(GOOGLEFINANCE(A1165, ""price"", TODAY()-30, TODAY()), 0, 2))"),281.9108695652174)</f>
        <v>281.9108696</v>
      </c>
      <c r="S1165" s="9">
        <f>IFERROR(__xludf.DUMMYFUNCTION("AVERAGE(INDEX(GOOGLEFINANCE(A1165, ""price"", TODAY()-75, TODAY()), 0, 2))"),305.12924528301886)</f>
        <v>305.1292453</v>
      </c>
      <c r="T1165" s="9">
        <f>IFERROR(__xludf.DUMMYFUNCTION("AVERAGE(INDEX(GOOGLEFINANCE(A1165, ""price"", TODAY()-300, TODAY()), 0, 2))"),331.4506435643565)</f>
        <v>331.4506436</v>
      </c>
      <c r="U1165" s="9">
        <f t="shared" si="5"/>
        <v>-0.09528142567</v>
      </c>
      <c r="V1165" s="15">
        <f>IFERROR(__xludf.DUMMYFUNCTION("LET(hist, GOOGLEFINANCE(A1165,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rs))))))"),32.52611585944918)</f>
        <v>32.52611586</v>
      </c>
      <c r="W1165" s="16" t="str">
        <f>IFERROR(__xludf.DUMMYFUNCTION("IFERROR(GOOGLEFINANCE(A1165, ""volume"") / GOOGLEFINANCE(A1165, ""volumeavg""), )"),"")</f>
        <v/>
      </c>
      <c r="X1165" s="9">
        <f>IFERROR(__xludf.DUMMYFUNCTION("B1165 * GOOGLEFINANCE(A1165, ""volume"")"),3121556.95)</f>
        <v>3121556.95</v>
      </c>
      <c r="Y1165" s="9">
        <f>IFERROR(__xludf.DUMMYFUNCTION("IFERROR(((B1165 - GOOGLEFINANCE(A1165, ""priceopen"")) / GOOGLEFINANCE(A1165, ""priceopen"")) * GOOGLEFINANCE(A1165, ""volume""), 0)"),-253.7554233058158)</f>
        <v>-253.7554233</v>
      </c>
    </row>
    <row r="1166">
      <c r="A1166" s="4" t="s">
        <v>2959</v>
      </c>
      <c r="B1166" s="7">
        <f>IFERROR(__xludf.DUMMYFUNCTION("GOOGLEFINANCE(A1166, ""price"")"),184.5)</f>
        <v>184.5</v>
      </c>
      <c r="C1166" s="7">
        <f>IFERROR(__xludf.DUMMYFUNCTION("GOOGLEFINANCE(A1166, ""changepct"")"),-0.33)</f>
        <v>-0.33</v>
      </c>
      <c r="D1166" s="9" t="str">
        <f>IFERROR(__xludf.DUMMYFUNCTION("GOOGLEFINANCE(A1166, ""priceopen"")"),"#N/A")</f>
        <v>#N/A</v>
      </c>
      <c r="E1166" s="9" t="str">
        <f>IFERROR(__xludf.DUMMYFUNCTION("GOOGLEFINANCE(A1166, ""high"")"),"#N/A")</f>
        <v>#N/A</v>
      </c>
      <c r="F1166" s="9" t="str">
        <f>IFERROR(__xludf.DUMMYFUNCTION("GOOGLEFINANCE(A1166, ""low"")"),"#N/A")</f>
        <v>#N/A</v>
      </c>
      <c r="G1166" s="9">
        <f>IFERROR(__xludf.DUMMYFUNCTION("GOOGLEFINANCE(A1166, ""price"")"),184.5)</f>
        <v>184.5</v>
      </c>
      <c r="H1166" s="9">
        <f>IFERROR(__xludf.DUMMYFUNCTION("MAX(INDEX(GOOGLEFINANCE(A1166, ""high"", TODAY()-30, TODAY()), 0, 2))"),206.9)</f>
        <v>206.9</v>
      </c>
      <c r="I1166" s="9">
        <f>IFERROR(__xludf.DUMMYFUNCTION("MIN(INDEX(GOOGLEFINANCE(A1166, ""low"", TODAY()-30, TODAY()), 0, 2))"),175.21)</f>
        <v>175.21</v>
      </c>
      <c r="J1166" s="9">
        <f>IFERROR(__xludf.DUMMYFUNCTION("GOOGLEFINANCE(A1166, ""high52"")"),200.0)</f>
        <v>200</v>
      </c>
      <c r="K1166" s="9">
        <f>IFERROR(__xludf.DUMMYFUNCTION("GOOGLEFINANCE(A1166, ""low52"")"),117.02)</f>
        <v>117.02</v>
      </c>
      <c r="L1166" s="9">
        <f t="shared" si="1"/>
        <v>0.0775</v>
      </c>
      <c r="M1166" s="9">
        <f t="shared" si="2"/>
        <v>0.5766535635</v>
      </c>
      <c r="N1166" s="9" t="str">
        <f t="shared" si="3"/>
        <v>#N/A</v>
      </c>
      <c r="O1166" s="9">
        <f t="shared" si="4"/>
        <v>0.293152414</v>
      </c>
      <c r="P1166" s="9" t="str">
        <f>IFERROR(__xludf.DUMMYFUNCTION("GOOGLEFINANCE(A1166, ""pe"")"),"#N/A")</f>
        <v>#N/A</v>
      </c>
      <c r="Q1166" s="9">
        <f>IFERROR(__xludf.DUMMYFUNCTION("IFERROR(GOOGLEFINANCE(A1166, ""volume"") / GOOGLEFINANCE(A1166, ""volumeavg""), 0)"),0.0)</f>
        <v>0</v>
      </c>
      <c r="R1166" s="9">
        <f>IFERROR(__xludf.DUMMYFUNCTION("AVERAGE(INDEX(GOOGLEFINANCE(A1166, ""price"", TODAY()-30, TODAY()), 0, 2))"),191.02611111111113)</f>
        <v>191.0261111</v>
      </c>
      <c r="S1166" s="9">
        <f>IFERROR(__xludf.DUMMYFUNCTION("AVERAGE(INDEX(GOOGLEFINANCE(A1166, ""price"", TODAY()-75, TODAY()), 0, 2))"),191.02611111111113)</f>
        <v>191.0261111</v>
      </c>
      <c r="T1166" s="9">
        <f>IFERROR(__xludf.DUMMYFUNCTION("AVERAGE(INDEX(GOOGLEFINANCE(A1166, ""price"", TODAY()-300, TODAY()), 0, 2))"),191.02611111111113)</f>
        <v>191.0261111</v>
      </c>
      <c r="U1166" s="9">
        <f t="shared" si="5"/>
        <v>-0.0341634506</v>
      </c>
      <c r="V1166" s="15">
        <f>IFERROR(__xludf.DUMMYFUNCTION("LET(hist, GOOGLEFINANCE(A1166,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rs))))))"),44.39014855355746)</f>
        <v>44.39014855</v>
      </c>
      <c r="W1166" s="16">
        <f>IFERROR(__xludf.DUMMYFUNCTION("IFERROR(GOOGLEFINANCE(A1166, ""volume"") / GOOGLEFINANCE(A1166, ""volumeavg""), )"),0.0)</f>
        <v>0</v>
      </c>
      <c r="X1166" s="9">
        <f>IFERROR(__xludf.DUMMYFUNCTION("B1166 * GOOGLEFINANCE(A1166, ""volume"")"),0.0)</f>
        <v>0</v>
      </c>
      <c r="Y1166" s="9">
        <f>IFERROR(__xludf.DUMMYFUNCTION("IFERROR(((B1166 - GOOGLEFINANCE(A1166, ""priceopen"")) / GOOGLEFINANCE(A1166, ""priceopen"")) * GOOGLEFINANCE(A1166, ""volume""), 0)"),0.0)</f>
        <v>0</v>
      </c>
    </row>
    <row r="1167">
      <c r="A1167" s="4" t="s">
        <v>2960</v>
      </c>
      <c r="B1167" s="7">
        <f>IFERROR(__xludf.DUMMYFUNCTION("GOOGLEFINANCE(A1167, ""price"")"),1250.0)</f>
        <v>1250</v>
      </c>
      <c r="C1167" s="7">
        <f>IFERROR(__xludf.DUMMYFUNCTION("GOOGLEFINANCE(A1167, ""changepct"")"),0.27)</f>
        <v>0.27</v>
      </c>
      <c r="D1167" s="9">
        <f>IFERROR(__xludf.DUMMYFUNCTION("GOOGLEFINANCE(A1167, ""priceopen"")"),1245.0)</f>
        <v>1245</v>
      </c>
      <c r="E1167" s="9">
        <f>IFERROR(__xludf.DUMMYFUNCTION("GOOGLEFINANCE(A1167, ""high"")"),1263.3)</f>
        <v>1263.3</v>
      </c>
      <c r="F1167" s="9">
        <f>IFERROR(__xludf.DUMMYFUNCTION("GOOGLEFINANCE(A1167, ""low"")"),1227.6)</f>
        <v>1227.6</v>
      </c>
      <c r="G1167" s="9">
        <f>IFERROR(__xludf.DUMMYFUNCTION("GOOGLEFINANCE(A1167, ""price"")"),1250.0)</f>
        <v>1250</v>
      </c>
      <c r="H1167" s="9">
        <f>IFERROR(__xludf.DUMMYFUNCTION("MAX(INDEX(GOOGLEFINANCE(A1167, ""high"", TODAY()-30, TODAY()), 0, 2))"),1461.0)</f>
        <v>1461</v>
      </c>
      <c r="I1167" s="9">
        <f>IFERROR(__xludf.DUMMYFUNCTION("MIN(INDEX(GOOGLEFINANCE(A1167, ""low"", TODAY()-30, TODAY()), 0, 2))"),1223.5)</f>
        <v>1223.5</v>
      </c>
      <c r="J1167" s="9">
        <f>IFERROR(__xludf.DUMMYFUNCTION("GOOGLEFINANCE(A1167, ""high52"")"),1944.3)</f>
        <v>1944.3</v>
      </c>
      <c r="K1167" s="9">
        <f>IFERROR(__xludf.DUMMYFUNCTION("GOOGLEFINANCE(A1167, ""low52"")"),1065.2)</f>
        <v>1065.2</v>
      </c>
      <c r="L1167" s="9">
        <f t="shared" si="1"/>
        <v>0.3570950985</v>
      </c>
      <c r="M1167" s="9">
        <f t="shared" si="2"/>
        <v>0.1734885468</v>
      </c>
      <c r="N1167" s="9">
        <f t="shared" si="3"/>
        <v>0.02908113392</v>
      </c>
      <c r="O1167" s="9">
        <f t="shared" si="4"/>
        <v>0.1115789474</v>
      </c>
      <c r="P1167" s="9">
        <f>IFERROR(__xludf.DUMMYFUNCTION("GOOGLEFINANCE(A1167, ""pe"")"),14.16)</f>
        <v>14.16</v>
      </c>
      <c r="Q1167" s="9">
        <f>IFERROR(__xludf.DUMMYFUNCTION("IFERROR(GOOGLEFINANCE(A1167, ""volume"") / GOOGLEFINANCE(A1167, ""volumeavg""), 0)"),0.0)</f>
        <v>0</v>
      </c>
      <c r="R1167" s="9">
        <f>IFERROR(__xludf.DUMMYFUNCTION("AVERAGE(INDEX(GOOGLEFINANCE(A1167, ""price"", TODAY()-30, TODAY()), 0, 2))"),1309.295652173913)</f>
        <v>1309.295652</v>
      </c>
      <c r="S1167" s="9">
        <f>IFERROR(__xludf.DUMMYFUNCTION("AVERAGE(INDEX(GOOGLEFINANCE(A1167, ""price"", TODAY()-75, TODAY()), 0, 2))"),1368.1867924528306)</f>
        <v>1368.186792</v>
      </c>
      <c r="T1167" s="9">
        <f>IFERROR(__xludf.DUMMYFUNCTION("AVERAGE(INDEX(GOOGLEFINANCE(A1167, ""price"", TODAY()-300, TODAY()), 0, 2))"),1418.4990099009897)</f>
        <v>1418.49901</v>
      </c>
      <c r="U1167" s="9">
        <f t="shared" si="5"/>
        <v>-0.04528820674</v>
      </c>
      <c r="V1167" s="15">
        <f>IFERROR(__xludf.DUMMYFUNCTION("LET(hist, GOOGLEFINANCE(A1167,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rs))))))"),31.65322580645166)</f>
        <v>31.65322581</v>
      </c>
      <c r="W1167" s="16" t="str">
        <f>IFERROR(__xludf.DUMMYFUNCTION("IFERROR(GOOGLEFINANCE(A1167, ""volume"") / GOOGLEFINANCE(A1167, ""volumeavg""), )"),"")</f>
        <v/>
      </c>
      <c r="X1167" s="9">
        <f>IFERROR(__xludf.DUMMYFUNCTION("B1167 * GOOGLEFINANCE(A1167, ""volume"")"),1.8965E7)</f>
        <v>18965000</v>
      </c>
      <c r="Y1167" s="9">
        <f>IFERROR(__xludf.DUMMYFUNCTION("IFERROR(((B1167 - GOOGLEFINANCE(A1167, ""priceopen"")) / GOOGLEFINANCE(A1167, ""priceopen"")) * GOOGLEFINANCE(A1167, ""volume""), 0)"),60.93172690763052)</f>
        <v>60.93172691</v>
      </c>
    </row>
    <row r="1168">
      <c r="A1168" s="4" t="s">
        <v>2961</v>
      </c>
      <c r="B1168" s="7">
        <f>IFERROR(__xludf.DUMMYFUNCTION("GOOGLEFINANCE(A1168, ""price"")"),361.9)</f>
        <v>361.9</v>
      </c>
      <c r="C1168" s="7">
        <f>IFERROR(__xludf.DUMMYFUNCTION("GOOGLEFINANCE(A1168, ""changepct"")"),0.5)</f>
        <v>0.5</v>
      </c>
      <c r="D1168" s="9">
        <f>IFERROR(__xludf.DUMMYFUNCTION("GOOGLEFINANCE(A1168, ""priceopen"")"),360.65)</f>
        <v>360.65</v>
      </c>
      <c r="E1168" s="9">
        <f>IFERROR(__xludf.DUMMYFUNCTION("GOOGLEFINANCE(A1168, ""high"")"),368.55)</f>
        <v>368.55</v>
      </c>
      <c r="F1168" s="9">
        <f>IFERROR(__xludf.DUMMYFUNCTION("GOOGLEFINANCE(A1168, ""low"")"),360.0)</f>
        <v>360</v>
      </c>
      <c r="G1168" s="9">
        <f>IFERROR(__xludf.DUMMYFUNCTION("GOOGLEFINANCE(A1168, ""price"")"),361.9)</f>
        <v>361.9</v>
      </c>
      <c r="H1168" s="9">
        <f>IFERROR(__xludf.DUMMYFUNCTION("MAX(INDEX(GOOGLEFINANCE(A1168, ""high"", TODAY()-30, TODAY()), 0, 2))"),464.4)</f>
        <v>464.4</v>
      </c>
      <c r="I1168" s="9">
        <f>IFERROR(__xludf.DUMMYFUNCTION("MIN(INDEX(GOOGLEFINANCE(A1168, ""low"", TODAY()-30, TODAY()), 0, 2))"),353.0)</f>
        <v>353</v>
      </c>
      <c r="J1168" s="9">
        <f>IFERROR(__xludf.DUMMYFUNCTION("GOOGLEFINANCE(A1168, ""high52"")"),544.85)</f>
        <v>544.85</v>
      </c>
      <c r="K1168" s="9">
        <f>IFERROR(__xludf.DUMMYFUNCTION("GOOGLEFINANCE(A1168, ""low52"")"),353.0)</f>
        <v>353</v>
      </c>
      <c r="L1168" s="9">
        <f t="shared" si="1"/>
        <v>0.33578049</v>
      </c>
      <c r="M1168" s="9">
        <f t="shared" si="2"/>
        <v>0.02521246459</v>
      </c>
      <c r="N1168" s="9">
        <f t="shared" si="3"/>
        <v>0.02375</v>
      </c>
      <c r="O1168" s="9">
        <f t="shared" si="4"/>
        <v>0.07989228007</v>
      </c>
      <c r="P1168" s="9">
        <f>IFERROR(__xludf.DUMMYFUNCTION("GOOGLEFINANCE(A1168, ""pe"")"),19.03)</f>
        <v>19.03</v>
      </c>
      <c r="Q1168" s="9">
        <f>IFERROR(__xludf.DUMMYFUNCTION("IFERROR(GOOGLEFINANCE(A1168, ""volume"") / GOOGLEFINANCE(A1168, ""volumeavg""), 0)"),0.0)</f>
        <v>0</v>
      </c>
      <c r="R1168" s="9">
        <f>IFERROR(__xludf.DUMMYFUNCTION("AVERAGE(INDEX(GOOGLEFINANCE(A1168, ""price"", TODAY()-30, TODAY()), 0, 2))"),424.5695652173913)</f>
        <v>424.5695652</v>
      </c>
      <c r="S1168" s="9">
        <f>IFERROR(__xludf.DUMMYFUNCTION("AVERAGE(INDEX(GOOGLEFINANCE(A1168, ""price"", TODAY()-75, TODAY()), 0, 2))"),457.6745283018867)</f>
        <v>457.6745283</v>
      </c>
      <c r="T1168" s="9">
        <f>IFERROR(__xludf.DUMMYFUNCTION("AVERAGE(INDEX(GOOGLEFINANCE(A1168, ""price"", TODAY()-300, TODAY()), 0, 2))"),472.51000000000005)</f>
        <v>472.51</v>
      </c>
      <c r="U1168" s="9">
        <f t="shared" si="5"/>
        <v>-0.1476072954</v>
      </c>
      <c r="V1168" s="15">
        <f>IFERROR(__xludf.DUMMYFUNCTION("LET(hist, GOOGLEFINANCE(A1168,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rs))))))"),10.752688172042923)</f>
        <v>10.75268817</v>
      </c>
      <c r="W1168" s="16" t="str">
        <f>IFERROR(__xludf.DUMMYFUNCTION("IFERROR(GOOGLEFINANCE(A1168, ""volume"") / GOOGLEFINANCE(A1168, ""volumeavg""), )"),"")</f>
        <v/>
      </c>
      <c r="X1168" s="9">
        <f>IFERROR(__xludf.DUMMYFUNCTION("B1168 * GOOGLEFINANCE(A1168, ""volume"")"),1.9570466299999997E7)</f>
        <v>19570466.3</v>
      </c>
      <c r="Y1168" s="9">
        <f>IFERROR(__xludf.DUMMYFUNCTION("IFERROR(((B1168 - GOOGLEFINANCE(A1168, ""priceopen"")) / GOOGLEFINANCE(A1168, ""priceopen"")) * GOOGLEFINANCE(A1168, ""volume""), 0)"),187.4289477332594)</f>
        <v>187.4289477</v>
      </c>
    </row>
    <row r="1169">
      <c r="A1169" s="4" t="s">
        <v>2962</v>
      </c>
      <c r="B1169" s="7">
        <f>IFERROR(__xludf.DUMMYFUNCTION("GOOGLEFINANCE(A1169, ""price"")"),353.95)</f>
        <v>353.95</v>
      </c>
      <c r="C1169" s="7">
        <f>IFERROR(__xludf.DUMMYFUNCTION("GOOGLEFINANCE(A1169, ""changepct"")"),0.14)</f>
        <v>0.14</v>
      </c>
      <c r="D1169" s="9">
        <f>IFERROR(__xludf.DUMMYFUNCTION("GOOGLEFINANCE(A1169, ""priceopen"")"),356.5)</f>
        <v>356.5</v>
      </c>
      <c r="E1169" s="9">
        <f>IFERROR(__xludf.DUMMYFUNCTION("GOOGLEFINANCE(A1169, ""high"")"),362.8)</f>
        <v>362.8</v>
      </c>
      <c r="F1169" s="9">
        <f>IFERROR(__xludf.DUMMYFUNCTION("GOOGLEFINANCE(A1169, ""low"")"),340.1)</f>
        <v>340.1</v>
      </c>
      <c r="G1169" s="9">
        <f>IFERROR(__xludf.DUMMYFUNCTION("GOOGLEFINANCE(A1169, ""price"")"),353.95)</f>
        <v>353.95</v>
      </c>
      <c r="H1169" s="9">
        <f>IFERROR(__xludf.DUMMYFUNCTION("MAX(INDEX(GOOGLEFINANCE(A1169, ""high"", TODAY()-30, TODAY()), 0, 2))"),362.8)</f>
        <v>362.8</v>
      </c>
      <c r="I1169" s="9">
        <f>IFERROR(__xludf.DUMMYFUNCTION("MIN(INDEX(GOOGLEFINANCE(A1169, ""low"", TODAY()-30, TODAY()), 0, 2))"),262.65)</f>
        <v>262.65</v>
      </c>
      <c r="J1169" s="9">
        <f>IFERROR(__xludf.DUMMYFUNCTION("GOOGLEFINANCE(A1169, ""high52"")"),427.0)</f>
        <v>427</v>
      </c>
      <c r="K1169" s="9">
        <f>IFERROR(__xludf.DUMMYFUNCTION("GOOGLEFINANCE(A1169, ""low52"")"),229.95)</f>
        <v>229.95</v>
      </c>
      <c r="L1169" s="9">
        <f t="shared" si="1"/>
        <v>0.1710772834</v>
      </c>
      <c r="M1169" s="9">
        <f t="shared" si="2"/>
        <v>0.5392476625</v>
      </c>
      <c r="N1169" s="9">
        <f t="shared" si="3"/>
        <v>0.06674507498</v>
      </c>
      <c r="O1169" s="9">
        <f t="shared" si="4"/>
        <v>0.9116325512</v>
      </c>
      <c r="P1169" s="9">
        <f>IFERROR(__xludf.DUMMYFUNCTION("GOOGLEFINANCE(A1169, ""pe"")"),56.36)</f>
        <v>56.36</v>
      </c>
      <c r="Q1169" s="9">
        <f>IFERROR(__xludf.DUMMYFUNCTION("IFERROR(GOOGLEFINANCE(A1169, ""volume"") / GOOGLEFINANCE(A1169, ""volumeavg""), 0)"),0.0)</f>
        <v>0</v>
      </c>
      <c r="R1169" s="9">
        <f>IFERROR(__xludf.DUMMYFUNCTION("AVERAGE(INDEX(GOOGLEFINANCE(A1169, ""price"", TODAY()-30, TODAY()), 0, 2))"),295.9869565217391)</f>
        <v>295.9869565</v>
      </c>
      <c r="S1169" s="9">
        <f>IFERROR(__xludf.DUMMYFUNCTION("AVERAGE(INDEX(GOOGLEFINANCE(A1169, ""price"", TODAY()-75, TODAY()), 0, 2))"),308.9566037735848)</f>
        <v>308.9566038</v>
      </c>
      <c r="T1169" s="9">
        <f>IFERROR(__xludf.DUMMYFUNCTION("AVERAGE(INDEX(GOOGLEFINANCE(A1169, ""price"", TODAY()-300, TODAY()), 0, 2))"),311.567574257426)</f>
        <v>311.5675743</v>
      </c>
      <c r="U1169" s="9">
        <f t="shared" si="5"/>
        <v>0.1958297222</v>
      </c>
      <c r="V1169" s="15">
        <f>IFERROR(__xludf.DUMMYFUNCTION("LET(hist, GOOGLEFINANCE(A1169,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rs))))))"),83.56704645048207)</f>
        <v>83.56704645</v>
      </c>
      <c r="W1169" s="16" t="str">
        <f>IFERROR(__xludf.DUMMYFUNCTION("IFERROR(GOOGLEFINANCE(A1169, ""volume"") / GOOGLEFINANCE(A1169, ""volumeavg""), )"),"")</f>
        <v/>
      </c>
      <c r="X1169" s="9">
        <f>IFERROR(__xludf.DUMMYFUNCTION("B1169 * GOOGLEFINANCE(A1169, ""volume"")"),3.4881383155E8)</f>
        <v>348813831.6</v>
      </c>
      <c r="Y1169" s="9">
        <f>IFERROR(__xludf.DUMMYFUNCTION("IFERROR(((B1169 - GOOGLEFINANCE(A1169, ""priceopen"")) / GOOGLEFINANCE(A1169, ""priceopen"")) * GOOGLEFINANCE(A1169, ""volume""), 0)"),-7049.079803646596)</f>
        <v>-7049.079804</v>
      </c>
    </row>
    <row r="1170">
      <c r="A1170" s="4" t="s">
        <v>2963</v>
      </c>
      <c r="B1170" s="7">
        <f>IFERROR(__xludf.DUMMYFUNCTION("GOOGLEFINANCE(A1170, ""price"")"),374.4)</f>
        <v>374.4</v>
      </c>
      <c r="C1170" s="7">
        <f>IFERROR(__xludf.DUMMYFUNCTION("GOOGLEFINANCE(A1170, ""changepct"")"),-3.02)</f>
        <v>-3.02</v>
      </c>
      <c r="D1170" s="9">
        <f>IFERROR(__xludf.DUMMYFUNCTION("GOOGLEFINANCE(A1170, ""priceopen"")"),383.35)</f>
        <v>383.35</v>
      </c>
      <c r="E1170" s="9">
        <f>IFERROR(__xludf.DUMMYFUNCTION("GOOGLEFINANCE(A1170, ""high"")"),389.5)</f>
        <v>389.5</v>
      </c>
      <c r="F1170" s="9">
        <f>IFERROR(__xludf.DUMMYFUNCTION("GOOGLEFINANCE(A1170, ""low"")"),373.0)</f>
        <v>373</v>
      </c>
      <c r="G1170" s="9">
        <f>IFERROR(__xludf.DUMMYFUNCTION("GOOGLEFINANCE(A1170, ""price"")"),374.4)</f>
        <v>374.4</v>
      </c>
      <c r="H1170" s="9">
        <f>IFERROR(__xludf.DUMMYFUNCTION("MAX(INDEX(GOOGLEFINANCE(A1170, ""high"", TODAY()-30, TODAY()), 0, 2))"),432.0)</f>
        <v>432</v>
      </c>
      <c r="I1170" s="9">
        <f>IFERROR(__xludf.DUMMYFUNCTION("MIN(INDEX(GOOGLEFINANCE(A1170, ""low"", TODAY()-30, TODAY()), 0, 2))"),359.0)</f>
        <v>359</v>
      </c>
      <c r="J1170" s="9">
        <f>IFERROR(__xludf.DUMMYFUNCTION("GOOGLEFINANCE(A1170, ""high52"")"),432.0)</f>
        <v>432</v>
      </c>
      <c r="K1170" s="9">
        <f>IFERROR(__xludf.DUMMYFUNCTION("GOOGLEFINANCE(A1170, ""low52"")"),279.8)</f>
        <v>279.8</v>
      </c>
      <c r="L1170" s="9">
        <f t="shared" si="1"/>
        <v>0.1333333333</v>
      </c>
      <c r="M1170" s="9">
        <f t="shared" si="2"/>
        <v>0.3380986419</v>
      </c>
      <c r="N1170" s="9">
        <f t="shared" si="3"/>
        <v>0.04423592493</v>
      </c>
      <c r="O1170" s="9">
        <f t="shared" si="4"/>
        <v>0.2109589041</v>
      </c>
      <c r="P1170" s="9">
        <f>IFERROR(__xludf.DUMMYFUNCTION("GOOGLEFINANCE(A1170, ""pe"")"),13.98)</f>
        <v>13.98</v>
      </c>
      <c r="Q1170" s="9">
        <f>IFERROR(__xludf.DUMMYFUNCTION("IFERROR(GOOGLEFINANCE(A1170, ""volume"") / GOOGLEFINANCE(A1170, ""volumeavg""), 0)"),0.0)</f>
        <v>0</v>
      </c>
      <c r="R1170" s="9">
        <f>IFERROR(__xludf.DUMMYFUNCTION("AVERAGE(INDEX(GOOGLEFINANCE(A1170, ""price"", TODAY()-30, TODAY()), 0, 2))"),393.3369565217392)</f>
        <v>393.3369565</v>
      </c>
      <c r="S1170" s="9">
        <f>IFERROR(__xludf.DUMMYFUNCTION("AVERAGE(INDEX(GOOGLEFINANCE(A1170, ""price"", TODAY()-75, TODAY()), 0, 2))"),351.8735849056602)</f>
        <v>351.8735849</v>
      </c>
      <c r="T1170" s="9">
        <f>IFERROR(__xludf.DUMMYFUNCTION("AVERAGE(INDEX(GOOGLEFINANCE(A1170, ""price"", TODAY()-300, TODAY()), 0, 2))"),358.67189054726407)</f>
        <v>358.6718905</v>
      </c>
      <c r="U1170" s="9">
        <f t="shared" si="5"/>
        <v>-0.04814436123</v>
      </c>
      <c r="V1170" s="15">
        <f>IFERROR(__xludf.DUMMYFUNCTION("LET(hist, GOOGLEFINANCE(A1170,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rs))))))"),51.5245079120031)</f>
        <v>51.52450791</v>
      </c>
      <c r="W1170" s="16" t="str">
        <f>IFERROR(__xludf.DUMMYFUNCTION("IFERROR(GOOGLEFINANCE(A1170, ""volume"") / GOOGLEFINANCE(A1170, ""volumeavg""), )"),"")</f>
        <v/>
      </c>
      <c r="X1170" s="9">
        <f>IFERROR(__xludf.DUMMYFUNCTION("B1170 * GOOGLEFINANCE(A1170, ""volume"")"),1.14806016E7)</f>
        <v>11480601.6</v>
      </c>
      <c r="Y1170" s="9">
        <f>IFERROR(__xludf.DUMMYFUNCTION("IFERROR(((B1170 - GOOGLEFINANCE(A1170, ""priceopen"")) / GOOGLEFINANCE(A1170, ""priceopen"")) * GOOGLEFINANCE(A1170, ""volume""), 0)"),-715.9066127559707)</f>
        <v>-715.9066128</v>
      </c>
    </row>
    <row r="1171">
      <c r="A1171" s="4" t="s">
        <v>2964</v>
      </c>
      <c r="B1171" s="7">
        <f>IFERROR(__xludf.DUMMYFUNCTION("GOOGLEFINANCE(A1171, ""price"")"),226.6)</f>
        <v>226.6</v>
      </c>
      <c r="C1171" s="7">
        <f>IFERROR(__xludf.DUMMYFUNCTION("GOOGLEFINANCE(A1171, ""changepct"")"),-0.44)</f>
        <v>-0.44</v>
      </c>
      <c r="D1171" s="9">
        <f>IFERROR(__xludf.DUMMYFUNCTION("GOOGLEFINANCE(A1171, ""priceopen"")"),228.09)</f>
        <v>228.09</v>
      </c>
      <c r="E1171" s="9">
        <f>IFERROR(__xludf.DUMMYFUNCTION("GOOGLEFINANCE(A1171, ""high"")"),230.6)</f>
        <v>230.6</v>
      </c>
      <c r="F1171" s="9">
        <f>IFERROR(__xludf.DUMMYFUNCTION("GOOGLEFINANCE(A1171, ""low"")"),226.6)</f>
        <v>226.6</v>
      </c>
      <c r="G1171" s="9">
        <f>IFERROR(__xludf.DUMMYFUNCTION("GOOGLEFINANCE(A1171, ""price"")"),226.6)</f>
        <v>226.6</v>
      </c>
      <c r="H1171" s="9">
        <f>IFERROR(__xludf.DUMMYFUNCTION("MAX(INDEX(GOOGLEFINANCE(A1171, ""high"", TODAY()-30, TODAY()), 0, 2))"),268.15)</f>
        <v>268.15</v>
      </c>
      <c r="I1171" s="9">
        <f>IFERROR(__xludf.DUMMYFUNCTION("MIN(INDEX(GOOGLEFINANCE(A1171, ""low"", TODAY()-30, TODAY()), 0, 2))"),225.13)</f>
        <v>225.13</v>
      </c>
      <c r="J1171" s="9">
        <f>IFERROR(__xludf.DUMMYFUNCTION("GOOGLEFINANCE(A1171, ""high52"")"),321.5)</f>
        <v>321.5</v>
      </c>
      <c r="K1171" s="9">
        <f>IFERROR(__xludf.DUMMYFUNCTION("GOOGLEFINANCE(A1171, ""low52"")"),208.5)</f>
        <v>208.5</v>
      </c>
      <c r="L1171" s="9">
        <f t="shared" si="1"/>
        <v>0.2951788491</v>
      </c>
      <c r="M1171" s="9">
        <f t="shared" si="2"/>
        <v>0.08681055156</v>
      </c>
      <c r="N1171" s="9">
        <f t="shared" si="3"/>
        <v>0.01765225066</v>
      </c>
      <c r="O1171" s="9">
        <f t="shared" si="4"/>
        <v>0.03417015342</v>
      </c>
      <c r="P1171" s="9">
        <f>IFERROR(__xludf.DUMMYFUNCTION("GOOGLEFINANCE(A1171, ""pe"")"),19.45)</f>
        <v>19.45</v>
      </c>
      <c r="Q1171" s="9">
        <f>IFERROR(__xludf.DUMMYFUNCTION("IFERROR(GOOGLEFINANCE(A1171, ""volume"") / GOOGLEFINANCE(A1171, ""volumeavg""), 0)"),0.0)</f>
        <v>0</v>
      </c>
      <c r="R1171" s="9">
        <f>IFERROR(__xludf.DUMMYFUNCTION("AVERAGE(INDEX(GOOGLEFINANCE(A1171, ""price"", TODAY()-30, TODAY()), 0, 2))"),243.86695652173916)</f>
        <v>243.8669565</v>
      </c>
      <c r="S1171" s="9">
        <f>IFERROR(__xludf.DUMMYFUNCTION("AVERAGE(INDEX(GOOGLEFINANCE(A1171, ""price"", TODAY()-75, TODAY()), 0, 2))"),237.4149056603773)</f>
        <v>237.4149057</v>
      </c>
      <c r="T1171" s="9">
        <f>IFERROR(__xludf.DUMMYFUNCTION("AVERAGE(INDEX(GOOGLEFINANCE(A1171, ""price"", TODAY()-300, TODAY()), 0, 2))"),252.03252475247527)</f>
        <v>252.0325248</v>
      </c>
      <c r="U1171" s="9">
        <f t="shared" si="5"/>
        <v>-0.0708048223</v>
      </c>
      <c r="V1171" s="15">
        <f>IFERROR(__xludf.DUMMYFUNCTION("LET(hist, GOOGLEFINANCE(A1171,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rs))))))"),36.16880247459125)</f>
        <v>36.16880247</v>
      </c>
      <c r="W1171" s="16" t="str">
        <f>IFERROR(__xludf.DUMMYFUNCTION("IFERROR(GOOGLEFINANCE(A1171, ""volume"") / GOOGLEFINANCE(A1171, ""volumeavg""), )"),"")</f>
        <v/>
      </c>
      <c r="X1171" s="9">
        <f>IFERROR(__xludf.DUMMYFUNCTION("B1171 * GOOGLEFINANCE(A1171, ""volume"")"),1.4669630799999999E7)</f>
        <v>14669630.8</v>
      </c>
      <c r="Y1171" s="9">
        <f>IFERROR(__xludf.DUMMYFUNCTION("IFERROR(((B1171 - GOOGLEFINANCE(A1171, ""priceopen"")) / GOOGLEFINANCE(A1171, ""priceopen"")) * GOOGLEFINANCE(A1171, ""volume""), 0)"),-422.90157394011396)</f>
        <v>-422.9015739</v>
      </c>
    </row>
    <row r="1172">
      <c r="A1172" s="4" t="s">
        <v>2965</v>
      </c>
      <c r="B1172" s="7">
        <f>IFERROR(__xludf.DUMMYFUNCTION("GOOGLEFINANCE(A1172, ""price"")"),897.9)</f>
        <v>897.9</v>
      </c>
      <c r="C1172" s="7">
        <f>IFERROR(__xludf.DUMMYFUNCTION("GOOGLEFINANCE(A1172, ""changepct"")"),-0.23)</f>
        <v>-0.23</v>
      </c>
      <c r="D1172" s="9">
        <f>IFERROR(__xludf.DUMMYFUNCTION("GOOGLEFINANCE(A1172, ""priceopen"")"),900.0)</f>
        <v>900</v>
      </c>
      <c r="E1172" s="9">
        <f>IFERROR(__xludf.DUMMYFUNCTION("GOOGLEFINANCE(A1172, ""high"")"),904.45)</f>
        <v>904.45</v>
      </c>
      <c r="F1172" s="9">
        <f>IFERROR(__xludf.DUMMYFUNCTION("GOOGLEFINANCE(A1172, ""low"")"),890.0)</f>
        <v>890</v>
      </c>
      <c r="G1172" s="9">
        <f>IFERROR(__xludf.DUMMYFUNCTION("GOOGLEFINANCE(A1172, ""price"")"),897.9)</f>
        <v>897.9</v>
      </c>
      <c r="H1172" s="9">
        <f>IFERROR(__xludf.DUMMYFUNCTION("MAX(INDEX(GOOGLEFINANCE(A1172, ""high"", TODAY()-30, TODAY()), 0, 2))"),942.15)</f>
        <v>942.15</v>
      </c>
      <c r="I1172" s="9">
        <f>IFERROR(__xludf.DUMMYFUNCTION("MIN(INDEX(GOOGLEFINANCE(A1172, ""low"", TODAY()-30, TODAY()), 0, 2))"),886.05)</f>
        <v>886.05</v>
      </c>
      <c r="J1172" s="9">
        <f>IFERROR(__xludf.DUMMYFUNCTION("GOOGLEFINANCE(A1172, ""high52"")"),1328.8)</f>
        <v>1328.8</v>
      </c>
      <c r="K1172" s="9">
        <f>IFERROR(__xludf.DUMMYFUNCTION("GOOGLEFINANCE(A1172, ""low52"")"),666.05)</f>
        <v>666.05</v>
      </c>
      <c r="L1172" s="9">
        <f t="shared" si="1"/>
        <v>0.3242775436</v>
      </c>
      <c r="M1172" s="9">
        <f t="shared" si="2"/>
        <v>0.3480969897</v>
      </c>
      <c r="N1172" s="9">
        <f t="shared" si="3"/>
        <v>0.01623595506</v>
      </c>
      <c r="O1172" s="9">
        <f t="shared" si="4"/>
        <v>0.2112299465</v>
      </c>
      <c r="P1172" s="9">
        <f>IFERROR(__xludf.DUMMYFUNCTION("GOOGLEFINANCE(A1172, ""pe"")"),12.16)</f>
        <v>12.16</v>
      </c>
      <c r="Q1172" s="9">
        <f>IFERROR(__xludf.DUMMYFUNCTION("IFERROR(GOOGLEFINANCE(A1172, ""volume"") / GOOGLEFINANCE(A1172, ""volumeavg""), 0)"),0.0)</f>
        <v>0</v>
      </c>
      <c r="R1172" s="9">
        <f>IFERROR(__xludf.DUMMYFUNCTION("AVERAGE(INDEX(GOOGLEFINANCE(A1172, ""price"", TODAY()-30, TODAY()), 0, 2))"),905.4586956521737)</f>
        <v>905.4586957</v>
      </c>
      <c r="S1172" s="9">
        <f>IFERROR(__xludf.DUMMYFUNCTION("AVERAGE(INDEX(GOOGLEFINANCE(A1172, ""price"", TODAY()-75, TODAY()), 0, 2))"),916.522641509434)</f>
        <v>916.5226415</v>
      </c>
      <c r="T1172" s="9">
        <f>IFERROR(__xludf.DUMMYFUNCTION("AVERAGE(INDEX(GOOGLEFINANCE(A1172, ""price"", TODAY()-300, TODAY()), 0, 2))"),1005.2626865671641)</f>
        <v>1005.262687</v>
      </c>
      <c r="U1172" s="9">
        <f t="shared" si="5"/>
        <v>-0.008347918782</v>
      </c>
      <c r="V1172" s="15">
        <f>IFERROR(__xludf.DUMMYFUNCTION("LET(hist, GOOGLEFINANCE(A1172,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rs))))))"),42.69366197183105)</f>
        <v>42.69366197</v>
      </c>
      <c r="W1172" s="16" t="str">
        <f>IFERROR(__xludf.DUMMYFUNCTION("IFERROR(GOOGLEFINANCE(A1172, ""volume"") / GOOGLEFINANCE(A1172, ""volumeavg""), )"),"")</f>
        <v/>
      </c>
      <c r="X1172" s="9">
        <f>IFERROR(__xludf.DUMMYFUNCTION("B1172 * GOOGLEFINANCE(A1172, ""volume"")"),1.77398103E7)</f>
        <v>17739810.3</v>
      </c>
      <c r="Y1172" s="9">
        <f>IFERROR(__xludf.DUMMYFUNCTION("IFERROR(((B1172 - GOOGLEFINANCE(A1172, ""priceopen"")) / GOOGLEFINANCE(A1172, ""priceopen"")) * GOOGLEFINANCE(A1172, ""volume""), 0)"),-46.09966666666717)</f>
        <v>-46.09966667</v>
      </c>
    </row>
    <row r="1173">
      <c r="A1173" s="4" t="s">
        <v>2966</v>
      </c>
      <c r="B1173" s="7">
        <f>IFERROR(__xludf.DUMMYFUNCTION("GOOGLEFINANCE(A1173, ""price"")"),259.47)</f>
        <v>259.47</v>
      </c>
      <c r="C1173" s="7">
        <f>IFERROR(__xludf.DUMMYFUNCTION("GOOGLEFINANCE(A1173, ""changepct"")"),-5.0)</f>
        <v>-5</v>
      </c>
      <c r="D1173" s="9">
        <f>IFERROR(__xludf.DUMMYFUNCTION("GOOGLEFINANCE(A1173, ""priceopen"")"),259.47)</f>
        <v>259.47</v>
      </c>
      <c r="E1173" s="9">
        <f>IFERROR(__xludf.DUMMYFUNCTION("GOOGLEFINANCE(A1173, ""high"")"),259.47)</f>
        <v>259.47</v>
      </c>
      <c r="F1173" s="9">
        <f>IFERROR(__xludf.DUMMYFUNCTION("GOOGLEFINANCE(A1173, ""low"")"),259.47)</f>
        <v>259.47</v>
      </c>
      <c r="G1173" s="9">
        <f>IFERROR(__xludf.DUMMYFUNCTION("GOOGLEFINANCE(A1173, ""price"")"),259.47)</f>
        <v>259.47</v>
      </c>
      <c r="H1173" s="9">
        <f>IFERROR(__xludf.DUMMYFUNCTION("MAX(INDEX(GOOGLEFINANCE(A1173, ""high"", TODAY()-30, TODAY()), 0, 2))"),284.2)</f>
        <v>284.2</v>
      </c>
      <c r="I1173" s="9">
        <f>IFERROR(__xludf.DUMMYFUNCTION("MIN(INDEX(GOOGLEFINANCE(A1173, ""low"", TODAY()-30, TODAY()), 0, 2))"),117.51)</f>
        <v>117.51</v>
      </c>
      <c r="J1173" s="9">
        <f>IFERROR(__xludf.DUMMYFUNCTION("GOOGLEFINANCE(A1173, ""high52"")"),284.2)</f>
        <v>284.2</v>
      </c>
      <c r="K1173" s="9">
        <f>IFERROR(__xludf.DUMMYFUNCTION("GOOGLEFINANCE(A1173, ""low52"")"),92.32)</f>
        <v>92.32</v>
      </c>
      <c r="L1173" s="9">
        <f t="shared" si="1"/>
        <v>0.08701618578</v>
      </c>
      <c r="M1173" s="9">
        <f t="shared" si="2"/>
        <v>1.81055026</v>
      </c>
      <c r="N1173" s="9">
        <f t="shared" si="3"/>
        <v>0</v>
      </c>
      <c r="O1173" s="9">
        <f t="shared" si="4"/>
        <v>0.8516407703</v>
      </c>
      <c r="P1173" s="9">
        <f>IFERROR(__xludf.DUMMYFUNCTION("GOOGLEFINANCE(A1173, ""pe"")"),2225.49)</f>
        <v>2225.49</v>
      </c>
      <c r="Q1173" s="9">
        <f>IFERROR(__xludf.DUMMYFUNCTION("IFERROR(GOOGLEFINANCE(A1173, ""volume"") / GOOGLEFINANCE(A1173, ""volumeavg""), 0)"),0.0)</f>
        <v>0</v>
      </c>
      <c r="R1173" s="9">
        <f>IFERROR(__xludf.DUMMYFUNCTION("AVERAGE(INDEX(GOOGLEFINANCE(A1173, ""price"", TODAY()-30, TODAY()), 0, 2))"),165.46999999999997)</f>
        <v>165.47</v>
      </c>
      <c r="S1173" s="9">
        <f>IFERROR(__xludf.DUMMYFUNCTION("AVERAGE(INDEX(GOOGLEFINANCE(A1173, ""price"", TODAY()-75, TODAY()), 0, 2))"),148.62075471698114)</f>
        <v>148.6207547</v>
      </c>
      <c r="T1173" s="9">
        <f>IFERROR(__xludf.DUMMYFUNCTION("AVERAGE(INDEX(GOOGLEFINANCE(A1173, ""price"", TODAY()-300, TODAY()), 0, 2))"),152.22832214765094)</f>
        <v>152.2283221</v>
      </c>
      <c r="U1173" s="9">
        <f t="shared" si="5"/>
        <v>0.5680788058</v>
      </c>
      <c r="V1173" s="15">
        <f>IFERROR(__xludf.DUMMYFUNCTION("LET(hist, GOOGLEFINANCE(A1173,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rs))))))"),91.07405014974456)</f>
        <v>91.07405015</v>
      </c>
      <c r="W1173" s="16" t="str">
        <f>IFERROR(__xludf.DUMMYFUNCTION("IFERROR(GOOGLEFINANCE(A1173, ""volume"") / GOOGLEFINANCE(A1173, ""volumeavg""), )"),"")</f>
        <v/>
      </c>
      <c r="X1173" s="9">
        <f>IFERROR(__xludf.DUMMYFUNCTION("B1173 * GOOGLEFINANCE(A1173, ""volume"")"),3503363.9400000004)</f>
        <v>3503363.94</v>
      </c>
      <c r="Y1173" s="9">
        <f>IFERROR(__xludf.DUMMYFUNCTION("IFERROR(((B1173 - GOOGLEFINANCE(A1173, ""priceopen"")) / GOOGLEFINANCE(A1173, ""priceopen"")) * GOOGLEFINANCE(A1173, ""volume""), 0)"),0.0)</f>
        <v>0</v>
      </c>
    </row>
    <row r="1174">
      <c r="A1174" s="4" t="s">
        <v>2967</v>
      </c>
      <c r="B1174" s="7">
        <f>IFERROR(__xludf.DUMMYFUNCTION("GOOGLEFINANCE(A1174, ""price"")"),149.1)</f>
        <v>149.1</v>
      </c>
      <c r="C1174" s="7">
        <f>IFERROR(__xludf.DUMMYFUNCTION("GOOGLEFINANCE(A1174, ""changepct"")"),-2.06)</f>
        <v>-2.06</v>
      </c>
      <c r="D1174" s="9">
        <f>IFERROR(__xludf.DUMMYFUNCTION("GOOGLEFINANCE(A1174, ""priceopen"")"),154.49)</f>
        <v>154.49</v>
      </c>
      <c r="E1174" s="9">
        <f>IFERROR(__xludf.DUMMYFUNCTION("GOOGLEFINANCE(A1174, ""high"")"),154.49)</f>
        <v>154.49</v>
      </c>
      <c r="F1174" s="9">
        <f>IFERROR(__xludf.DUMMYFUNCTION("GOOGLEFINANCE(A1174, ""low"")"),147.42)</f>
        <v>147.42</v>
      </c>
      <c r="G1174" s="9">
        <f>IFERROR(__xludf.DUMMYFUNCTION("GOOGLEFINANCE(A1174, ""price"")"),149.1)</f>
        <v>149.1</v>
      </c>
      <c r="H1174" s="9">
        <f>IFERROR(__xludf.DUMMYFUNCTION("MAX(INDEX(GOOGLEFINANCE(A1174, ""high"", TODAY()-30, TODAY()), 0, 2))"),190.95)</f>
        <v>190.95</v>
      </c>
      <c r="I1174" s="9">
        <f>IFERROR(__xludf.DUMMYFUNCTION("MIN(INDEX(GOOGLEFINANCE(A1174, ""low"", TODAY()-30, TODAY()), 0, 2))"),146.52)</f>
        <v>146.52</v>
      </c>
      <c r="J1174" s="9">
        <f>IFERROR(__xludf.DUMMYFUNCTION("GOOGLEFINANCE(A1174, ""high52"")"),219.7)</f>
        <v>219.7</v>
      </c>
      <c r="K1174" s="9">
        <f>IFERROR(__xludf.DUMMYFUNCTION("GOOGLEFINANCE(A1174, ""low52"")"),115.52)</f>
        <v>115.52</v>
      </c>
      <c r="L1174" s="9">
        <f t="shared" si="1"/>
        <v>0.3213472918</v>
      </c>
      <c r="M1174" s="9">
        <f t="shared" si="2"/>
        <v>0.2906855956</v>
      </c>
      <c r="N1174" s="9">
        <f t="shared" si="3"/>
        <v>0.04795821462</v>
      </c>
      <c r="O1174" s="9">
        <f t="shared" si="4"/>
        <v>0.05806887238</v>
      </c>
      <c r="P1174" s="9">
        <f>IFERROR(__xludf.DUMMYFUNCTION("GOOGLEFINANCE(A1174, ""pe"")"),8.83)</f>
        <v>8.83</v>
      </c>
      <c r="Q1174" s="9">
        <f>IFERROR(__xludf.DUMMYFUNCTION("IFERROR(GOOGLEFINANCE(A1174, ""volume"") / GOOGLEFINANCE(A1174, ""volumeavg""), 0)"),0.0)</f>
        <v>0</v>
      </c>
      <c r="R1174" s="9">
        <f>IFERROR(__xludf.DUMMYFUNCTION("AVERAGE(INDEX(GOOGLEFINANCE(A1174, ""price"", TODAY()-30, TODAY()), 0, 2))"),163.3417391304348)</f>
        <v>163.3417391</v>
      </c>
      <c r="S1174" s="9">
        <f>IFERROR(__xludf.DUMMYFUNCTION("AVERAGE(INDEX(GOOGLEFINANCE(A1174, ""price"", TODAY()-75, TODAY()), 0, 2))"),170.8928301886792)</f>
        <v>170.8928302</v>
      </c>
      <c r="T1174" s="9">
        <f>IFERROR(__xludf.DUMMYFUNCTION("AVERAGE(INDEX(GOOGLEFINANCE(A1174, ""price"", TODAY()-300, TODAY()), 0, 2))"),167.80164705882356)</f>
        <v>167.8016471</v>
      </c>
      <c r="U1174" s="9">
        <f t="shared" si="5"/>
        <v>-0.08718983406</v>
      </c>
      <c r="V1174" s="15">
        <f>IFERROR(__xludf.DUMMYFUNCTION("LET(hist, GOOGLEFINANCE(A1174,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rs))))))"),35.19855595667873)</f>
        <v>35.19855596</v>
      </c>
      <c r="W1174" s="16" t="str">
        <f>IFERROR(__xludf.DUMMYFUNCTION("IFERROR(GOOGLEFINANCE(A1174, ""volume"") / GOOGLEFINANCE(A1174, ""volumeavg""), )"),"")</f>
        <v/>
      </c>
      <c r="X1174" s="9">
        <f>IFERROR(__xludf.DUMMYFUNCTION("B1174 * GOOGLEFINANCE(A1174, ""volume"")"),3.44188404E7)</f>
        <v>34418840.4</v>
      </c>
      <c r="Y1174" s="9">
        <f>IFERROR(__xludf.DUMMYFUNCTION("IFERROR(((B1174 - GOOGLEFINANCE(A1174, ""priceopen"")) / GOOGLEFINANCE(A1174, ""priceopen"")) * GOOGLEFINANCE(A1174, ""volume""), 0)"),-8053.913910285477)</f>
        <v>-8053.91391</v>
      </c>
    </row>
    <row r="1175">
      <c r="A1175" s="4" t="s">
        <v>2968</v>
      </c>
      <c r="B1175" s="7">
        <f>IFERROR(__xludf.DUMMYFUNCTION("GOOGLEFINANCE(A1175, ""price"")"),189.0)</f>
        <v>189</v>
      </c>
      <c r="C1175" s="7">
        <f>IFERROR(__xludf.DUMMYFUNCTION("GOOGLEFINANCE(A1175, ""changepct"")"),-0.94)</f>
        <v>-0.94</v>
      </c>
      <c r="D1175" s="9">
        <f>IFERROR(__xludf.DUMMYFUNCTION("GOOGLEFINANCE(A1175, ""priceopen"")"),191.7)</f>
        <v>191.7</v>
      </c>
      <c r="E1175" s="9">
        <f>IFERROR(__xludf.DUMMYFUNCTION("GOOGLEFINANCE(A1175, ""high"")"),192.0)</f>
        <v>192</v>
      </c>
      <c r="F1175" s="9">
        <f>IFERROR(__xludf.DUMMYFUNCTION("GOOGLEFINANCE(A1175, ""low"")"),187.25)</f>
        <v>187.25</v>
      </c>
      <c r="G1175" s="9">
        <f>IFERROR(__xludf.DUMMYFUNCTION("GOOGLEFINANCE(A1175, ""price"")"),189.0)</f>
        <v>189</v>
      </c>
      <c r="H1175" s="9">
        <f>IFERROR(__xludf.DUMMYFUNCTION("MAX(INDEX(GOOGLEFINANCE(A1175, ""high"", TODAY()-30, TODAY()), 0, 2))"),210.0)</f>
        <v>210</v>
      </c>
      <c r="I1175" s="9">
        <f>IFERROR(__xludf.DUMMYFUNCTION("MIN(INDEX(GOOGLEFINANCE(A1175, ""low"", TODAY()-30, TODAY()), 0, 2))"),177.0)</f>
        <v>177</v>
      </c>
      <c r="J1175" s="9">
        <f>IFERROR(__xludf.DUMMYFUNCTION("GOOGLEFINANCE(A1175, ""high52"")"),266.4)</f>
        <v>266.4</v>
      </c>
      <c r="K1175" s="9">
        <f>IFERROR(__xludf.DUMMYFUNCTION("GOOGLEFINANCE(A1175, ""low52"")"),162.1)</f>
        <v>162.1</v>
      </c>
      <c r="L1175" s="9">
        <f t="shared" si="1"/>
        <v>0.2905405405</v>
      </c>
      <c r="M1175" s="9">
        <f t="shared" si="2"/>
        <v>0.1659469463</v>
      </c>
      <c r="N1175" s="9">
        <f t="shared" si="3"/>
        <v>0.02536715621</v>
      </c>
      <c r="O1175" s="9">
        <f t="shared" si="4"/>
        <v>0.3636363636</v>
      </c>
      <c r="P1175" s="9">
        <f>IFERROR(__xludf.DUMMYFUNCTION("GOOGLEFINANCE(A1175, ""pe"")"),22.73)</f>
        <v>22.73</v>
      </c>
      <c r="Q1175" s="9">
        <f>IFERROR(__xludf.DUMMYFUNCTION("IFERROR(GOOGLEFINANCE(A1175, ""volume"") / GOOGLEFINANCE(A1175, ""volumeavg""), 0)"),0.0)</f>
        <v>0</v>
      </c>
      <c r="R1175" s="9">
        <f>IFERROR(__xludf.DUMMYFUNCTION("AVERAGE(INDEX(GOOGLEFINANCE(A1175, ""price"", TODAY()-30, TODAY()), 0, 2))"),188.13652173913042)</f>
        <v>188.1365217</v>
      </c>
      <c r="S1175" s="9">
        <f>IFERROR(__xludf.DUMMYFUNCTION("AVERAGE(INDEX(GOOGLEFINANCE(A1175, ""price"", TODAY()-75, TODAY()), 0, 2))"),182.64150943396226)</f>
        <v>182.6415094</v>
      </c>
      <c r="T1175" s="9">
        <f>IFERROR(__xludf.DUMMYFUNCTION("AVERAGE(INDEX(GOOGLEFINANCE(A1175, ""price"", TODAY()-300, TODAY()), 0, 2))"),194.32587064676616)</f>
        <v>194.3258706</v>
      </c>
      <c r="U1175" s="9">
        <f t="shared" si="5"/>
        <v>0.004589636573</v>
      </c>
      <c r="V1175" s="15">
        <f>IFERROR(__xludf.DUMMYFUNCTION("LET(hist, GOOGLEFINANCE(A1175,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rs))))))"),53.3702947184126)</f>
        <v>53.37029472</v>
      </c>
      <c r="W1175" s="16" t="str">
        <f>IFERROR(__xludf.DUMMYFUNCTION("IFERROR(GOOGLEFINANCE(A1175, ""volume"") / GOOGLEFINANCE(A1175, ""volumeavg""), )"),"")</f>
        <v/>
      </c>
      <c r="X1175" s="9">
        <f>IFERROR(__xludf.DUMMYFUNCTION("B1175 * GOOGLEFINANCE(A1175, ""volume"")"),4.0116195E7)</f>
        <v>40116195</v>
      </c>
      <c r="Y1175" s="9">
        <f>IFERROR(__xludf.DUMMYFUNCTION("IFERROR(((B1175 - GOOGLEFINANCE(A1175, ""priceopen"")) / GOOGLEFINANCE(A1175, ""priceopen"")) * GOOGLEFINANCE(A1175, ""volume""), 0)"),-2989.5070422535086)</f>
        <v>-2989.507042</v>
      </c>
    </row>
    <row r="1176">
      <c r="A1176" s="4" t="s">
        <v>2969</v>
      </c>
      <c r="B1176" s="7">
        <f>IFERROR(__xludf.DUMMYFUNCTION("GOOGLEFINANCE(A1176, ""price"")"),193.0)</f>
        <v>193</v>
      </c>
      <c r="C1176" s="7">
        <f>IFERROR(__xludf.DUMMYFUNCTION("GOOGLEFINANCE(A1176, ""changepct"")"),2.08)</f>
        <v>2.08</v>
      </c>
      <c r="D1176" s="9">
        <f>IFERROR(__xludf.DUMMYFUNCTION("GOOGLEFINANCE(A1176, ""priceopen"")"),191.99)</f>
        <v>191.99</v>
      </c>
      <c r="E1176" s="9">
        <f>IFERROR(__xludf.DUMMYFUNCTION("GOOGLEFINANCE(A1176, ""high"")"),198.0)</f>
        <v>198</v>
      </c>
      <c r="F1176" s="9">
        <f>IFERROR(__xludf.DUMMYFUNCTION("GOOGLEFINANCE(A1176, ""low"")"),187.22)</f>
        <v>187.22</v>
      </c>
      <c r="G1176" s="9">
        <f>IFERROR(__xludf.DUMMYFUNCTION("GOOGLEFINANCE(A1176, ""price"")"),193.0)</f>
        <v>193</v>
      </c>
      <c r="H1176" s="9">
        <f>IFERROR(__xludf.DUMMYFUNCTION("MAX(INDEX(GOOGLEFINANCE(A1176, ""high"", TODAY()-30, TODAY()), 0, 2))"),199.88)</f>
        <v>199.88</v>
      </c>
      <c r="I1176" s="9">
        <f>IFERROR(__xludf.DUMMYFUNCTION("MIN(INDEX(GOOGLEFINANCE(A1176, ""low"", TODAY()-30, TODAY()), 0, 2))"),173.5)</f>
        <v>173.5</v>
      </c>
      <c r="J1176" s="9">
        <f>IFERROR(__xludf.DUMMYFUNCTION("GOOGLEFINANCE(A1176, ""high52"")"),226.69)</f>
        <v>226.69</v>
      </c>
      <c r="K1176" s="9">
        <f>IFERROR(__xludf.DUMMYFUNCTION("GOOGLEFINANCE(A1176, ""low52"")"),135.1)</f>
        <v>135.1</v>
      </c>
      <c r="L1176" s="9">
        <f t="shared" si="1"/>
        <v>0.1486170541</v>
      </c>
      <c r="M1176" s="9">
        <f t="shared" si="2"/>
        <v>0.4285714286</v>
      </c>
      <c r="N1176" s="9">
        <f t="shared" si="3"/>
        <v>0.05757931845</v>
      </c>
      <c r="O1176" s="9">
        <f t="shared" si="4"/>
        <v>0.7391963609</v>
      </c>
      <c r="P1176" s="9">
        <f>IFERROR(__xludf.DUMMYFUNCTION("GOOGLEFINANCE(A1176, ""pe"")"),110.66)</f>
        <v>110.66</v>
      </c>
      <c r="Q1176" s="9">
        <f>IFERROR(__xludf.DUMMYFUNCTION("IFERROR(GOOGLEFINANCE(A1176, ""volume"") / GOOGLEFINANCE(A1176, ""volumeavg""), 0)"),0.0)</f>
        <v>0</v>
      </c>
      <c r="R1176" s="9">
        <f>IFERROR(__xludf.DUMMYFUNCTION("AVERAGE(INDEX(GOOGLEFINANCE(A1176, ""price"", TODAY()-30, TODAY()), 0, 2))"),182.41043478260872)</f>
        <v>182.4104348</v>
      </c>
      <c r="S1176" s="9">
        <f>IFERROR(__xludf.DUMMYFUNCTION("AVERAGE(INDEX(GOOGLEFINANCE(A1176, ""price"", TODAY()-75, TODAY()), 0, 2))"),190.11188679245282)</f>
        <v>190.1118868</v>
      </c>
      <c r="T1176" s="9">
        <f>IFERROR(__xludf.DUMMYFUNCTION("AVERAGE(INDEX(GOOGLEFINANCE(A1176, ""price"", TODAY()-300, TODAY()), 0, 2))"),175.99237623762383)</f>
        <v>175.9923762</v>
      </c>
      <c r="U1176" s="9">
        <f t="shared" si="5"/>
        <v>0.05805350571</v>
      </c>
      <c r="V1176" s="15">
        <f>IFERROR(__xludf.DUMMYFUNCTION("LET(hist, GOOGLEFINANCE(A1176,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rs))))))"),69.35346055254911)</f>
        <v>69.35346055</v>
      </c>
      <c r="W1176" s="16" t="str">
        <f>IFERROR(__xludf.DUMMYFUNCTION("IFERROR(GOOGLEFINANCE(A1176, ""volume"") / GOOGLEFINANCE(A1176, ""volumeavg""), )"),"")</f>
        <v/>
      </c>
      <c r="X1176" s="9">
        <f>IFERROR(__xludf.DUMMYFUNCTION("B1176 * GOOGLEFINANCE(A1176, ""volume"")"),1.1767596E8)</f>
        <v>117675960</v>
      </c>
      <c r="Y1176" s="9">
        <f>IFERROR(__xludf.DUMMYFUNCTION("IFERROR(((B1176 - GOOGLEFINANCE(A1176, ""priceopen"")) / GOOGLEFINANCE(A1176, ""priceopen"")) * GOOGLEFINANCE(A1176, ""volume""), 0)"),3207.5483098077734)</f>
        <v>3207.54831</v>
      </c>
    </row>
    <row r="1177">
      <c r="A1177" s="4" t="s">
        <v>2970</v>
      </c>
      <c r="B1177" s="7">
        <f>IFERROR(__xludf.DUMMYFUNCTION("GOOGLEFINANCE(A1177, ""price"")"),136.0)</f>
        <v>136</v>
      </c>
      <c r="C1177" s="7">
        <f>IFERROR(__xludf.DUMMYFUNCTION("GOOGLEFINANCE(A1177, ""changepct"")"),-3.28)</f>
        <v>-3.28</v>
      </c>
      <c r="D1177" s="9">
        <f>IFERROR(__xludf.DUMMYFUNCTION("GOOGLEFINANCE(A1177, ""priceopen"")"),140.01)</f>
        <v>140.01</v>
      </c>
      <c r="E1177" s="9">
        <f>IFERROR(__xludf.DUMMYFUNCTION("GOOGLEFINANCE(A1177, ""high"")"),143.8)</f>
        <v>143.8</v>
      </c>
      <c r="F1177" s="9">
        <f>IFERROR(__xludf.DUMMYFUNCTION("GOOGLEFINANCE(A1177, ""low"")"),134.39)</f>
        <v>134.39</v>
      </c>
      <c r="G1177" s="9">
        <f>IFERROR(__xludf.DUMMYFUNCTION("GOOGLEFINANCE(A1177, ""price"")"),136.0)</f>
        <v>136</v>
      </c>
      <c r="H1177" s="9">
        <f>IFERROR(__xludf.DUMMYFUNCTION("MAX(INDEX(GOOGLEFINANCE(A1177, ""high"", TODAY()-30, TODAY()), 0, 2))"),148.49)</f>
        <v>148.49</v>
      </c>
      <c r="I1177" s="9">
        <f>IFERROR(__xludf.DUMMYFUNCTION("MIN(INDEX(GOOGLEFINANCE(A1177, ""low"", TODAY()-30, TODAY()), 0, 2))"),131.25)</f>
        <v>131.25</v>
      </c>
      <c r="J1177" s="9">
        <f>IFERROR(__xludf.DUMMYFUNCTION("GOOGLEFINANCE(A1177, ""high52"")"),154.25)</f>
        <v>154.25</v>
      </c>
      <c r="K1177" s="9">
        <f>IFERROR(__xludf.DUMMYFUNCTION("GOOGLEFINANCE(A1177, ""low52"")"),114.31)</f>
        <v>114.31</v>
      </c>
      <c r="L1177" s="9">
        <f t="shared" si="1"/>
        <v>0.1183144246</v>
      </c>
      <c r="M1177" s="9">
        <f t="shared" si="2"/>
        <v>0.1897471787</v>
      </c>
      <c r="N1177" s="9">
        <f t="shared" si="3"/>
        <v>0.07002009078</v>
      </c>
      <c r="O1177" s="9">
        <f t="shared" si="4"/>
        <v>0.2755220418</v>
      </c>
      <c r="P1177" s="9">
        <f>IFERROR(__xludf.DUMMYFUNCTION("GOOGLEFINANCE(A1177, ""pe"")"),3.25)</f>
        <v>3.25</v>
      </c>
      <c r="Q1177" s="9">
        <f>IFERROR(__xludf.DUMMYFUNCTION("IFERROR(GOOGLEFINANCE(A1177, ""volume"") / GOOGLEFINANCE(A1177, ""volumeavg""), 0)"),0.0)</f>
        <v>0</v>
      </c>
      <c r="R1177" s="9">
        <f>IFERROR(__xludf.DUMMYFUNCTION("AVERAGE(INDEX(GOOGLEFINANCE(A1177, ""price"", TODAY()-30, TODAY()), 0, 2))"),141.19826086956522)</f>
        <v>141.1982609</v>
      </c>
      <c r="S1177" s="9">
        <f>IFERROR(__xludf.DUMMYFUNCTION("AVERAGE(INDEX(GOOGLEFINANCE(A1177, ""price"", TODAY()-75, TODAY()), 0, 2))"),137.76150943396226)</f>
        <v>137.7615094</v>
      </c>
      <c r="T1177" s="9">
        <f>IFERROR(__xludf.DUMMYFUNCTION("AVERAGE(INDEX(GOOGLEFINANCE(A1177, ""price"", TODAY()-300, TODAY()), 0, 2))"),133.58158415841592)</f>
        <v>133.5815842</v>
      </c>
      <c r="U1177" s="9">
        <f t="shared" si="5"/>
        <v>-0.03681533213</v>
      </c>
      <c r="V1177" s="15">
        <f>IFERROR(__xludf.DUMMYFUNCTION("LET(hist, GOOGLEFINANCE(A1177,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rs))))))"),41.94938072159393)</f>
        <v>41.94938072</v>
      </c>
      <c r="W1177" s="16" t="str">
        <f>IFERROR(__xludf.DUMMYFUNCTION("IFERROR(GOOGLEFINANCE(A1177, ""volume"") / GOOGLEFINANCE(A1177, ""volumeavg""), )"),"")</f>
        <v/>
      </c>
      <c r="X1177" s="9">
        <f>IFERROR(__xludf.DUMMYFUNCTION("B1177 * GOOGLEFINANCE(A1177, ""volume"")"),2.31447656E8)</f>
        <v>231447656</v>
      </c>
      <c r="Y1177" s="9">
        <f>IFERROR(__xludf.DUMMYFUNCTION("IFERROR(((B1177 - GOOGLEFINANCE(A1177, ""priceopen"")) / GOOGLEFINANCE(A1177, ""priceopen"")) * GOOGLEFINANCE(A1177, ""volume""), 0)"),-48741.53424755364)</f>
        <v>-48741.53425</v>
      </c>
    </row>
    <row r="1178">
      <c r="A1178" s="4" t="s">
        <v>2971</v>
      </c>
      <c r="B1178" s="7">
        <f>IFERROR(__xludf.DUMMYFUNCTION("GOOGLEFINANCE(A1178, ""price"")"),2006.6)</f>
        <v>2006.6</v>
      </c>
      <c r="C1178" s="7">
        <f>IFERROR(__xludf.DUMMYFUNCTION("GOOGLEFINANCE(A1178, ""changepct"")"),0.19)</f>
        <v>0.19</v>
      </c>
      <c r="D1178" s="9">
        <f>IFERROR(__xludf.DUMMYFUNCTION("GOOGLEFINANCE(A1178, ""priceopen"")"),2010.0)</f>
        <v>2010</v>
      </c>
      <c r="E1178" s="9">
        <f>IFERROR(__xludf.DUMMYFUNCTION("GOOGLEFINANCE(A1178, ""high"")"),2073.9)</f>
        <v>2073.9</v>
      </c>
      <c r="F1178" s="9">
        <f>IFERROR(__xludf.DUMMYFUNCTION("GOOGLEFINANCE(A1178, ""low"")"),1954.2)</f>
        <v>1954.2</v>
      </c>
      <c r="G1178" s="9">
        <f>IFERROR(__xludf.DUMMYFUNCTION("GOOGLEFINANCE(A1178, ""price"")"),2006.6)</f>
        <v>2006.6</v>
      </c>
      <c r="H1178" s="9">
        <f>IFERROR(__xludf.DUMMYFUNCTION("MAX(INDEX(GOOGLEFINANCE(A1178, ""high"", TODAY()-30, TODAY()), 0, 2))"),2090.0)</f>
        <v>2090</v>
      </c>
      <c r="I1178" s="9">
        <f>IFERROR(__xludf.DUMMYFUNCTION("MIN(INDEX(GOOGLEFINANCE(A1178, ""low"", TODAY()-30, TODAY()), 0, 2))"),1780.0)</f>
        <v>1780</v>
      </c>
      <c r="J1178" s="9">
        <f>IFERROR(__xludf.DUMMYFUNCTION("GOOGLEFINANCE(A1178, ""high52"")"),2090.0)</f>
        <v>2090</v>
      </c>
      <c r="K1178" s="9">
        <f>IFERROR(__xludf.DUMMYFUNCTION("GOOGLEFINANCE(A1178, ""low52"")"),1270.0)</f>
        <v>1270</v>
      </c>
      <c r="L1178" s="9">
        <f t="shared" si="1"/>
        <v>0.03990430622</v>
      </c>
      <c r="M1178" s="9">
        <f t="shared" si="2"/>
        <v>0.58</v>
      </c>
      <c r="N1178" s="9">
        <f t="shared" si="3"/>
        <v>0.06125268652</v>
      </c>
      <c r="O1178" s="9">
        <f t="shared" si="4"/>
        <v>0.7309677419</v>
      </c>
      <c r="P1178" s="9">
        <f>IFERROR(__xludf.DUMMYFUNCTION("GOOGLEFINANCE(A1178, ""pe"")"),37.46)</f>
        <v>37.46</v>
      </c>
      <c r="Q1178" s="9">
        <f>IFERROR(__xludf.DUMMYFUNCTION("IFERROR(GOOGLEFINANCE(A1178, ""volume"") / GOOGLEFINANCE(A1178, ""volumeavg""), 0)"),0.0)</f>
        <v>0</v>
      </c>
      <c r="R1178" s="9">
        <f>IFERROR(__xludf.DUMMYFUNCTION("AVERAGE(INDEX(GOOGLEFINANCE(A1178, ""price"", TODAY()-30, TODAY()), 0, 2))"),1970.6043478260874)</f>
        <v>1970.604348</v>
      </c>
      <c r="S1178" s="9">
        <f>IFERROR(__xludf.DUMMYFUNCTION("AVERAGE(INDEX(GOOGLEFINANCE(A1178, ""price"", TODAY()-75, TODAY()), 0, 2))"),1795.58679245283)</f>
        <v>1795.586792</v>
      </c>
      <c r="T1178" s="9">
        <f>IFERROR(__xludf.DUMMYFUNCTION("AVERAGE(INDEX(GOOGLEFINANCE(A1178, ""price"", TODAY()-300, TODAY()), 0, 2))"),1637.4425742574253)</f>
        <v>1637.442574</v>
      </c>
      <c r="U1178" s="9">
        <f t="shared" si="5"/>
        <v>0.018266301</v>
      </c>
      <c r="V1178" s="15">
        <f>IFERROR(__xludf.DUMMYFUNCTION("LET(hist, GOOGLEFINANCE(A1178,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rs))))))"),59.916005599626686)</f>
        <v>59.9160056</v>
      </c>
      <c r="W1178" s="16" t="str">
        <f>IFERROR(__xludf.DUMMYFUNCTION("IFERROR(GOOGLEFINANCE(A1178, ""volume"") / GOOGLEFINANCE(A1178, ""volumeavg""), )"),"")</f>
        <v/>
      </c>
      <c r="X1178" s="9">
        <f>IFERROR(__xludf.DUMMYFUNCTION("B1178 * GOOGLEFINANCE(A1178, ""volume"")"),1.0872561439999999E8)</f>
        <v>108725614.4</v>
      </c>
      <c r="Y1178" s="9">
        <f>IFERROR(__xludf.DUMMYFUNCTION("IFERROR(((B1178 - GOOGLEFINANCE(A1178, ""priceopen"")) / GOOGLEFINANCE(A1178, ""priceopen"")) * GOOGLEFINANCE(A1178, ""volume""), 0)"),-91.65452736318653)</f>
        <v>-91.65452736</v>
      </c>
    </row>
    <row r="1179">
      <c r="A1179" s="4" t="s">
        <v>2972</v>
      </c>
      <c r="B1179" s="7">
        <f>IFERROR(__xludf.DUMMYFUNCTION("GOOGLEFINANCE(A1179, ""price"")"),112.99)</f>
        <v>112.99</v>
      </c>
      <c r="C1179" s="7">
        <f>IFERROR(__xludf.DUMMYFUNCTION("GOOGLEFINANCE(A1179, ""changepct"")"),0.99)</f>
        <v>0.99</v>
      </c>
      <c r="D1179" s="9">
        <f>IFERROR(__xludf.DUMMYFUNCTION("GOOGLEFINANCE(A1179, ""priceopen"")"),112.0)</f>
        <v>112</v>
      </c>
      <c r="E1179" s="9">
        <f>IFERROR(__xludf.DUMMYFUNCTION("GOOGLEFINANCE(A1179, ""high"")"),113.49)</f>
        <v>113.49</v>
      </c>
      <c r="F1179" s="9">
        <f>IFERROR(__xludf.DUMMYFUNCTION("GOOGLEFINANCE(A1179, ""low"")"),110.05)</f>
        <v>110.05</v>
      </c>
      <c r="G1179" s="9">
        <f>IFERROR(__xludf.DUMMYFUNCTION("GOOGLEFINANCE(A1179, ""price"")"),112.99)</f>
        <v>112.99</v>
      </c>
      <c r="H1179" s="9">
        <f>IFERROR(__xludf.DUMMYFUNCTION("MAX(INDEX(GOOGLEFINANCE(A1179, ""high"", TODAY()-30, TODAY()), 0, 2))"),123.99)</f>
        <v>123.99</v>
      </c>
      <c r="I1179" s="9">
        <f>IFERROR(__xludf.DUMMYFUNCTION("MIN(INDEX(GOOGLEFINANCE(A1179, ""low"", TODAY()-30, TODAY()), 0, 2))"),103.15)</f>
        <v>103.15</v>
      </c>
      <c r="J1179" s="9">
        <f>IFERROR(__xludf.DUMMYFUNCTION("GOOGLEFINANCE(A1179, ""high52"")"),137.49)</f>
        <v>137.49</v>
      </c>
      <c r="K1179" s="9">
        <f>IFERROR(__xludf.DUMMYFUNCTION("GOOGLEFINANCE(A1179, ""low52"")"),74.3)</f>
        <v>74.3</v>
      </c>
      <c r="L1179" s="9">
        <f t="shared" si="1"/>
        <v>0.1781947778</v>
      </c>
      <c r="M1179" s="9">
        <f t="shared" si="2"/>
        <v>0.5207267833</v>
      </c>
      <c r="N1179" s="9">
        <f t="shared" si="3"/>
        <v>0.03125851886</v>
      </c>
      <c r="O1179" s="9">
        <f t="shared" si="4"/>
        <v>0.472168906</v>
      </c>
      <c r="P1179" s="9">
        <f>IFERROR(__xludf.DUMMYFUNCTION("GOOGLEFINANCE(A1179, ""pe"")"),59.78)</f>
        <v>59.78</v>
      </c>
      <c r="Q1179" s="9">
        <f>IFERROR(__xludf.DUMMYFUNCTION("IFERROR(GOOGLEFINANCE(A1179, ""volume"") / GOOGLEFINANCE(A1179, ""volumeavg""), 0)"),0.0)</f>
        <v>0</v>
      </c>
      <c r="R1179" s="9">
        <f>IFERROR(__xludf.DUMMYFUNCTION("AVERAGE(INDEX(GOOGLEFINANCE(A1179, ""price"", TODAY()-30, TODAY()), 0, 2))"),111.62869565217392)</f>
        <v>111.6286957</v>
      </c>
      <c r="S1179" s="9">
        <f>IFERROR(__xludf.DUMMYFUNCTION("AVERAGE(INDEX(GOOGLEFINANCE(A1179, ""price"", TODAY()-75, TODAY()), 0, 2))"),114.87792452830186)</f>
        <v>114.8779245</v>
      </c>
      <c r="T1179" s="9">
        <f>IFERROR(__xludf.DUMMYFUNCTION("AVERAGE(INDEX(GOOGLEFINANCE(A1179, ""price"", TODAY()-300, TODAY()), 0, 2))"),97.28886138613866)</f>
        <v>97.28886139</v>
      </c>
      <c r="U1179" s="9">
        <f t="shared" si="5"/>
        <v>0.01219493196</v>
      </c>
      <c r="V1179" s="15">
        <f>IFERROR(__xludf.DUMMYFUNCTION("LET(hist, GOOGLEFINANCE(A1179,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rs))))))"),60.49947238832219)</f>
        <v>60.49947239</v>
      </c>
      <c r="W1179" s="16" t="str">
        <f>IFERROR(__xludf.DUMMYFUNCTION("IFERROR(GOOGLEFINANCE(A1179, ""volume"") / GOOGLEFINANCE(A1179, ""volumeavg""), )"),"")</f>
        <v/>
      </c>
      <c r="X1179" s="9">
        <f>IFERROR(__xludf.DUMMYFUNCTION("B1179 * GOOGLEFINANCE(A1179, ""volume"")"),1.4773894459999999E7)</f>
        <v>14773894.46</v>
      </c>
      <c r="Y1179" s="9">
        <f>IFERROR(__xludf.DUMMYFUNCTION("IFERROR(((B1179 - GOOGLEFINANCE(A1179, ""priceopen"")) / GOOGLEFINANCE(A1179, ""priceopen"")) * GOOGLEFINANCE(A1179, ""volume""), 0)"),1155.7719642857085)</f>
        <v>1155.771964</v>
      </c>
    </row>
    <row r="1180">
      <c r="A1180" s="4" t="s">
        <v>2973</v>
      </c>
      <c r="B1180" s="7">
        <f>IFERROR(__xludf.DUMMYFUNCTION("GOOGLEFINANCE(A1180, ""price"")"),220.0)</f>
        <v>220</v>
      </c>
      <c r="C1180" s="7">
        <f>IFERROR(__xludf.DUMMYFUNCTION("GOOGLEFINANCE(A1180, ""changepct"")"),1.6)</f>
        <v>1.6</v>
      </c>
      <c r="D1180" s="9">
        <f>IFERROR(__xludf.DUMMYFUNCTION("GOOGLEFINANCE(A1180, ""priceopen"")"),217.81)</f>
        <v>217.81</v>
      </c>
      <c r="E1180" s="9">
        <f>IFERROR(__xludf.DUMMYFUNCTION("GOOGLEFINANCE(A1180, ""high"")"),221.06)</f>
        <v>221.06</v>
      </c>
      <c r="F1180" s="9">
        <f>IFERROR(__xludf.DUMMYFUNCTION("GOOGLEFINANCE(A1180, ""low"")"),216.0)</f>
        <v>216</v>
      </c>
      <c r="G1180" s="9">
        <f>IFERROR(__xludf.DUMMYFUNCTION("GOOGLEFINANCE(A1180, ""price"")"),220.0)</f>
        <v>220</v>
      </c>
      <c r="H1180" s="9">
        <f>IFERROR(__xludf.DUMMYFUNCTION("MAX(INDEX(GOOGLEFINANCE(A1180, ""high"", TODAY()-30, TODAY()), 0, 2))"),268.0)</f>
        <v>268</v>
      </c>
      <c r="I1180" s="9">
        <f>IFERROR(__xludf.DUMMYFUNCTION("MIN(INDEX(GOOGLEFINANCE(A1180, ""low"", TODAY()-30, TODAY()), 0, 2))"),214.06)</f>
        <v>214.06</v>
      </c>
      <c r="J1180" s="9">
        <f>IFERROR(__xludf.DUMMYFUNCTION("GOOGLEFINANCE(A1180, ""high52"")"),332.2)</f>
        <v>332.2</v>
      </c>
      <c r="K1180" s="9">
        <f>IFERROR(__xludf.DUMMYFUNCTION("GOOGLEFINANCE(A1180, ""low52"")"),162.19)</f>
        <v>162.19</v>
      </c>
      <c r="L1180" s="9">
        <f t="shared" si="1"/>
        <v>0.3377483444</v>
      </c>
      <c r="M1180" s="9">
        <f t="shared" si="2"/>
        <v>0.3564338122</v>
      </c>
      <c r="N1180" s="9">
        <f t="shared" si="3"/>
        <v>0.02342592593</v>
      </c>
      <c r="O1180" s="9">
        <f t="shared" si="4"/>
        <v>0.1101223582</v>
      </c>
      <c r="P1180" s="9">
        <f>IFERROR(__xludf.DUMMYFUNCTION("GOOGLEFINANCE(A1180, ""pe"")"),687.5)</f>
        <v>687.5</v>
      </c>
      <c r="Q1180" s="9">
        <f>IFERROR(__xludf.DUMMYFUNCTION("IFERROR(GOOGLEFINANCE(A1180, ""volume"") / GOOGLEFINANCE(A1180, ""volumeavg""), 0)"),0.0)</f>
        <v>0</v>
      </c>
      <c r="R1180" s="9">
        <f>IFERROR(__xludf.DUMMYFUNCTION("AVERAGE(INDEX(GOOGLEFINANCE(A1180, ""price"", TODAY()-30, TODAY()), 0, 2))"),233.3091304347826)</f>
        <v>233.3091304</v>
      </c>
      <c r="S1180" s="9">
        <f>IFERROR(__xludf.DUMMYFUNCTION("AVERAGE(INDEX(GOOGLEFINANCE(A1180, ""price"", TODAY()-75, TODAY()), 0, 2))"),231.56981132075472)</f>
        <v>231.5698113</v>
      </c>
      <c r="T1180" s="9">
        <f>IFERROR(__xludf.DUMMYFUNCTION("AVERAGE(INDEX(GOOGLEFINANCE(A1180, ""price"", TODAY()-300, TODAY()), 0, 2))"),226.8949999999999)</f>
        <v>226.895</v>
      </c>
      <c r="U1180" s="9">
        <f t="shared" si="5"/>
        <v>-0.05704504753</v>
      </c>
      <c r="V1180" s="15">
        <f>IFERROR(__xludf.DUMMYFUNCTION("LET(hist, GOOGLEFINANCE(A1180,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rs))))))"),31.6648917287895)</f>
        <v>31.66489173</v>
      </c>
      <c r="W1180" s="16" t="str">
        <f>IFERROR(__xludf.DUMMYFUNCTION("IFERROR(GOOGLEFINANCE(A1180, ""volume"") / GOOGLEFINANCE(A1180, ""volumeavg""), )"),"")</f>
        <v/>
      </c>
      <c r="X1180" s="9">
        <f>IFERROR(__xludf.DUMMYFUNCTION("B1180 * GOOGLEFINANCE(A1180, ""volume"")"),1.50854E7)</f>
        <v>15085400</v>
      </c>
      <c r="Y1180" s="9">
        <f>IFERROR(__xludf.DUMMYFUNCTION("IFERROR(((B1180 - GOOGLEFINANCE(A1180, ""priceopen"")) / GOOGLEFINANCE(A1180, ""priceopen"")) * GOOGLEFINANCE(A1180, ""volume""), 0)"),689.4463064138462)</f>
        <v>689.4463064</v>
      </c>
    </row>
    <row r="1181">
      <c r="A1181" s="4" t="s">
        <v>2974</v>
      </c>
      <c r="B1181" s="7">
        <f>IFERROR(__xludf.DUMMYFUNCTION("GOOGLEFINANCE(A1181, ""price"")"),3425.0)</f>
        <v>3425</v>
      </c>
      <c r="C1181" s="7">
        <f>IFERROR(__xludf.DUMMYFUNCTION("GOOGLEFINANCE(A1181, ""changepct"")"),-0.66)</f>
        <v>-0.66</v>
      </c>
      <c r="D1181" s="9">
        <f>IFERROR(__xludf.DUMMYFUNCTION("GOOGLEFINANCE(A1181, ""priceopen"")"),3427.1)</f>
        <v>3427.1</v>
      </c>
      <c r="E1181" s="9">
        <f>IFERROR(__xludf.DUMMYFUNCTION("GOOGLEFINANCE(A1181, ""high"")"),3602.0)</f>
        <v>3602</v>
      </c>
      <c r="F1181" s="9">
        <f>IFERROR(__xludf.DUMMYFUNCTION("GOOGLEFINANCE(A1181, ""low"")"),3380.0)</f>
        <v>3380</v>
      </c>
      <c r="G1181" s="9">
        <f>IFERROR(__xludf.DUMMYFUNCTION("GOOGLEFINANCE(A1181, ""price"")"),3425.0)</f>
        <v>3425</v>
      </c>
      <c r="H1181" s="9">
        <f>IFERROR(__xludf.DUMMYFUNCTION("MAX(INDEX(GOOGLEFINANCE(A1181, ""high"", TODAY()-30, TODAY()), 0, 2))"),3602.0)</f>
        <v>3602</v>
      </c>
      <c r="I1181" s="9">
        <f>IFERROR(__xludf.DUMMYFUNCTION("MIN(INDEX(GOOGLEFINANCE(A1181, ""low"", TODAY()-30, TODAY()), 0, 2))"),2953.7)</f>
        <v>2953.7</v>
      </c>
      <c r="J1181" s="9">
        <f>IFERROR(__xludf.DUMMYFUNCTION("GOOGLEFINANCE(A1181, ""high52"")"),3602.0)</f>
        <v>3602</v>
      </c>
      <c r="K1181" s="9">
        <f>IFERROR(__xludf.DUMMYFUNCTION("GOOGLEFINANCE(A1181, ""low52"")"),1216.2)</f>
        <v>1216.2</v>
      </c>
      <c r="L1181" s="9">
        <f t="shared" si="1"/>
        <v>0.04913936702</v>
      </c>
      <c r="M1181" s="9">
        <f t="shared" si="2"/>
        <v>1.81614866</v>
      </c>
      <c r="N1181" s="9">
        <f t="shared" si="3"/>
        <v>0.06568047337</v>
      </c>
      <c r="O1181" s="9">
        <f t="shared" si="4"/>
        <v>0.7269782508</v>
      </c>
      <c r="P1181" s="9">
        <f>IFERROR(__xludf.DUMMYFUNCTION("GOOGLEFINANCE(A1181, ""pe"")"),43.97)</f>
        <v>43.97</v>
      </c>
      <c r="Q1181" s="9">
        <f>IFERROR(__xludf.DUMMYFUNCTION("IFERROR(GOOGLEFINANCE(A1181, ""volume"") / GOOGLEFINANCE(A1181, ""volumeavg""), 0)"),0.0)</f>
        <v>0</v>
      </c>
      <c r="R1181" s="9">
        <f>IFERROR(__xludf.DUMMYFUNCTION("AVERAGE(INDEX(GOOGLEFINANCE(A1181, ""price"", TODAY()-30, TODAY()), 0, 2))"),3258.24347826087)</f>
        <v>3258.243478</v>
      </c>
      <c r="S1181" s="9">
        <f>IFERROR(__xludf.DUMMYFUNCTION("AVERAGE(INDEX(GOOGLEFINANCE(A1181, ""price"", TODAY()-75, TODAY()), 0, 2))"),3091.241509433962)</f>
        <v>3091.241509</v>
      </c>
      <c r="T1181" s="9">
        <f>IFERROR(__xludf.DUMMYFUNCTION("AVERAGE(INDEX(GOOGLEFINANCE(A1181, ""price"", TODAY()-300, TODAY()), 0, 2))"),2191.8653465346533)</f>
        <v>2191.865347</v>
      </c>
      <c r="U1181" s="9">
        <f t="shared" si="5"/>
        <v>0.05117988353</v>
      </c>
      <c r="V1181" s="15">
        <f>IFERROR(__xludf.DUMMYFUNCTION("LET(hist, GOOGLEFINANCE(A1181,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rs))))))"),71.26158806932685)</f>
        <v>71.26158807</v>
      </c>
      <c r="W1181" s="16" t="str">
        <f>IFERROR(__xludf.DUMMYFUNCTION("IFERROR(GOOGLEFINANCE(A1181, ""volume"") / GOOGLEFINANCE(A1181, ""volumeavg""), )"),"")</f>
        <v/>
      </c>
      <c r="X1181" s="9">
        <f>IFERROR(__xludf.DUMMYFUNCTION("B1181 * GOOGLEFINANCE(A1181, ""volume"")"),3.9616975E7)</f>
        <v>39616975</v>
      </c>
      <c r="Y1181" s="9">
        <f>IFERROR(__xludf.DUMMYFUNCTION("IFERROR(((B1181 - GOOGLEFINANCE(A1181, ""priceopen"")) / GOOGLEFINANCE(A1181, ""priceopen"")) * GOOGLEFINANCE(A1181, ""volume""), 0)"),-7.08782936010007)</f>
        <v>-7.08782936</v>
      </c>
    </row>
    <row r="1182">
      <c r="A1182" s="4" t="s">
        <v>2975</v>
      </c>
      <c r="B1182" s="7">
        <f>IFERROR(__xludf.DUMMYFUNCTION("GOOGLEFINANCE(A1182, ""price"")"),178.0)</f>
        <v>178</v>
      </c>
      <c r="C1182" s="7">
        <f>IFERROR(__xludf.DUMMYFUNCTION("GOOGLEFINANCE(A1182, ""changepct"")"),-0.01)</f>
        <v>-0.01</v>
      </c>
      <c r="D1182" s="9">
        <f>IFERROR(__xludf.DUMMYFUNCTION("GOOGLEFINANCE(A1182, ""priceopen"")"),178.02)</f>
        <v>178.02</v>
      </c>
      <c r="E1182" s="9">
        <f>IFERROR(__xludf.DUMMYFUNCTION("GOOGLEFINANCE(A1182, ""high"")"),180.63)</f>
        <v>180.63</v>
      </c>
      <c r="F1182" s="9">
        <f>IFERROR(__xludf.DUMMYFUNCTION("GOOGLEFINANCE(A1182, ""low"")"),175.5)</f>
        <v>175.5</v>
      </c>
      <c r="G1182" s="9">
        <f>IFERROR(__xludf.DUMMYFUNCTION("GOOGLEFINANCE(A1182, ""price"")"),178.0)</f>
        <v>178</v>
      </c>
      <c r="H1182" s="9">
        <f>IFERROR(__xludf.DUMMYFUNCTION("MAX(INDEX(GOOGLEFINANCE(A1182, ""high"", TODAY()-30, TODAY()), 0, 2))"),199.8)</f>
        <v>199.8</v>
      </c>
      <c r="I1182" s="9">
        <f>IFERROR(__xludf.DUMMYFUNCTION("MIN(INDEX(GOOGLEFINANCE(A1182, ""low"", TODAY()-30, TODAY()), 0, 2))"),175.5)</f>
        <v>175.5</v>
      </c>
      <c r="J1182" s="9">
        <f>IFERROR(__xludf.DUMMYFUNCTION("GOOGLEFINANCE(A1182, ""high52"")"),286.0)</f>
        <v>286</v>
      </c>
      <c r="K1182" s="9">
        <f>IFERROR(__xludf.DUMMYFUNCTION("GOOGLEFINANCE(A1182, ""low52"")"),153.3)</f>
        <v>153.3</v>
      </c>
      <c r="L1182" s="9">
        <f t="shared" si="1"/>
        <v>0.3776223776</v>
      </c>
      <c r="M1182" s="9">
        <f t="shared" si="2"/>
        <v>0.161121983</v>
      </c>
      <c r="N1182" s="9">
        <f t="shared" si="3"/>
        <v>0.02923076923</v>
      </c>
      <c r="O1182" s="9">
        <f t="shared" si="4"/>
        <v>0.1028806584</v>
      </c>
      <c r="P1182" s="9" t="str">
        <f>IFERROR(__xludf.DUMMYFUNCTION("GOOGLEFINANCE(A1182, ""pe"")"),"#N/A")</f>
        <v>#N/A</v>
      </c>
      <c r="Q1182" s="9">
        <f>IFERROR(__xludf.DUMMYFUNCTION("IFERROR(GOOGLEFINANCE(A1182, ""volume"") / GOOGLEFINANCE(A1182, ""volumeavg""), 0)"),0.0)</f>
        <v>0</v>
      </c>
      <c r="R1182" s="9">
        <f>IFERROR(__xludf.DUMMYFUNCTION("AVERAGE(INDEX(GOOGLEFINANCE(A1182, ""price"", TODAY()-30, TODAY()), 0, 2))"),183.1482608695652)</f>
        <v>183.1482609</v>
      </c>
      <c r="S1182" s="9">
        <f>IFERROR(__xludf.DUMMYFUNCTION("AVERAGE(INDEX(GOOGLEFINANCE(A1182, ""price"", TODAY()-75, TODAY()), 0, 2))"),189.94622641509434)</f>
        <v>189.9462264</v>
      </c>
      <c r="T1182" s="9">
        <f>IFERROR(__xludf.DUMMYFUNCTION("AVERAGE(INDEX(GOOGLEFINANCE(A1182, ""price"", TODAY()-300, TODAY()), 0, 2))"),188.52676616915406)</f>
        <v>188.5267662</v>
      </c>
      <c r="U1182" s="9">
        <f t="shared" si="5"/>
        <v>-0.02810979938</v>
      </c>
      <c r="V1182" s="15">
        <f>IFERROR(__xludf.DUMMYFUNCTION("LET(hist, GOOGLEFINANCE(A1182,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rs))))))"),45.135510771368985)</f>
        <v>45.13551077</v>
      </c>
      <c r="W1182" s="16" t="str">
        <f>IFERROR(__xludf.DUMMYFUNCTION("IFERROR(GOOGLEFINANCE(A1182, ""volume"") / GOOGLEFINANCE(A1182, ""volumeavg""), )"),"")</f>
        <v/>
      </c>
      <c r="X1182" s="9">
        <f>IFERROR(__xludf.DUMMYFUNCTION("B1182 * GOOGLEFINANCE(A1182, ""volume"")"),6.6318884E7)</f>
        <v>66318884</v>
      </c>
      <c r="Y1182" s="9">
        <f>IFERROR(__xludf.DUMMYFUNCTION("IFERROR(((B1182 - GOOGLEFINANCE(A1182, ""priceopen"")) / GOOGLEFINANCE(A1182, ""priceopen"")) * GOOGLEFINANCE(A1182, ""volume""), 0)"),-41.85799348389963)</f>
        <v>-41.85799348</v>
      </c>
    </row>
    <row r="1183">
      <c r="A1183" s="4" t="s">
        <v>2976</v>
      </c>
      <c r="B1183" s="7">
        <f>IFERROR(__xludf.DUMMYFUNCTION("GOOGLEFINANCE(A1183, ""price"")"),1089.8)</f>
        <v>1089.8</v>
      </c>
      <c r="C1183" s="7">
        <f>IFERROR(__xludf.DUMMYFUNCTION("GOOGLEFINANCE(A1183, ""changepct"")"),-4.18)</f>
        <v>-4.18</v>
      </c>
      <c r="D1183" s="9">
        <f>IFERROR(__xludf.DUMMYFUNCTION("GOOGLEFINANCE(A1183, ""priceopen"")"),1134.1)</f>
        <v>1134.1</v>
      </c>
      <c r="E1183" s="9">
        <f>IFERROR(__xludf.DUMMYFUNCTION("GOOGLEFINANCE(A1183, ""high"")"),1143.0)</f>
        <v>1143</v>
      </c>
      <c r="F1183" s="9">
        <f>IFERROR(__xludf.DUMMYFUNCTION("GOOGLEFINANCE(A1183, ""low"")"),1065.6)</f>
        <v>1065.6</v>
      </c>
      <c r="G1183" s="9">
        <f>IFERROR(__xludf.DUMMYFUNCTION("GOOGLEFINANCE(A1183, ""price"")"),1089.8)</f>
        <v>1089.8</v>
      </c>
      <c r="H1183" s="9">
        <f>IFERROR(__xludf.DUMMYFUNCTION("MAX(INDEX(GOOGLEFINANCE(A1183, ""high"", TODAY()-30, TODAY()), 0, 2))"),1322.0)</f>
        <v>1322</v>
      </c>
      <c r="I1183" s="9">
        <f>IFERROR(__xludf.DUMMYFUNCTION("MIN(INDEX(GOOGLEFINANCE(A1183, ""low"", TODAY()-30, TODAY()), 0, 2))"),951.8)</f>
        <v>951.8</v>
      </c>
      <c r="J1183" s="9">
        <f>IFERROR(__xludf.DUMMYFUNCTION("GOOGLEFINANCE(A1183, ""high52"")"),1322.0)</f>
        <v>1322</v>
      </c>
      <c r="K1183" s="9">
        <f>IFERROR(__xludf.DUMMYFUNCTION("GOOGLEFINANCE(A1183, ""low52"")"),527.45)</f>
        <v>527.45</v>
      </c>
      <c r="L1183" s="9">
        <f t="shared" si="1"/>
        <v>0.1756429652</v>
      </c>
      <c r="M1183" s="9">
        <f t="shared" si="2"/>
        <v>1.066167409</v>
      </c>
      <c r="N1183" s="9">
        <f t="shared" si="3"/>
        <v>0.07263513514</v>
      </c>
      <c r="O1183" s="9">
        <f t="shared" si="4"/>
        <v>0.3727714749</v>
      </c>
      <c r="P1183" s="9">
        <f>IFERROR(__xludf.DUMMYFUNCTION("GOOGLEFINANCE(A1183, ""pe"")"),31.34)</f>
        <v>31.34</v>
      </c>
      <c r="Q1183" s="9">
        <f>IFERROR(__xludf.DUMMYFUNCTION("IFERROR(GOOGLEFINANCE(A1183, ""volume"") / GOOGLEFINANCE(A1183, ""volumeavg""), 0)"),0.0)</f>
        <v>0</v>
      </c>
      <c r="R1183" s="9">
        <f>IFERROR(__xludf.DUMMYFUNCTION("AVERAGE(INDEX(GOOGLEFINANCE(A1183, ""price"", TODAY()-30, TODAY()), 0, 2))"),1084.7413043478257)</f>
        <v>1084.741304</v>
      </c>
      <c r="S1183" s="9">
        <f>IFERROR(__xludf.DUMMYFUNCTION("AVERAGE(INDEX(GOOGLEFINANCE(A1183, ""price"", TODAY()-75, TODAY()), 0, 2))"),978.6094339622643)</f>
        <v>978.609434</v>
      </c>
      <c r="T1183" s="9">
        <f>IFERROR(__xludf.DUMMYFUNCTION("AVERAGE(INDEX(GOOGLEFINANCE(A1183, ""price"", TODAY()-300, TODAY()), 0, 2))"),815.7529702970295)</f>
        <v>815.7529703</v>
      </c>
      <c r="U1183" s="9">
        <f t="shared" si="5"/>
        <v>0.004663504222</v>
      </c>
      <c r="V1183" s="15">
        <f>IFERROR(__xludf.DUMMYFUNCTION("LET(hist, GOOGLEFINANCE(A1183,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rs))))))"),50.73177221926557)</f>
        <v>50.73177222</v>
      </c>
      <c r="W1183" s="16" t="str">
        <f>IFERROR(__xludf.DUMMYFUNCTION("IFERROR(GOOGLEFINANCE(A1183, ""volume"") / GOOGLEFINANCE(A1183, ""volumeavg""), )"),"")</f>
        <v/>
      </c>
      <c r="X1183" s="9">
        <f>IFERROR(__xludf.DUMMYFUNCTION("B1183 * GOOGLEFINANCE(A1183, ""volume"")"),1.179621316E8)</f>
        <v>117962131.6</v>
      </c>
      <c r="Y1183" s="9">
        <f>IFERROR(__xludf.DUMMYFUNCTION("IFERROR(((B1183 - GOOGLEFINANCE(A1183, ""priceopen"")) / GOOGLEFINANCE(A1183, ""priceopen"")) * GOOGLEFINANCE(A1183, ""volume""), 0)"),-4228.128560091699)</f>
        <v>-4228.12856</v>
      </c>
    </row>
    <row r="1184">
      <c r="A1184" s="4" t="s">
        <v>2977</v>
      </c>
      <c r="B1184" s="7">
        <f>IFERROR(__xludf.DUMMYFUNCTION("GOOGLEFINANCE(A1184, ""price"")"),496.8)</f>
        <v>496.8</v>
      </c>
      <c r="C1184" s="7">
        <f>IFERROR(__xludf.DUMMYFUNCTION("GOOGLEFINANCE(A1184, ""changepct"")"),-2.64)</f>
        <v>-2.64</v>
      </c>
      <c r="D1184" s="9">
        <f>IFERROR(__xludf.DUMMYFUNCTION("GOOGLEFINANCE(A1184, ""priceopen"")"),513.0)</f>
        <v>513</v>
      </c>
      <c r="E1184" s="9">
        <f>IFERROR(__xludf.DUMMYFUNCTION("GOOGLEFINANCE(A1184, ""high"")"),527.5)</f>
        <v>527.5</v>
      </c>
      <c r="F1184" s="9">
        <f>IFERROR(__xludf.DUMMYFUNCTION("GOOGLEFINANCE(A1184, ""low"")"),486.1)</f>
        <v>486.1</v>
      </c>
      <c r="G1184" s="9">
        <f>IFERROR(__xludf.DUMMYFUNCTION("GOOGLEFINANCE(A1184, ""price"")"),496.8)</f>
        <v>496.8</v>
      </c>
      <c r="H1184" s="9">
        <f>IFERROR(__xludf.DUMMYFUNCTION("MAX(INDEX(GOOGLEFINANCE(A1184, ""high"", TODAY()-30, TODAY()), 0, 2))"),550.65)</f>
        <v>550.65</v>
      </c>
      <c r="I1184" s="9">
        <f>IFERROR(__xludf.DUMMYFUNCTION("MIN(INDEX(GOOGLEFINANCE(A1184, ""low"", TODAY()-30, TODAY()), 0, 2))"),476.1)</f>
        <v>476.1</v>
      </c>
      <c r="J1184" s="9">
        <f>IFERROR(__xludf.DUMMYFUNCTION("GOOGLEFINANCE(A1184, ""high52"")"),552.45)</f>
        <v>552.45</v>
      </c>
      <c r="K1184" s="9">
        <f>IFERROR(__xludf.DUMMYFUNCTION("GOOGLEFINANCE(A1184, ""low52"")"),332.0)</f>
        <v>332</v>
      </c>
      <c r="L1184" s="9">
        <f t="shared" si="1"/>
        <v>0.100733098</v>
      </c>
      <c r="M1184" s="9">
        <f t="shared" si="2"/>
        <v>0.4963855422</v>
      </c>
      <c r="N1184" s="9">
        <f t="shared" si="3"/>
        <v>0.08516766098</v>
      </c>
      <c r="O1184" s="9">
        <f t="shared" si="4"/>
        <v>0.277665996</v>
      </c>
      <c r="P1184" s="9">
        <f>IFERROR(__xludf.DUMMYFUNCTION("GOOGLEFINANCE(A1184, ""pe"")"),25.14)</f>
        <v>25.14</v>
      </c>
      <c r="Q1184" s="9">
        <f>IFERROR(__xludf.DUMMYFUNCTION("IFERROR(GOOGLEFINANCE(A1184, ""volume"") / GOOGLEFINANCE(A1184, ""volumeavg""), 0)"),0.0)</f>
        <v>0</v>
      </c>
      <c r="R1184" s="9">
        <f>IFERROR(__xludf.DUMMYFUNCTION("AVERAGE(INDEX(GOOGLEFINANCE(A1184, ""price"", TODAY()-30, TODAY()), 0, 2))"),505.97173913043474)</f>
        <v>505.9717391</v>
      </c>
      <c r="S1184" s="9">
        <f>IFERROR(__xludf.DUMMYFUNCTION("AVERAGE(INDEX(GOOGLEFINANCE(A1184, ""price"", TODAY()-75, TODAY()), 0, 2))"),512.0254716981132)</f>
        <v>512.0254717</v>
      </c>
      <c r="T1184" s="9">
        <f>IFERROR(__xludf.DUMMYFUNCTION("AVERAGE(INDEX(GOOGLEFINANCE(A1184, ""price"", TODAY()-300, TODAY()), 0, 2))"),446.29282178217863)</f>
        <v>446.2928218</v>
      </c>
      <c r="U1184" s="9">
        <f t="shared" si="5"/>
        <v>-0.01812697908</v>
      </c>
      <c r="V1184" s="15">
        <f>IFERROR(__xludf.DUMMYFUNCTION("LET(hist, GOOGLEFINANCE(A1184,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rs))))))"),59.70636215334423)</f>
        <v>59.70636215</v>
      </c>
      <c r="W1184" s="16" t="str">
        <f>IFERROR(__xludf.DUMMYFUNCTION("IFERROR(GOOGLEFINANCE(A1184, ""volume"") / GOOGLEFINANCE(A1184, ""volumeavg""), )"),"")</f>
        <v/>
      </c>
      <c r="X1184" s="9">
        <f>IFERROR(__xludf.DUMMYFUNCTION("B1184 * GOOGLEFINANCE(A1184, ""volume"")"),4.539743496E8)</f>
        <v>453974349.6</v>
      </c>
      <c r="Y1184" s="9">
        <f>IFERROR(__xludf.DUMMYFUNCTION("IFERROR(((B1184 - GOOGLEFINANCE(A1184, ""priceopen"")) / GOOGLEFINANCE(A1184, ""priceopen"")) * GOOGLEFINANCE(A1184, ""volume""), 0)"),-28856.747368421034)</f>
        <v>-28856.74737</v>
      </c>
    </row>
    <row r="1185">
      <c r="A1185" s="4" t="s">
        <v>2978</v>
      </c>
      <c r="B1185" s="7">
        <f>IFERROR(__xludf.DUMMYFUNCTION("GOOGLEFINANCE(A1185, ""price"")"),229.0)</f>
        <v>229</v>
      </c>
      <c r="C1185" s="7">
        <f>IFERROR(__xludf.DUMMYFUNCTION("GOOGLEFINANCE(A1185, ""changepct"")"),0.46)</f>
        <v>0.46</v>
      </c>
      <c r="D1185" s="9">
        <f>IFERROR(__xludf.DUMMYFUNCTION("GOOGLEFINANCE(A1185, ""priceopen"")"),233.8)</f>
        <v>233.8</v>
      </c>
      <c r="E1185" s="9">
        <f>IFERROR(__xludf.DUMMYFUNCTION("GOOGLEFINANCE(A1185, ""high"")"),233.8)</f>
        <v>233.8</v>
      </c>
      <c r="F1185" s="9">
        <f>IFERROR(__xludf.DUMMYFUNCTION("GOOGLEFINANCE(A1185, ""low"")"),224.0)</f>
        <v>224</v>
      </c>
      <c r="G1185" s="9">
        <f>IFERROR(__xludf.DUMMYFUNCTION("GOOGLEFINANCE(A1185, ""price"")"),229.0)</f>
        <v>229</v>
      </c>
      <c r="H1185" s="9">
        <f>IFERROR(__xludf.DUMMYFUNCTION("MAX(INDEX(GOOGLEFINANCE(A1185, ""high"", TODAY()-30, TODAY()), 0, 2))"),271.94)</f>
        <v>271.94</v>
      </c>
      <c r="I1185" s="9">
        <f>IFERROR(__xludf.DUMMYFUNCTION("MIN(INDEX(GOOGLEFINANCE(A1185, ""low"", TODAY()-30, TODAY()), 0, 2))"),202.24)</f>
        <v>202.24</v>
      </c>
      <c r="J1185" s="9">
        <f>IFERROR(__xludf.DUMMYFUNCTION("GOOGLEFINANCE(A1185, ""high52"")"),365.37)</f>
        <v>365.37</v>
      </c>
      <c r="K1185" s="9">
        <f>IFERROR(__xludf.DUMMYFUNCTION("GOOGLEFINANCE(A1185, ""low52"")"),161.25)</f>
        <v>161.25</v>
      </c>
      <c r="L1185" s="9">
        <f t="shared" si="1"/>
        <v>0.3732380874</v>
      </c>
      <c r="M1185" s="9">
        <f t="shared" si="2"/>
        <v>0.4201550388</v>
      </c>
      <c r="N1185" s="9">
        <f t="shared" si="3"/>
        <v>0.04375</v>
      </c>
      <c r="O1185" s="9">
        <f t="shared" si="4"/>
        <v>0.3839311334</v>
      </c>
      <c r="P1185" s="9" t="str">
        <f>IFERROR(__xludf.DUMMYFUNCTION("GOOGLEFINANCE(A1185, ""pe"")"),"#N/A")</f>
        <v>#N/A</v>
      </c>
      <c r="Q1185" s="9">
        <f>IFERROR(__xludf.DUMMYFUNCTION("IFERROR(GOOGLEFINANCE(A1185, ""volume"") / GOOGLEFINANCE(A1185, ""volumeavg""), 0)"),0.0)</f>
        <v>0</v>
      </c>
      <c r="R1185" s="9">
        <f>IFERROR(__xludf.DUMMYFUNCTION("AVERAGE(INDEX(GOOGLEFINANCE(A1185, ""price"", TODAY()-30, TODAY()), 0, 2))"),230.4104347826087)</f>
        <v>230.4104348</v>
      </c>
      <c r="S1185" s="9">
        <f>IFERROR(__xludf.DUMMYFUNCTION("AVERAGE(INDEX(GOOGLEFINANCE(A1185, ""price"", TODAY()-75, TODAY()), 0, 2))"),212.94943396226415)</f>
        <v>212.949434</v>
      </c>
      <c r="T1185" s="9">
        <f>IFERROR(__xludf.DUMMYFUNCTION("AVERAGE(INDEX(GOOGLEFINANCE(A1185, ""price"", TODAY()-300, TODAY()), 0, 2))"),230.02965346534643)</f>
        <v>230.0296535</v>
      </c>
      <c r="U1185" s="9">
        <f t="shared" si="5"/>
        <v>-0.006121401507</v>
      </c>
      <c r="V1185" s="15">
        <f>IFERROR(__xludf.DUMMYFUNCTION("LET(hist, GOOGLEFINANCE(A1185,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rs))))))"),58.79864636209814)</f>
        <v>58.79864636</v>
      </c>
      <c r="W1185" s="16" t="str">
        <f>IFERROR(__xludf.DUMMYFUNCTION("IFERROR(GOOGLEFINANCE(A1185, ""volume"") / GOOGLEFINANCE(A1185, ""volumeavg""), )"),"")</f>
        <v/>
      </c>
      <c r="X1185" s="9">
        <f>IFERROR(__xludf.DUMMYFUNCTION("B1185 * GOOGLEFINANCE(A1185, ""volume"")"),2.9052543E7)</f>
        <v>29052543</v>
      </c>
      <c r="Y1185" s="9">
        <f>IFERROR(__xludf.DUMMYFUNCTION("IFERROR(((B1185 - GOOGLEFINANCE(A1185, ""priceopen"")) / GOOGLEFINANCE(A1185, ""priceopen"")) * GOOGLEFINANCE(A1185, ""volume""), 0)"),-2604.626176218997)</f>
        <v>-2604.626176</v>
      </c>
    </row>
    <row r="1186">
      <c r="A1186" s="4" t="s">
        <v>2979</v>
      </c>
      <c r="B1186" s="7">
        <f>IFERROR(__xludf.DUMMYFUNCTION("GOOGLEFINANCE(A1186, ""price"")"),40.23)</f>
        <v>40.23</v>
      </c>
      <c r="C1186" s="7">
        <f>IFERROR(__xludf.DUMMYFUNCTION("GOOGLEFINANCE(A1186, ""changepct"")"),-3.08)</f>
        <v>-3.08</v>
      </c>
      <c r="D1186" s="9">
        <f>IFERROR(__xludf.DUMMYFUNCTION("GOOGLEFINANCE(A1186, ""priceopen"")"),41.49)</f>
        <v>41.49</v>
      </c>
      <c r="E1186" s="9">
        <f>IFERROR(__xludf.DUMMYFUNCTION("GOOGLEFINANCE(A1186, ""high"")"),42.06)</f>
        <v>42.06</v>
      </c>
      <c r="F1186" s="9">
        <f>IFERROR(__xludf.DUMMYFUNCTION("GOOGLEFINANCE(A1186, ""low"")"),33.56)</f>
        <v>33.56</v>
      </c>
      <c r="G1186" s="9">
        <f>IFERROR(__xludf.DUMMYFUNCTION("GOOGLEFINANCE(A1186, ""price"")"),40.23)</f>
        <v>40.23</v>
      </c>
      <c r="H1186" s="9">
        <f>IFERROR(__xludf.DUMMYFUNCTION("MAX(INDEX(GOOGLEFINANCE(A1186, ""high"", TODAY()-30, TODAY()), 0, 2))"),43.0)</f>
        <v>43</v>
      </c>
      <c r="I1186" s="9">
        <f>IFERROR(__xludf.DUMMYFUNCTION("MIN(INDEX(GOOGLEFINANCE(A1186, ""low"", TODAY()-30, TODAY()), 0, 2))"),33.56)</f>
        <v>33.56</v>
      </c>
      <c r="J1186" s="9">
        <f>IFERROR(__xludf.DUMMYFUNCTION("GOOGLEFINANCE(A1186, ""high52"")"),45.0)</f>
        <v>45</v>
      </c>
      <c r="K1186" s="9">
        <f>IFERROR(__xludf.DUMMYFUNCTION("GOOGLEFINANCE(A1186, ""low52"")"),15.55)</f>
        <v>15.55</v>
      </c>
      <c r="L1186" s="9">
        <f t="shared" si="1"/>
        <v>0.106</v>
      </c>
      <c r="M1186" s="9">
        <f t="shared" si="2"/>
        <v>1.587138264</v>
      </c>
      <c r="N1186" s="9">
        <f t="shared" si="3"/>
        <v>0.2532777116</v>
      </c>
      <c r="O1186" s="9">
        <f t="shared" si="4"/>
        <v>0.7065677966</v>
      </c>
      <c r="P1186" s="9">
        <f>IFERROR(__xludf.DUMMYFUNCTION("GOOGLEFINANCE(A1186, ""pe"")"),75.91)</f>
        <v>75.91</v>
      </c>
      <c r="Q1186" s="9">
        <f>IFERROR(__xludf.DUMMYFUNCTION("IFERROR(GOOGLEFINANCE(A1186, ""volume"") / GOOGLEFINANCE(A1186, ""volumeavg""), 0)"),0.0)</f>
        <v>0</v>
      </c>
      <c r="R1186" s="9">
        <f>IFERROR(__xludf.DUMMYFUNCTION("AVERAGE(INDEX(GOOGLEFINANCE(A1186, ""price"", TODAY()-30, TODAY()), 0, 2))"),41.820869565217386)</f>
        <v>41.82086957</v>
      </c>
      <c r="S1186" s="9">
        <f>IFERROR(__xludf.DUMMYFUNCTION("AVERAGE(INDEX(GOOGLEFINANCE(A1186, ""price"", TODAY()-75, TODAY()), 0, 2))"),40.66566037735849)</f>
        <v>40.66566038</v>
      </c>
      <c r="T1186" s="9">
        <f>IFERROR(__xludf.DUMMYFUNCTION("AVERAGE(INDEX(GOOGLEFINANCE(A1186, ""price"", TODAY()-300, TODAY()), 0, 2))"),32.642277227722786)</f>
        <v>32.64227723</v>
      </c>
      <c r="U1186" s="9">
        <f t="shared" si="5"/>
        <v>-0.03804008816</v>
      </c>
      <c r="V1186" s="15">
        <f>IFERROR(__xludf.DUMMYFUNCTION("LET(hist, GOOGLEFINANCE(A1186,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rs))))))"),17.114093959731505)</f>
        <v>17.11409396</v>
      </c>
      <c r="W1186" s="16" t="str">
        <f>IFERROR(__xludf.DUMMYFUNCTION("IFERROR(GOOGLEFINANCE(A1186, ""volume"") / GOOGLEFINANCE(A1186, ""volumeavg""), )"),"")</f>
        <v/>
      </c>
      <c r="X1186" s="9">
        <f>IFERROR(__xludf.DUMMYFUNCTION("B1186 * GOOGLEFINANCE(A1186, ""volume"")"),1.75386092481E9)</f>
        <v>1753860925</v>
      </c>
      <c r="Y1186" s="9">
        <f>IFERROR(__xludf.DUMMYFUNCTION("IFERROR(((B1186 - GOOGLEFINANCE(A1186, ""priceopen"")) / GOOGLEFINANCE(A1186, ""priceopen"")) * GOOGLEFINANCE(A1186, ""volume""), 0)"),-1323951.9696312419)</f>
        <v>-1323951.97</v>
      </c>
    </row>
    <row r="1187">
      <c r="A1187" s="4" t="s">
        <v>2980</v>
      </c>
      <c r="B1187" s="7">
        <f>IFERROR(__xludf.DUMMYFUNCTION("GOOGLEFINANCE(A1187, ""price"")"),432.6)</f>
        <v>432.6</v>
      </c>
      <c r="C1187" s="7">
        <f>IFERROR(__xludf.DUMMYFUNCTION("GOOGLEFINANCE(A1187, ""changepct"")"),0.71)</f>
        <v>0.71</v>
      </c>
      <c r="D1187" s="9">
        <f>IFERROR(__xludf.DUMMYFUNCTION("GOOGLEFINANCE(A1187, ""priceopen"")"),433.8)</f>
        <v>433.8</v>
      </c>
      <c r="E1187" s="9">
        <f>IFERROR(__xludf.DUMMYFUNCTION("GOOGLEFINANCE(A1187, ""high"")"),443.95)</f>
        <v>443.95</v>
      </c>
      <c r="F1187" s="9">
        <f>IFERROR(__xludf.DUMMYFUNCTION("GOOGLEFINANCE(A1187, ""low"")"),425.2)</f>
        <v>425.2</v>
      </c>
      <c r="G1187" s="9">
        <f>IFERROR(__xludf.DUMMYFUNCTION("GOOGLEFINANCE(A1187, ""price"")"),432.6)</f>
        <v>432.6</v>
      </c>
      <c r="H1187" s="9">
        <f>IFERROR(__xludf.DUMMYFUNCTION("MAX(INDEX(GOOGLEFINANCE(A1187, ""high"", TODAY()-30, TODAY()), 0, 2))"),449.65)</f>
        <v>449.65</v>
      </c>
      <c r="I1187" s="9">
        <f>IFERROR(__xludf.DUMMYFUNCTION("MIN(INDEX(GOOGLEFINANCE(A1187, ""low"", TODAY()-30, TODAY()), 0, 2))"),378.0)</f>
        <v>378</v>
      </c>
      <c r="J1187" s="9">
        <f>IFERROR(__xludf.DUMMYFUNCTION("GOOGLEFINANCE(A1187, ""high52"")"),459.9)</f>
        <v>459.9</v>
      </c>
      <c r="K1187" s="9">
        <f>IFERROR(__xludf.DUMMYFUNCTION("GOOGLEFINANCE(A1187, ""low52"")"),223.35)</f>
        <v>223.35</v>
      </c>
      <c r="L1187" s="9">
        <f t="shared" si="1"/>
        <v>0.05936073059</v>
      </c>
      <c r="M1187" s="9">
        <f t="shared" si="2"/>
        <v>0.9368703828</v>
      </c>
      <c r="N1187" s="9">
        <f t="shared" si="3"/>
        <v>0.04409689558</v>
      </c>
      <c r="O1187" s="9">
        <f t="shared" si="4"/>
        <v>0.7620376832</v>
      </c>
      <c r="P1187" s="9">
        <f>IFERROR(__xludf.DUMMYFUNCTION("GOOGLEFINANCE(A1187, ""pe"")"),7.67)</f>
        <v>7.67</v>
      </c>
      <c r="Q1187" s="9">
        <f>IFERROR(__xludf.DUMMYFUNCTION("IFERROR(GOOGLEFINANCE(A1187, ""volume"") / GOOGLEFINANCE(A1187, ""volumeavg""), 0)"),0.0)</f>
        <v>0</v>
      </c>
      <c r="R1187" s="9">
        <f>IFERROR(__xludf.DUMMYFUNCTION("AVERAGE(INDEX(GOOGLEFINANCE(A1187, ""price"", TODAY()-30, TODAY()), 0, 2))"),405.78043478260867)</f>
        <v>405.7804348</v>
      </c>
      <c r="S1187" s="9">
        <f>IFERROR(__xludf.DUMMYFUNCTION("AVERAGE(INDEX(GOOGLEFINANCE(A1187, ""price"", TODAY()-75, TODAY()), 0, 2))"),406.05754716981136)</f>
        <v>406.0575472</v>
      </c>
      <c r="T1187" s="9">
        <f>IFERROR(__xludf.DUMMYFUNCTION("AVERAGE(INDEX(GOOGLEFINANCE(A1187, ""price"", TODAY()-300, TODAY()), 0, 2))"),323.99826732673256)</f>
        <v>323.9982673</v>
      </c>
      <c r="U1187" s="9">
        <f t="shared" si="5"/>
        <v>0.06609378599</v>
      </c>
      <c r="V1187" s="15">
        <f>IFERROR(__xludf.DUMMYFUNCTION("LET(hist, GOOGLEFINANCE(A1187,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rs))))))"),70.31714568880078)</f>
        <v>70.31714569</v>
      </c>
      <c r="W1187" s="16" t="str">
        <f>IFERROR(__xludf.DUMMYFUNCTION("IFERROR(GOOGLEFINANCE(A1187, ""volume"") / GOOGLEFINANCE(A1187, ""volumeavg""), )"),"")</f>
        <v/>
      </c>
      <c r="X1187" s="9">
        <f>IFERROR(__xludf.DUMMYFUNCTION("B1187 * GOOGLEFINANCE(A1187, ""volume"")"),6.4081038E7)</f>
        <v>64081038</v>
      </c>
      <c r="Y1187" s="9">
        <f>IFERROR(__xludf.DUMMYFUNCTION("IFERROR(((B1187 - GOOGLEFINANCE(A1187, ""priceopen"")) / GOOGLEFINANCE(A1187, ""priceopen"")) * GOOGLEFINANCE(A1187, ""volume""), 0)"),-409.76486860303896)</f>
        <v>-409.7648686</v>
      </c>
    </row>
    <row r="1188">
      <c r="A1188" s="4" t="s">
        <v>2981</v>
      </c>
      <c r="B1188" s="7">
        <f>IFERROR(__xludf.DUMMYFUNCTION("GOOGLEFINANCE(A1188, ""price"")"),274.0)</f>
        <v>274</v>
      </c>
      <c r="C1188" s="7">
        <f>IFERROR(__xludf.DUMMYFUNCTION("GOOGLEFINANCE(A1188, ""changepct"")"),2.76)</f>
        <v>2.76</v>
      </c>
      <c r="D1188" s="9">
        <f>IFERROR(__xludf.DUMMYFUNCTION("GOOGLEFINANCE(A1188, ""priceopen"")"),267.0)</f>
        <v>267</v>
      </c>
      <c r="E1188" s="9">
        <f>IFERROR(__xludf.DUMMYFUNCTION("GOOGLEFINANCE(A1188, ""high"")"),275.0)</f>
        <v>275</v>
      </c>
      <c r="F1188" s="9">
        <f>IFERROR(__xludf.DUMMYFUNCTION("GOOGLEFINANCE(A1188, ""low"")"),264.0)</f>
        <v>264</v>
      </c>
      <c r="G1188" s="9">
        <f>IFERROR(__xludf.DUMMYFUNCTION("GOOGLEFINANCE(A1188, ""price"")"),274.0)</f>
        <v>274</v>
      </c>
      <c r="H1188" s="9">
        <f>IFERROR(__xludf.DUMMYFUNCTION("MAX(INDEX(GOOGLEFINANCE(A1188, ""high"", TODAY()-30, TODAY()), 0, 2))"),306.05)</f>
        <v>306.05</v>
      </c>
      <c r="I1188" s="9">
        <f>IFERROR(__xludf.DUMMYFUNCTION("MIN(INDEX(GOOGLEFINANCE(A1188, ""low"", TODAY()-30, TODAY()), 0, 2))"),264.0)</f>
        <v>264</v>
      </c>
      <c r="J1188" s="9">
        <f>IFERROR(__xludf.DUMMYFUNCTION("GOOGLEFINANCE(A1188, ""high52"")"),639.4)</f>
        <v>639.4</v>
      </c>
      <c r="K1188" s="9">
        <f>IFERROR(__xludf.DUMMYFUNCTION("GOOGLEFINANCE(A1188, ""low52"")"),229.05)</f>
        <v>229.05</v>
      </c>
      <c r="L1188" s="9">
        <f t="shared" si="1"/>
        <v>0.5714732562</v>
      </c>
      <c r="M1188" s="9">
        <f t="shared" si="2"/>
        <v>0.1962453613</v>
      </c>
      <c r="N1188" s="9">
        <f t="shared" si="3"/>
        <v>0.04166666667</v>
      </c>
      <c r="O1188" s="9">
        <f t="shared" si="4"/>
        <v>0.2378121284</v>
      </c>
      <c r="P1188" s="9">
        <f>IFERROR(__xludf.DUMMYFUNCTION("GOOGLEFINANCE(A1188, ""pe"")"),27.62)</f>
        <v>27.62</v>
      </c>
      <c r="Q1188" s="9">
        <f>IFERROR(__xludf.DUMMYFUNCTION("IFERROR(GOOGLEFINANCE(A1188, ""volume"") / GOOGLEFINANCE(A1188, ""volumeavg""), 0)"),0.0)</f>
        <v>0</v>
      </c>
      <c r="R1188" s="9">
        <f>IFERROR(__xludf.DUMMYFUNCTION("AVERAGE(INDEX(GOOGLEFINANCE(A1188, ""price"", TODAY()-30, TODAY()), 0, 2))"),280.8152173913044)</f>
        <v>280.8152174</v>
      </c>
      <c r="S1188" s="9">
        <f>IFERROR(__xludf.DUMMYFUNCTION("AVERAGE(INDEX(GOOGLEFINANCE(A1188, ""price"", TODAY()-75, TODAY()), 0, 2))"),294.188679245283)</f>
        <v>294.1886792</v>
      </c>
      <c r="T1188" s="9">
        <f>IFERROR(__xludf.DUMMYFUNCTION("AVERAGE(INDEX(GOOGLEFINANCE(A1188, ""price"", TODAY()-300, TODAY()), 0, 2))"),384.4626732673269)</f>
        <v>384.4626733</v>
      </c>
      <c r="U1188" s="9">
        <f t="shared" si="5"/>
        <v>-0.02426940197</v>
      </c>
      <c r="V1188" s="15">
        <f>IFERROR(__xludf.DUMMYFUNCTION("LET(hist, GOOGLEFINANCE(A1188,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rs))))))"),46.524938675388384)</f>
        <v>46.52493868</v>
      </c>
      <c r="W1188" s="16" t="str">
        <f>IFERROR(__xludf.DUMMYFUNCTION("IFERROR(GOOGLEFINANCE(A1188, ""volume"") / GOOGLEFINANCE(A1188, ""volumeavg""), )"),"")</f>
        <v/>
      </c>
      <c r="X1188" s="9">
        <f>IFERROR(__xludf.DUMMYFUNCTION("B1188 * GOOGLEFINANCE(A1188, ""volume"")"),6.3237008E7)</f>
        <v>63237008</v>
      </c>
      <c r="Y1188" s="9">
        <f>IFERROR(__xludf.DUMMYFUNCTION("IFERROR(((B1188 - GOOGLEFINANCE(A1188, ""priceopen"")) / GOOGLEFINANCE(A1188, ""priceopen"")) * GOOGLEFINANCE(A1188, ""volume""), 0)"),6050.7265917603)</f>
        <v>6050.726592</v>
      </c>
    </row>
    <row r="1189">
      <c r="A1189" s="4" t="s">
        <v>2982</v>
      </c>
      <c r="B1189" s="7">
        <f>IFERROR(__xludf.DUMMYFUNCTION("GOOGLEFINANCE(A1189, ""price"")"),606.0)</f>
        <v>606</v>
      </c>
      <c r="C1189" s="7">
        <f>IFERROR(__xludf.DUMMYFUNCTION("GOOGLEFINANCE(A1189, ""changepct"")"),-2.63)</f>
        <v>-2.63</v>
      </c>
      <c r="D1189" s="9">
        <f>IFERROR(__xludf.DUMMYFUNCTION("GOOGLEFINANCE(A1189, ""priceopen"")"),621.05)</f>
        <v>621.05</v>
      </c>
      <c r="E1189" s="9">
        <f>IFERROR(__xludf.DUMMYFUNCTION("GOOGLEFINANCE(A1189, ""high"")"),624.75)</f>
        <v>624.75</v>
      </c>
      <c r="F1189" s="9">
        <f>IFERROR(__xludf.DUMMYFUNCTION("GOOGLEFINANCE(A1189, ""low"")"),594.0)</f>
        <v>594</v>
      </c>
      <c r="G1189" s="9">
        <f>IFERROR(__xludf.DUMMYFUNCTION("GOOGLEFINANCE(A1189, ""price"")"),606.0)</f>
        <v>606</v>
      </c>
      <c r="H1189" s="9">
        <f>IFERROR(__xludf.DUMMYFUNCTION("MAX(INDEX(GOOGLEFINANCE(A1189, ""high"", TODAY()-30, TODAY()), 0, 2))"),654.0)</f>
        <v>654</v>
      </c>
      <c r="I1189" s="9">
        <f>IFERROR(__xludf.DUMMYFUNCTION("MIN(INDEX(GOOGLEFINANCE(A1189, ""low"", TODAY()-30, TODAY()), 0, 2))"),435.6)</f>
        <v>435.6</v>
      </c>
      <c r="J1189" s="9">
        <f>IFERROR(__xludf.DUMMYFUNCTION("GOOGLEFINANCE(A1189, ""high52"")"),654.0)</f>
        <v>654</v>
      </c>
      <c r="K1189" s="9">
        <f>IFERROR(__xludf.DUMMYFUNCTION("GOOGLEFINANCE(A1189, ""low52"")"),298.4)</f>
        <v>298.4</v>
      </c>
      <c r="L1189" s="9">
        <f t="shared" si="1"/>
        <v>0.07339449541</v>
      </c>
      <c r="M1189" s="9">
        <f t="shared" si="2"/>
        <v>1.030831099</v>
      </c>
      <c r="N1189" s="9">
        <f t="shared" si="3"/>
        <v>0.05176767677</v>
      </c>
      <c r="O1189" s="9">
        <f t="shared" si="4"/>
        <v>0.7802197802</v>
      </c>
      <c r="P1189" s="9">
        <f>IFERROR(__xludf.DUMMYFUNCTION("GOOGLEFINANCE(A1189, ""pe"")"),36.05)</f>
        <v>36.05</v>
      </c>
      <c r="Q1189" s="9">
        <f>IFERROR(__xludf.DUMMYFUNCTION("IFERROR(GOOGLEFINANCE(A1189, ""volume"") / GOOGLEFINANCE(A1189, ""volumeavg""), 0)"),0.0)</f>
        <v>0</v>
      </c>
      <c r="R1189" s="9">
        <f>IFERROR(__xludf.DUMMYFUNCTION("AVERAGE(INDEX(GOOGLEFINANCE(A1189, ""price"", TODAY()-30, TODAY()), 0, 2))"),508.6717391304348)</f>
        <v>508.6717391</v>
      </c>
      <c r="S1189" s="9">
        <f>IFERROR(__xludf.DUMMYFUNCTION("AVERAGE(INDEX(GOOGLEFINANCE(A1189, ""price"", TODAY()-75, TODAY()), 0, 2))"),464.06415094339627)</f>
        <v>464.0641509</v>
      </c>
      <c r="T1189" s="9">
        <f>IFERROR(__xludf.DUMMYFUNCTION("AVERAGE(INDEX(GOOGLEFINANCE(A1189, ""price"", TODAY()-300, TODAY()), 0, 2))"),397.4034825870646)</f>
        <v>397.4034826</v>
      </c>
      <c r="U1189" s="9">
        <f t="shared" si="5"/>
        <v>0.1913380544</v>
      </c>
      <c r="V1189" s="15">
        <f>IFERROR(__xludf.DUMMYFUNCTION("LET(hist, GOOGLEFINANCE(A1189,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rs))))))"),79.70581475522869)</f>
        <v>79.70581476</v>
      </c>
      <c r="W1189" s="16" t="str">
        <f>IFERROR(__xludf.DUMMYFUNCTION("IFERROR(GOOGLEFINANCE(A1189, ""volume"") / GOOGLEFINANCE(A1189, ""volumeavg""), )"),"")</f>
        <v/>
      </c>
      <c r="X1189" s="9">
        <f>IFERROR(__xludf.DUMMYFUNCTION("B1189 * GOOGLEFINANCE(A1189, ""volume"")"),3.36604518E8)</f>
        <v>336604518</v>
      </c>
      <c r="Y1189" s="9">
        <f>IFERROR(__xludf.DUMMYFUNCTION("IFERROR(((B1189 - GOOGLEFINANCE(A1189, ""priceopen"")) / GOOGLEFINANCE(A1189, ""priceopen"")) * GOOGLEFINANCE(A1189, ""volume""), 0)"),-13460.377827872111)</f>
        <v>-13460.37783</v>
      </c>
    </row>
    <row r="1190">
      <c r="A1190" s="4" t="s">
        <v>2983</v>
      </c>
      <c r="B1190" s="7">
        <f>IFERROR(__xludf.DUMMYFUNCTION("GOOGLEFINANCE(A1190, ""price"")"),940.0)</f>
        <v>940</v>
      </c>
      <c r="C1190" s="7">
        <f>IFERROR(__xludf.DUMMYFUNCTION("GOOGLEFINANCE(A1190, ""changepct"")"),-1.44)</f>
        <v>-1.44</v>
      </c>
      <c r="D1190" s="9">
        <f>IFERROR(__xludf.DUMMYFUNCTION("GOOGLEFINANCE(A1190, ""priceopen"")"),962.4)</f>
        <v>962.4</v>
      </c>
      <c r="E1190" s="9">
        <f>IFERROR(__xludf.DUMMYFUNCTION("GOOGLEFINANCE(A1190, ""high"")"),963.95)</f>
        <v>963.95</v>
      </c>
      <c r="F1190" s="9">
        <f>IFERROR(__xludf.DUMMYFUNCTION("GOOGLEFINANCE(A1190, ""low"")"),925.15)</f>
        <v>925.15</v>
      </c>
      <c r="G1190" s="9">
        <f>IFERROR(__xludf.DUMMYFUNCTION("GOOGLEFINANCE(A1190, ""price"")"),940.0)</f>
        <v>940</v>
      </c>
      <c r="H1190" s="9">
        <f>IFERROR(__xludf.DUMMYFUNCTION("MAX(INDEX(GOOGLEFINANCE(A1190, ""high"", TODAY()-30, TODAY()), 0, 2))"),980.0)</f>
        <v>980</v>
      </c>
      <c r="I1190" s="9">
        <f>IFERROR(__xludf.DUMMYFUNCTION("MIN(INDEX(GOOGLEFINANCE(A1190, ""low"", TODAY()-30, TODAY()), 0, 2))"),785.6)</f>
        <v>785.6</v>
      </c>
      <c r="J1190" s="9">
        <f>IFERROR(__xludf.DUMMYFUNCTION("GOOGLEFINANCE(A1190, ""high52"")"),980.0)</f>
        <v>980</v>
      </c>
      <c r="K1190" s="9">
        <f>IFERROR(__xludf.DUMMYFUNCTION("GOOGLEFINANCE(A1190, ""low52"")"),311.0)</f>
        <v>311</v>
      </c>
      <c r="L1190" s="9">
        <f t="shared" si="1"/>
        <v>0.04081632653</v>
      </c>
      <c r="M1190" s="9">
        <f t="shared" si="2"/>
        <v>2.022508039</v>
      </c>
      <c r="N1190" s="9">
        <f t="shared" si="3"/>
        <v>0.041939145</v>
      </c>
      <c r="O1190" s="9">
        <f t="shared" si="4"/>
        <v>0.7942386831</v>
      </c>
      <c r="P1190" s="9">
        <f>IFERROR(__xludf.DUMMYFUNCTION("GOOGLEFINANCE(A1190, ""pe"")"),58.02)</f>
        <v>58.02</v>
      </c>
      <c r="Q1190" s="9">
        <f>IFERROR(__xludf.DUMMYFUNCTION("IFERROR(GOOGLEFINANCE(A1190, ""volume"") / GOOGLEFINANCE(A1190, ""volumeavg""), 0)"),0.0)</f>
        <v>0</v>
      </c>
      <c r="R1190" s="9">
        <f>IFERROR(__xludf.DUMMYFUNCTION("AVERAGE(INDEX(GOOGLEFINANCE(A1190, ""price"", TODAY()-30, TODAY()), 0, 2))"),883.8543478260871)</f>
        <v>883.8543478</v>
      </c>
      <c r="S1190" s="9">
        <f>IFERROR(__xludf.DUMMYFUNCTION("AVERAGE(INDEX(GOOGLEFINANCE(A1190, ""price"", TODAY()-75, TODAY()), 0, 2))"),845.806603773585)</f>
        <v>845.8066038</v>
      </c>
      <c r="T1190" s="9">
        <f>IFERROR(__xludf.DUMMYFUNCTION("AVERAGE(INDEX(GOOGLEFINANCE(A1190, ""price"", TODAY()-300, TODAY()), 0, 2))"),576.2918316831684)</f>
        <v>576.2918317</v>
      </c>
      <c r="U1190" s="9">
        <f t="shared" si="5"/>
        <v>0.06352364766</v>
      </c>
      <c r="V1190" s="15">
        <f>IFERROR(__xludf.DUMMYFUNCTION("LET(hist, GOOGLEFINANCE(A1190,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rs))))))"),67.48545572074983)</f>
        <v>67.48545572</v>
      </c>
      <c r="W1190" s="16" t="str">
        <f>IFERROR(__xludf.DUMMYFUNCTION("IFERROR(GOOGLEFINANCE(A1190, ""volume"") / GOOGLEFINANCE(A1190, ""volumeavg""), )"),"")</f>
        <v/>
      </c>
      <c r="X1190" s="9">
        <f>IFERROR(__xludf.DUMMYFUNCTION("B1190 * GOOGLEFINANCE(A1190, ""volume"")"),7.289324E7)</f>
        <v>72893240</v>
      </c>
      <c r="Y1190" s="9">
        <f>IFERROR(__xludf.DUMMYFUNCTION("IFERROR(((B1190 - GOOGLEFINANCE(A1190, ""priceopen"")) / GOOGLEFINANCE(A1190, ""priceopen"")) * GOOGLEFINANCE(A1190, ""volume""), 0)"),-1804.8944305901894)</f>
        <v>-1804.894431</v>
      </c>
    </row>
    <row r="1191">
      <c r="A1191" s="4" t="s">
        <v>2984</v>
      </c>
      <c r="B1191" s="7">
        <f>IFERROR(__xludf.DUMMYFUNCTION("GOOGLEFINANCE(A1191, ""price"")"),405.8)</f>
        <v>405.8</v>
      </c>
      <c r="C1191" s="7">
        <f>IFERROR(__xludf.DUMMYFUNCTION("GOOGLEFINANCE(A1191, ""changepct"")"),-1.34)</f>
        <v>-1.34</v>
      </c>
      <c r="D1191" s="9">
        <f>IFERROR(__xludf.DUMMYFUNCTION("GOOGLEFINANCE(A1191, ""priceopen"")"),411.3)</f>
        <v>411.3</v>
      </c>
      <c r="E1191" s="9">
        <f>IFERROR(__xludf.DUMMYFUNCTION("GOOGLEFINANCE(A1191, ""high"")"),414.95)</f>
        <v>414.95</v>
      </c>
      <c r="F1191" s="9">
        <f>IFERROR(__xludf.DUMMYFUNCTION("GOOGLEFINANCE(A1191, ""low"")"),405.6)</f>
        <v>405.6</v>
      </c>
      <c r="G1191" s="9">
        <f>IFERROR(__xludf.DUMMYFUNCTION("GOOGLEFINANCE(A1191, ""price"")"),405.8)</f>
        <v>405.8</v>
      </c>
      <c r="H1191" s="9">
        <f>IFERROR(__xludf.DUMMYFUNCTION("MAX(INDEX(GOOGLEFINANCE(A1191, ""high"", TODAY()-30, TODAY()), 0, 2))"),477.6)</f>
        <v>477.6</v>
      </c>
      <c r="I1191" s="9">
        <f>IFERROR(__xludf.DUMMYFUNCTION("MIN(INDEX(GOOGLEFINANCE(A1191, ""low"", TODAY()-30, TODAY()), 0, 2))"),405.6)</f>
        <v>405.6</v>
      </c>
      <c r="J1191" s="9">
        <f>IFERROR(__xludf.DUMMYFUNCTION("GOOGLEFINANCE(A1191, ""high52"")"),556.0)</f>
        <v>556</v>
      </c>
      <c r="K1191" s="9">
        <f>IFERROR(__xludf.DUMMYFUNCTION("GOOGLEFINANCE(A1191, ""low52"")"),342.05)</f>
        <v>342.05</v>
      </c>
      <c r="L1191" s="9">
        <f t="shared" si="1"/>
        <v>0.2701438849</v>
      </c>
      <c r="M1191" s="9">
        <f t="shared" si="2"/>
        <v>0.1863762608</v>
      </c>
      <c r="N1191" s="9">
        <f t="shared" si="3"/>
        <v>0.02305226824</v>
      </c>
      <c r="O1191" s="9">
        <f t="shared" si="4"/>
        <v>0.002777777778</v>
      </c>
      <c r="P1191" s="9" t="str">
        <f>IFERROR(__xludf.DUMMYFUNCTION("GOOGLEFINANCE(A1191, ""pe"")"),"#N/A")</f>
        <v>#N/A</v>
      </c>
      <c r="Q1191" s="9">
        <f>IFERROR(__xludf.DUMMYFUNCTION("IFERROR(GOOGLEFINANCE(A1191, ""volume"") / GOOGLEFINANCE(A1191, ""volumeavg""), 0)"),0.0)</f>
        <v>0</v>
      </c>
      <c r="R1191" s="9">
        <f>IFERROR(__xludf.DUMMYFUNCTION("AVERAGE(INDEX(GOOGLEFINANCE(A1191, ""price"", TODAY()-30, TODAY()), 0, 2))"),425.88913043478254)</f>
        <v>425.8891304</v>
      </c>
      <c r="S1191" s="9">
        <f>IFERROR(__xludf.DUMMYFUNCTION("AVERAGE(INDEX(GOOGLEFINANCE(A1191, ""price"", TODAY()-75, TODAY()), 0, 2))"),420.8396226415093)</f>
        <v>420.8396226</v>
      </c>
      <c r="T1191" s="9">
        <f>IFERROR(__xludf.DUMMYFUNCTION("AVERAGE(INDEX(GOOGLEFINANCE(A1191, ""price"", TODAY()-300, TODAY()), 0, 2))"),427.2848258706469)</f>
        <v>427.2848259</v>
      </c>
      <c r="U1191" s="9">
        <f t="shared" si="5"/>
        <v>-0.04716985948</v>
      </c>
      <c r="V1191" s="15">
        <f>IFERROR(__xludf.DUMMYFUNCTION("LET(hist, GOOGLEFINANCE(A1191,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rs))))))"),33.705932932072244)</f>
        <v>33.70593293</v>
      </c>
      <c r="W1191" s="16" t="str">
        <f>IFERROR(__xludf.DUMMYFUNCTION("IFERROR(GOOGLEFINANCE(A1191, ""volume"") / GOOGLEFINANCE(A1191, ""volumeavg""), )"),"")</f>
        <v/>
      </c>
      <c r="X1191" s="9">
        <f>IFERROR(__xludf.DUMMYFUNCTION("B1191 * GOOGLEFINANCE(A1191, ""volume"")"),7722374.0)</f>
        <v>7722374</v>
      </c>
      <c r="Y1191" s="9">
        <f>IFERROR(__xludf.DUMMYFUNCTION("IFERROR(((B1191 - GOOGLEFINANCE(A1191, ""priceopen"")) / GOOGLEFINANCE(A1191, ""priceopen"")) * GOOGLEFINANCE(A1191, ""volume""), 0)"),-254.47362022854364)</f>
        <v>-254.4736202</v>
      </c>
    </row>
    <row r="1192">
      <c r="A1192" s="4" t="s">
        <v>2985</v>
      </c>
      <c r="B1192" s="7">
        <f>IFERROR(__xludf.DUMMYFUNCTION("GOOGLEFINANCE(A1192, ""price"")"),301.99)</f>
        <v>301.99</v>
      </c>
      <c r="C1192" s="7">
        <f>IFERROR(__xludf.DUMMYFUNCTION("GOOGLEFINANCE(A1192, ""changepct"")"),6.08)</f>
        <v>6.08</v>
      </c>
      <c r="D1192" s="9">
        <f>IFERROR(__xludf.DUMMYFUNCTION("GOOGLEFINANCE(A1192, ""priceopen"")"),302.9)</f>
        <v>302.9</v>
      </c>
      <c r="E1192" s="9">
        <f>IFERROR(__xludf.DUMMYFUNCTION("GOOGLEFINANCE(A1192, ""high"")"),320.5)</f>
        <v>320.5</v>
      </c>
      <c r="F1192" s="9">
        <f>IFERROR(__xludf.DUMMYFUNCTION("GOOGLEFINANCE(A1192, ""low"")"),293.0)</f>
        <v>293</v>
      </c>
      <c r="G1192" s="9">
        <f>IFERROR(__xludf.DUMMYFUNCTION("GOOGLEFINANCE(A1192, ""price"")"),301.99)</f>
        <v>301.99</v>
      </c>
      <c r="H1192" s="9">
        <f>IFERROR(__xludf.DUMMYFUNCTION("MAX(INDEX(GOOGLEFINANCE(A1192, ""high"", TODAY()-30, TODAY()), 0, 2))"),320.5)</f>
        <v>320.5</v>
      </c>
      <c r="I1192" s="9">
        <f>IFERROR(__xludf.DUMMYFUNCTION("MIN(INDEX(GOOGLEFINANCE(A1192, ""low"", TODAY()-30, TODAY()), 0, 2))"),215.0)</f>
        <v>215</v>
      </c>
      <c r="J1192" s="9">
        <f>IFERROR(__xludf.DUMMYFUNCTION("GOOGLEFINANCE(A1192, ""high52"")"),320.5)</f>
        <v>320.5</v>
      </c>
      <c r="K1192" s="9">
        <f>IFERROR(__xludf.DUMMYFUNCTION("GOOGLEFINANCE(A1192, ""low52"")"),87.15)</f>
        <v>87.15</v>
      </c>
      <c r="L1192" s="9">
        <f t="shared" si="1"/>
        <v>0.05775351014</v>
      </c>
      <c r="M1192" s="9">
        <f t="shared" si="2"/>
        <v>2.465174986</v>
      </c>
      <c r="N1192" s="9">
        <f t="shared" si="3"/>
        <v>0.09385665529</v>
      </c>
      <c r="O1192" s="9">
        <f t="shared" si="4"/>
        <v>0.824549763</v>
      </c>
      <c r="P1192" s="9">
        <f>IFERROR(__xludf.DUMMYFUNCTION("GOOGLEFINANCE(A1192, ""pe"")"),62.39)</f>
        <v>62.39</v>
      </c>
      <c r="Q1192" s="9">
        <f>IFERROR(__xludf.DUMMYFUNCTION("IFERROR(GOOGLEFINANCE(A1192, ""volume"") / GOOGLEFINANCE(A1192, ""volumeavg""), 0)"),0.0)</f>
        <v>0</v>
      </c>
      <c r="R1192" s="9">
        <f>IFERROR(__xludf.DUMMYFUNCTION("AVERAGE(INDEX(GOOGLEFINANCE(A1192, ""price"", TODAY()-30, TODAY()), 0, 2))"),235.99304347826083)</f>
        <v>235.9930435</v>
      </c>
      <c r="S1192" s="9">
        <f>IFERROR(__xludf.DUMMYFUNCTION("AVERAGE(INDEX(GOOGLEFINANCE(A1192, ""price"", TODAY()-75, TODAY()), 0, 2))"),207.0835849056603)</f>
        <v>207.0835849</v>
      </c>
      <c r="T1192" s="9">
        <f>IFERROR(__xludf.DUMMYFUNCTION("AVERAGE(INDEX(GOOGLEFINANCE(A1192, ""price"", TODAY()-300, TODAY()), 0, 2))"),142.0465346534654)</f>
        <v>142.0465347</v>
      </c>
      <c r="U1192" s="9">
        <f t="shared" si="5"/>
        <v>0.2796563642</v>
      </c>
      <c r="V1192" s="15">
        <f>IFERROR(__xludf.DUMMYFUNCTION("LET(hist, GOOGLEFINANCE(A1192,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rs))))))"),80.31457360530842)</f>
        <v>80.31457361</v>
      </c>
      <c r="W1192" s="16" t="str">
        <f>IFERROR(__xludf.DUMMYFUNCTION("IFERROR(GOOGLEFINANCE(A1192, ""volume"") / GOOGLEFINANCE(A1192, ""volumeavg""), )"),"")</f>
        <v/>
      </c>
      <c r="X1192" s="9">
        <f>IFERROR(__xludf.DUMMYFUNCTION("B1192 * GOOGLEFINANCE(A1192, ""volume"")"),2.60782014948E9)</f>
        <v>2607820149</v>
      </c>
      <c r="Y1192" s="9">
        <f>IFERROR(__xludf.DUMMYFUNCTION("IFERROR(((B1192 - GOOGLEFINANCE(A1192, ""priceopen"")) / GOOGLEFINANCE(A1192, ""priceopen"")) * GOOGLEFINANCE(A1192, ""volume""), 0)"),-25943.41802575017)</f>
        <v>-25943.41803</v>
      </c>
    </row>
    <row r="1193">
      <c r="A1193" s="4" t="s">
        <v>2986</v>
      </c>
      <c r="B1193" s="7">
        <f>IFERROR(__xludf.DUMMYFUNCTION("GOOGLEFINANCE(A1193, ""price"")"),92.81)</f>
        <v>92.81</v>
      </c>
      <c r="C1193" s="7">
        <f>IFERROR(__xludf.DUMMYFUNCTION("GOOGLEFINANCE(A1193, ""changepct"")"),-5.0)</f>
        <v>-5</v>
      </c>
      <c r="D1193" s="9">
        <f>IFERROR(__xludf.DUMMYFUNCTION("GOOGLEFINANCE(A1193, ""priceopen"")"),97.8)</f>
        <v>97.8</v>
      </c>
      <c r="E1193" s="9">
        <f>IFERROR(__xludf.DUMMYFUNCTION("GOOGLEFINANCE(A1193, ""high"")"),97.8)</f>
        <v>97.8</v>
      </c>
      <c r="F1193" s="9">
        <f>IFERROR(__xludf.DUMMYFUNCTION("GOOGLEFINANCE(A1193, ""low"")"),92.81)</f>
        <v>92.81</v>
      </c>
      <c r="G1193" s="9">
        <f>IFERROR(__xludf.DUMMYFUNCTION("GOOGLEFINANCE(A1193, ""price"")"),92.81)</f>
        <v>92.81</v>
      </c>
      <c r="H1193" s="9">
        <f>IFERROR(__xludf.DUMMYFUNCTION("MAX(INDEX(GOOGLEFINANCE(A1193, ""high"", TODAY()-30, TODAY()), 0, 2))"),99.72)</f>
        <v>99.72</v>
      </c>
      <c r="I1193" s="9">
        <f>IFERROR(__xludf.DUMMYFUNCTION("MIN(INDEX(GOOGLEFINANCE(A1193, ""low"", TODAY()-30, TODAY()), 0, 2))"),86.41)</f>
        <v>86.41</v>
      </c>
      <c r="J1193" s="9">
        <f>IFERROR(__xludf.DUMMYFUNCTION("GOOGLEFINANCE(A1193, ""high52"")"),117.35)</f>
        <v>117.35</v>
      </c>
      <c r="K1193" s="9">
        <f>IFERROR(__xludf.DUMMYFUNCTION("GOOGLEFINANCE(A1193, ""low52"")"),42.51)</f>
        <v>42.51</v>
      </c>
      <c r="L1193" s="9">
        <f t="shared" si="1"/>
        <v>0.209118023</v>
      </c>
      <c r="M1193" s="9">
        <f t="shared" si="2"/>
        <v>1.183251</v>
      </c>
      <c r="N1193" s="9">
        <f t="shared" si="3"/>
        <v>0.053765758</v>
      </c>
      <c r="O1193" s="9">
        <f t="shared" si="4"/>
        <v>0.4808414726</v>
      </c>
      <c r="P1193" s="9">
        <f>IFERROR(__xludf.DUMMYFUNCTION("GOOGLEFINANCE(A1193, ""pe"")"),34.25)</f>
        <v>34.25</v>
      </c>
      <c r="Q1193" s="9">
        <f>IFERROR(__xludf.DUMMYFUNCTION("IFERROR(GOOGLEFINANCE(A1193, ""volume"") / GOOGLEFINANCE(A1193, ""volumeavg""), 0)"),0.0)</f>
        <v>0</v>
      </c>
      <c r="R1193" s="9">
        <f>IFERROR(__xludf.DUMMYFUNCTION("AVERAGE(INDEX(GOOGLEFINANCE(A1193, ""price"", TODAY()-30, TODAY()), 0, 2))"),92.75652173913043)</f>
        <v>92.75652174</v>
      </c>
      <c r="S1193" s="9">
        <f>IFERROR(__xludf.DUMMYFUNCTION("AVERAGE(INDEX(GOOGLEFINANCE(A1193, ""price"", TODAY()-75, TODAY()), 0, 2))"),96.4501886792453)</f>
        <v>96.45018868</v>
      </c>
      <c r="T1193" s="9">
        <f>IFERROR(__xludf.DUMMYFUNCTION("AVERAGE(INDEX(GOOGLEFINANCE(A1193, ""price"", TODAY()-300, TODAY()), 0, 2))"),72.1022424242424)</f>
        <v>72.10224242</v>
      </c>
      <c r="U1193" s="9">
        <f t="shared" si="5"/>
        <v>0.000576544483</v>
      </c>
      <c r="V1193" s="15">
        <f>IFERROR(__xludf.DUMMYFUNCTION("LET(hist, GOOGLEFINANCE(A1193,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rs))))))"),61.25827814569537)</f>
        <v>61.25827815</v>
      </c>
      <c r="W1193" s="16" t="str">
        <f>IFERROR(__xludf.DUMMYFUNCTION("IFERROR(GOOGLEFINANCE(A1193, ""volume"") / GOOGLEFINANCE(A1193, ""volumeavg""), )"),"")</f>
        <v/>
      </c>
      <c r="X1193" s="9">
        <f>IFERROR(__xludf.DUMMYFUNCTION("B1193 * GOOGLEFINANCE(A1193, ""volume"")"),1.0876106908E8)</f>
        <v>108761069.1</v>
      </c>
      <c r="Y1193" s="9">
        <f>IFERROR(__xludf.DUMMYFUNCTION("IFERROR(((B1193 - GOOGLEFINANCE(A1193, ""priceopen"")) / GOOGLEFINANCE(A1193, ""priceopen"")) * GOOGLEFINANCE(A1193, ""volume""), 0)"),-59791.62903885475)</f>
        <v>-59791.62904</v>
      </c>
    </row>
    <row r="1194">
      <c r="A1194" s="4" t="s">
        <v>2987</v>
      </c>
      <c r="B1194" s="7">
        <f>IFERROR(__xludf.DUMMYFUNCTION("GOOGLEFINANCE(A1194, ""price"")"),34.95)</f>
        <v>34.95</v>
      </c>
      <c r="C1194" s="7">
        <f>IFERROR(__xludf.DUMMYFUNCTION("GOOGLEFINANCE(A1194, ""changepct"")"),-1.6)</f>
        <v>-1.6</v>
      </c>
      <c r="D1194" s="9">
        <f>IFERROR(__xludf.DUMMYFUNCTION("GOOGLEFINANCE(A1194, ""priceopen"")"),35.5)</f>
        <v>35.5</v>
      </c>
      <c r="E1194" s="9">
        <f>IFERROR(__xludf.DUMMYFUNCTION("GOOGLEFINANCE(A1194, ""high"")"),35.6)</f>
        <v>35.6</v>
      </c>
      <c r="F1194" s="9">
        <f>IFERROR(__xludf.DUMMYFUNCTION("GOOGLEFINANCE(A1194, ""low"")"),34.5)</f>
        <v>34.5</v>
      </c>
      <c r="G1194" s="9">
        <f>IFERROR(__xludf.DUMMYFUNCTION("GOOGLEFINANCE(A1194, ""price"")"),34.95)</f>
        <v>34.95</v>
      </c>
      <c r="H1194" s="9">
        <f>IFERROR(__xludf.DUMMYFUNCTION("MAX(INDEX(GOOGLEFINANCE(A1194, ""high"", TODAY()-30, TODAY()), 0, 2))"),40.0)</f>
        <v>40</v>
      </c>
      <c r="I1194" s="9">
        <f>IFERROR(__xludf.DUMMYFUNCTION("MIN(INDEX(GOOGLEFINANCE(A1194, ""low"", TODAY()-30, TODAY()), 0, 2))"),34.0)</f>
        <v>34</v>
      </c>
      <c r="J1194" s="9">
        <f>IFERROR(__xludf.DUMMYFUNCTION("GOOGLEFINANCE(A1194, ""high52"")"),46.12)</f>
        <v>46.12</v>
      </c>
      <c r="K1194" s="9">
        <f>IFERROR(__xludf.DUMMYFUNCTION("GOOGLEFINANCE(A1194, ""low52"")"),26.25)</f>
        <v>26.25</v>
      </c>
      <c r="L1194" s="9">
        <f t="shared" si="1"/>
        <v>0.2421942758</v>
      </c>
      <c r="M1194" s="9">
        <f t="shared" si="2"/>
        <v>0.3314285714</v>
      </c>
      <c r="N1194" s="9">
        <f t="shared" si="3"/>
        <v>0.03188405797</v>
      </c>
      <c r="O1194" s="9">
        <f t="shared" si="4"/>
        <v>0.1583333333</v>
      </c>
      <c r="P1194" s="9">
        <f>IFERROR(__xludf.DUMMYFUNCTION("GOOGLEFINANCE(A1194, ""pe"")"),61.32)</f>
        <v>61.32</v>
      </c>
      <c r="Q1194" s="9">
        <f>IFERROR(__xludf.DUMMYFUNCTION("IFERROR(GOOGLEFINANCE(A1194, ""volume"") / GOOGLEFINANCE(A1194, ""volumeavg""), 0)"),0.0)</f>
        <v>0</v>
      </c>
      <c r="R1194" s="9">
        <f>IFERROR(__xludf.DUMMYFUNCTION("AVERAGE(INDEX(GOOGLEFINANCE(A1194, ""price"", TODAY()-30, TODAY()), 0, 2))"),36.18782608695651)</f>
        <v>36.18782609</v>
      </c>
      <c r="S1194" s="9">
        <f>IFERROR(__xludf.DUMMYFUNCTION("AVERAGE(INDEX(GOOGLEFINANCE(A1194, ""price"", TODAY()-75, TODAY()), 0, 2))"),39.2322641509434)</f>
        <v>39.23226415</v>
      </c>
      <c r="T1194" s="9">
        <f>IFERROR(__xludf.DUMMYFUNCTION("AVERAGE(INDEX(GOOGLEFINANCE(A1194, ""price"", TODAY()-300, TODAY()), 0, 2))"),35.60648514851486)</f>
        <v>35.60648515</v>
      </c>
      <c r="U1194" s="9">
        <f t="shared" si="5"/>
        <v>-0.034205594</v>
      </c>
      <c r="V1194" s="15">
        <f>IFERROR(__xludf.DUMMYFUNCTION("LET(hist, GOOGLEFINANCE(A1194,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rs))))))"),50.465838509316754)</f>
        <v>50.46583851</v>
      </c>
      <c r="W1194" s="16" t="str">
        <f>IFERROR(__xludf.DUMMYFUNCTION("IFERROR(GOOGLEFINANCE(A1194, ""volume"") / GOOGLEFINANCE(A1194, ""volumeavg""), )"),"")</f>
        <v/>
      </c>
      <c r="X1194" s="9">
        <f>IFERROR(__xludf.DUMMYFUNCTION("B1194 * GOOGLEFINANCE(A1194, ""volume"")"),1.4328102000000002E7)</f>
        <v>14328102</v>
      </c>
      <c r="Y1194" s="9">
        <f>IFERROR(__xludf.DUMMYFUNCTION("IFERROR(((B1194 - GOOGLEFINANCE(A1194, ""priceopen"")) / GOOGLEFINANCE(A1194, ""priceopen"")) * GOOGLEFINANCE(A1194, ""volume""), 0)"),-6351.492957746446)</f>
        <v>-6351.492958</v>
      </c>
    </row>
    <row r="1195">
      <c r="A1195" s="4" t="s">
        <v>2988</v>
      </c>
      <c r="B1195" s="7">
        <f>IFERROR(__xludf.DUMMYFUNCTION("GOOGLEFINANCE(A1195, ""price"")"),808.1)</f>
        <v>808.1</v>
      </c>
      <c r="C1195" s="7">
        <f>IFERROR(__xludf.DUMMYFUNCTION("GOOGLEFINANCE(A1195, ""changepct"")"),-2.48)</f>
        <v>-2.48</v>
      </c>
      <c r="D1195" s="9">
        <f>IFERROR(__xludf.DUMMYFUNCTION("GOOGLEFINANCE(A1195, ""priceopen"")"),821.05)</f>
        <v>821.05</v>
      </c>
      <c r="E1195" s="9">
        <f>IFERROR(__xludf.DUMMYFUNCTION("GOOGLEFINANCE(A1195, ""high"")"),831.85)</f>
        <v>831.85</v>
      </c>
      <c r="F1195" s="9">
        <f>IFERROR(__xludf.DUMMYFUNCTION("GOOGLEFINANCE(A1195, ""low"")"),806.2)</f>
        <v>806.2</v>
      </c>
      <c r="G1195" s="9">
        <f>IFERROR(__xludf.DUMMYFUNCTION("GOOGLEFINANCE(A1195, ""price"")"),808.1)</f>
        <v>808.1</v>
      </c>
      <c r="H1195" s="9">
        <f>IFERROR(__xludf.DUMMYFUNCTION("MAX(INDEX(GOOGLEFINANCE(A1195, ""high"", TODAY()-30, TODAY()), 0, 2))"),920.0)</f>
        <v>920</v>
      </c>
      <c r="I1195" s="9">
        <f>IFERROR(__xludf.DUMMYFUNCTION("MIN(INDEX(GOOGLEFINANCE(A1195, ""low"", TODAY()-30, TODAY()), 0, 2))"),785.5)</f>
        <v>785.5</v>
      </c>
      <c r="J1195" s="9">
        <f>IFERROR(__xludf.DUMMYFUNCTION("GOOGLEFINANCE(A1195, ""high52"")"),1186.6)</f>
        <v>1186.6</v>
      </c>
      <c r="K1195" s="9">
        <f>IFERROR(__xludf.DUMMYFUNCTION("GOOGLEFINANCE(A1195, ""low52"")"),605.05)</f>
        <v>605.05</v>
      </c>
      <c r="L1195" s="9">
        <f t="shared" si="1"/>
        <v>0.3189785943</v>
      </c>
      <c r="M1195" s="9">
        <f t="shared" si="2"/>
        <v>0.3355920998</v>
      </c>
      <c r="N1195" s="9">
        <f t="shared" si="3"/>
        <v>0.03181592657</v>
      </c>
      <c r="O1195" s="9">
        <f t="shared" si="4"/>
        <v>0.1680297398</v>
      </c>
      <c r="P1195" s="9">
        <f>IFERROR(__xludf.DUMMYFUNCTION("GOOGLEFINANCE(A1195, ""pe"")"),31.03)</f>
        <v>31.03</v>
      </c>
      <c r="Q1195" s="9">
        <f>IFERROR(__xludf.DUMMYFUNCTION("IFERROR(GOOGLEFINANCE(A1195, ""volume"") / GOOGLEFINANCE(A1195, ""volumeavg""), 0)"),0.0)</f>
        <v>0</v>
      </c>
      <c r="R1195" s="9">
        <f>IFERROR(__xludf.DUMMYFUNCTION("AVERAGE(INDEX(GOOGLEFINANCE(A1195, ""price"", TODAY()-30, TODAY()), 0, 2))"),821.2434782608697)</f>
        <v>821.2434783</v>
      </c>
      <c r="S1195" s="9">
        <f>IFERROR(__xludf.DUMMYFUNCTION("AVERAGE(INDEX(GOOGLEFINANCE(A1195, ""price"", TODAY()-75, TODAY()), 0, 2))"),825.5292452830188)</f>
        <v>825.5292453</v>
      </c>
      <c r="T1195" s="9">
        <f>IFERROR(__xludf.DUMMYFUNCTION("AVERAGE(INDEX(GOOGLEFINANCE(A1195, ""price"", TODAY()-300, TODAY()), 0, 2))"),800.4487623762371)</f>
        <v>800.4487624</v>
      </c>
      <c r="U1195" s="9">
        <f t="shared" si="5"/>
        <v>-0.01600436242</v>
      </c>
      <c r="V1195" s="15">
        <f>IFERROR(__xludf.DUMMYFUNCTION("LET(hist, GOOGLEFINANCE(A1195,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rs))))))"),47.06069272322847)</f>
        <v>47.06069272</v>
      </c>
      <c r="W1195" s="16" t="str">
        <f>IFERROR(__xludf.DUMMYFUNCTION("IFERROR(GOOGLEFINANCE(A1195, ""volume"") / GOOGLEFINANCE(A1195, ""volumeavg""), )"),"")</f>
        <v/>
      </c>
      <c r="X1195" s="9">
        <f>IFERROR(__xludf.DUMMYFUNCTION("B1195 * GOOGLEFINANCE(A1195, ""volume"")"),1.62824069E7)</f>
        <v>16282406.9</v>
      </c>
      <c r="Y1195" s="9">
        <f>IFERROR(__xludf.DUMMYFUNCTION("IFERROR(((B1195 - GOOGLEFINANCE(A1195, ""priceopen"")) / GOOGLEFINANCE(A1195, ""priceopen"")) * GOOGLEFINANCE(A1195, ""volume""), 0)"),-317.7998294866313)</f>
        <v>-317.7998295</v>
      </c>
    </row>
    <row r="1196">
      <c r="A1196" s="4" t="s">
        <v>2989</v>
      </c>
      <c r="B1196" s="7">
        <f>IFERROR(__xludf.DUMMYFUNCTION("GOOGLEFINANCE(A1196, ""price"")"),83.75)</f>
        <v>83.75</v>
      </c>
      <c r="C1196" s="7">
        <f>IFERROR(__xludf.DUMMYFUNCTION("GOOGLEFINANCE(A1196, ""changepct"")"),0.46)</f>
        <v>0.46</v>
      </c>
      <c r="D1196" s="9">
        <f>IFERROR(__xludf.DUMMYFUNCTION("GOOGLEFINANCE(A1196, ""priceopen"")"),83.13)</f>
        <v>83.13</v>
      </c>
      <c r="E1196" s="9">
        <f>IFERROR(__xludf.DUMMYFUNCTION("GOOGLEFINANCE(A1196, ""high"")"),84.28)</f>
        <v>84.28</v>
      </c>
      <c r="F1196" s="9">
        <f>IFERROR(__xludf.DUMMYFUNCTION("GOOGLEFINANCE(A1196, ""low"")"),82.47)</f>
        <v>82.47</v>
      </c>
      <c r="G1196" s="9">
        <f>IFERROR(__xludf.DUMMYFUNCTION("GOOGLEFINANCE(A1196, ""price"")"),83.75)</f>
        <v>83.75</v>
      </c>
      <c r="H1196" s="9">
        <f>IFERROR(__xludf.DUMMYFUNCTION("MAX(INDEX(GOOGLEFINANCE(A1196, ""high"", TODAY()-30, TODAY()), 0, 2))"),105.11)</f>
        <v>105.11</v>
      </c>
      <c r="I1196" s="9">
        <f>IFERROR(__xludf.DUMMYFUNCTION("MIN(INDEX(GOOGLEFINANCE(A1196, ""low"", TODAY()-30, TODAY()), 0, 2))"),80.25)</f>
        <v>80.25</v>
      </c>
      <c r="J1196" s="9">
        <f>IFERROR(__xludf.DUMMYFUNCTION("GOOGLEFINANCE(A1196, ""high52"")"),143.0)</f>
        <v>143</v>
      </c>
      <c r="K1196" s="9">
        <f>IFERROR(__xludf.DUMMYFUNCTION("GOOGLEFINANCE(A1196, ""low52"")"),57.51)</f>
        <v>57.51</v>
      </c>
      <c r="L1196" s="9">
        <f t="shared" si="1"/>
        <v>0.4143356643</v>
      </c>
      <c r="M1196" s="9">
        <f t="shared" si="2"/>
        <v>0.456268475</v>
      </c>
      <c r="N1196" s="9">
        <f t="shared" si="3"/>
        <v>0.0219473748</v>
      </c>
      <c r="O1196" s="9">
        <f t="shared" si="4"/>
        <v>0.1407884151</v>
      </c>
      <c r="P1196" s="9">
        <f>IFERROR(__xludf.DUMMYFUNCTION("GOOGLEFINANCE(A1196, ""pe"")"),51.38)</f>
        <v>51.38</v>
      </c>
      <c r="Q1196" s="9">
        <f>IFERROR(__xludf.DUMMYFUNCTION("IFERROR(GOOGLEFINANCE(A1196, ""volume"") / GOOGLEFINANCE(A1196, ""volumeavg""), 0)"),0.0)</f>
        <v>0</v>
      </c>
      <c r="R1196" s="9">
        <f>IFERROR(__xludf.DUMMYFUNCTION("AVERAGE(INDEX(GOOGLEFINANCE(A1196, ""price"", TODAY()-30, TODAY()), 0, 2))"),91.66391304347825)</f>
        <v>91.66391304</v>
      </c>
      <c r="S1196" s="9">
        <f>IFERROR(__xludf.DUMMYFUNCTION("AVERAGE(INDEX(GOOGLEFINANCE(A1196, ""price"", TODAY()-75, TODAY()), 0, 2))"),97.08509433962263)</f>
        <v>97.08509434</v>
      </c>
      <c r="T1196" s="9">
        <f>IFERROR(__xludf.DUMMYFUNCTION("AVERAGE(INDEX(GOOGLEFINANCE(A1196, ""price"", TODAY()-300, TODAY()), 0, 2))"),88.36490099009902)</f>
        <v>88.36490099</v>
      </c>
      <c r="U1196" s="9">
        <f t="shared" si="5"/>
        <v>-0.08633619034</v>
      </c>
      <c r="V1196" s="15">
        <f>IFERROR(__xludf.DUMMYFUNCTION("LET(hist, GOOGLEFINANCE(A1196,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rs))))))"),23.641813413263392)</f>
        <v>23.64181341</v>
      </c>
      <c r="W1196" s="16" t="str">
        <f>IFERROR(__xludf.DUMMYFUNCTION("IFERROR(GOOGLEFINANCE(A1196, ""volume"") / GOOGLEFINANCE(A1196, ""volumeavg""), )"),"")</f>
        <v/>
      </c>
      <c r="X1196" s="9">
        <f>IFERROR(__xludf.DUMMYFUNCTION("B1196 * GOOGLEFINANCE(A1196, ""volume"")"),3.147057E7)</f>
        <v>31470570</v>
      </c>
      <c r="Y1196" s="9">
        <f>IFERROR(__xludf.DUMMYFUNCTION("IFERROR(((B1196 - GOOGLEFINANCE(A1196, ""priceopen"")) / GOOGLEFINANCE(A1196, ""priceopen"")) * GOOGLEFINANCE(A1196, ""volume""), 0)"),2802.5521472392847)</f>
        <v>2802.552147</v>
      </c>
    </row>
    <row r="1197">
      <c r="A1197" s="4" t="s">
        <v>2990</v>
      </c>
      <c r="B1197" s="7">
        <f>IFERROR(__xludf.DUMMYFUNCTION("GOOGLEFINANCE(A1197, ""price"")"),405.4)</f>
        <v>405.4</v>
      </c>
      <c r="C1197" s="7">
        <f>IFERROR(__xludf.DUMMYFUNCTION("GOOGLEFINANCE(A1197, ""changepct"")"),0.9)</f>
        <v>0.9</v>
      </c>
      <c r="D1197" s="9">
        <f>IFERROR(__xludf.DUMMYFUNCTION("GOOGLEFINANCE(A1197, ""priceopen"")"),405.0)</f>
        <v>405</v>
      </c>
      <c r="E1197" s="9">
        <f>IFERROR(__xludf.DUMMYFUNCTION("GOOGLEFINANCE(A1197, ""high"")"),411.9)</f>
        <v>411.9</v>
      </c>
      <c r="F1197" s="9">
        <f>IFERROR(__xludf.DUMMYFUNCTION("GOOGLEFINANCE(A1197, ""low"")"),401.15)</f>
        <v>401.15</v>
      </c>
      <c r="G1197" s="9">
        <f>IFERROR(__xludf.DUMMYFUNCTION("GOOGLEFINANCE(A1197, ""price"")"),405.4)</f>
        <v>405.4</v>
      </c>
      <c r="H1197" s="9">
        <f>IFERROR(__xludf.DUMMYFUNCTION("MAX(INDEX(GOOGLEFINANCE(A1197, ""high"", TODAY()-30, TODAY()), 0, 2))"),420.0)</f>
        <v>420</v>
      </c>
      <c r="I1197" s="9">
        <f>IFERROR(__xludf.DUMMYFUNCTION("MIN(INDEX(GOOGLEFINANCE(A1197, ""low"", TODAY()-30, TODAY()), 0, 2))"),327.65)</f>
        <v>327.65</v>
      </c>
      <c r="J1197" s="9">
        <f>IFERROR(__xludf.DUMMYFUNCTION("GOOGLEFINANCE(A1197, ""high52"")"),420.0)</f>
        <v>420</v>
      </c>
      <c r="K1197" s="9">
        <f>IFERROR(__xludf.DUMMYFUNCTION("GOOGLEFINANCE(A1197, ""low52"")"),230.0)</f>
        <v>230</v>
      </c>
      <c r="L1197" s="9">
        <f t="shared" si="1"/>
        <v>0.03476190476</v>
      </c>
      <c r="M1197" s="9">
        <f t="shared" si="2"/>
        <v>0.7626086957</v>
      </c>
      <c r="N1197" s="9">
        <f t="shared" si="3"/>
        <v>0.02679795588</v>
      </c>
      <c r="O1197" s="9">
        <f t="shared" si="4"/>
        <v>0.8419057932</v>
      </c>
      <c r="P1197" s="9">
        <f>IFERROR(__xludf.DUMMYFUNCTION("GOOGLEFINANCE(A1197, ""pe"")"),35.75)</f>
        <v>35.75</v>
      </c>
      <c r="Q1197" s="9">
        <f>IFERROR(__xludf.DUMMYFUNCTION("IFERROR(GOOGLEFINANCE(A1197, ""volume"") / GOOGLEFINANCE(A1197, ""volumeavg""), 0)"),0.0)</f>
        <v>0</v>
      </c>
      <c r="R1197" s="9">
        <f>IFERROR(__xludf.DUMMYFUNCTION("AVERAGE(INDEX(GOOGLEFINANCE(A1197, ""price"", TODAY()-30, TODAY()), 0, 2))"),379.8021739130434)</f>
        <v>379.8021739</v>
      </c>
      <c r="S1197" s="9">
        <f>IFERROR(__xludf.DUMMYFUNCTION("AVERAGE(INDEX(GOOGLEFINANCE(A1197, ""price"", TODAY()-75, TODAY()), 0, 2))"),366.4311320754716)</f>
        <v>366.4311321</v>
      </c>
      <c r="T1197" s="9">
        <f>IFERROR(__xludf.DUMMYFUNCTION("AVERAGE(INDEX(GOOGLEFINANCE(A1197, ""price"", TODAY()-300, TODAY()), 0, 2))"),314.1159405940595)</f>
        <v>314.1159406</v>
      </c>
      <c r="U1197" s="9">
        <f t="shared" si="5"/>
        <v>0.06739778718</v>
      </c>
      <c r="V1197" s="15">
        <f>IFERROR(__xludf.DUMMYFUNCTION("LET(hist, GOOGLEFINANCE(A1197,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rs))))))"),72.88557213930346)</f>
        <v>72.88557214</v>
      </c>
      <c r="W1197" s="16" t="str">
        <f>IFERROR(__xludf.DUMMYFUNCTION("IFERROR(GOOGLEFINANCE(A1197, ""volume"") / GOOGLEFINANCE(A1197, ""volumeavg""), )"),"")</f>
        <v/>
      </c>
      <c r="X1197" s="9">
        <f>IFERROR(__xludf.DUMMYFUNCTION("B1197 * GOOGLEFINANCE(A1197, ""volume"")"),8.167026239999999E7)</f>
        <v>81670262.4</v>
      </c>
      <c r="Y1197" s="9">
        <f>IFERROR(__xludf.DUMMYFUNCTION("IFERROR(((B1197 - GOOGLEFINANCE(A1197, ""priceopen"")) / GOOGLEFINANCE(A1197, ""priceopen"")) * GOOGLEFINANCE(A1197, ""volume""), 0)"),198.9688888888776)</f>
        <v>198.9688889</v>
      </c>
    </row>
    <row r="1198">
      <c r="A1198" s="4" t="s">
        <v>2991</v>
      </c>
      <c r="B1198" s="7">
        <f>IFERROR(__xludf.DUMMYFUNCTION("GOOGLEFINANCE(A1198, ""price"")"),67.2)</f>
        <v>67.2</v>
      </c>
      <c r="C1198" s="7">
        <f>IFERROR(__xludf.DUMMYFUNCTION("GOOGLEFINANCE(A1198, ""changepct"")"),-0.36)</f>
        <v>-0.36</v>
      </c>
      <c r="D1198" s="9">
        <f>IFERROR(__xludf.DUMMYFUNCTION("GOOGLEFINANCE(A1198, ""priceopen"")"),67.84)</f>
        <v>67.84</v>
      </c>
      <c r="E1198" s="9">
        <f>IFERROR(__xludf.DUMMYFUNCTION("GOOGLEFINANCE(A1198, ""high"")"),67.84)</f>
        <v>67.84</v>
      </c>
      <c r="F1198" s="9">
        <f>IFERROR(__xludf.DUMMYFUNCTION("GOOGLEFINANCE(A1198, ""low"")"),66.87)</f>
        <v>66.87</v>
      </c>
      <c r="G1198" s="9">
        <f>IFERROR(__xludf.DUMMYFUNCTION("GOOGLEFINANCE(A1198, ""price"")"),67.2)</f>
        <v>67.2</v>
      </c>
      <c r="H1198" s="9">
        <f>IFERROR(__xludf.DUMMYFUNCTION("MAX(INDEX(GOOGLEFINANCE(A1198, ""high"", TODAY()-30, TODAY()), 0, 2))"),70.97)</f>
        <v>70.97</v>
      </c>
      <c r="I1198" s="9">
        <f>IFERROR(__xludf.DUMMYFUNCTION("MIN(INDEX(GOOGLEFINANCE(A1198, ""low"", TODAY()-30, TODAY()), 0, 2))"),58.35)</f>
        <v>58.35</v>
      </c>
      <c r="J1198" s="9">
        <f>IFERROR(__xludf.DUMMYFUNCTION("GOOGLEFINANCE(A1198, ""high52"")"),71.01)</f>
        <v>71.01</v>
      </c>
      <c r="K1198" s="9">
        <f>IFERROR(__xludf.DUMMYFUNCTION("GOOGLEFINANCE(A1198, ""low52"")"),47.8)</f>
        <v>47.8</v>
      </c>
      <c r="L1198" s="9">
        <f t="shared" si="1"/>
        <v>0.05365441487</v>
      </c>
      <c r="M1198" s="9">
        <f t="shared" si="2"/>
        <v>0.4058577406</v>
      </c>
      <c r="N1198" s="9">
        <f t="shared" si="3"/>
        <v>0.01450575744</v>
      </c>
      <c r="O1198" s="9">
        <f t="shared" si="4"/>
        <v>0.7012678288</v>
      </c>
      <c r="P1198" s="9">
        <f>IFERROR(__xludf.DUMMYFUNCTION("GOOGLEFINANCE(A1198, ""pe"")"),56.47)</f>
        <v>56.47</v>
      </c>
      <c r="Q1198" s="9">
        <f>IFERROR(__xludf.DUMMYFUNCTION("IFERROR(GOOGLEFINANCE(A1198, ""volume"") / GOOGLEFINANCE(A1198, ""volumeavg""), 0)"),0.0)</f>
        <v>0</v>
      </c>
      <c r="R1198" s="9">
        <f>IFERROR(__xludf.DUMMYFUNCTION("AVERAGE(INDEX(GOOGLEFINANCE(A1198, ""price"", TODAY()-30, TODAY()), 0, 2))"),66.23652173913042)</f>
        <v>66.23652174</v>
      </c>
      <c r="S1198" s="9">
        <f>IFERROR(__xludf.DUMMYFUNCTION("AVERAGE(INDEX(GOOGLEFINANCE(A1198, ""price"", TODAY()-75, TODAY()), 0, 2))"),60.77698113207549)</f>
        <v>60.77698113</v>
      </c>
      <c r="T1198" s="9">
        <f>IFERROR(__xludf.DUMMYFUNCTION("AVERAGE(INDEX(GOOGLEFINANCE(A1198, ""price"", TODAY()-300, TODAY()), 0, 2))"),59.2751700680272)</f>
        <v>59.27517007</v>
      </c>
      <c r="U1198" s="9">
        <f t="shared" si="5"/>
        <v>0.01454602741</v>
      </c>
      <c r="V1198" s="15">
        <f>IFERROR(__xludf.DUMMYFUNCTION("LET(hist, GOOGLEFINANCE(A1198,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rs))))))"),57.17592592592593)</f>
        <v>57.17592593</v>
      </c>
      <c r="W1198" s="16" t="str">
        <f>IFERROR(__xludf.DUMMYFUNCTION("IFERROR(GOOGLEFINANCE(A1198, ""volume"") / GOOGLEFINANCE(A1198, ""volumeavg""), )"),"")</f>
        <v/>
      </c>
      <c r="X1198" s="9">
        <f>IFERROR(__xludf.DUMMYFUNCTION("B1198 * GOOGLEFINANCE(A1198, ""volume"")"),6.529488E7)</f>
        <v>65294880</v>
      </c>
      <c r="Y1198" s="9">
        <f>IFERROR(__xludf.DUMMYFUNCTION("IFERROR(((B1198 - GOOGLEFINANCE(A1198, ""priceopen"")) / GOOGLEFINANCE(A1198, ""priceopen"")) * GOOGLEFINANCE(A1198, ""volume""), 0)"),-9166.509433962272)</f>
        <v>-9166.509434</v>
      </c>
    </row>
    <row r="1199">
      <c r="A1199" s="4" t="s">
        <v>2992</v>
      </c>
      <c r="B1199" s="7">
        <f>IFERROR(__xludf.DUMMYFUNCTION("GOOGLEFINANCE(A1199, ""price"")"),801.0)</f>
        <v>801</v>
      </c>
      <c r="C1199" s="7">
        <f>IFERROR(__xludf.DUMMYFUNCTION("GOOGLEFINANCE(A1199, ""changepct"")"),2.92)</f>
        <v>2.92</v>
      </c>
      <c r="D1199" s="9">
        <f>IFERROR(__xludf.DUMMYFUNCTION("GOOGLEFINANCE(A1199, ""priceopen"")"),780.0)</f>
        <v>780</v>
      </c>
      <c r="E1199" s="9">
        <f>IFERROR(__xludf.DUMMYFUNCTION("GOOGLEFINANCE(A1199, ""high"")"),820.0)</f>
        <v>820</v>
      </c>
      <c r="F1199" s="9">
        <f>IFERROR(__xludf.DUMMYFUNCTION("GOOGLEFINANCE(A1199, ""low"")"),770.0)</f>
        <v>770</v>
      </c>
      <c r="G1199" s="9">
        <f>IFERROR(__xludf.DUMMYFUNCTION("GOOGLEFINANCE(A1199, ""price"")"),801.0)</f>
        <v>801</v>
      </c>
      <c r="H1199" s="9">
        <f>IFERROR(__xludf.DUMMYFUNCTION("MAX(INDEX(GOOGLEFINANCE(A1199, ""high"", TODAY()-30, TODAY()), 0, 2))"),876.0)</f>
        <v>876</v>
      </c>
      <c r="I1199" s="9">
        <f>IFERROR(__xludf.DUMMYFUNCTION("MIN(INDEX(GOOGLEFINANCE(A1199, ""low"", TODAY()-30, TODAY()), 0, 2))"),763.3)</f>
        <v>763.3</v>
      </c>
      <c r="J1199" s="9">
        <f>IFERROR(__xludf.DUMMYFUNCTION("GOOGLEFINANCE(A1199, ""high52"")"),876.0)</f>
        <v>876</v>
      </c>
      <c r="K1199" s="9">
        <f>IFERROR(__xludf.DUMMYFUNCTION("GOOGLEFINANCE(A1199, ""low52"")"),711.25)</f>
        <v>711.25</v>
      </c>
      <c r="L1199" s="9">
        <f t="shared" si="1"/>
        <v>0.08561643836</v>
      </c>
      <c r="M1199" s="9">
        <f t="shared" si="2"/>
        <v>0.1261862917</v>
      </c>
      <c r="N1199" s="9">
        <f t="shared" si="3"/>
        <v>0.06493506494</v>
      </c>
      <c r="O1199" s="9">
        <f t="shared" si="4"/>
        <v>0.3345164153</v>
      </c>
      <c r="P1199" s="9">
        <f>IFERROR(__xludf.DUMMYFUNCTION("GOOGLEFINANCE(A1199, ""pe"")"),30.04)</f>
        <v>30.04</v>
      </c>
      <c r="Q1199" s="9">
        <f>IFERROR(__xludf.DUMMYFUNCTION("IFERROR(GOOGLEFINANCE(A1199, ""volume"") / GOOGLEFINANCE(A1199, ""volumeavg""), 0)"),0.0)</f>
        <v>0</v>
      </c>
      <c r="R1199" s="9">
        <f>IFERROR(__xludf.DUMMYFUNCTION("AVERAGE(INDEX(GOOGLEFINANCE(A1199, ""price"", TODAY()-30, TODAY()), 0, 2))"),818.2652173913043)</f>
        <v>818.2652174</v>
      </c>
      <c r="S1199" s="9">
        <f>IFERROR(__xludf.DUMMYFUNCTION("AVERAGE(INDEX(GOOGLEFINANCE(A1199, ""price"", TODAY()-75, TODAY()), 0, 2))"),781.5358490566036)</f>
        <v>781.5358491</v>
      </c>
      <c r="T1199" s="9">
        <f>IFERROR(__xludf.DUMMYFUNCTION("AVERAGE(INDEX(GOOGLEFINANCE(A1199, ""price"", TODAY()-300, TODAY()), 0, 2))"),777.2762500000001)</f>
        <v>777.27625</v>
      </c>
      <c r="U1199" s="9">
        <f t="shared" si="5"/>
        <v>-0.02109978162</v>
      </c>
      <c r="V1199" s="15">
        <f>IFERROR(__xludf.DUMMYFUNCTION("LET(hist, GOOGLEFINANCE(A1199,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rs))))))"),46.3085472347182)</f>
        <v>46.30854723</v>
      </c>
      <c r="W1199" s="16" t="str">
        <f>IFERROR(__xludf.DUMMYFUNCTION("IFERROR(GOOGLEFINANCE(A1199, ""volume"") / GOOGLEFINANCE(A1199, ""volumeavg""), )"),"")</f>
        <v/>
      </c>
      <c r="X1199" s="9">
        <f>IFERROR(__xludf.DUMMYFUNCTION("B1199 * GOOGLEFINANCE(A1199, ""volume"")"),1.8186705E7)</f>
        <v>18186705</v>
      </c>
      <c r="Y1199" s="9">
        <f>IFERROR(__xludf.DUMMYFUNCTION("IFERROR(((B1199 - GOOGLEFINANCE(A1199, ""priceopen"")) / GOOGLEFINANCE(A1199, ""priceopen"")) * GOOGLEFINANCE(A1199, ""volume""), 0)"),611.2884615384615)</f>
        <v>611.2884615</v>
      </c>
    </row>
    <row r="1200">
      <c r="A1200" s="4" t="s">
        <v>2993</v>
      </c>
      <c r="B1200" s="7">
        <f>IFERROR(__xludf.DUMMYFUNCTION("GOOGLEFINANCE(A1200, ""price"")"),40.66)</f>
        <v>40.66</v>
      </c>
      <c r="C1200" s="7">
        <f>IFERROR(__xludf.DUMMYFUNCTION("GOOGLEFINANCE(A1200, ""changepct"")"),-0.59)</f>
        <v>-0.59</v>
      </c>
      <c r="D1200" s="9">
        <f>IFERROR(__xludf.DUMMYFUNCTION("GOOGLEFINANCE(A1200, ""priceopen"")"),41.0)</f>
        <v>41</v>
      </c>
      <c r="E1200" s="9">
        <f>IFERROR(__xludf.DUMMYFUNCTION("GOOGLEFINANCE(A1200, ""high"")"),41.13)</f>
        <v>41.13</v>
      </c>
      <c r="F1200" s="9">
        <f>IFERROR(__xludf.DUMMYFUNCTION("GOOGLEFINANCE(A1200, ""low"")"),40.51)</f>
        <v>40.51</v>
      </c>
      <c r="G1200" s="9">
        <f>IFERROR(__xludf.DUMMYFUNCTION("GOOGLEFINANCE(A1200, ""price"")"),40.66)</f>
        <v>40.66</v>
      </c>
      <c r="H1200" s="9">
        <f>IFERROR(__xludf.DUMMYFUNCTION("MAX(INDEX(GOOGLEFINANCE(A1200, ""high"", TODAY()-30, TODAY()), 0, 2))"),43.87)</f>
        <v>43.87</v>
      </c>
      <c r="I1200" s="9">
        <f>IFERROR(__xludf.DUMMYFUNCTION("MIN(INDEX(GOOGLEFINANCE(A1200, ""low"", TODAY()-30, TODAY()), 0, 2))"),40.51)</f>
        <v>40.51</v>
      </c>
      <c r="J1200" s="9">
        <f>IFERROR(__xludf.DUMMYFUNCTION("GOOGLEFINANCE(A1200, ""high52"")"),55.0)</f>
        <v>55</v>
      </c>
      <c r="K1200" s="9">
        <f>IFERROR(__xludf.DUMMYFUNCTION("GOOGLEFINANCE(A1200, ""low52"")"),34.3)</f>
        <v>34.3</v>
      </c>
      <c r="L1200" s="9">
        <f t="shared" si="1"/>
        <v>0.2607272727</v>
      </c>
      <c r="M1200" s="9">
        <f t="shared" si="2"/>
        <v>0.1854227405</v>
      </c>
      <c r="N1200" s="9">
        <f t="shared" si="3"/>
        <v>0.015304863</v>
      </c>
      <c r="O1200" s="9">
        <f t="shared" si="4"/>
        <v>0.04464285714</v>
      </c>
      <c r="P1200" s="9">
        <f>IFERROR(__xludf.DUMMYFUNCTION("GOOGLEFINANCE(A1200, ""pe"")"),66.66)</f>
        <v>66.66</v>
      </c>
      <c r="Q1200" s="9">
        <f>IFERROR(__xludf.DUMMYFUNCTION("IFERROR(GOOGLEFINANCE(A1200, ""volume"") / GOOGLEFINANCE(A1200, ""volumeavg""), 0)"),0.0)</f>
        <v>0</v>
      </c>
      <c r="R1200" s="9">
        <f>IFERROR(__xludf.DUMMYFUNCTION("AVERAGE(INDEX(GOOGLEFINANCE(A1200, ""price"", TODAY()-30, TODAY()), 0, 2))"),41.61130434782608)</f>
        <v>41.61130435</v>
      </c>
      <c r="S1200" s="9">
        <f>IFERROR(__xludf.DUMMYFUNCTION("AVERAGE(INDEX(GOOGLEFINANCE(A1200, ""price"", TODAY()-75, TODAY()), 0, 2))"),43.25226415094341)</f>
        <v>43.25226415</v>
      </c>
      <c r="T1200" s="9">
        <f>IFERROR(__xludf.DUMMYFUNCTION("AVERAGE(INDEX(GOOGLEFINANCE(A1200, ""price"", TODAY()-300, TODAY()), 0, 2))"),45.37410891089108)</f>
        <v>45.37410891</v>
      </c>
      <c r="U1200" s="9">
        <f t="shared" si="5"/>
        <v>-0.02286168056</v>
      </c>
      <c r="V1200" s="15">
        <f>IFERROR(__xludf.DUMMYFUNCTION("LET(hist, GOOGLEFINANCE(A1200,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rs))))))"),39.66597077244257)</f>
        <v>39.66597077</v>
      </c>
      <c r="W1200" s="16" t="str">
        <f>IFERROR(__xludf.DUMMYFUNCTION("IFERROR(GOOGLEFINANCE(A1200, ""volume"") / GOOGLEFINANCE(A1200, ""volumeavg""), )"),"")</f>
        <v/>
      </c>
      <c r="X1200" s="9">
        <f>IFERROR(__xludf.DUMMYFUNCTION("B1200 * GOOGLEFINANCE(A1200, ""volume"")"),5158534.199999999)</f>
        <v>5158534.2</v>
      </c>
      <c r="Y1200" s="9">
        <f>IFERROR(__xludf.DUMMYFUNCTION("IFERROR(((B1200 - GOOGLEFINANCE(A1200, ""priceopen"")) / GOOGLEFINANCE(A1200, ""priceopen"")) * GOOGLEFINANCE(A1200, ""volume""), 0)"),-1052.0926829268399)</f>
        <v>-1052.092683</v>
      </c>
    </row>
    <row r="1201">
      <c r="A1201" s="4" t="s">
        <v>2994</v>
      </c>
      <c r="B1201" s="7">
        <f>IFERROR(__xludf.DUMMYFUNCTION("GOOGLEFINANCE(A1201, ""price"")"),128.0)</f>
        <v>128</v>
      </c>
      <c r="C1201" s="7">
        <f>IFERROR(__xludf.DUMMYFUNCTION("GOOGLEFINANCE(A1201, ""changepct"")"),-11.23)</f>
        <v>-11.23</v>
      </c>
      <c r="D1201" s="9">
        <f>IFERROR(__xludf.DUMMYFUNCTION("GOOGLEFINANCE(A1201, ""priceopen"")"),143.0)</f>
        <v>143</v>
      </c>
      <c r="E1201" s="9">
        <f>IFERROR(__xludf.DUMMYFUNCTION("GOOGLEFINANCE(A1201, ""high"")"),145.44)</f>
        <v>145.44</v>
      </c>
      <c r="F1201" s="9">
        <f>IFERROR(__xludf.DUMMYFUNCTION("GOOGLEFINANCE(A1201, ""low"")"),124.92)</f>
        <v>124.92</v>
      </c>
      <c r="G1201" s="9">
        <f>IFERROR(__xludf.DUMMYFUNCTION("GOOGLEFINANCE(A1201, ""price"")"),128.0)</f>
        <v>128</v>
      </c>
      <c r="H1201" s="9">
        <f>IFERROR(__xludf.DUMMYFUNCTION("MAX(INDEX(GOOGLEFINANCE(A1201, ""high"", TODAY()-30, TODAY()), 0, 2))"),157.99)</f>
        <v>157.99</v>
      </c>
      <c r="I1201" s="9">
        <f>IFERROR(__xludf.DUMMYFUNCTION("MIN(INDEX(GOOGLEFINANCE(A1201, ""low"", TODAY()-30, TODAY()), 0, 2))"),124.02)</f>
        <v>124.02</v>
      </c>
      <c r="J1201" s="9">
        <f>IFERROR(__xludf.DUMMYFUNCTION("GOOGLEFINANCE(A1201, ""high52"")"),157.99)</f>
        <v>157.99</v>
      </c>
      <c r="K1201" s="9">
        <f>IFERROR(__xludf.DUMMYFUNCTION("GOOGLEFINANCE(A1201, ""low52"")"),65.73)</f>
        <v>65.73</v>
      </c>
      <c r="L1201" s="9">
        <f t="shared" si="1"/>
        <v>0.1898221406</v>
      </c>
      <c r="M1201" s="9">
        <f t="shared" si="2"/>
        <v>0.9473604138</v>
      </c>
      <c r="N1201" s="9">
        <f t="shared" si="3"/>
        <v>0.1642651297</v>
      </c>
      <c r="O1201" s="9">
        <f t="shared" si="4"/>
        <v>0.1171622019</v>
      </c>
      <c r="P1201" s="9">
        <f>IFERROR(__xludf.DUMMYFUNCTION("GOOGLEFINANCE(A1201, ""pe"")"),34.32)</f>
        <v>34.32</v>
      </c>
      <c r="Q1201" s="9">
        <f>IFERROR(__xludf.DUMMYFUNCTION("IFERROR(GOOGLEFINANCE(A1201, ""volume"") / GOOGLEFINANCE(A1201, ""volumeavg""), 0)"),0.0)</f>
        <v>0</v>
      </c>
      <c r="R1201" s="9">
        <f>IFERROR(__xludf.DUMMYFUNCTION("AVERAGE(INDEX(GOOGLEFINANCE(A1201, ""price"", TODAY()-30, TODAY()), 0, 2))"),138.74826086956523)</f>
        <v>138.7482609</v>
      </c>
      <c r="S1201" s="9">
        <f>IFERROR(__xludf.DUMMYFUNCTION("AVERAGE(INDEX(GOOGLEFINANCE(A1201, ""price"", TODAY()-75, TODAY()), 0, 2))"),135.58264150943396)</f>
        <v>135.5826415</v>
      </c>
      <c r="T1201" s="9">
        <f>IFERROR(__xludf.DUMMYFUNCTION("AVERAGE(INDEX(GOOGLEFINANCE(A1201, ""price"", TODAY()-300, TODAY()), 0, 2))"),119.8548514851485)</f>
        <v>119.8548515</v>
      </c>
      <c r="U1201" s="9">
        <f t="shared" si="5"/>
        <v>-0.07746591418</v>
      </c>
      <c r="V1201" s="15">
        <f>IFERROR(__xludf.DUMMYFUNCTION("LET(hist, GOOGLEFINANCE(A1201,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rs))))))"),44.34993924665856)</f>
        <v>44.34993925</v>
      </c>
      <c r="W1201" s="16" t="str">
        <f>IFERROR(__xludf.DUMMYFUNCTION("IFERROR(GOOGLEFINANCE(A1201, ""volume"") / GOOGLEFINANCE(A1201, ""volumeavg""), )"),"")</f>
        <v/>
      </c>
      <c r="X1201" s="9">
        <f>IFERROR(__xludf.DUMMYFUNCTION("B1201 * GOOGLEFINANCE(A1201, ""volume"")"),1.122070912E9)</f>
        <v>1122070912</v>
      </c>
      <c r="Y1201" s="9">
        <f>IFERROR(__xludf.DUMMYFUNCTION("IFERROR(((B1201 - GOOGLEFINANCE(A1201, ""priceopen"")) / GOOGLEFINANCE(A1201, ""priceopen"")) * GOOGLEFINANCE(A1201, ""volume""), 0)"),-919529.2657342658)</f>
        <v>-919529.2657</v>
      </c>
    </row>
    <row r="1202">
      <c r="A1202" s="4" t="s">
        <v>2995</v>
      </c>
      <c r="B1202" s="7">
        <f>IFERROR(__xludf.DUMMYFUNCTION("GOOGLEFINANCE(A1202, ""price"")"),453.85)</f>
        <v>453.85</v>
      </c>
      <c r="C1202" s="7">
        <f>IFERROR(__xludf.DUMMYFUNCTION("GOOGLEFINANCE(A1202, ""changepct"")"),2.87)</f>
        <v>2.87</v>
      </c>
      <c r="D1202" s="9">
        <f>IFERROR(__xludf.DUMMYFUNCTION("GOOGLEFINANCE(A1202, ""priceopen"")"),445.95)</f>
        <v>445.95</v>
      </c>
      <c r="E1202" s="9">
        <f>IFERROR(__xludf.DUMMYFUNCTION("GOOGLEFINANCE(A1202, ""high"")"),464.95)</f>
        <v>464.95</v>
      </c>
      <c r="F1202" s="9">
        <f>IFERROR(__xludf.DUMMYFUNCTION("GOOGLEFINANCE(A1202, ""low"")"),440.0)</f>
        <v>440</v>
      </c>
      <c r="G1202" s="9">
        <f>IFERROR(__xludf.DUMMYFUNCTION("GOOGLEFINANCE(A1202, ""price"")"),453.85)</f>
        <v>453.85</v>
      </c>
      <c r="H1202" s="9">
        <f>IFERROR(__xludf.DUMMYFUNCTION("MAX(INDEX(GOOGLEFINANCE(A1202, ""high"", TODAY()-30, TODAY()), 0, 2))"),469.0)</f>
        <v>469</v>
      </c>
      <c r="I1202" s="9">
        <f>IFERROR(__xludf.DUMMYFUNCTION("MIN(INDEX(GOOGLEFINANCE(A1202, ""low"", TODAY()-30, TODAY()), 0, 2))"),352.3)</f>
        <v>352.3</v>
      </c>
      <c r="J1202" s="9">
        <f>IFERROR(__xludf.DUMMYFUNCTION("GOOGLEFINANCE(A1202, ""high52"")"),520.0)</f>
        <v>520</v>
      </c>
      <c r="K1202" s="9">
        <f>IFERROR(__xludf.DUMMYFUNCTION("GOOGLEFINANCE(A1202, ""low52"")"),236.8)</f>
        <v>236.8</v>
      </c>
      <c r="L1202" s="9">
        <f t="shared" si="1"/>
        <v>0.1272115385</v>
      </c>
      <c r="M1202" s="9">
        <f t="shared" si="2"/>
        <v>0.9165962838</v>
      </c>
      <c r="N1202" s="9">
        <f t="shared" si="3"/>
        <v>0.05670454545</v>
      </c>
      <c r="O1202" s="9">
        <f t="shared" si="4"/>
        <v>0.8701799486</v>
      </c>
      <c r="P1202" s="9">
        <f>IFERROR(__xludf.DUMMYFUNCTION("GOOGLEFINANCE(A1202, ""pe"")"),24.21)</f>
        <v>24.21</v>
      </c>
      <c r="Q1202" s="9">
        <f>IFERROR(__xludf.DUMMYFUNCTION("IFERROR(GOOGLEFINANCE(A1202, ""volume"") / GOOGLEFINANCE(A1202, ""volumeavg""), 0)"),0.0)</f>
        <v>0</v>
      </c>
      <c r="R1202" s="9">
        <f>IFERROR(__xludf.DUMMYFUNCTION("AVERAGE(INDEX(GOOGLEFINANCE(A1202, ""price"", TODAY()-30, TODAY()), 0, 2))"),406.0065217391304)</f>
        <v>406.0065217</v>
      </c>
      <c r="S1202" s="9">
        <f>IFERROR(__xludf.DUMMYFUNCTION("AVERAGE(INDEX(GOOGLEFINANCE(A1202, ""price"", TODAY()-75, TODAY()), 0, 2))"),370.09528301886786)</f>
        <v>370.095283</v>
      </c>
      <c r="T1202" s="9">
        <f>IFERROR(__xludf.DUMMYFUNCTION("AVERAGE(INDEX(GOOGLEFINANCE(A1202, ""price"", TODAY()-300, TODAY()), 0, 2))"),339.2209405940596)</f>
        <v>339.2209406</v>
      </c>
      <c r="U1202" s="9">
        <f t="shared" si="5"/>
        <v>0.1178391866</v>
      </c>
      <c r="V1202" s="15">
        <f>IFERROR(__xludf.DUMMYFUNCTION("LET(hist, GOOGLEFINANCE(A1202,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rs))))))"),68.26484018264838)</f>
        <v>68.26484018</v>
      </c>
      <c r="W1202" s="16" t="str">
        <f>IFERROR(__xludf.DUMMYFUNCTION("IFERROR(GOOGLEFINANCE(A1202, ""volume"") / GOOGLEFINANCE(A1202, ""volumeavg""), )"),"")</f>
        <v/>
      </c>
      <c r="X1202" s="9">
        <f>IFERROR(__xludf.DUMMYFUNCTION("B1202 * GOOGLEFINANCE(A1202, ""volume"")"),7.791392720500001E8)</f>
        <v>779139272.1</v>
      </c>
      <c r="Y1202" s="9">
        <f>IFERROR(__xludf.DUMMYFUNCTION("IFERROR(((B1202 - GOOGLEFINANCE(A1202, ""priceopen"")) / GOOGLEFINANCE(A1202, ""priceopen"")) * GOOGLEFINANCE(A1202, ""volume""), 0)"),30411.908734163153)</f>
        <v>30411.90873</v>
      </c>
    </row>
    <row r="1203">
      <c r="A1203" s="4" t="s">
        <v>2996</v>
      </c>
      <c r="B1203" s="7">
        <f>IFERROR(__xludf.DUMMYFUNCTION("GOOGLEFINANCE(A1203, ""price"")"),10.68)</f>
        <v>10.68</v>
      </c>
      <c r="C1203" s="7">
        <f>IFERROR(__xludf.DUMMYFUNCTION("GOOGLEFINANCE(A1203, ""changepct"")"),-0.74)</f>
        <v>-0.74</v>
      </c>
      <c r="D1203" s="9">
        <f>IFERROR(__xludf.DUMMYFUNCTION("GOOGLEFINANCE(A1203, ""priceopen"")"),10.76)</f>
        <v>10.76</v>
      </c>
      <c r="E1203" s="9">
        <f>IFERROR(__xludf.DUMMYFUNCTION("GOOGLEFINANCE(A1203, ""high"")"),10.85)</f>
        <v>10.85</v>
      </c>
      <c r="F1203" s="9">
        <f>IFERROR(__xludf.DUMMYFUNCTION("GOOGLEFINANCE(A1203, ""low"")"),10.62)</f>
        <v>10.62</v>
      </c>
      <c r="G1203" s="9">
        <f>IFERROR(__xludf.DUMMYFUNCTION("GOOGLEFINANCE(A1203, ""price"")"),10.68)</f>
        <v>10.68</v>
      </c>
      <c r="H1203" s="9">
        <f>IFERROR(__xludf.DUMMYFUNCTION("MAX(INDEX(GOOGLEFINANCE(A1203, ""high"", TODAY()-30, TODAY()), 0, 2))"),11.82)</f>
        <v>11.82</v>
      </c>
      <c r="I1203" s="9">
        <f>IFERROR(__xludf.DUMMYFUNCTION("MIN(INDEX(GOOGLEFINANCE(A1203, ""low"", TODAY()-30, TODAY()), 0, 2))"),10.51)</f>
        <v>10.51</v>
      </c>
      <c r="J1203" s="9">
        <f>IFERROR(__xludf.DUMMYFUNCTION("GOOGLEFINANCE(A1203, ""high52"")"),15.25)</f>
        <v>15.25</v>
      </c>
      <c r="K1203" s="9">
        <f>IFERROR(__xludf.DUMMYFUNCTION("GOOGLEFINANCE(A1203, ""low52"")"),8.76)</f>
        <v>8.76</v>
      </c>
      <c r="L1203" s="9">
        <f t="shared" si="1"/>
        <v>0.2996721311</v>
      </c>
      <c r="M1203" s="9">
        <f t="shared" si="2"/>
        <v>0.2191780822</v>
      </c>
      <c r="N1203" s="9">
        <f t="shared" si="3"/>
        <v>0.02165725047</v>
      </c>
      <c r="O1203" s="9">
        <f t="shared" si="4"/>
        <v>0.1297709924</v>
      </c>
      <c r="P1203" s="9">
        <f>IFERROR(__xludf.DUMMYFUNCTION("GOOGLEFINANCE(A1203, ""pe"")"),25.19)</f>
        <v>25.19</v>
      </c>
      <c r="Q1203" s="9">
        <f>IFERROR(__xludf.DUMMYFUNCTION("IFERROR(GOOGLEFINANCE(A1203, ""volume"") / GOOGLEFINANCE(A1203, ""volumeavg""), 0)"),0.0)</f>
        <v>0</v>
      </c>
      <c r="R1203" s="9">
        <f>IFERROR(__xludf.DUMMYFUNCTION("AVERAGE(INDEX(GOOGLEFINANCE(A1203, ""price"", TODAY()-30, TODAY()), 0, 2))"),10.915217391304349)</f>
        <v>10.91521739</v>
      </c>
      <c r="S1203" s="9">
        <f>IFERROR(__xludf.DUMMYFUNCTION("AVERAGE(INDEX(GOOGLEFINANCE(A1203, ""price"", TODAY()-75, TODAY()), 0, 2))"),11.032641509433956)</f>
        <v>11.03264151</v>
      </c>
      <c r="T1203" s="9">
        <f>IFERROR(__xludf.DUMMYFUNCTION("AVERAGE(INDEX(GOOGLEFINANCE(A1203, ""price"", TODAY()-300, TODAY()), 0, 2))"),11.462376237623761)</f>
        <v>11.46237624</v>
      </c>
      <c r="U1203" s="9">
        <f t="shared" si="5"/>
        <v>-0.02154949213</v>
      </c>
      <c r="V1203" s="15">
        <f>IFERROR(__xludf.DUMMYFUNCTION("LET(hist, GOOGLEFINANCE(A1203,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rs))))))"),51.23966942148758)</f>
        <v>51.23966942</v>
      </c>
      <c r="W1203" s="16" t="str">
        <f>IFERROR(__xludf.DUMMYFUNCTION("IFERROR(GOOGLEFINANCE(A1203, ""volume"") / GOOGLEFINANCE(A1203, ""volumeavg""), )"),"")</f>
        <v/>
      </c>
      <c r="X1203" s="9">
        <f>IFERROR(__xludf.DUMMYFUNCTION("B1203 * GOOGLEFINANCE(A1203, ""volume"")"),1.238616204E7)</f>
        <v>12386162.04</v>
      </c>
      <c r="Y1203" s="9">
        <f>IFERROR(__xludf.DUMMYFUNCTION("IFERROR(((B1203 - GOOGLEFINANCE(A1203, ""priceopen"")) / GOOGLEFINANCE(A1203, ""priceopen"")) * GOOGLEFINANCE(A1203, ""volume""), 0)"),-8622.698884758373)</f>
        <v>-8622.698885</v>
      </c>
    </row>
    <row r="1204">
      <c r="A1204" s="4" t="s">
        <v>2997</v>
      </c>
      <c r="B1204" s="7">
        <f>IFERROR(__xludf.DUMMYFUNCTION("GOOGLEFINANCE(A1204, ""price"")"),103.15)</f>
        <v>103.15</v>
      </c>
      <c r="C1204" s="7">
        <f>IFERROR(__xludf.DUMMYFUNCTION("GOOGLEFINANCE(A1204, ""changepct"")"),0.94)</f>
        <v>0.94</v>
      </c>
      <c r="D1204" s="9">
        <f>IFERROR(__xludf.DUMMYFUNCTION("GOOGLEFINANCE(A1204, ""priceopen"")"),102.89)</f>
        <v>102.89</v>
      </c>
      <c r="E1204" s="9">
        <f>IFERROR(__xludf.DUMMYFUNCTION("GOOGLEFINANCE(A1204, ""high"")"),104.76)</f>
        <v>104.76</v>
      </c>
      <c r="F1204" s="9">
        <f>IFERROR(__xludf.DUMMYFUNCTION("GOOGLEFINANCE(A1204, ""low"")"),100.25)</f>
        <v>100.25</v>
      </c>
      <c r="G1204" s="9">
        <f>IFERROR(__xludf.DUMMYFUNCTION("GOOGLEFINANCE(A1204, ""price"")"),103.15)</f>
        <v>103.15</v>
      </c>
      <c r="H1204" s="9">
        <f>IFERROR(__xludf.DUMMYFUNCTION("MAX(INDEX(GOOGLEFINANCE(A1204, ""high"", TODAY()-30, TODAY()), 0, 2))"),123.76)</f>
        <v>123.76</v>
      </c>
      <c r="I1204" s="9">
        <f>IFERROR(__xludf.DUMMYFUNCTION("MIN(INDEX(GOOGLEFINANCE(A1204, ""low"", TODAY()-30, TODAY()), 0, 2))"),100.25)</f>
        <v>100.25</v>
      </c>
      <c r="J1204" s="9">
        <f>IFERROR(__xludf.DUMMYFUNCTION("GOOGLEFINANCE(A1204, ""high52"")"),175.4)</f>
        <v>175.4</v>
      </c>
      <c r="K1204" s="9">
        <f>IFERROR(__xludf.DUMMYFUNCTION("GOOGLEFINANCE(A1204, ""low52"")"),100.25)</f>
        <v>100.25</v>
      </c>
      <c r="L1204" s="9">
        <f t="shared" si="1"/>
        <v>0.4119156214</v>
      </c>
      <c r="M1204" s="9">
        <f t="shared" si="2"/>
        <v>0.0289276808</v>
      </c>
      <c r="N1204" s="9">
        <f t="shared" si="3"/>
        <v>0.04498753117</v>
      </c>
      <c r="O1204" s="9">
        <f t="shared" si="4"/>
        <v>0.1233517652</v>
      </c>
      <c r="P1204" s="9">
        <f>IFERROR(__xludf.DUMMYFUNCTION("GOOGLEFINANCE(A1204, ""pe"")"),38.35)</f>
        <v>38.35</v>
      </c>
      <c r="Q1204" s="9">
        <f>IFERROR(__xludf.DUMMYFUNCTION("IFERROR(GOOGLEFINANCE(A1204, ""volume"") / GOOGLEFINANCE(A1204, ""volumeavg""), 0)"),0.0)</f>
        <v>0</v>
      </c>
      <c r="R1204" s="9">
        <f>IFERROR(__xludf.DUMMYFUNCTION("AVERAGE(INDEX(GOOGLEFINANCE(A1204, ""price"", TODAY()-30, TODAY()), 0, 2))"),110.23739130434782)</f>
        <v>110.2373913</v>
      </c>
      <c r="S1204" s="9">
        <f>IFERROR(__xludf.DUMMYFUNCTION("AVERAGE(INDEX(GOOGLEFINANCE(A1204, ""price"", TODAY()-75, TODAY()), 0, 2))"),115.48641509433955)</f>
        <v>115.4864151</v>
      </c>
      <c r="T1204" s="9">
        <f>IFERROR(__xludf.DUMMYFUNCTION("AVERAGE(INDEX(GOOGLEFINANCE(A1204, ""price"", TODAY()-300, TODAY()), 0, 2))"),130.9417647058824)</f>
        <v>130.9417647</v>
      </c>
      <c r="U1204" s="9">
        <f t="shared" si="5"/>
        <v>-0.06429208112</v>
      </c>
      <c r="V1204" s="15">
        <f>IFERROR(__xludf.DUMMYFUNCTION("LET(hist, GOOGLEFINANCE(A1204,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rs))))))"),22.71991365353479)</f>
        <v>22.71991365</v>
      </c>
      <c r="W1204" s="16" t="str">
        <f>IFERROR(__xludf.DUMMYFUNCTION("IFERROR(GOOGLEFINANCE(A1204, ""volume"") / GOOGLEFINANCE(A1204, ""volumeavg""), )"),"")</f>
        <v/>
      </c>
      <c r="X1204" s="9">
        <f>IFERROR(__xludf.DUMMYFUNCTION("B1204 * GOOGLEFINANCE(A1204, ""volume"")"),2.0391083970000002E8)</f>
        <v>203910839.7</v>
      </c>
      <c r="Y1204" s="9">
        <f>IFERROR(__xludf.DUMMYFUNCTION("IFERROR(((B1204 - GOOGLEFINANCE(A1204, ""priceopen"")) / GOOGLEFINANCE(A1204, ""priceopen"")) * GOOGLEFINANCE(A1204, ""volume""), 0)"),4995.411410244048)</f>
        <v>4995.41141</v>
      </c>
    </row>
    <row r="1205">
      <c r="A1205" s="4" t="s">
        <v>2998</v>
      </c>
      <c r="B1205" s="7">
        <f>IFERROR(__xludf.DUMMYFUNCTION("GOOGLEFINANCE(A1205, ""price"")"),293.0)</f>
        <v>293</v>
      </c>
      <c r="C1205" s="7">
        <f>IFERROR(__xludf.DUMMYFUNCTION("GOOGLEFINANCE(A1205, ""changepct"")"),-0.68)</f>
        <v>-0.68</v>
      </c>
      <c r="D1205" s="9">
        <f>IFERROR(__xludf.DUMMYFUNCTION("GOOGLEFINANCE(A1205, ""priceopen"")"),296.95)</f>
        <v>296.95</v>
      </c>
      <c r="E1205" s="9">
        <f>IFERROR(__xludf.DUMMYFUNCTION("GOOGLEFINANCE(A1205, ""high"")"),296.95)</f>
        <v>296.95</v>
      </c>
      <c r="F1205" s="9">
        <f>IFERROR(__xludf.DUMMYFUNCTION("GOOGLEFINANCE(A1205, ""low"")"),291.5)</f>
        <v>291.5</v>
      </c>
      <c r="G1205" s="9">
        <f>IFERROR(__xludf.DUMMYFUNCTION("GOOGLEFINANCE(A1205, ""price"")"),293.0)</f>
        <v>293</v>
      </c>
      <c r="H1205" s="9">
        <f>IFERROR(__xludf.DUMMYFUNCTION("MAX(INDEX(GOOGLEFINANCE(A1205, ""high"", TODAY()-30, TODAY()), 0, 2))"),331.0)</f>
        <v>331</v>
      </c>
      <c r="I1205" s="9">
        <f>IFERROR(__xludf.DUMMYFUNCTION("MIN(INDEX(GOOGLEFINANCE(A1205, ""low"", TODAY()-30, TODAY()), 0, 2))"),291.35)</f>
        <v>291.35</v>
      </c>
      <c r="J1205" s="9">
        <f>IFERROR(__xludf.DUMMYFUNCTION("GOOGLEFINANCE(A1205, ""high52"")"),434.9)</f>
        <v>434.9</v>
      </c>
      <c r="K1205" s="9">
        <f>IFERROR(__xludf.DUMMYFUNCTION("GOOGLEFINANCE(A1205, ""low52"")"),266.65)</f>
        <v>266.65</v>
      </c>
      <c r="L1205" s="9">
        <f t="shared" si="1"/>
        <v>0.3262819039</v>
      </c>
      <c r="M1205" s="9">
        <f t="shared" si="2"/>
        <v>0.09881867617</v>
      </c>
      <c r="N1205" s="9">
        <f t="shared" si="3"/>
        <v>0.01869639794</v>
      </c>
      <c r="O1205" s="9">
        <f t="shared" si="4"/>
        <v>0.04161412358</v>
      </c>
      <c r="P1205" s="9">
        <f>IFERROR(__xludf.DUMMYFUNCTION("GOOGLEFINANCE(A1205, ""pe"")"),20.33)</f>
        <v>20.33</v>
      </c>
      <c r="Q1205" s="9">
        <f>IFERROR(__xludf.DUMMYFUNCTION("IFERROR(GOOGLEFINANCE(A1205, ""volume"") / GOOGLEFINANCE(A1205, ""volumeavg""), 0)"),0.0)</f>
        <v>0</v>
      </c>
      <c r="R1205" s="9">
        <f>IFERROR(__xludf.DUMMYFUNCTION("AVERAGE(INDEX(GOOGLEFINANCE(A1205, ""price"", TODAY()-30, TODAY()), 0, 2))"),313.2369565217391)</f>
        <v>313.2369565</v>
      </c>
      <c r="S1205" s="9">
        <f>IFERROR(__xludf.DUMMYFUNCTION("AVERAGE(INDEX(GOOGLEFINANCE(A1205, ""price"", TODAY()-75, TODAY()), 0, 2))"),313.19056603773583)</f>
        <v>313.190566</v>
      </c>
      <c r="T1205" s="9">
        <f>IFERROR(__xludf.DUMMYFUNCTION("AVERAGE(INDEX(GOOGLEFINANCE(A1205, ""price"", TODAY()-300, TODAY()), 0, 2))"),332.5861386138614)</f>
        <v>332.5861386</v>
      </c>
      <c r="U1205" s="9">
        <f t="shared" si="5"/>
        <v>-0.0646059033</v>
      </c>
      <c r="V1205" s="15">
        <f>IFERROR(__xludf.DUMMYFUNCTION("LET(hist, GOOGLEFINANCE(A1205,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rs))))))"),36.616161616161634)</f>
        <v>36.61616162</v>
      </c>
      <c r="W1205" s="16" t="str">
        <f>IFERROR(__xludf.DUMMYFUNCTION("IFERROR(GOOGLEFINANCE(A1205, ""volume"") / GOOGLEFINANCE(A1205, ""volumeavg""), )"),"")</f>
        <v/>
      </c>
      <c r="X1205" s="9">
        <f>IFERROR(__xludf.DUMMYFUNCTION("B1205 * GOOGLEFINANCE(A1205, ""volume"")"),2794927.0)</f>
        <v>2794927</v>
      </c>
      <c r="Y1205" s="9">
        <f>IFERROR(__xludf.DUMMYFUNCTION("IFERROR(((B1205 - GOOGLEFINANCE(A1205, ""priceopen"")) / GOOGLEFINANCE(A1205, ""priceopen"")) * GOOGLEFINANCE(A1205, ""volume""), 0)"),-126.88684963798585)</f>
        <v>-126.8868496</v>
      </c>
    </row>
    <row r="1206">
      <c r="A1206" s="4" t="s">
        <v>2999</v>
      </c>
      <c r="B1206" s="7">
        <f>IFERROR(__xludf.DUMMYFUNCTION("GOOGLEFINANCE(A1206, ""price"")"),9.8)</f>
        <v>9.8</v>
      </c>
      <c r="C1206" s="7">
        <f>IFERROR(__xludf.DUMMYFUNCTION("GOOGLEFINANCE(A1206, ""changepct"")"),-0.81)</f>
        <v>-0.81</v>
      </c>
      <c r="D1206" s="9">
        <f>IFERROR(__xludf.DUMMYFUNCTION("GOOGLEFINANCE(A1206, ""priceopen"")"),9.87)</f>
        <v>9.87</v>
      </c>
      <c r="E1206" s="9">
        <f>IFERROR(__xludf.DUMMYFUNCTION("GOOGLEFINANCE(A1206, ""high"")"),10.01)</f>
        <v>10.01</v>
      </c>
      <c r="F1206" s="9">
        <f>IFERROR(__xludf.DUMMYFUNCTION("GOOGLEFINANCE(A1206, ""low"")"),9.7)</f>
        <v>9.7</v>
      </c>
      <c r="G1206" s="9">
        <f>IFERROR(__xludf.DUMMYFUNCTION("GOOGLEFINANCE(A1206, ""price"")"),9.8)</f>
        <v>9.8</v>
      </c>
      <c r="H1206" s="9">
        <f>IFERROR(__xludf.DUMMYFUNCTION("MAX(INDEX(GOOGLEFINANCE(A1206, ""high"", TODAY()-30, TODAY()), 0, 2))"),10.4)</f>
        <v>10.4</v>
      </c>
      <c r="I1206" s="9">
        <f>IFERROR(__xludf.DUMMYFUNCTION("MIN(INDEX(GOOGLEFINANCE(A1206, ""low"", TODAY()-30, TODAY()), 0, 2))"),7.7)</f>
        <v>7.7</v>
      </c>
      <c r="J1206" s="9">
        <f>IFERROR(__xludf.DUMMYFUNCTION("GOOGLEFINANCE(A1206, ""high52"")"),17.7)</f>
        <v>17.7</v>
      </c>
      <c r="K1206" s="9">
        <f>IFERROR(__xludf.DUMMYFUNCTION("GOOGLEFINANCE(A1206, ""low52"")"),7.7)</f>
        <v>7.7</v>
      </c>
      <c r="L1206" s="9">
        <f t="shared" si="1"/>
        <v>0.4463276836</v>
      </c>
      <c r="M1206" s="9">
        <f t="shared" si="2"/>
        <v>0.2727272727</v>
      </c>
      <c r="N1206" s="9">
        <f t="shared" si="3"/>
        <v>0.03195876289</v>
      </c>
      <c r="O1206" s="9">
        <f t="shared" si="4"/>
        <v>0.7777777778</v>
      </c>
      <c r="P1206" s="9">
        <f>IFERROR(__xludf.DUMMYFUNCTION("GOOGLEFINANCE(A1206, ""pe"")"),2.06)</f>
        <v>2.06</v>
      </c>
      <c r="Q1206" s="9">
        <f>IFERROR(__xludf.DUMMYFUNCTION("IFERROR(GOOGLEFINANCE(A1206, ""volume"") / GOOGLEFINANCE(A1206, ""volumeavg""), 0)"),0.0)</f>
        <v>0</v>
      </c>
      <c r="R1206" s="9">
        <f>IFERROR(__xludf.DUMMYFUNCTION("AVERAGE(INDEX(GOOGLEFINANCE(A1206, ""price"", TODAY()-30, TODAY()), 0, 2))"),9.530869565217392)</f>
        <v>9.530869565</v>
      </c>
      <c r="S1206" s="9">
        <f>IFERROR(__xludf.DUMMYFUNCTION("AVERAGE(INDEX(GOOGLEFINANCE(A1206, ""price"", TODAY()-75, TODAY()), 0, 2))"),9.964528301886794)</f>
        <v>9.964528302</v>
      </c>
      <c r="T1206" s="9">
        <f>IFERROR(__xludf.DUMMYFUNCTION("AVERAGE(INDEX(GOOGLEFINANCE(A1206, ""price"", TODAY()-300, TODAY()), 0, 2))"),10.575643564356428)</f>
        <v>10.57564356</v>
      </c>
      <c r="U1206" s="9">
        <f t="shared" si="5"/>
        <v>0.02823776288</v>
      </c>
      <c r="V1206" s="15">
        <f>IFERROR(__xludf.DUMMYFUNCTION("LET(hist, GOOGLEFINANCE(A1206,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rs))))))"),66.66666666666659)</f>
        <v>66.66666667</v>
      </c>
      <c r="W1206" s="16" t="str">
        <f>IFERROR(__xludf.DUMMYFUNCTION("IFERROR(GOOGLEFINANCE(A1206, ""volume"") / GOOGLEFINANCE(A1206, ""volumeavg""), )"),"")</f>
        <v/>
      </c>
      <c r="X1206" s="9">
        <f>IFERROR(__xludf.DUMMYFUNCTION("B1206 * GOOGLEFINANCE(A1206, ""volume"")"),5.76749306E7)</f>
        <v>57674930.6</v>
      </c>
      <c r="Y1206" s="9">
        <f>IFERROR(__xludf.DUMMYFUNCTION("IFERROR(((B1206 - GOOGLEFINANCE(A1206, ""priceopen"")) / GOOGLEFINANCE(A1206, ""priceopen"")) * GOOGLEFINANCE(A1206, ""volume""), 0)"),-41738.985815601955)</f>
        <v>-41738.98582</v>
      </c>
    </row>
    <row r="1207">
      <c r="A1207" s="4" t="s">
        <v>3000</v>
      </c>
      <c r="B1207" s="7">
        <f>IFERROR(__xludf.DUMMYFUNCTION("GOOGLEFINANCE(A1207, ""price"")"),252.0)</f>
        <v>252</v>
      </c>
      <c r="C1207" s="7">
        <f>IFERROR(__xludf.DUMMYFUNCTION("GOOGLEFINANCE(A1207, ""changepct"")"),-4.36)</f>
        <v>-4.36</v>
      </c>
      <c r="D1207" s="9">
        <f>IFERROR(__xludf.DUMMYFUNCTION("GOOGLEFINANCE(A1207, ""priceopen"")"),257.21)</f>
        <v>257.21</v>
      </c>
      <c r="E1207" s="9">
        <f>IFERROR(__xludf.DUMMYFUNCTION("GOOGLEFINANCE(A1207, ""high"")"),261.59)</f>
        <v>261.59</v>
      </c>
      <c r="F1207" s="9">
        <f>IFERROR(__xludf.DUMMYFUNCTION("GOOGLEFINANCE(A1207, ""low"")"),248.66)</f>
        <v>248.66</v>
      </c>
      <c r="G1207" s="9">
        <f>IFERROR(__xludf.DUMMYFUNCTION("GOOGLEFINANCE(A1207, ""price"")"),252.0)</f>
        <v>252</v>
      </c>
      <c r="H1207" s="9">
        <f>IFERROR(__xludf.DUMMYFUNCTION("MAX(INDEX(GOOGLEFINANCE(A1207, ""high"", TODAY()-30, TODAY()), 0, 2))"),273.7)</f>
        <v>273.7</v>
      </c>
      <c r="I1207" s="9">
        <f>IFERROR(__xludf.DUMMYFUNCTION("MIN(INDEX(GOOGLEFINANCE(A1207, ""low"", TODAY()-30, TODAY()), 0, 2))"),223.85)</f>
        <v>223.85</v>
      </c>
      <c r="J1207" s="9">
        <f>IFERROR(__xludf.DUMMYFUNCTION("GOOGLEFINANCE(A1207, ""high52"")"),330.0)</f>
        <v>330</v>
      </c>
      <c r="K1207" s="9">
        <f>IFERROR(__xludf.DUMMYFUNCTION("GOOGLEFINANCE(A1207, ""low52"")"),137.0)</f>
        <v>137</v>
      </c>
      <c r="L1207" s="9">
        <f t="shared" si="1"/>
        <v>0.2363636364</v>
      </c>
      <c r="M1207" s="9">
        <f t="shared" si="2"/>
        <v>0.8394160584</v>
      </c>
      <c r="N1207" s="9">
        <f t="shared" si="3"/>
        <v>0.0519987131</v>
      </c>
      <c r="O1207" s="9">
        <f t="shared" si="4"/>
        <v>0.5646940822</v>
      </c>
      <c r="P1207" s="9">
        <f>IFERROR(__xludf.DUMMYFUNCTION("GOOGLEFINANCE(A1207, ""pe"")"),48.46)</f>
        <v>48.46</v>
      </c>
      <c r="Q1207" s="9">
        <f>IFERROR(__xludf.DUMMYFUNCTION("IFERROR(GOOGLEFINANCE(A1207, ""volume"") / GOOGLEFINANCE(A1207, ""volumeavg""), 0)"),0.0)</f>
        <v>0</v>
      </c>
      <c r="R1207" s="9">
        <f>IFERROR(__xludf.DUMMYFUNCTION("AVERAGE(INDEX(GOOGLEFINANCE(A1207, ""price"", TODAY()-30, TODAY()), 0, 2))"),245.89173913043476)</f>
        <v>245.8917391</v>
      </c>
      <c r="S1207" s="9">
        <f>IFERROR(__xludf.DUMMYFUNCTION("AVERAGE(INDEX(GOOGLEFINANCE(A1207, ""price"", TODAY()-75, TODAY()), 0, 2))"),253.38811320754718)</f>
        <v>253.3881132</v>
      </c>
      <c r="T1207" s="9">
        <f>IFERROR(__xludf.DUMMYFUNCTION("AVERAGE(INDEX(GOOGLEFINANCE(A1207, ""price"", TODAY()-300, TODAY()), 0, 2))"),239.0975247524752)</f>
        <v>239.0975248</v>
      </c>
      <c r="U1207" s="9">
        <f t="shared" si="5"/>
        <v>0.024841261</v>
      </c>
      <c r="V1207" s="15">
        <f>IFERROR(__xludf.DUMMYFUNCTION("LET(hist, GOOGLEFINANCE(A1207,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rs))))))"),63.74149659863946)</f>
        <v>63.7414966</v>
      </c>
      <c r="W1207" s="16" t="str">
        <f>IFERROR(__xludf.DUMMYFUNCTION("IFERROR(GOOGLEFINANCE(A1207, ""volume"") / GOOGLEFINANCE(A1207, ""volumeavg""), )"),"")</f>
        <v/>
      </c>
      <c r="X1207" s="9">
        <f>IFERROR(__xludf.DUMMYFUNCTION("B1207 * GOOGLEFINANCE(A1207, ""volume"")"),4.369806E7)</f>
        <v>43698060</v>
      </c>
      <c r="Y1207" s="9">
        <f>IFERROR(__xludf.DUMMYFUNCTION("IFERROR(((B1207 - GOOGLEFINANCE(A1207, ""priceopen"")) / GOOGLEFINANCE(A1207, ""priceopen"")) * GOOGLEFINANCE(A1207, ""volume""), 0)"),-3512.460829672239)</f>
        <v>-3512.46083</v>
      </c>
    </row>
    <row r="1208">
      <c r="A1208" s="4" t="s">
        <v>3001</v>
      </c>
      <c r="B1208" s="7">
        <f>IFERROR(__xludf.DUMMYFUNCTION("GOOGLEFINANCE(A1208, ""price"")"),632.0)</f>
        <v>632</v>
      </c>
      <c r="C1208" s="7">
        <f>IFERROR(__xludf.DUMMYFUNCTION("GOOGLEFINANCE(A1208, ""changepct"")"),-0.71)</f>
        <v>-0.71</v>
      </c>
      <c r="D1208" s="9">
        <f>IFERROR(__xludf.DUMMYFUNCTION("GOOGLEFINANCE(A1208, ""priceopen"")"),628.0)</f>
        <v>628</v>
      </c>
      <c r="E1208" s="9">
        <f>IFERROR(__xludf.DUMMYFUNCTION("GOOGLEFINANCE(A1208, ""high"")"),638.0)</f>
        <v>638</v>
      </c>
      <c r="F1208" s="9">
        <f>IFERROR(__xludf.DUMMYFUNCTION("GOOGLEFINANCE(A1208, ""low"")"),622.6)</f>
        <v>622.6</v>
      </c>
      <c r="G1208" s="9">
        <f>IFERROR(__xludf.DUMMYFUNCTION("GOOGLEFINANCE(A1208, ""price"")"),632.0)</f>
        <v>632</v>
      </c>
      <c r="H1208" s="9">
        <f>IFERROR(__xludf.DUMMYFUNCTION("MAX(INDEX(GOOGLEFINANCE(A1208, ""high"", TODAY()-30, TODAY()), 0, 2))"),680.0)</f>
        <v>680</v>
      </c>
      <c r="I1208" s="9">
        <f>IFERROR(__xludf.DUMMYFUNCTION("MIN(INDEX(GOOGLEFINANCE(A1208, ""low"", TODAY()-30, TODAY()), 0, 2))"),596.2)</f>
        <v>596.2</v>
      </c>
      <c r="J1208" s="9">
        <f>IFERROR(__xludf.DUMMYFUNCTION("GOOGLEFINANCE(A1208, ""high52"")"),1058.8)</f>
        <v>1058.8</v>
      </c>
      <c r="K1208" s="9">
        <f>IFERROR(__xludf.DUMMYFUNCTION("GOOGLEFINANCE(A1208, ""low52"")"),518.6)</f>
        <v>518.6</v>
      </c>
      <c r="L1208" s="9">
        <f t="shared" si="1"/>
        <v>0.4030978466</v>
      </c>
      <c r="M1208" s="9">
        <f t="shared" si="2"/>
        <v>0.2186656383</v>
      </c>
      <c r="N1208" s="9">
        <f t="shared" si="3"/>
        <v>0.02473498233</v>
      </c>
      <c r="O1208" s="9">
        <f t="shared" si="4"/>
        <v>0.4272076372</v>
      </c>
      <c r="P1208" s="9">
        <f>IFERROR(__xludf.DUMMYFUNCTION("GOOGLEFINANCE(A1208, ""pe"")"),13.19)</f>
        <v>13.19</v>
      </c>
      <c r="Q1208" s="9">
        <f>IFERROR(__xludf.DUMMYFUNCTION("IFERROR(GOOGLEFINANCE(A1208, ""volume"") / GOOGLEFINANCE(A1208, ""volumeavg""), 0)"),0.0)</f>
        <v>0</v>
      </c>
      <c r="R1208" s="9">
        <f>IFERROR(__xludf.DUMMYFUNCTION("AVERAGE(INDEX(GOOGLEFINANCE(A1208, ""price"", TODAY()-30, TODAY()), 0, 2))"),640.1217391304348)</f>
        <v>640.1217391</v>
      </c>
      <c r="S1208" s="9">
        <f>IFERROR(__xludf.DUMMYFUNCTION("AVERAGE(INDEX(GOOGLEFINANCE(A1208, ""price"", TODAY()-75, TODAY()), 0, 2))"),668.2632075471697)</f>
        <v>668.2632075</v>
      </c>
      <c r="T1208" s="9">
        <f>IFERROR(__xludf.DUMMYFUNCTION("AVERAGE(INDEX(GOOGLEFINANCE(A1208, ""price"", TODAY()-300, TODAY()), 0, 2))"),669.7262376237621)</f>
        <v>669.7262376</v>
      </c>
      <c r="U1208" s="9">
        <f t="shared" si="5"/>
        <v>-0.01268780395</v>
      </c>
      <c r="V1208" s="15">
        <f>IFERROR(__xludf.DUMMYFUNCTION("LET(hist, GOOGLEFINANCE(A1208,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rs))))))"),59.52672378620971)</f>
        <v>59.52672379</v>
      </c>
      <c r="W1208" s="16" t="str">
        <f>IFERROR(__xludf.DUMMYFUNCTION("IFERROR(GOOGLEFINANCE(A1208, ""volume"") / GOOGLEFINANCE(A1208, ""volumeavg""), )"),"")</f>
        <v/>
      </c>
      <c r="X1208" s="9">
        <f>IFERROR(__xludf.DUMMYFUNCTION("B1208 * GOOGLEFINANCE(A1208, ""volume"")"),1.6378912E7)</f>
        <v>16378912</v>
      </c>
      <c r="Y1208" s="9">
        <f>IFERROR(__xludf.DUMMYFUNCTION("IFERROR(((B1208 - GOOGLEFINANCE(A1208, ""priceopen"")) / GOOGLEFINANCE(A1208, ""priceopen"")) * GOOGLEFINANCE(A1208, ""volume""), 0)"),165.07006369426753)</f>
        <v>165.0700637</v>
      </c>
    </row>
    <row r="1209">
      <c r="A1209" s="4" t="s">
        <v>3002</v>
      </c>
      <c r="B1209" s="7">
        <f>IFERROR(__xludf.DUMMYFUNCTION("GOOGLEFINANCE(A1209, ""price"")"),65.99)</f>
        <v>65.99</v>
      </c>
      <c r="C1209" s="7">
        <f>IFERROR(__xludf.DUMMYFUNCTION("GOOGLEFINANCE(A1209, ""changepct"")"),-10.39)</f>
        <v>-10.39</v>
      </c>
      <c r="D1209" s="9">
        <f>IFERROR(__xludf.DUMMYFUNCTION("GOOGLEFINANCE(A1209, ""priceopen"")"),67.0)</f>
        <v>67</v>
      </c>
      <c r="E1209" s="9">
        <f>IFERROR(__xludf.DUMMYFUNCTION("GOOGLEFINANCE(A1209, ""high"")"),68.88)</f>
        <v>68.88</v>
      </c>
      <c r="F1209" s="9">
        <f>IFERROR(__xludf.DUMMYFUNCTION("GOOGLEFINANCE(A1209, ""low"")"),65.5)</f>
        <v>65.5</v>
      </c>
      <c r="G1209" s="9">
        <f>IFERROR(__xludf.DUMMYFUNCTION("GOOGLEFINANCE(A1209, ""price"")"),65.99)</f>
        <v>65.99</v>
      </c>
      <c r="H1209" s="9">
        <f>IFERROR(__xludf.DUMMYFUNCTION("MAX(INDEX(GOOGLEFINANCE(A1209, ""high"", TODAY()-30, TODAY()), 0, 2))"),76.99)</f>
        <v>76.99</v>
      </c>
      <c r="I1209" s="9">
        <f>IFERROR(__xludf.DUMMYFUNCTION("MIN(INDEX(GOOGLEFINANCE(A1209, ""low"", TODAY()-30, TODAY()), 0, 2))"),65.5)</f>
        <v>65.5</v>
      </c>
      <c r="J1209" s="9">
        <f>IFERROR(__xludf.DUMMYFUNCTION("GOOGLEFINANCE(A1209, ""high52"")"),118.4)</f>
        <v>118.4</v>
      </c>
      <c r="K1209" s="9">
        <f>IFERROR(__xludf.DUMMYFUNCTION("GOOGLEFINANCE(A1209, ""low52"")"),51.1)</f>
        <v>51.1</v>
      </c>
      <c r="L1209" s="9">
        <f t="shared" si="1"/>
        <v>0.442652027</v>
      </c>
      <c r="M1209" s="9">
        <f t="shared" si="2"/>
        <v>0.2913894325</v>
      </c>
      <c r="N1209" s="9">
        <f t="shared" si="3"/>
        <v>0.05160305344</v>
      </c>
      <c r="O1209" s="9">
        <f t="shared" si="4"/>
        <v>0.04264577894</v>
      </c>
      <c r="P1209" s="9">
        <f>IFERROR(__xludf.DUMMYFUNCTION("GOOGLEFINANCE(A1209, ""pe"")"),16.29)</f>
        <v>16.29</v>
      </c>
      <c r="Q1209" s="9">
        <f>IFERROR(__xludf.DUMMYFUNCTION("IFERROR(GOOGLEFINANCE(A1209, ""volume"") / GOOGLEFINANCE(A1209, ""volumeavg""), 0)"),0.0)</f>
        <v>0</v>
      </c>
      <c r="R1209" s="9">
        <f>IFERROR(__xludf.DUMMYFUNCTION("AVERAGE(INDEX(GOOGLEFINANCE(A1209, ""price"", TODAY()-30, TODAY()), 0, 2))"),72.0791304347826)</f>
        <v>72.07913043</v>
      </c>
      <c r="S1209" s="9">
        <f>IFERROR(__xludf.DUMMYFUNCTION("AVERAGE(INDEX(GOOGLEFINANCE(A1209, ""price"", TODAY()-75, TODAY()), 0, 2))"),72.20433962264153)</f>
        <v>72.20433962</v>
      </c>
      <c r="T1209" s="9">
        <f>IFERROR(__xludf.DUMMYFUNCTION("AVERAGE(INDEX(GOOGLEFINANCE(A1209, ""price"", TODAY()-300, TODAY()), 0, 2))"),80.49222772277224)</f>
        <v>80.49222772</v>
      </c>
      <c r="U1209" s="9">
        <f t="shared" si="5"/>
        <v>-0.08447841141</v>
      </c>
      <c r="V1209" s="15">
        <f>IFERROR(__xludf.DUMMYFUNCTION("LET(hist, GOOGLEFINANCE(A1209,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rs))))))"),34.71030042918457)</f>
        <v>34.71030043</v>
      </c>
      <c r="W1209" s="16" t="str">
        <f>IFERROR(__xludf.DUMMYFUNCTION("IFERROR(GOOGLEFINANCE(A1209, ""volume"") / GOOGLEFINANCE(A1209, ""volumeavg""), )"),"")</f>
        <v/>
      </c>
      <c r="X1209" s="9">
        <f>IFERROR(__xludf.DUMMYFUNCTION("B1209 * GOOGLEFINANCE(A1209, ""volume"")"),5.0601343167999995E8)</f>
        <v>506013431.7</v>
      </c>
      <c r="Y1209" s="9">
        <f>IFERROR(__xludf.DUMMYFUNCTION("IFERROR(((B1209 - GOOGLEFINANCE(A1209, ""priceopen"")) / GOOGLEFINANCE(A1209, ""priceopen"")) * GOOGLEFINANCE(A1209, ""volume""), 0)"),-115592.72119403043)</f>
        <v>-115592.7212</v>
      </c>
    </row>
    <row r="1210">
      <c r="A1210" s="4" t="s">
        <v>3003</v>
      </c>
      <c r="B1210" s="7">
        <f>IFERROR(__xludf.DUMMYFUNCTION("GOOGLEFINANCE(A1210, ""price"")"),90.87)</f>
        <v>90.87</v>
      </c>
      <c r="C1210" s="7">
        <f>IFERROR(__xludf.DUMMYFUNCTION("GOOGLEFINANCE(A1210, ""changepct"")"),-3.52)</f>
        <v>-3.52</v>
      </c>
      <c r="D1210" s="9">
        <f>IFERROR(__xludf.DUMMYFUNCTION("GOOGLEFINANCE(A1210, ""priceopen"")"),94.84)</f>
        <v>94.84</v>
      </c>
      <c r="E1210" s="9">
        <f>IFERROR(__xludf.DUMMYFUNCTION("GOOGLEFINANCE(A1210, ""high"")"),96.49)</f>
        <v>96.49</v>
      </c>
      <c r="F1210" s="9">
        <f>IFERROR(__xludf.DUMMYFUNCTION("GOOGLEFINANCE(A1210, ""low"")"),90.02)</f>
        <v>90.02</v>
      </c>
      <c r="G1210" s="9">
        <f>IFERROR(__xludf.DUMMYFUNCTION("GOOGLEFINANCE(A1210, ""price"")"),90.87)</f>
        <v>90.87</v>
      </c>
      <c r="H1210" s="9">
        <f>IFERROR(__xludf.DUMMYFUNCTION("MAX(INDEX(GOOGLEFINANCE(A1210, ""high"", TODAY()-30, TODAY()), 0, 2))"),97.66)</f>
        <v>97.66</v>
      </c>
      <c r="I1210" s="9">
        <f>IFERROR(__xludf.DUMMYFUNCTION("MIN(INDEX(GOOGLEFINANCE(A1210, ""low"", TODAY()-30, TODAY()), 0, 2))"),85.55)</f>
        <v>85.55</v>
      </c>
      <c r="J1210" s="9">
        <f>IFERROR(__xludf.DUMMYFUNCTION("GOOGLEFINANCE(A1210, ""high52"")"),185.45)</f>
        <v>185.45</v>
      </c>
      <c r="K1210" s="9">
        <f>IFERROR(__xludf.DUMMYFUNCTION("GOOGLEFINANCE(A1210, ""low52"")"),81.95)</f>
        <v>81.95</v>
      </c>
      <c r="L1210" s="9">
        <f t="shared" si="1"/>
        <v>0.5100026961</v>
      </c>
      <c r="M1210" s="9">
        <f t="shared" si="2"/>
        <v>0.1088468578</v>
      </c>
      <c r="N1210" s="9">
        <f t="shared" si="3"/>
        <v>0.07187291713</v>
      </c>
      <c r="O1210" s="9">
        <f t="shared" si="4"/>
        <v>0.4393063584</v>
      </c>
      <c r="P1210" s="9">
        <f>IFERROR(__xludf.DUMMYFUNCTION("GOOGLEFINANCE(A1210, ""pe"")"),11.58)</f>
        <v>11.58</v>
      </c>
      <c r="Q1210" s="9">
        <f>IFERROR(__xludf.DUMMYFUNCTION("IFERROR(GOOGLEFINANCE(A1210, ""volume"") / GOOGLEFINANCE(A1210, ""volumeavg""), 0)"),0.0)</f>
        <v>0</v>
      </c>
      <c r="R1210" s="9">
        <f>IFERROR(__xludf.DUMMYFUNCTION("AVERAGE(INDEX(GOOGLEFINANCE(A1210, ""price"", TODAY()-30, TODAY()), 0, 2))"),91.25695652173913)</f>
        <v>91.25695652</v>
      </c>
      <c r="S1210" s="9">
        <f>IFERROR(__xludf.DUMMYFUNCTION("AVERAGE(INDEX(GOOGLEFINANCE(A1210, ""price"", TODAY()-75, TODAY()), 0, 2))"),100.06962264150943)</f>
        <v>100.0696226</v>
      </c>
      <c r="T1210" s="9">
        <f>IFERROR(__xludf.DUMMYFUNCTION("AVERAGE(INDEX(GOOGLEFINANCE(A1210, ""price"", TODAY()-300, TODAY()), 0, 2))"),143.25539603960394)</f>
        <v>143.255396</v>
      </c>
      <c r="U1210" s="9">
        <f t="shared" si="5"/>
        <v>-0.004240296154</v>
      </c>
      <c r="V1210" s="15">
        <f>IFERROR(__xludf.DUMMYFUNCTION("LET(hist, GOOGLEFINANCE(A1210,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rs))))))"),53.60381861575177)</f>
        <v>53.60381862</v>
      </c>
      <c r="W1210" s="16" t="str">
        <f>IFERROR(__xludf.DUMMYFUNCTION("IFERROR(GOOGLEFINANCE(A1210, ""volume"") / GOOGLEFINANCE(A1210, ""volumeavg""), )"),"")</f>
        <v/>
      </c>
      <c r="X1210" s="9">
        <f>IFERROR(__xludf.DUMMYFUNCTION("B1210 * GOOGLEFINANCE(A1210, ""volume"")"),1.4633541234E8)</f>
        <v>146335412.3</v>
      </c>
      <c r="Y1210" s="9">
        <f>IFERROR(__xludf.DUMMYFUNCTION("IFERROR(((B1210 - GOOGLEFINANCE(A1210, ""priceopen"")) / GOOGLEFINANCE(A1210, ""priceopen"")) * GOOGLEFINANCE(A1210, ""volume""), 0)"),-67410.54976803035)</f>
        <v>-67410.54977</v>
      </c>
    </row>
    <row r="1211">
      <c r="A1211" s="4" t="s">
        <v>3004</v>
      </c>
      <c r="B1211" s="7">
        <f>IFERROR(__xludf.DUMMYFUNCTION("GOOGLEFINANCE(A1211, ""price"")"),238.0)</f>
        <v>238</v>
      </c>
      <c r="C1211" s="7">
        <f>IFERROR(__xludf.DUMMYFUNCTION("GOOGLEFINANCE(A1211, ""changepct"")"),-15.62)</f>
        <v>-15.62</v>
      </c>
      <c r="D1211" s="9">
        <f>IFERROR(__xludf.DUMMYFUNCTION("GOOGLEFINANCE(A1211, ""priceopen"")"),270.7)</f>
        <v>270.7</v>
      </c>
      <c r="E1211" s="9">
        <f>IFERROR(__xludf.DUMMYFUNCTION("GOOGLEFINANCE(A1211, ""high"")"),271.0)</f>
        <v>271</v>
      </c>
      <c r="F1211" s="9">
        <f>IFERROR(__xludf.DUMMYFUNCTION("GOOGLEFINANCE(A1211, ""low"")"),232.5)</f>
        <v>232.5</v>
      </c>
      <c r="G1211" s="9">
        <f>IFERROR(__xludf.DUMMYFUNCTION("GOOGLEFINANCE(A1211, ""price"")"),238.0)</f>
        <v>238</v>
      </c>
      <c r="H1211" s="9">
        <f>IFERROR(__xludf.DUMMYFUNCTION("MAX(INDEX(GOOGLEFINANCE(A1211, ""high"", TODAY()-30, TODAY()), 0, 2))"),295.7)</f>
        <v>295.7</v>
      </c>
      <c r="I1211" s="9">
        <f>IFERROR(__xludf.DUMMYFUNCTION("MIN(INDEX(GOOGLEFINANCE(A1211, ""low"", TODAY()-30, TODAY()), 0, 2))"),222.85)</f>
        <v>222.85</v>
      </c>
      <c r="J1211" s="9">
        <f>IFERROR(__xludf.DUMMYFUNCTION("GOOGLEFINANCE(A1211, ""high52"")"),295.7)</f>
        <v>295.7</v>
      </c>
      <c r="K1211" s="9">
        <f>IFERROR(__xludf.DUMMYFUNCTION("GOOGLEFINANCE(A1211, ""low52"")"),110.5)</f>
        <v>110.5</v>
      </c>
      <c r="L1211" s="9">
        <f t="shared" si="1"/>
        <v>0.1951301995</v>
      </c>
      <c r="M1211" s="9">
        <f t="shared" si="2"/>
        <v>1.153846154</v>
      </c>
      <c r="N1211" s="9">
        <f t="shared" si="3"/>
        <v>0.1655913978</v>
      </c>
      <c r="O1211" s="9">
        <f t="shared" si="4"/>
        <v>0.2079615649</v>
      </c>
      <c r="P1211" s="9">
        <f>IFERROR(__xludf.DUMMYFUNCTION("GOOGLEFINANCE(A1211, ""pe"")"),7.85)</f>
        <v>7.85</v>
      </c>
      <c r="Q1211" s="9">
        <f>IFERROR(__xludf.DUMMYFUNCTION("IFERROR(GOOGLEFINANCE(A1211, ""volume"") / GOOGLEFINANCE(A1211, ""volumeavg""), 0)"),0.0)</f>
        <v>0</v>
      </c>
      <c r="R1211" s="9">
        <f>IFERROR(__xludf.DUMMYFUNCTION("AVERAGE(INDEX(GOOGLEFINANCE(A1211, ""price"", TODAY()-30, TODAY()), 0, 2))"),267.0856521739131)</f>
        <v>267.0856522</v>
      </c>
      <c r="S1211" s="9">
        <f>IFERROR(__xludf.DUMMYFUNCTION("AVERAGE(INDEX(GOOGLEFINANCE(A1211, ""price"", TODAY()-75, TODAY()), 0, 2))"),221.75509433962264)</f>
        <v>221.7550943</v>
      </c>
      <c r="T1211" s="9">
        <f>IFERROR(__xludf.DUMMYFUNCTION("AVERAGE(INDEX(GOOGLEFINANCE(A1211, ""price"", TODAY()-300, TODAY()), 0, 2))"),174.17702970297023)</f>
        <v>174.1770297</v>
      </c>
      <c r="U1211" s="9">
        <f t="shared" si="5"/>
        <v>-0.1089000923</v>
      </c>
      <c r="V1211" s="15">
        <f>IFERROR(__xludf.DUMMYFUNCTION("LET(hist, GOOGLEFINANCE(A1211,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rs))))))"),40.02278973121523)</f>
        <v>40.02278973</v>
      </c>
      <c r="W1211" s="16" t="str">
        <f>IFERROR(__xludf.DUMMYFUNCTION("IFERROR(GOOGLEFINANCE(A1211, ""volume"") / GOOGLEFINANCE(A1211, ""volumeavg""), )"),"")</f>
        <v/>
      </c>
      <c r="X1211" s="9">
        <f>IFERROR(__xludf.DUMMYFUNCTION("B1211 * GOOGLEFINANCE(A1211, ""volume"")"),1.130238676E9)</f>
        <v>1130238676</v>
      </c>
      <c r="Y1211" s="9">
        <f>IFERROR(__xludf.DUMMYFUNCTION("IFERROR(((B1211 - GOOGLEFINANCE(A1211, ""priceopen"")) / GOOGLEFINANCE(A1211, ""priceopen"")) * GOOGLEFINANCE(A1211, ""volume""), 0)"),-573657.5374953821)</f>
        <v>-573657.5375</v>
      </c>
    </row>
    <row r="1212">
      <c r="A1212" s="4" t="s">
        <v>3005</v>
      </c>
      <c r="B1212" s="7">
        <f>IFERROR(__xludf.DUMMYFUNCTION("GOOGLEFINANCE(A1212, ""price"")"),205.0)</f>
        <v>205</v>
      </c>
      <c r="C1212" s="7">
        <f>IFERROR(__xludf.DUMMYFUNCTION("GOOGLEFINANCE(A1212, ""changepct"")"),-2.39)</f>
        <v>-2.39</v>
      </c>
      <c r="D1212" s="9">
        <f>IFERROR(__xludf.DUMMYFUNCTION("GOOGLEFINANCE(A1212, ""priceopen"")"),210.0)</f>
        <v>210</v>
      </c>
      <c r="E1212" s="9">
        <f>IFERROR(__xludf.DUMMYFUNCTION("GOOGLEFINANCE(A1212, ""high"")"),210.6)</f>
        <v>210.6</v>
      </c>
      <c r="F1212" s="9">
        <f>IFERROR(__xludf.DUMMYFUNCTION("GOOGLEFINANCE(A1212, ""low"")"),187.0)</f>
        <v>187</v>
      </c>
      <c r="G1212" s="9">
        <f>IFERROR(__xludf.DUMMYFUNCTION("GOOGLEFINANCE(A1212, ""price"")"),205.0)</f>
        <v>205</v>
      </c>
      <c r="H1212" s="9">
        <f>IFERROR(__xludf.DUMMYFUNCTION("MAX(INDEX(GOOGLEFINANCE(A1212, ""high"", TODAY()-30, TODAY()), 0, 2))"),250.0)</f>
        <v>250</v>
      </c>
      <c r="I1212" s="9">
        <f>IFERROR(__xludf.DUMMYFUNCTION("MIN(INDEX(GOOGLEFINANCE(A1212, ""low"", TODAY()-30, TODAY()), 0, 2))"),187.0)</f>
        <v>187</v>
      </c>
      <c r="J1212" s="9">
        <f>IFERROR(__xludf.DUMMYFUNCTION("GOOGLEFINANCE(A1212, ""high52"")"),392.7)</f>
        <v>392.7</v>
      </c>
      <c r="K1212" s="9">
        <f>IFERROR(__xludf.DUMMYFUNCTION("GOOGLEFINANCE(A1212, ""low52"")"),170.5)</f>
        <v>170.5</v>
      </c>
      <c r="L1212" s="9">
        <f t="shared" si="1"/>
        <v>0.4779730074</v>
      </c>
      <c r="M1212" s="9">
        <f t="shared" si="2"/>
        <v>0.2023460411</v>
      </c>
      <c r="N1212" s="9">
        <f t="shared" si="3"/>
        <v>0.1262032086</v>
      </c>
      <c r="O1212" s="9">
        <f t="shared" si="4"/>
        <v>0.2857142857</v>
      </c>
      <c r="P1212" s="9" t="str">
        <f>IFERROR(__xludf.DUMMYFUNCTION("GOOGLEFINANCE(A1212, ""pe"")"),"#N/A")</f>
        <v>#N/A</v>
      </c>
      <c r="Q1212" s="9">
        <f>IFERROR(__xludf.DUMMYFUNCTION("IFERROR(GOOGLEFINANCE(A1212, ""volume"") / GOOGLEFINANCE(A1212, ""volumeavg""), 0)"),0.0)</f>
        <v>0</v>
      </c>
      <c r="R1212" s="9">
        <f>IFERROR(__xludf.DUMMYFUNCTION("AVERAGE(INDEX(GOOGLEFINANCE(A1212, ""price"", TODAY()-30, TODAY()), 0, 2))"),222.20304347826087)</f>
        <v>222.2030435</v>
      </c>
      <c r="S1212" s="9">
        <f>IFERROR(__xludf.DUMMYFUNCTION("AVERAGE(INDEX(GOOGLEFINANCE(A1212, ""price"", TODAY()-75, TODAY()), 0, 2))"),232.586037735849)</f>
        <v>232.5860377</v>
      </c>
      <c r="T1212" s="9">
        <f>IFERROR(__xludf.DUMMYFUNCTION("AVERAGE(INDEX(GOOGLEFINANCE(A1212, ""price"", TODAY()-300, TODAY()), 0, 2))"),251.67178217821774)</f>
        <v>251.6717822</v>
      </c>
      <c r="U1212" s="9">
        <f t="shared" si="5"/>
        <v>-0.07742037737</v>
      </c>
      <c r="V1212" s="15">
        <f>IFERROR(__xludf.DUMMYFUNCTION("LET(hist, GOOGLEFINANCE(A1212,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rs))))))"),42.757220216606484)</f>
        <v>42.75722022</v>
      </c>
      <c r="W1212" s="16" t="str">
        <f>IFERROR(__xludf.DUMMYFUNCTION("IFERROR(GOOGLEFINANCE(A1212, ""volume"") / GOOGLEFINANCE(A1212, ""volumeavg""), )"),"")</f>
        <v/>
      </c>
      <c r="X1212" s="9">
        <f>IFERROR(__xludf.DUMMYFUNCTION("B1212 * GOOGLEFINANCE(A1212, ""volume"")"),2.80714495E8)</f>
        <v>280714495</v>
      </c>
      <c r="Y1212" s="9">
        <f>IFERROR(__xludf.DUMMYFUNCTION("IFERROR(((B1212 - GOOGLEFINANCE(A1212, ""priceopen"")) / GOOGLEFINANCE(A1212, ""priceopen"")) * GOOGLEFINANCE(A1212, ""volume""), 0)"),-32603.309523809523)</f>
        <v>-32603.30952</v>
      </c>
    </row>
    <row r="1213">
      <c r="A1213" s="4" t="s">
        <v>3006</v>
      </c>
      <c r="B1213" s="7">
        <f>IFERROR(__xludf.DUMMYFUNCTION("GOOGLEFINANCE(A1213, ""price"")"),208.33)</f>
        <v>208.33</v>
      </c>
      <c r="C1213" s="7">
        <f>IFERROR(__xludf.DUMMYFUNCTION("GOOGLEFINANCE(A1213, ""changepct"")"),-1.32)</f>
        <v>-1.32</v>
      </c>
      <c r="D1213" s="9">
        <f>IFERROR(__xludf.DUMMYFUNCTION("GOOGLEFINANCE(A1213, ""priceopen"")"),211.73)</f>
        <v>211.73</v>
      </c>
      <c r="E1213" s="9">
        <f>IFERROR(__xludf.DUMMYFUNCTION("GOOGLEFINANCE(A1213, ""high"")"),211.73)</f>
        <v>211.73</v>
      </c>
      <c r="F1213" s="9">
        <f>IFERROR(__xludf.DUMMYFUNCTION("GOOGLEFINANCE(A1213, ""low"")"),208.22)</f>
        <v>208.22</v>
      </c>
      <c r="G1213" s="9">
        <f>IFERROR(__xludf.DUMMYFUNCTION("GOOGLEFINANCE(A1213, ""price"")"),208.33)</f>
        <v>208.33</v>
      </c>
      <c r="H1213" s="9">
        <f>IFERROR(__xludf.DUMMYFUNCTION("MAX(INDEX(GOOGLEFINANCE(A1213, ""high"", TODAY()-30, TODAY()), 0, 2))"),247.75)</f>
        <v>247.75</v>
      </c>
      <c r="I1213" s="9">
        <f>IFERROR(__xludf.DUMMYFUNCTION("MIN(INDEX(GOOGLEFINANCE(A1213, ""low"", TODAY()-30, TODAY()), 0, 2))"),207.65)</f>
        <v>207.65</v>
      </c>
      <c r="J1213" s="9">
        <f>IFERROR(__xludf.DUMMYFUNCTION("GOOGLEFINANCE(A1213, ""high52"")"),334.0)</f>
        <v>334</v>
      </c>
      <c r="K1213" s="9">
        <f>IFERROR(__xludf.DUMMYFUNCTION("GOOGLEFINANCE(A1213, ""low52"")"),180.0)</f>
        <v>180</v>
      </c>
      <c r="L1213" s="9">
        <f t="shared" si="1"/>
        <v>0.376257485</v>
      </c>
      <c r="M1213" s="9">
        <f t="shared" si="2"/>
        <v>0.1573888889</v>
      </c>
      <c r="N1213" s="9">
        <f t="shared" si="3"/>
        <v>0.0168571703</v>
      </c>
      <c r="O1213" s="9">
        <f t="shared" si="4"/>
        <v>0.01695760599</v>
      </c>
      <c r="P1213" s="9">
        <f>IFERROR(__xludf.DUMMYFUNCTION("GOOGLEFINANCE(A1213, ""pe"")"),9.53)</f>
        <v>9.53</v>
      </c>
      <c r="Q1213" s="9">
        <f>IFERROR(__xludf.DUMMYFUNCTION("IFERROR(GOOGLEFINANCE(A1213, ""volume"") / GOOGLEFINANCE(A1213, ""volumeavg""), 0)"),0.0)</f>
        <v>0</v>
      </c>
      <c r="R1213" s="9">
        <f>IFERROR(__xludf.DUMMYFUNCTION("AVERAGE(INDEX(GOOGLEFINANCE(A1213, ""price"", TODAY()-30, TODAY()), 0, 2))"),218.83434782608697)</f>
        <v>218.8343478</v>
      </c>
      <c r="S1213" s="9">
        <f>IFERROR(__xludf.DUMMYFUNCTION("AVERAGE(INDEX(GOOGLEFINANCE(A1213, ""price"", TODAY()-75, TODAY()), 0, 2))"),229.3011320754717)</f>
        <v>229.3011321</v>
      </c>
      <c r="T1213" s="9">
        <f>IFERROR(__xludf.DUMMYFUNCTION("AVERAGE(INDEX(GOOGLEFINANCE(A1213, ""price"", TODAY()-300, TODAY()), 0, 2))"),243.05698019801977)</f>
        <v>243.0569802</v>
      </c>
      <c r="U1213" s="9">
        <f t="shared" si="5"/>
        <v>-0.04800136693</v>
      </c>
      <c r="V1213" s="15">
        <f>IFERROR(__xludf.DUMMYFUNCTION("LET(hist, GOOGLEFINANCE(A1213,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rs))))))"),44.629104175111486)</f>
        <v>44.62910418</v>
      </c>
      <c r="W1213" s="16" t="str">
        <f>IFERROR(__xludf.DUMMYFUNCTION("IFERROR(GOOGLEFINANCE(A1213, ""volume"") / GOOGLEFINANCE(A1213, ""volumeavg""), )"),"")</f>
        <v/>
      </c>
      <c r="X1213" s="9">
        <f>IFERROR(__xludf.DUMMYFUNCTION("B1213 * GOOGLEFINANCE(A1213, ""volume"")"),3.362425367E7)</f>
        <v>33624253.67</v>
      </c>
      <c r="Y1213" s="9">
        <f>IFERROR(__xludf.DUMMYFUNCTION("IFERROR(((B1213 - GOOGLEFINANCE(A1213, ""priceopen"")) / GOOGLEFINANCE(A1213, ""priceopen"")) * GOOGLEFINANCE(A1213, ""volume""), 0)"),-2591.7753742974373)</f>
        <v>-2591.775374</v>
      </c>
    </row>
    <row r="1214">
      <c r="A1214" s="4" t="s">
        <v>3007</v>
      </c>
      <c r="B1214" s="7">
        <f>IFERROR(__xludf.DUMMYFUNCTION("GOOGLEFINANCE(A1214, ""price"")"),38.77)</f>
        <v>38.77</v>
      </c>
      <c r="C1214" s="7">
        <f>IFERROR(__xludf.DUMMYFUNCTION("GOOGLEFINANCE(A1214, ""changepct"")"),-5.0)</f>
        <v>-5</v>
      </c>
      <c r="D1214" s="9">
        <f>IFERROR(__xludf.DUMMYFUNCTION("GOOGLEFINANCE(A1214, ""priceopen"")"),39.11)</f>
        <v>39.11</v>
      </c>
      <c r="E1214" s="9">
        <f>IFERROR(__xludf.DUMMYFUNCTION("GOOGLEFINANCE(A1214, ""high"")"),40.81)</f>
        <v>40.81</v>
      </c>
      <c r="F1214" s="9">
        <f>IFERROR(__xludf.DUMMYFUNCTION("GOOGLEFINANCE(A1214, ""low"")"),38.77)</f>
        <v>38.77</v>
      </c>
      <c r="G1214" s="9">
        <f>IFERROR(__xludf.DUMMYFUNCTION("GOOGLEFINANCE(A1214, ""price"")"),38.77)</f>
        <v>38.77</v>
      </c>
      <c r="H1214" s="9">
        <f>IFERROR(__xludf.DUMMYFUNCTION("MAX(INDEX(GOOGLEFINANCE(A1214, ""high"", TODAY()-30, TODAY()), 0, 2))"),46.42)</f>
        <v>46.42</v>
      </c>
      <c r="I1214" s="9">
        <f>IFERROR(__xludf.DUMMYFUNCTION("MIN(INDEX(GOOGLEFINANCE(A1214, ""low"", TODAY()-30, TODAY()), 0, 2))"),33.04)</f>
        <v>33.04</v>
      </c>
      <c r="J1214" s="9">
        <f>IFERROR(__xludf.DUMMYFUNCTION("GOOGLEFINANCE(A1214, ""high52"")"),55.76)</f>
        <v>55.76</v>
      </c>
      <c r="K1214" s="9">
        <f>IFERROR(__xludf.DUMMYFUNCTION("GOOGLEFINANCE(A1214, ""low52"")"),24.0)</f>
        <v>24</v>
      </c>
      <c r="L1214" s="9">
        <f t="shared" si="1"/>
        <v>0.3046987088</v>
      </c>
      <c r="M1214" s="9">
        <f t="shared" si="2"/>
        <v>0.6154166667</v>
      </c>
      <c r="N1214" s="9">
        <f t="shared" si="3"/>
        <v>0.05261800361</v>
      </c>
      <c r="O1214" s="9">
        <f t="shared" si="4"/>
        <v>0.4282511211</v>
      </c>
      <c r="P1214" s="9">
        <f>IFERROR(__xludf.DUMMYFUNCTION("GOOGLEFINANCE(A1214, ""pe"")"),22540.7)</f>
        <v>22540.7</v>
      </c>
      <c r="Q1214" s="9">
        <f>IFERROR(__xludf.DUMMYFUNCTION("IFERROR(GOOGLEFINANCE(A1214, ""volume"") / GOOGLEFINANCE(A1214, ""volumeavg""), 0)"),0.0)</f>
        <v>0</v>
      </c>
      <c r="R1214" s="9">
        <f>IFERROR(__xludf.DUMMYFUNCTION("AVERAGE(INDEX(GOOGLEFINANCE(A1214, ""price"", TODAY()-30, TODAY()), 0, 2))"),39.6991304347826)</f>
        <v>39.69913043</v>
      </c>
      <c r="S1214" s="9">
        <f>IFERROR(__xludf.DUMMYFUNCTION("AVERAGE(INDEX(GOOGLEFINANCE(A1214, ""price"", TODAY()-75, TODAY()), 0, 2))"),39.89226415094339)</f>
        <v>39.89226415</v>
      </c>
      <c r="T1214" s="9">
        <f>IFERROR(__xludf.DUMMYFUNCTION("AVERAGE(INDEX(GOOGLEFINANCE(A1214, ""price"", TODAY()-300, TODAY()), 0, 2))"),36.07525)</f>
        <v>36.07525</v>
      </c>
      <c r="U1214" s="9">
        <f t="shared" si="5"/>
        <v>-0.02340430192</v>
      </c>
      <c r="V1214" s="15">
        <f>IFERROR(__xludf.DUMMYFUNCTION("LET(hist, GOOGLEFINANCE(A1214,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rs))))))"),52.72727272727272)</f>
        <v>52.72727273</v>
      </c>
      <c r="W1214" s="16" t="str">
        <f>IFERROR(__xludf.DUMMYFUNCTION("IFERROR(GOOGLEFINANCE(A1214, ""volume"") / GOOGLEFINANCE(A1214, ""volumeavg""), )"),"")</f>
        <v/>
      </c>
      <c r="X1214" s="9">
        <f>IFERROR(__xludf.DUMMYFUNCTION("B1214 * GOOGLEFINANCE(A1214, ""volume"")"),318418.01)</f>
        <v>318418.01</v>
      </c>
      <c r="Y1214" s="9">
        <f>IFERROR(__xludf.DUMMYFUNCTION("IFERROR(((B1214 - GOOGLEFINANCE(A1214, ""priceopen"")) / GOOGLEFINANCE(A1214, ""priceopen"")) * GOOGLEFINANCE(A1214, ""volume""), 0)"),-71.39913065712017)</f>
        <v>-71.39913066</v>
      </c>
    </row>
    <row r="1215">
      <c r="A1215" s="4" t="s">
        <v>3008</v>
      </c>
      <c r="B1215" s="7">
        <f>IFERROR(__xludf.DUMMYFUNCTION("GOOGLEFINANCE(A1215, ""price"")"),692.55)</f>
        <v>692.55</v>
      </c>
      <c r="C1215" s="7">
        <f>IFERROR(__xludf.DUMMYFUNCTION("GOOGLEFINANCE(A1215, ""changepct"")"),0.12)</f>
        <v>0.12</v>
      </c>
      <c r="D1215" s="9">
        <f>IFERROR(__xludf.DUMMYFUNCTION("GOOGLEFINANCE(A1215, ""priceopen"")"),691.95)</f>
        <v>691.95</v>
      </c>
      <c r="E1215" s="9">
        <f>IFERROR(__xludf.DUMMYFUNCTION("GOOGLEFINANCE(A1215, ""high"")"),696.3)</f>
        <v>696.3</v>
      </c>
      <c r="F1215" s="9">
        <f>IFERROR(__xludf.DUMMYFUNCTION("GOOGLEFINANCE(A1215, ""low"")"),684.6)</f>
        <v>684.6</v>
      </c>
      <c r="G1215" s="9">
        <f>IFERROR(__xludf.DUMMYFUNCTION("GOOGLEFINANCE(A1215, ""price"")"),692.55)</f>
        <v>692.55</v>
      </c>
      <c r="H1215" s="9">
        <f>IFERROR(__xludf.DUMMYFUNCTION("MAX(INDEX(GOOGLEFINANCE(A1215, ""high"", TODAY()-30, TODAY()), 0, 2))"),792.0)</f>
        <v>792</v>
      </c>
      <c r="I1215" s="9">
        <f>IFERROR(__xludf.DUMMYFUNCTION("MIN(INDEX(GOOGLEFINANCE(A1215, ""low"", TODAY()-30, TODAY()), 0, 2))"),682.0)</f>
        <v>682</v>
      </c>
      <c r="J1215" s="9">
        <f>IFERROR(__xludf.DUMMYFUNCTION("GOOGLEFINANCE(A1215, ""high52"")"),1084.8)</f>
        <v>1084.8</v>
      </c>
      <c r="K1215" s="9">
        <f>IFERROR(__xludf.DUMMYFUNCTION("GOOGLEFINANCE(A1215, ""low52"")"),682.0)</f>
        <v>682</v>
      </c>
      <c r="L1215" s="9">
        <f t="shared" si="1"/>
        <v>0.3615873894</v>
      </c>
      <c r="M1215" s="9">
        <f t="shared" si="2"/>
        <v>0.01546920821</v>
      </c>
      <c r="N1215" s="9">
        <f t="shared" si="3"/>
        <v>0.01709027169</v>
      </c>
      <c r="O1215" s="9">
        <f t="shared" si="4"/>
        <v>0.09590909091</v>
      </c>
      <c r="P1215" s="9">
        <f>IFERROR(__xludf.DUMMYFUNCTION("GOOGLEFINANCE(A1215, ""pe"")"),17.29)</f>
        <v>17.29</v>
      </c>
      <c r="Q1215" s="9">
        <f>IFERROR(__xludf.DUMMYFUNCTION("IFERROR(GOOGLEFINANCE(A1215, ""volume"") / GOOGLEFINANCE(A1215, ""volumeavg""), 0)"),0.0)</f>
        <v>0</v>
      </c>
      <c r="R1215" s="9">
        <f>IFERROR(__xludf.DUMMYFUNCTION("AVERAGE(INDEX(GOOGLEFINANCE(A1215, ""price"", TODAY()-30, TODAY()), 0, 2))"),725.7173913043479)</f>
        <v>725.7173913</v>
      </c>
      <c r="S1215" s="9">
        <f>IFERROR(__xludf.DUMMYFUNCTION("AVERAGE(INDEX(GOOGLEFINANCE(A1215, ""price"", TODAY()-75, TODAY()), 0, 2))"),741.622641509434)</f>
        <v>741.6226415</v>
      </c>
      <c r="T1215" s="9">
        <f>IFERROR(__xludf.DUMMYFUNCTION("AVERAGE(INDEX(GOOGLEFINANCE(A1215, ""price"", TODAY()-300, TODAY()), 0, 2))"),838.632425742574)</f>
        <v>838.6324257</v>
      </c>
      <c r="U1215" s="9">
        <f t="shared" si="5"/>
        <v>-0.04570290268</v>
      </c>
      <c r="V1215" s="15">
        <f>IFERROR(__xludf.DUMMYFUNCTION("LET(hist, GOOGLEFINANCE(A1215,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rs))))))"),35.70612866387515)</f>
        <v>35.70612866</v>
      </c>
      <c r="W1215" s="16" t="str">
        <f>IFERROR(__xludf.DUMMYFUNCTION("IFERROR(GOOGLEFINANCE(A1215, ""volume"") / GOOGLEFINANCE(A1215, ""volumeavg""), )"),"")</f>
        <v/>
      </c>
      <c r="X1215" s="9">
        <f>IFERROR(__xludf.DUMMYFUNCTION("B1215 * GOOGLEFINANCE(A1215, ""volume"")"),2.35979487E7)</f>
        <v>23597948.7</v>
      </c>
      <c r="Y1215" s="9">
        <f>IFERROR(__xludf.DUMMYFUNCTION("IFERROR(((B1215 - GOOGLEFINANCE(A1215, ""priceopen"")) / GOOGLEFINANCE(A1215, ""priceopen"")) * GOOGLEFINANCE(A1215, ""volume""), 0)"),29.54606546715355)</f>
        <v>29.54606547</v>
      </c>
    </row>
    <row r="1216">
      <c r="A1216" s="4" t="s">
        <v>3009</v>
      </c>
      <c r="B1216" s="7">
        <f>IFERROR(__xludf.DUMMYFUNCTION("GOOGLEFINANCE(A1216, ""price"")"),896.0)</f>
        <v>896</v>
      </c>
      <c r="C1216" s="7">
        <f>IFERROR(__xludf.DUMMYFUNCTION("GOOGLEFINANCE(A1216, ""changepct"")"),-4.99)</f>
        <v>-4.99</v>
      </c>
      <c r="D1216" s="9">
        <f>IFERROR(__xludf.DUMMYFUNCTION("GOOGLEFINANCE(A1216, ""priceopen"")"),944.9)</f>
        <v>944.9</v>
      </c>
      <c r="E1216" s="9">
        <f>IFERROR(__xludf.DUMMYFUNCTION("GOOGLEFINANCE(A1216, ""high"")"),957.6)</f>
        <v>957.6</v>
      </c>
      <c r="F1216" s="9">
        <f>IFERROR(__xludf.DUMMYFUNCTION("GOOGLEFINANCE(A1216, ""low"")"),887.3)</f>
        <v>887.3</v>
      </c>
      <c r="G1216" s="9">
        <f>IFERROR(__xludf.DUMMYFUNCTION("GOOGLEFINANCE(A1216, ""price"")"),896.0)</f>
        <v>896</v>
      </c>
      <c r="H1216" s="9">
        <f>IFERROR(__xludf.DUMMYFUNCTION("MAX(INDEX(GOOGLEFINANCE(A1216, ""high"", TODAY()-30, TODAY()), 0, 2))"),962.0)</f>
        <v>962</v>
      </c>
      <c r="I1216" s="9">
        <f>IFERROR(__xludf.DUMMYFUNCTION("MIN(INDEX(GOOGLEFINANCE(A1216, ""low"", TODAY()-30, TODAY()), 0, 2))"),808.05)</f>
        <v>808.05</v>
      </c>
      <c r="J1216" s="9">
        <f>IFERROR(__xludf.DUMMYFUNCTION("GOOGLEFINANCE(A1216, ""high52"")"),1097.9)</f>
        <v>1097.9</v>
      </c>
      <c r="K1216" s="9">
        <f>IFERROR(__xludf.DUMMYFUNCTION("GOOGLEFINANCE(A1216, ""low52"")"),697.4)</f>
        <v>697.4</v>
      </c>
      <c r="L1216" s="9">
        <f t="shared" si="1"/>
        <v>0.1838965297</v>
      </c>
      <c r="M1216" s="9">
        <f t="shared" si="2"/>
        <v>0.2847720103</v>
      </c>
      <c r="N1216" s="9">
        <f t="shared" si="3"/>
        <v>0.07922912206</v>
      </c>
      <c r="O1216" s="9">
        <f t="shared" si="4"/>
        <v>0.5712893797</v>
      </c>
      <c r="P1216" s="9">
        <f>IFERROR(__xludf.DUMMYFUNCTION("GOOGLEFINANCE(A1216, ""pe"")"),28.76)</f>
        <v>28.76</v>
      </c>
      <c r="Q1216" s="9">
        <f>IFERROR(__xludf.DUMMYFUNCTION("IFERROR(GOOGLEFINANCE(A1216, ""volume"") / GOOGLEFINANCE(A1216, ""volumeavg""), 0)"),0.0)</f>
        <v>0</v>
      </c>
      <c r="R1216" s="9">
        <f>IFERROR(__xludf.DUMMYFUNCTION("AVERAGE(INDEX(GOOGLEFINANCE(A1216, ""price"", TODAY()-30, TODAY()), 0, 2))"),864.4739130434782)</f>
        <v>864.473913</v>
      </c>
      <c r="S1216" s="9">
        <f>IFERROR(__xludf.DUMMYFUNCTION("AVERAGE(INDEX(GOOGLEFINANCE(A1216, ""price"", TODAY()-75, TODAY()), 0, 2))"),847.3679245283018)</f>
        <v>847.3679245</v>
      </c>
      <c r="T1216" s="9">
        <f>IFERROR(__xludf.DUMMYFUNCTION("AVERAGE(INDEX(GOOGLEFINANCE(A1216, ""price"", TODAY()-300, TODAY()), 0, 2))"),819.2831683168318)</f>
        <v>819.2831683</v>
      </c>
      <c r="U1216" s="9">
        <f t="shared" si="5"/>
        <v>0.0364685232</v>
      </c>
      <c r="V1216" s="15">
        <f>IFERROR(__xludf.DUMMYFUNCTION("LET(hist, GOOGLEFINANCE(A1216,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rs))))))"),56.21147020362414)</f>
        <v>56.2114702</v>
      </c>
      <c r="W1216" s="16" t="str">
        <f>IFERROR(__xludf.DUMMYFUNCTION("IFERROR(GOOGLEFINANCE(A1216, ""volume"") / GOOGLEFINANCE(A1216, ""volumeavg""), )"),"")</f>
        <v/>
      </c>
      <c r="X1216" s="9">
        <f>IFERROR(__xludf.DUMMYFUNCTION("B1216 * GOOGLEFINANCE(A1216, ""volume"")"),1.40977536E8)</f>
        <v>140977536</v>
      </c>
      <c r="Y1216" s="9">
        <f>IFERROR(__xludf.DUMMYFUNCTION("IFERROR(((B1216 - GOOGLEFINANCE(A1216, ""priceopen"")) / GOOGLEFINANCE(A1216, ""priceopen"")) * GOOGLEFINANCE(A1216, ""volume""), 0)"),-8142.634035347652)</f>
        <v>-8142.634035</v>
      </c>
    </row>
    <row r="1217">
      <c r="A1217" s="4" t="s">
        <v>3010</v>
      </c>
      <c r="B1217" s="7">
        <f>IFERROR(__xludf.DUMMYFUNCTION("GOOGLEFINANCE(A1217, ""price"")"),1190.0)</f>
        <v>1190</v>
      </c>
      <c r="C1217" s="7">
        <f>IFERROR(__xludf.DUMMYFUNCTION("GOOGLEFINANCE(A1217, ""changepct"")"),2.48)</f>
        <v>2.48</v>
      </c>
      <c r="D1217" s="9">
        <f>IFERROR(__xludf.DUMMYFUNCTION("GOOGLEFINANCE(A1217, ""priceopen"")"),1170.5)</f>
        <v>1170.5</v>
      </c>
      <c r="E1217" s="9">
        <f>IFERROR(__xludf.DUMMYFUNCTION("GOOGLEFINANCE(A1217, ""high"")"),1190.9)</f>
        <v>1190.9</v>
      </c>
      <c r="F1217" s="9">
        <f>IFERROR(__xludf.DUMMYFUNCTION("GOOGLEFINANCE(A1217, ""low"")"),1138.0)</f>
        <v>1138</v>
      </c>
      <c r="G1217" s="9">
        <f>IFERROR(__xludf.DUMMYFUNCTION("GOOGLEFINANCE(A1217, ""price"")"),1190.0)</f>
        <v>1190</v>
      </c>
      <c r="H1217" s="9">
        <f>IFERROR(__xludf.DUMMYFUNCTION("MAX(INDEX(GOOGLEFINANCE(A1217, ""high"", TODAY()-30, TODAY()), 0, 2))"),1367.9)</f>
        <v>1367.9</v>
      </c>
      <c r="I1217" s="9">
        <f>IFERROR(__xludf.DUMMYFUNCTION("MIN(INDEX(GOOGLEFINANCE(A1217, ""low"", TODAY()-30, TODAY()), 0, 2))"),1115.1)</f>
        <v>1115.1</v>
      </c>
      <c r="J1217" s="9">
        <f>IFERROR(__xludf.DUMMYFUNCTION("GOOGLEFINANCE(A1217, ""high52"")"),1400.0)</f>
        <v>1400</v>
      </c>
      <c r="K1217" s="9">
        <f>IFERROR(__xludf.DUMMYFUNCTION("GOOGLEFINANCE(A1217, ""low52"")"),785.0)</f>
        <v>785</v>
      </c>
      <c r="L1217" s="9">
        <f t="shared" si="1"/>
        <v>0.15</v>
      </c>
      <c r="M1217" s="9">
        <f t="shared" si="2"/>
        <v>0.5159235669</v>
      </c>
      <c r="N1217" s="9">
        <f t="shared" si="3"/>
        <v>0.04648506151</v>
      </c>
      <c r="O1217" s="9">
        <f t="shared" si="4"/>
        <v>0.2962816456</v>
      </c>
      <c r="P1217" s="9">
        <f>IFERROR(__xludf.DUMMYFUNCTION("GOOGLEFINANCE(A1217, ""pe"")"),42.47)</f>
        <v>42.47</v>
      </c>
      <c r="Q1217" s="9">
        <f>IFERROR(__xludf.DUMMYFUNCTION("IFERROR(GOOGLEFINANCE(A1217, ""volume"") / GOOGLEFINANCE(A1217, ""volumeavg""), 0)"),0.0)</f>
        <v>0</v>
      </c>
      <c r="R1217" s="9">
        <f>IFERROR(__xludf.DUMMYFUNCTION("AVERAGE(INDEX(GOOGLEFINANCE(A1217, ""price"", TODAY()-30, TODAY()), 0, 2))"),1240.3217391304347)</f>
        <v>1240.321739</v>
      </c>
      <c r="S1217" s="9">
        <f>IFERROR(__xludf.DUMMYFUNCTION("AVERAGE(INDEX(GOOGLEFINANCE(A1217, ""price"", TODAY()-75, TODAY()), 0, 2))"),1239.5962264150944)</f>
        <v>1239.596226</v>
      </c>
      <c r="T1217" s="9">
        <f>IFERROR(__xludf.DUMMYFUNCTION("AVERAGE(INDEX(GOOGLEFINANCE(A1217, ""price"", TODAY()-300, TODAY()), 0, 2))"),1008.99900990099)</f>
        <v>1008.99901</v>
      </c>
      <c r="U1217" s="9">
        <f t="shared" si="5"/>
        <v>-0.04057152071</v>
      </c>
      <c r="V1217" s="15">
        <f>IFERROR(__xludf.DUMMYFUNCTION("LET(hist, GOOGLEFINANCE(A1217,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rs))))))"),29.385836027035012)</f>
        <v>29.38583603</v>
      </c>
      <c r="W1217" s="16" t="str">
        <f>IFERROR(__xludf.DUMMYFUNCTION("IFERROR(GOOGLEFINANCE(A1217, ""volume"") / GOOGLEFINANCE(A1217, ""volumeavg""), )"),"")</f>
        <v/>
      </c>
      <c r="X1217" s="9">
        <f>IFERROR(__xludf.DUMMYFUNCTION("B1217 * GOOGLEFINANCE(A1217, ""volume"")"),1.1311545E8)</f>
        <v>113115450</v>
      </c>
      <c r="Y1217" s="9">
        <f>IFERROR(__xludf.DUMMYFUNCTION("IFERROR(((B1217 - GOOGLEFINANCE(A1217, ""priceopen"")) / GOOGLEFINANCE(A1217, ""priceopen"")) * GOOGLEFINANCE(A1217, ""volume""), 0)"),1583.5732592909012)</f>
        <v>1583.573259</v>
      </c>
    </row>
    <row r="1218">
      <c r="A1218" s="4" t="s">
        <v>3011</v>
      </c>
      <c r="B1218" s="7">
        <f>IFERROR(__xludf.DUMMYFUNCTION("GOOGLEFINANCE(A1218, ""price"")"),594.3)</f>
        <v>594.3</v>
      </c>
      <c r="C1218" s="7">
        <f>IFERROR(__xludf.DUMMYFUNCTION("GOOGLEFINANCE(A1218, ""changepct"")"),0.35)</f>
        <v>0.35</v>
      </c>
      <c r="D1218" s="9">
        <f>IFERROR(__xludf.DUMMYFUNCTION("GOOGLEFINANCE(A1218, ""priceopen"")"),596.7)</f>
        <v>596.7</v>
      </c>
      <c r="E1218" s="9">
        <f>IFERROR(__xludf.DUMMYFUNCTION("GOOGLEFINANCE(A1218, ""high"")"),600.95)</f>
        <v>600.95</v>
      </c>
      <c r="F1218" s="9">
        <f>IFERROR(__xludf.DUMMYFUNCTION("GOOGLEFINANCE(A1218, ""low"")"),588.5)</f>
        <v>588.5</v>
      </c>
      <c r="G1218" s="9">
        <f>IFERROR(__xludf.DUMMYFUNCTION("GOOGLEFINANCE(A1218, ""price"")"),594.3)</f>
        <v>594.3</v>
      </c>
      <c r="H1218" s="9">
        <f>IFERROR(__xludf.DUMMYFUNCTION("MAX(INDEX(GOOGLEFINANCE(A1218, ""high"", TODAY()-30, TODAY()), 0, 2))"),643.5)</f>
        <v>643.5</v>
      </c>
      <c r="I1218" s="9">
        <f>IFERROR(__xludf.DUMMYFUNCTION("MIN(INDEX(GOOGLEFINANCE(A1218, ""low"", TODAY()-30, TODAY()), 0, 2))"),576.0)</f>
        <v>576</v>
      </c>
      <c r="J1218" s="9">
        <f>IFERROR(__xludf.DUMMYFUNCTION("GOOGLEFINANCE(A1218, ""high52"")"),693.5)</f>
        <v>693.5</v>
      </c>
      <c r="K1218" s="9">
        <f>IFERROR(__xludf.DUMMYFUNCTION("GOOGLEFINANCE(A1218, ""low52"")"),440.1)</f>
        <v>440.1</v>
      </c>
      <c r="L1218" s="9">
        <f t="shared" si="1"/>
        <v>0.1430425379</v>
      </c>
      <c r="M1218" s="9">
        <f t="shared" si="2"/>
        <v>0.3503749148</v>
      </c>
      <c r="N1218" s="9">
        <f t="shared" si="3"/>
        <v>0.02115548003</v>
      </c>
      <c r="O1218" s="9">
        <f t="shared" si="4"/>
        <v>0.2711111111</v>
      </c>
      <c r="P1218" s="9">
        <f>IFERROR(__xludf.DUMMYFUNCTION("GOOGLEFINANCE(A1218, ""pe"")"),8.57)</f>
        <v>8.57</v>
      </c>
      <c r="Q1218" s="9">
        <f>IFERROR(__xludf.DUMMYFUNCTION("IFERROR(GOOGLEFINANCE(A1218, ""volume"") / GOOGLEFINANCE(A1218, ""volumeavg""), 0)"),0.0)</f>
        <v>0</v>
      </c>
      <c r="R1218" s="9">
        <f>IFERROR(__xludf.DUMMYFUNCTION("AVERAGE(INDEX(GOOGLEFINANCE(A1218, ""price"", TODAY()-30, TODAY()), 0, 2))"),604.4739130434782)</f>
        <v>604.473913</v>
      </c>
      <c r="S1218" s="9">
        <f>IFERROR(__xludf.DUMMYFUNCTION("AVERAGE(INDEX(GOOGLEFINANCE(A1218, ""price"", TODAY()-75, TODAY()), 0, 2))"),594.6179245283018)</f>
        <v>594.6179245</v>
      </c>
      <c r="T1218" s="9">
        <f>IFERROR(__xludf.DUMMYFUNCTION("AVERAGE(INDEX(GOOGLEFINANCE(A1218, ""price"", TODAY()-300, TODAY()), 0, 2))"),550.4084158415842)</f>
        <v>550.4084158</v>
      </c>
      <c r="U1218" s="9">
        <f t="shared" si="5"/>
        <v>-0.01683102087</v>
      </c>
      <c r="V1218" s="15">
        <f>IFERROR(__xludf.DUMMYFUNCTION("LET(hist, GOOGLEFINANCE(A1218,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rs))))))"),44.89085732363177)</f>
        <v>44.89085732</v>
      </c>
      <c r="W1218" s="16" t="str">
        <f>IFERROR(__xludf.DUMMYFUNCTION("IFERROR(GOOGLEFINANCE(A1218, ""volume"") / GOOGLEFINANCE(A1218, ""volumeavg""), )"),"")</f>
        <v/>
      </c>
      <c r="X1218" s="9">
        <f>IFERROR(__xludf.DUMMYFUNCTION("B1218 * GOOGLEFINANCE(A1218, ""volume"")"),6.4408451099999994E7)</f>
        <v>64408451.1</v>
      </c>
      <c r="Y1218" s="9">
        <f>IFERROR(__xludf.DUMMYFUNCTION("IFERROR(((B1218 - GOOGLEFINANCE(A1218, ""priceopen"")) / GOOGLEFINANCE(A1218, ""priceopen"")) * GOOGLEFINANCE(A1218, ""volume""), 0)"),-435.90548014079076)</f>
        <v>-435.9054801</v>
      </c>
    </row>
    <row r="1219">
      <c r="A1219" s="4" t="s">
        <v>3012</v>
      </c>
      <c r="B1219" s="7">
        <f>IFERROR(__xludf.DUMMYFUNCTION("GOOGLEFINANCE(A1219, ""price"")"),105.0)</f>
        <v>105</v>
      </c>
      <c r="C1219" s="7">
        <f>IFERROR(__xludf.DUMMYFUNCTION("GOOGLEFINANCE(A1219, ""changepct"")"),2.27)</f>
        <v>2.27</v>
      </c>
      <c r="D1219" s="9">
        <f>IFERROR(__xludf.DUMMYFUNCTION("GOOGLEFINANCE(A1219, ""priceopen"")"),102.7)</f>
        <v>102.7</v>
      </c>
      <c r="E1219" s="9">
        <f>IFERROR(__xludf.DUMMYFUNCTION("GOOGLEFINANCE(A1219, ""high"")"),106.0)</f>
        <v>106</v>
      </c>
      <c r="F1219" s="9">
        <f>IFERROR(__xludf.DUMMYFUNCTION("GOOGLEFINANCE(A1219, ""low"")"),100.73)</f>
        <v>100.73</v>
      </c>
      <c r="G1219" s="9">
        <f>IFERROR(__xludf.DUMMYFUNCTION("GOOGLEFINANCE(A1219, ""price"")"),105.0)</f>
        <v>105</v>
      </c>
      <c r="H1219" s="9">
        <f>IFERROR(__xludf.DUMMYFUNCTION("MAX(INDEX(GOOGLEFINANCE(A1219, ""high"", TODAY()-30, TODAY()), 0, 2))"),113.89)</f>
        <v>113.89</v>
      </c>
      <c r="I1219" s="9">
        <f>IFERROR(__xludf.DUMMYFUNCTION("MIN(INDEX(GOOGLEFINANCE(A1219, ""low"", TODAY()-30, TODAY()), 0, 2))"),98.03)</f>
        <v>98.03</v>
      </c>
      <c r="J1219" s="9">
        <f>IFERROR(__xludf.DUMMYFUNCTION("GOOGLEFINANCE(A1219, ""high52"")"),178.24)</f>
        <v>178.24</v>
      </c>
      <c r="K1219" s="9">
        <f>IFERROR(__xludf.DUMMYFUNCTION("GOOGLEFINANCE(A1219, ""low52"")"),88.0)</f>
        <v>88</v>
      </c>
      <c r="L1219" s="9">
        <f t="shared" si="1"/>
        <v>0.4109066427</v>
      </c>
      <c r="M1219" s="9">
        <f t="shared" si="2"/>
        <v>0.1931818182</v>
      </c>
      <c r="N1219" s="9">
        <f t="shared" si="3"/>
        <v>0.05231807803</v>
      </c>
      <c r="O1219" s="9">
        <f t="shared" si="4"/>
        <v>0.4394703657</v>
      </c>
      <c r="P1219" s="9">
        <f>IFERROR(__xludf.DUMMYFUNCTION("GOOGLEFINANCE(A1219, ""pe"")"),10.87)</f>
        <v>10.87</v>
      </c>
      <c r="Q1219" s="9">
        <f>IFERROR(__xludf.DUMMYFUNCTION("IFERROR(GOOGLEFINANCE(A1219, ""volume"") / GOOGLEFINANCE(A1219, ""volumeavg""), 0)"),0.0)</f>
        <v>0</v>
      </c>
      <c r="R1219" s="9">
        <f>IFERROR(__xludf.DUMMYFUNCTION("AVERAGE(INDEX(GOOGLEFINANCE(A1219, ""price"", TODAY()-30, TODAY()), 0, 2))"),104.26217391304348)</f>
        <v>104.2621739</v>
      </c>
      <c r="S1219" s="9">
        <f>IFERROR(__xludf.DUMMYFUNCTION("AVERAGE(INDEX(GOOGLEFINANCE(A1219, ""price"", TODAY()-75, TODAY()), 0, 2))"),110.15132075471695)</f>
        <v>110.1513208</v>
      </c>
      <c r="T1219" s="9">
        <f>IFERROR(__xludf.DUMMYFUNCTION("AVERAGE(INDEX(GOOGLEFINANCE(A1219, ""price"", TODAY()-300, TODAY()), 0, 2))"),119.78376237623765)</f>
        <v>119.7837624</v>
      </c>
      <c r="U1219" s="9">
        <f t="shared" si="5"/>
        <v>0.007076642077</v>
      </c>
      <c r="V1219" s="15">
        <f>IFERROR(__xludf.DUMMYFUNCTION("LET(hist, GOOGLEFINANCE(A1219,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rs))))))"),58.775510204081684)</f>
        <v>58.7755102</v>
      </c>
      <c r="W1219" s="16" t="str">
        <f>IFERROR(__xludf.DUMMYFUNCTION("IFERROR(GOOGLEFINANCE(A1219, ""volume"") / GOOGLEFINANCE(A1219, ""volumeavg""), )"),"")</f>
        <v/>
      </c>
      <c r="X1219" s="9">
        <f>IFERROR(__xludf.DUMMYFUNCTION("B1219 * GOOGLEFINANCE(A1219, ""volume"")"),5.513172E7)</f>
        <v>55131720</v>
      </c>
      <c r="Y1219" s="9">
        <f>IFERROR(__xludf.DUMMYFUNCTION("IFERROR(((B1219 - GOOGLEFINANCE(A1219, ""priceopen"")) / GOOGLEFINANCE(A1219, ""priceopen"")) * GOOGLEFINANCE(A1219, ""volume""), 0)"),11758.979552093462)</f>
        <v>11758.97955</v>
      </c>
    </row>
    <row r="1220">
      <c r="A1220" s="4" t="s">
        <v>3013</v>
      </c>
      <c r="B1220" s="7">
        <f>IFERROR(__xludf.DUMMYFUNCTION("GOOGLEFINANCE(A1220, ""price"")"),28.75)</f>
        <v>28.75</v>
      </c>
      <c r="C1220" s="7">
        <f>IFERROR(__xludf.DUMMYFUNCTION("GOOGLEFINANCE(A1220, ""changepct"")"),-0.03)</f>
        <v>-0.03</v>
      </c>
      <c r="D1220" s="9">
        <f>IFERROR(__xludf.DUMMYFUNCTION("GOOGLEFINANCE(A1220, ""priceopen"")"),28.75)</f>
        <v>28.75</v>
      </c>
      <c r="E1220" s="9">
        <f>IFERROR(__xludf.DUMMYFUNCTION("GOOGLEFINANCE(A1220, ""high"")"),28.94)</f>
        <v>28.94</v>
      </c>
      <c r="F1220" s="9">
        <f>IFERROR(__xludf.DUMMYFUNCTION("GOOGLEFINANCE(A1220, ""low"")"),28.52)</f>
        <v>28.52</v>
      </c>
      <c r="G1220" s="9">
        <f>IFERROR(__xludf.DUMMYFUNCTION("GOOGLEFINANCE(A1220, ""price"")"),28.75)</f>
        <v>28.75</v>
      </c>
      <c r="H1220" s="9">
        <f>IFERROR(__xludf.DUMMYFUNCTION("MAX(INDEX(GOOGLEFINANCE(A1220, ""high"", TODAY()-30, TODAY()), 0, 2))"),31.4)</f>
        <v>31.4</v>
      </c>
      <c r="I1220" s="9">
        <f>IFERROR(__xludf.DUMMYFUNCTION("MIN(INDEX(GOOGLEFINANCE(A1220, ""low"", TODAY()-30, TODAY()), 0, 2))"),27.37)</f>
        <v>27.37</v>
      </c>
      <c r="J1220" s="9">
        <f>IFERROR(__xludf.DUMMYFUNCTION("GOOGLEFINANCE(A1220, ""high52"")"),40.69)</f>
        <v>40.69</v>
      </c>
      <c r="K1220" s="9">
        <f>IFERROR(__xludf.DUMMYFUNCTION("GOOGLEFINANCE(A1220, ""low52"")"),23.85)</f>
        <v>23.85</v>
      </c>
      <c r="L1220" s="9">
        <f t="shared" si="1"/>
        <v>0.2934381912</v>
      </c>
      <c r="M1220" s="9">
        <f t="shared" si="2"/>
        <v>0.2054507338</v>
      </c>
      <c r="N1220" s="9">
        <f t="shared" si="3"/>
        <v>0.01472650771</v>
      </c>
      <c r="O1220" s="9">
        <f t="shared" si="4"/>
        <v>0.3424317618</v>
      </c>
      <c r="P1220" s="9">
        <f>IFERROR(__xludf.DUMMYFUNCTION("GOOGLEFINANCE(A1220, ""pe"")"),8.29)</f>
        <v>8.29</v>
      </c>
      <c r="Q1220" s="9">
        <f>IFERROR(__xludf.DUMMYFUNCTION("IFERROR(GOOGLEFINANCE(A1220, ""volume"") / GOOGLEFINANCE(A1220, ""volumeavg""), 0)"),0.0)</f>
        <v>0</v>
      </c>
      <c r="R1220" s="9">
        <f>IFERROR(__xludf.DUMMYFUNCTION("AVERAGE(INDEX(GOOGLEFINANCE(A1220, ""price"", TODAY()-30, TODAY()), 0, 2))"),29.135652173913044)</f>
        <v>29.13565217</v>
      </c>
      <c r="S1220" s="9">
        <f>IFERROR(__xludf.DUMMYFUNCTION("AVERAGE(INDEX(GOOGLEFINANCE(A1220, ""price"", TODAY()-75, TODAY()), 0, 2))"),30.129811320754712)</f>
        <v>30.12981132</v>
      </c>
      <c r="T1220" s="9">
        <f>IFERROR(__xludf.DUMMYFUNCTION("AVERAGE(INDEX(GOOGLEFINANCE(A1220, ""price"", TODAY()-300, TODAY()), 0, 2))"),31.562425742574252)</f>
        <v>31.56242574</v>
      </c>
      <c r="U1220" s="9">
        <f t="shared" si="5"/>
        <v>-0.01323643527</v>
      </c>
      <c r="V1220" s="15">
        <f>IFERROR(__xludf.DUMMYFUNCTION("LET(hist, GOOGLEFINANCE(A1220,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rs))))))"),42.55765199161423)</f>
        <v>42.55765199</v>
      </c>
      <c r="W1220" s="16" t="str">
        <f>IFERROR(__xludf.DUMMYFUNCTION("IFERROR(GOOGLEFINANCE(A1220, ""volume"") / GOOGLEFINANCE(A1220, ""volumeavg""), )"),"")</f>
        <v/>
      </c>
      <c r="X1220" s="9">
        <f>IFERROR(__xludf.DUMMYFUNCTION("B1220 * GOOGLEFINANCE(A1220, ""volume"")"),1.67879875E7)</f>
        <v>16787987.5</v>
      </c>
      <c r="Y1220" s="9">
        <f>IFERROR(__xludf.DUMMYFUNCTION("IFERROR(((B1220 - GOOGLEFINANCE(A1220, ""priceopen"")) / GOOGLEFINANCE(A1220, ""priceopen"")) * GOOGLEFINANCE(A1220, ""volume""), 0)"),0.0)</f>
        <v>0</v>
      </c>
    </row>
    <row r="1221">
      <c r="A1221" s="4" t="s">
        <v>3014</v>
      </c>
      <c r="B1221" s="7">
        <f>IFERROR(__xludf.DUMMYFUNCTION("GOOGLEFINANCE(A1221, ""price"")"),11651.0)</f>
        <v>11651</v>
      </c>
      <c r="C1221" s="7">
        <f>IFERROR(__xludf.DUMMYFUNCTION("GOOGLEFINANCE(A1221, ""changepct"")"),-3.09)</f>
        <v>-3.09</v>
      </c>
      <c r="D1221" s="9">
        <f>IFERROR(__xludf.DUMMYFUNCTION("GOOGLEFINANCE(A1221, ""priceopen"")"),12017.0)</f>
        <v>12017</v>
      </c>
      <c r="E1221" s="9">
        <f>IFERROR(__xludf.DUMMYFUNCTION("GOOGLEFINANCE(A1221, ""high"")"),12100.0)</f>
        <v>12100</v>
      </c>
      <c r="F1221" s="9">
        <f>IFERROR(__xludf.DUMMYFUNCTION("GOOGLEFINANCE(A1221, ""low"")"),11580.0)</f>
        <v>11580</v>
      </c>
      <c r="G1221" s="9">
        <f>IFERROR(__xludf.DUMMYFUNCTION("GOOGLEFINANCE(A1221, ""price"")"),11651.0)</f>
        <v>11651</v>
      </c>
      <c r="H1221" s="9">
        <f>IFERROR(__xludf.DUMMYFUNCTION("MAX(INDEX(GOOGLEFINANCE(A1221, ""high"", TODAY()-30, TODAY()), 0, 2))"),12795.0)</f>
        <v>12795</v>
      </c>
      <c r="I1221" s="9">
        <f>IFERROR(__xludf.DUMMYFUNCTION("MIN(INDEX(GOOGLEFINANCE(A1221, ""low"", TODAY()-30, TODAY()), 0, 2))"),11580.0)</f>
        <v>11580</v>
      </c>
      <c r="J1221" s="9">
        <f>IFERROR(__xludf.DUMMYFUNCTION("GOOGLEFINANCE(A1221, ""high52"")"),12864.0)</f>
        <v>12864</v>
      </c>
      <c r="K1221" s="9">
        <f>IFERROR(__xludf.DUMMYFUNCTION("GOOGLEFINANCE(A1221, ""low52"")"),10851.0)</f>
        <v>10851</v>
      </c>
      <c r="L1221" s="9">
        <f t="shared" si="1"/>
        <v>0.09429415423</v>
      </c>
      <c r="M1221" s="9">
        <f t="shared" si="2"/>
        <v>0.07372592388</v>
      </c>
      <c r="N1221" s="9">
        <f t="shared" si="3"/>
        <v>0.04490500864</v>
      </c>
      <c r="O1221" s="9">
        <f t="shared" si="4"/>
        <v>0.05843621399</v>
      </c>
      <c r="P1221" s="9">
        <f>IFERROR(__xludf.DUMMYFUNCTION("GOOGLEFINANCE(A1221, ""pe"")"),31.6)</f>
        <v>31.6</v>
      </c>
      <c r="Q1221" s="9">
        <f>IFERROR(__xludf.DUMMYFUNCTION("IFERROR(GOOGLEFINANCE(A1221, ""volume"") / GOOGLEFINANCE(A1221, ""volumeavg""), 0)"),0.0)</f>
        <v>0</v>
      </c>
      <c r="R1221" s="9">
        <f>IFERROR(__xludf.DUMMYFUNCTION("AVERAGE(INDEX(GOOGLEFINANCE(A1221, ""price"", TODAY()-30, TODAY()), 0, 2))"),12063.217391304348)</f>
        <v>12063.21739</v>
      </c>
      <c r="S1221" s="9">
        <f>IFERROR(__xludf.DUMMYFUNCTION("AVERAGE(INDEX(GOOGLEFINANCE(A1221, ""price"", TODAY()-75, TODAY()), 0, 2))"),11932.188679245282)</f>
        <v>11932.18868</v>
      </c>
      <c r="T1221" s="9">
        <f>IFERROR(__xludf.DUMMYFUNCTION("AVERAGE(INDEX(GOOGLEFINANCE(A1221, ""price"", TODAY()-300, TODAY()), 0, 2))"),11977.205624999999)</f>
        <v>11977.20563</v>
      </c>
      <c r="U1221" s="9">
        <f t="shared" si="5"/>
        <v>-0.03417143022</v>
      </c>
      <c r="V1221" s="15">
        <f>IFERROR(__xludf.DUMMYFUNCTION("LET(hist, GOOGLEFINANCE(A1221,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rs))))))"),39.222774514234075)</f>
        <v>39.22277451</v>
      </c>
      <c r="W1221" s="16" t="str">
        <f>IFERROR(__xludf.DUMMYFUNCTION("IFERROR(GOOGLEFINANCE(A1221, ""volume"") / GOOGLEFINANCE(A1221, ""volumeavg""), )"),"")</f>
        <v/>
      </c>
      <c r="X1221" s="9">
        <f>IFERROR(__xludf.DUMMYFUNCTION("B1221 * GOOGLEFINANCE(A1221, ""volume"")"),8120747.0)</f>
        <v>8120747</v>
      </c>
      <c r="Y1221" s="9">
        <f>IFERROR(__xludf.DUMMYFUNCTION("IFERROR(((B1221 - GOOGLEFINANCE(A1221, ""priceopen"")) / GOOGLEFINANCE(A1221, ""priceopen"")) * GOOGLEFINANCE(A1221, ""volume""), 0)"),-21.22842639593909)</f>
        <v>-21.2284264</v>
      </c>
    </row>
    <row r="1222">
      <c r="A1222" s="4" t="s">
        <v>3015</v>
      </c>
      <c r="B1222" s="7">
        <f>IFERROR(__xludf.DUMMYFUNCTION("GOOGLEFINANCE(A1222, ""price"")"),142.0)</f>
        <v>142</v>
      </c>
      <c r="C1222" s="7">
        <f>IFERROR(__xludf.DUMMYFUNCTION("GOOGLEFINANCE(A1222, ""changepct"")"),-0.85)</f>
        <v>-0.85</v>
      </c>
      <c r="D1222" s="9">
        <f>IFERROR(__xludf.DUMMYFUNCTION("GOOGLEFINANCE(A1222, ""priceopen"")"),142.57)</f>
        <v>142.57</v>
      </c>
      <c r="E1222" s="9">
        <f>IFERROR(__xludf.DUMMYFUNCTION("GOOGLEFINANCE(A1222, ""high"")"),143.35)</f>
        <v>143.35</v>
      </c>
      <c r="F1222" s="9">
        <f>IFERROR(__xludf.DUMMYFUNCTION("GOOGLEFINANCE(A1222, ""low"")"),141.72)</f>
        <v>141.72</v>
      </c>
      <c r="G1222" s="9">
        <f>IFERROR(__xludf.DUMMYFUNCTION("GOOGLEFINANCE(A1222, ""price"")"),142.0)</f>
        <v>142</v>
      </c>
      <c r="H1222" s="9">
        <f>IFERROR(__xludf.DUMMYFUNCTION("MAX(INDEX(GOOGLEFINANCE(A1222, ""high"", TODAY()-30, TODAY()), 0, 2))"),171.94)</f>
        <v>171.94</v>
      </c>
      <c r="I1222" s="9">
        <f>IFERROR(__xludf.DUMMYFUNCTION("MIN(INDEX(GOOGLEFINANCE(A1222, ""low"", TODAY()-30, TODAY()), 0, 2))"),141.72)</f>
        <v>141.72</v>
      </c>
      <c r="J1222" s="9">
        <f>IFERROR(__xludf.DUMMYFUNCTION("GOOGLEFINANCE(A1222, ""high52"")"),245.84)</f>
        <v>245.84</v>
      </c>
      <c r="K1222" s="9">
        <f>IFERROR(__xludf.DUMMYFUNCTION("GOOGLEFINANCE(A1222, ""low52"")"),125.0)</f>
        <v>125</v>
      </c>
      <c r="L1222" s="9">
        <f t="shared" si="1"/>
        <v>0.4223885454</v>
      </c>
      <c r="M1222" s="9">
        <f t="shared" si="2"/>
        <v>0.136</v>
      </c>
      <c r="N1222" s="9">
        <f t="shared" si="3"/>
        <v>0.01150155236</v>
      </c>
      <c r="O1222" s="9">
        <f t="shared" si="4"/>
        <v>0.009265387161</v>
      </c>
      <c r="P1222" s="9">
        <f>IFERROR(__xludf.DUMMYFUNCTION("GOOGLEFINANCE(A1222, ""pe"")"),15.2)</f>
        <v>15.2</v>
      </c>
      <c r="Q1222" s="9">
        <f>IFERROR(__xludf.DUMMYFUNCTION("IFERROR(GOOGLEFINANCE(A1222, ""volume"") / GOOGLEFINANCE(A1222, ""volumeavg""), 0)"),0.0)</f>
        <v>0</v>
      </c>
      <c r="R1222" s="9">
        <f>IFERROR(__xludf.DUMMYFUNCTION("AVERAGE(INDEX(GOOGLEFINANCE(A1222, ""price"", TODAY()-30, TODAY()), 0, 2))"),149.89869565217393)</f>
        <v>149.8986957</v>
      </c>
      <c r="S1222" s="9">
        <f>IFERROR(__xludf.DUMMYFUNCTION("AVERAGE(INDEX(GOOGLEFINANCE(A1222, ""price"", TODAY()-75, TODAY()), 0, 2))"),156.01622641509428)</f>
        <v>156.0162264</v>
      </c>
      <c r="T1222" s="9">
        <f>IFERROR(__xludf.DUMMYFUNCTION("AVERAGE(INDEX(GOOGLEFINANCE(A1222, ""price"", TODAY()-300, TODAY()), 0, 2))"),162.4503482587065)</f>
        <v>162.4503483</v>
      </c>
      <c r="U1222" s="9">
        <f t="shared" si="5"/>
        <v>-0.05269355826</v>
      </c>
      <c r="V1222" s="15">
        <f>IFERROR(__xludf.DUMMYFUNCTION("LET(hist, GOOGLEFINANCE(A1222,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rs))))))"),27.479224376731324)</f>
        <v>27.47922438</v>
      </c>
      <c r="W1222" s="16" t="str">
        <f>IFERROR(__xludf.DUMMYFUNCTION("IFERROR(GOOGLEFINANCE(A1222, ""volume"") / GOOGLEFINANCE(A1222, ""volumeavg""), )"),"")</f>
        <v/>
      </c>
      <c r="X1222" s="9">
        <f>IFERROR(__xludf.DUMMYFUNCTION("B1222 * GOOGLEFINANCE(A1222, ""volume"")"),1.7325988E7)</f>
        <v>17325988</v>
      </c>
      <c r="Y1222" s="9">
        <f>IFERROR(__xludf.DUMMYFUNCTION("IFERROR(((B1222 - GOOGLEFINANCE(A1222, ""priceopen"")) / GOOGLEFINANCE(A1222, ""priceopen"")) * GOOGLEFINANCE(A1222, ""volume""), 0)"),-487.81637090551425)</f>
        <v>-487.8163709</v>
      </c>
    </row>
    <row r="1223">
      <c r="A1223" s="4" t="s">
        <v>3016</v>
      </c>
      <c r="B1223" s="7">
        <f>IFERROR(__xludf.DUMMYFUNCTION("GOOGLEFINANCE(A1223, ""price"")"),323.25)</f>
        <v>323.25</v>
      </c>
      <c r="C1223" s="7">
        <f>IFERROR(__xludf.DUMMYFUNCTION("GOOGLEFINANCE(A1223, ""changepct"")"),0.08)</f>
        <v>0.08</v>
      </c>
      <c r="D1223" s="9">
        <f>IFERROR(__xludf.DUMMYFUNCTION("GOOGLEFINANCE(A1223, ""priceopen"")"),323.05)</f>
        <v>323.05</v>
      </c>
      <c r="E1223" s="9">
        <f>IFERROR(__xludf.DUMMYFUNCTION("GOOGLEFINANCE(A1223, ""high"")"),324.6)</f>
        <v>324.6</v>
      </c>
      <c r="F1223" s="9">
        <f>IFERROR(__xludf.DUMMYFUNCTION("GOOGLEFINANCE(A1223, ""low"")"),320.55)</f>
        <v>320.55</v>
      </c>
      <c r="G1223" s="9">
        <f>IFERROR(__xludf.DUMMYFUNCTION("GOOGLEFINANCE(A1223, ""price"")"),323.25)</f>
        <v>323.25</v>
      </c>
      <c r="H1223" s="9">
        <f>IFERROR(__xludf.DUMMYFUNCTION("MAX(INDEX(GOOGLEFINANCE(A1223, ""high"", TODAY()-30, TODAY()), 0, 2))"),365.05)</f>
        <v>365.05</v>
      </c>
      <c r="I1223" s="9">
        <f>IFERROR(__xludf.DUMMYFUNCTION("MIN(INDEX(GOOGLEFINANCE(A1223, ""low"", TODAY()-30, TODAY()), 0, 2))"),306.5)</f>
        <v>306.5</v>
      </c>
      <c r="J1223" s="9">
        <f>IFERROR(__xludf.DUMMYFUNCTION("GOOGLEFINANCE(A1223, ""high52"")"),760.9)</f>
        <v>760.9</v>
      </c>
      <c r="K1223" s="9">
        <f>IFERROR(__xludf.DUMMYFUNCTION("GOOGLEFINANCE(A1223, ""low52"")"),237.05)</f>
        <v>237.05</v>
      </c>
      <c r="L1223" s="9">
        <f t="shared" si="1"/>
        <v>0.5751741359</v>
      </c>
      <c r="M1223" s="9">
        <f t="shared" si="2"/>
        <v>0.3636363636</v>
      </c>
      <c r="N1223" s="9">
        <f t="shared" si="3"/>
        <v>0.01263453439</v>
      </c>
      <c r="O1223" s="9">
        <f t="shared" si="4"/>
        <v>0.2860802733</v>
      </c>
      <c r="P1223" s="9">
        <f>IFERROR(__xludf.DUMMYFUNCTION("GOOGLEFINANCE(A1223, ""pe"")"),32.36)</f>
        <v>32.36</v>
      </c>
      <c r="Q1223" s="9">
        <f>IFERROR(__xludf.DUMMYFUNCTION("IFERROR(GOOGLEFINANCE(A1223, ""volume"") / GOOGLEFINANCE(A1223, ""volumeavg""), 0)"),0.0)</f>
        <v>0</v>
      </c>
      <c r="R1223" s="9">
        <f>IFERROR(__xludf.DUMMYFUNCTION("AVERAGE(INDEX(GOOGLEFINANCE(A1223, ""price"", TODAY()-30, TODAY()), 0, 2))"),332.3673913043479)</f>
        <v>332.3673913</v>
      </c>
      <c r="S1223" s="9">
        <f>IFERROR(__xludf.DUMMYFUNCTION("AVERAGE(INDEX(GOOGLEFINANCE(A1223, ""price"", TODAY()-75, TODAY()), 0, 2))"),350.98867924528287)</f>
        <v>350.9886792</v>
      </c>
      <c r="T1223" s="9">
        <f>IFERROR(__xludf.DUMMYFUNCTION("AVERAGE(INDEX(GOOGLEFINANCE(A1223, ""price"", TODAY()-300, TODAY()), 0, 2))"),388.9335820895524)</f>
        <v>388.9335821</v>
      </c>
      <c r="U1223" s="9">
        <f t="shared" si="5"/>
        <v>-0.02743166611</v>
      </c>
      <c r="V1223" s="15">
        <f>IFERROR(__xludf.DUMMYFUNCTION("LET(hist, GOOGLEFINANCE(A1223,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rs))))))"),51.223021582733814)</f>
        <v>51.22302158</v>
      </c>
      <c r="W1223" s="16" t="str">
        <f>IFERROR(__xludf.DUMMYFUNCTION("IFERROR(GOOGLEFINANCE(A1223, ""volume"") / GOOGLEFINANCE(A1223, ""volumeavg""), )"),"")</f>
        <v/>
      </c>
      <c r="X1223" s="9">
        <f>IFERROR(__xludf.DUMMYFUNCTION("B1223 * GOOGLEFINANCE(A1223, ""volume"")"),2.249464425E7)</f>
        <v>22494644.25</v>
      </c>
      <c r="Y1223" s="9">
        <f>IFERROR(__xludf.DUMMYFUNCTION("IFERROR(((B1223 - GOOGLEFINANCE(A1223, ""priceopen"")) / GOOGLEFINANCE(A1223, ""priceopen"")) * GOOGLEFINANCE(A1223, ""volume""), 0)"),43.082494969816466)</f>
        <v>43.08249497</v>
      </c>
    </row>
    <row r="1224">
      <c r="A1224" s="4" t="s">
        <v>3017</v>
      </c>
      <c r="B1224" s="7">
        <f>IFERROR(__xludf.DUMMYFUNCTION("GOOGLEFINANCE(A1224, ""price"")"),754.95)</f>
        <v>754.95</v>
      </c>
      <c r="C1224" s="7">
        <f>IFERROR(__xludf.DUMMYFUNCTION("GOOGLEFINANCE(A1224, ""changepct"")"),-5.16)</f>
        <v>-5.16</v>
      </c>
      <c r="D1224" s="9">
        <f>IFERROR(__xludf.DUMMYFUNCTION("GOOGLEFINANCE(A1224, ""priceopen"")"),776.65)</f>
        <v>776.65</v>
      </c>
      <c r="E1224" s="9">
        <f>IFERROR(__xludf.DUMMYFUNCTION("GOOGLEFINANCE(A1224, ""high"")"),787.3)</f>
        <v>787.3</v>
      </c>
      <c r="F1224" s="9">
        <f>IFERROR(__xludf.DUMMYFUNCTION("GOOGLEFINANCE(A1224, ""low"")"),736.35)</f>
        <v>736.35</v>
      </c>
      <c r="G1224" s="9">
        <f>IFERROR(__xludf.DUMMYFUNCTION("GOOGLEFINANCE(A1224, ""price"")"),754.95)</f>
        <v>754.95</v>
      </c>
      <c r="H1224" s="9">
        <f>IFERROR(__xludf.DUMMYFUNCTION("MAX(INDEX(GOOGLEFINANCE(A1224, ""high"", TODAY()-30, TODAY()), 0, 2))"),964.9)</f>
        <v>964.9</v>
      </c>
      <c r="I1224" s="9">
        <f>IFERROR(__xludf.DUMMYFUNCTION("MIN(INDEX(GOOGLEFINANCE(A1224, ""low"", TODAY()-30, TODAY()), 0, 2))"),736.35)</f>
        <v>736.35</v>
      </c>
      <c r="J1224" s="9">
        <f>IFERROR(__xludf.DUMMYFUNCTION("GOOGLEFINANCE(A1224, ""high52"")"),1249.9)</f>
        <v>1249.9</v>
      </c>
      <c r="K1224" s="9">
        <f>IFERROR(__xludf.DUMMYFUNCTION("GOOGLEFINANCE(A1224, ""low52"")"),736.35)</f>
        <v>736.35</v>
      </c>
      <c r="L1224" s="9">
        <f t="shared" si="1"/>
        <v>0.3959916793</v>
      </c>
      <c r="M1224" s="9">
        <f t="shared" si="2"/>
        <v>0.02525972703</v>
      </c>
      <c r="N1224" s="9">
        <f t="shared" si="3"/>
        <v>0.06919263937</v>
      </c>
      <c r="O1224" s="9">
        <f t="shared" si="4"/>
        <v>0.08138262962</v>
      </c>
      <c r="P1224" s="9">
        <f>IFERROR(__xludf.DUMMYFUNCTION("GOOGLEFINANCE(A1224, ""pe"")"),11.12)</f>
        <v>11.12</v>
      </c>
      <c r="Q1224" s="9">
        <f>IFERROR(__xludf.DUMMYFUNCTION("IFERROR(GOOGLEFINANCE(A1224, ""volume"") / GOOGLEFINANCE(A1224, ""volumeavg""), 0)"),0.0)</f>
        <v>0</v>
      </c>
      <c r="R1224" s="9">
        <f>IFERROR(__xludf.DUMMYFUNCTION("AVERAGE(INDEX(GOOGLEFINANCE(A1224, ""price"", TODAY()-30, TODAY()), 0, 2))"),862.5782608695654)</f>
        <v>862.5782609</v>
      </c>
      <c r="S1224" s="9">
        <f>IFERROR(__xludf.DUMMYFUNCTION("AVERAGE(INDEX(GOOGLEFINANCE(A1224, ""price"", TODAY()-75, TODAY()), 0, 2))"),899.6518867924528)</f>
        <v>899.6518868</v>
      </c>
      <c r="T1224" s="9">
        <f>IFERROR(__xludf.DUMMYFUNCTION("AVERAGE(INDEX(GOOGLEFINANCE(A1224, ""price"", TODAY()-300, TODAY()), 0, 2))"),955.3559829059831)</f>
        <v>955.3559829</v>
      </c>
      <c r="U1224" s="9">
        <f t="shared" si="5"/>
        <v>-0.1247750677</v>
      </c>
      <c r="V1224" s="15">
        <f>IFERROR(__xludf.DUMMYFUNCTION("LET(hist, GOOGLEFINANCE(A1224,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rs))))))"),18.774044626827404)</f>
        <v>18.77404463</v>
      </c>
      <c r="W1224" s="16" t="str">
        <f>IFERROR(__xludf.DUMMYFUNCTION("IFERROR(GOOGLEFINANCE(A1224, ""volume"") / GOOGLEFINANCE(A1224, ""volumeavg""), )"),"")</f>
        <v/>
      </c>
      <c r="X1224" s="9">
        <f>IFERROR(__xludf.DUMMYFUNCTION("B1224 * GOOGLEFINANCE(A1224, ""volume"")"),1.671851874E8)</f>
        <v>167185187.4</v>
      </c>
      <c r="Y1224" s="9">
        <f>IFERROR(__xludf.DUMMYFUNCTION("IFERROR(((B1224 - GOOGLEFINANCE(A1224, ""priceopen"")) / GOOGLEFINANCE(A1224, ""priceopen"")) * GOOGLEFINANCE(A1224, ""volume""), 0)"),-6187.482649842252)</f>
        <v>-6187.48265</v>
      </c>
    </row>
    <row r="1225">
      <c r="A1225" s="4" t="s">
        <v>3018</v>
      </c>
      <c r="B1225" s="7">
        <f>IFERROR(__xludf.DUMMYFUNCTION("GOOGLEFINANCE(A1225, ""price"")"),1587.0)</f>
        <v>1587</v>
      </c>
      <c r="C1225" s="7">
        <f>IFERROR(__xludf.DUMMYFUNCTION("GOOGLEFINANCE(A1225, ""changepct"")"),-1.54)</f>
        <v>-1.54</v>
      </c>
      <c r="D1225" s="9">
        <f>IFERROR(__xludf.DUMMYFUNCTION("GOOGLEFINANCE(A1225, ""priceopen"")"),1621.5)</f>
        <v>1621.5</v>
      </c>
      <c r="E1225" s="9">
        <f>IFERROR(__xludf.DUMMYFUNCTION("GOOGLEFINANCE(A1225, ""high"")"),1659.3)</f>
        <v>1659.3</v>
      </c>
      <c r="F1225" s="9">
        <f>IFERROR(__xludf.DUMMYFUNCTION("GOOGLEFINANCE(A1225, ""low"")"),1579.8)</f>
        <v>1579.8</v>
      </c>
      <c r="G1225" s="9">
        <f>IFERROR(__xludf.DUMMYFUNCTION("GOOGLEFINANCE(A1225, ""price"")"),1587.0)</f>
        <v>1587</v>
      </c>
      <c r="H1225" s="9">
        <f>IFERROR(__xludf.DUMMYFUNCTION("MAX(INDEX(GOOGLEFINANCE(A1225, ""high"", TODAY()-30, TODAY()), 0, 2))"),2055.0)</f>
        <v>2055</v>
      </c>
      <c r="I1225" s="9">
        <f>IFERROR(__xludf.DUMMYFUNCTION("MIN(INDEX(GOOGLEFINANCE(A1225, ""low"", TODAY()-30, TODAY()), 0, 2))"),1579.8)</f>
        <v>1579.8</v>
      </c>
      <c r="J1225" s="9">
        <f>IFERROR(__xludf.DUMMYFUNCTION("GOOGLEFINANCE(A1225, ""high52"")"),2087.2)</f>
        <v>2087.2</v>
      </c>
      <c r="K1225" s="9">
        <f>IFERROR(__xludf.DUMMYFUNCTION("GOOGLEFINANCE(A1225, ""low52"")"),837.05)</f>
        <v>837.05</v>
      </c>
      <c r="L1225" s="9">
        <f t="shared" si="1"/>
        <v>0.2396512074</v>
      </c>
      <c r="M1225" s="9">
        <f t="shared" si="2"/>
        <v>0.8959440894</v>
      </c>
      <c r="N1225" s="9">
        <f t="shared" si="3"/>
        <v>0.05032282567</v>
      </c>
      <c r="O1225" s="9">
        <f t="shared" si="4"/>
        <v>0.01515151515</v>
      </c>
      <c r="P1225" s="9">
        <f>IFERROR(__xludf.DUMMYFUNCTION("GOOGLEFINANCE(A1225, ""pe"")"),13.96)</f>
        <v>13.96</v>
      </c>
      <c r="Q1225" s="9">
        <f>IFERROR(__xludf.DUMMYFUNCTION("IFERROR(GOOGLEFINANCE(A1225, ""volume"") / GOOGLEFINANCE(A1225, ""volumeavg""), 0)"),0.0)</f>
        <v>0</v>
      </c>
      <c r="R1225" s="9">
        <f>IFERROR(__xludf.DUMMYFUNCTION("AVERAGE(INDEX(GOOGLEFINANCE(A1225, ""price"", TODAY()-30, TODAY()), 0, 2))"),1809.2173913043478)</f>
        <v>1809.217391</v>
      </c>
      <c r="S1225" s="9">
        <f>IFERROR(__xludf.DUMMYFUNCTION("AVERAGE(INDEX(GOOGLEFINANCE(A1225, ""price"", TODAY()-75, TODAY()), 0, 2))"),1721.3641509433958)</f>
        <v>1721.364151</v>
      </c>
      <c r="T1225" s="9">
        <f>IFERROR(__xludf.DUMMYFUNCTION("AVERAGE(INDEX(GOOGLEFINANCE(A1225, ""price"", TODAY()-300, TODAY()), 0, 2))"),1544.3806249999993)</f>
        <v>1544.380625</v>
      </c>
      <c r="U1225" s="9">
        <f t="shared" si="5"/>
        <v>-0.1228251466</v>
      </c>
      <c r="V1225" s="15">
        <f>IFERROR(__xludf.DUMMYFUNCTION("LET(hist, GOOGLEFINANCE(A1225,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rs))))))"),26.38636681100712)</f>
        <v>26.38636681</v>
      </c>
      <c r="W1225" s="16" t="str">
        <f>IFERROR(__xludf.DUMMYFUNCTION("IFERROR(GOOGLEFINANCE(A1225, ""volume"") / GOOGLEFINANCE(A1225, ""volumeavg""), )"),"")</f>
        <v/>
      </c>
      <c r="X1225" s="9">
        <f>IFERROR(__xludf.DUMMYFUNCTION("B1225 * GOOGLEFINANCE(A1225, ""volume"")"),9872727.0)</f>
        <v>9872727</v>
      </c>
      <c r="Y1225" s="9">
        <f>IFERROR(__xludf.DUMMYFUNCTION("IFERROR(((B1225 - GOOGLEFINANCE(A1225, ""priceopen"")) / GOOGLEFINANCE(A1225, ""priceopen"")) * GOOGLEFINANCE(A1225, ""volume""), 0)"),-132.36170212765958)</f>
        <v>-132.3617021</v>
      </c>
    </row>
    <row r="1226">
      <c r="A1226" s="4" t="s">
        <v>3019</v>
      </c>
      <c r="B1226" s="7">
        <f>IFERROR(__xludf.DUMMYFUNCTION("GOOGLEFINANCE(A1226, ""price"")"),157.0)</f>
        <v>157</v>
      </c>
      <c r="C1226" s="7">
        <f>IFERROR(__xludf.DUMMYFUNCTION("GOOGLEFINANCE(A1226, ""changepct"")"),-2.89)</f>
        <v>-2.89</v>
      </c>
      <c r="D1226" s="9">
        <f>IFERROR(__xludf.DUMMYFUNCTION("GOOGLEFINANCE(A1226, ""priceopen"")"),161.5)</f>
        <v>161.5</v>
      </c>
      <c r="E1226" s="9">
        <f>IFERROR(__xludf.DUMMYFUNCTION("GOOGLEFINANCE(A1226, ""high"")"),161.5)</f>
        <v>161.5</v>
      </c>
      <c r="F1226" s="9">
        <f>IFERROR(__xludf.DUMMYFUNCTION("GOOGLEFINANCE(A1226, ""low"")"),156.24)</f>
        <v>156.24</v>
      </c>
      <c r="G1226" s="9">
        <f>IFERROR(__xludf.DUMMYFUNCTION("GOOGLEFINANCE(A1226, ""price"")"),157.0)</f>
        <v>157</v>
      </c>
      <c r="H1226" s="9">
        <f>IFERROR(__xludf.DUMMYFUNCTION("MAX(INDEX(GOOGLEFINANCE(A1226, ""high"", TODAY()-30, TODAY()), 0, 2))"),173.0)</f>
        <v>173</v>
      </c>
      <c r="I1226" s="9">
        <f>IFERROR(__xludf.DUMMYFUNCTION("MIN(INDEX(GOOGLEFINANCE(A1226, ""low"", TODAY()-30, TODAY()), 0, 2))"),156.24)</f>
        <v>156.24</v>
      </c>
      <c r="J1226" s="9">
        <f>IFERROR(__xludf.DUMMYFUNCTION("GOOGLEFINANCE(A1226, ""high52"")"),274.7)</f>
        <v>274.7</v>
      </c>
      <c r="K1226" s="9">
        <f>IFERROR(__xludf.DUMMYFUNCTION("GOOGLEFINANCE(A1226, ""low52"")"),125.82)</f>
        <v>125.82</v>
      </c>
      <c r="L1226" s="9">
        <f t="shared" si="1"/>
        <v>0.428467419</v>
      </c>
      <c r="M1226" s="9">
        <f t="shared" si="2"/>
        <v>0.2478143379</v>
      </c>
      <c r="N1226" s="9">
        <f t="shared" si="3"/>
        <v>0.03366615463</v>
      </c>
      <c r="O1226" s="9">
        <f t="shared" si="4"/>
        <v>0.04534606205</v>
      </c>
      <c r="P1226" s="9">
        <f>IFERROR(__xludf.DUMMYFUNCTION("GOOGLEFINANCE(A1226, ""pe"")"),45.14)</f>
        <v>45.14</v>
      </c>
      <c r="Q1226" s="9">
        <f>IFERROR(__xludf.DUMMYFUNCTION("IFERROR(GOOGLEFINANCE(A1226, ""volume"") / GOOGLEFINANCE(A1226, ""volumeavg""), 0)"),0.0)</f>
        <v>0</v>
      </c>
      <c r="R1226" s="9">
        <f>IFERROR(__xludf.DUMMYFUNCTION("AVERAGE(INDEX(GOOGLEFINANCE(A1226, ""price"", TODAY()-30, TODAY()), 0, 2))"),163.4504347826087)</f>
        <v>163.4504348</v>
      </c>
      <c r="S1226" s="9">
        <f>IFERROR(__xludf.DUMMYFUNCTION("AVERAGE(INDEX(GOOGLEFINANCE(A1226, ""price"", TODAY()-75, TODAY()), 0, 2))"),167.97169811320765)</f>
        <v>167.9716981</v>
      </c>
      <c r="T1226" s="9">
        <f>IFERROR(__xludf.DUMMYFUNCTION("AVERAGE(INDEX(GOOGLEFINANCE(A1226, ""price"", TODAY()-300, TODAY()), 0, 2))"),177.63811881188113)</f>
        <v>177.6381188</v>
      </c>
      <c r="U1226" s="9">
        <f t="shared" si="5"/>
        <v>-0.03946416411</v>
      </c>
      <c r="V1226" s="15">
        <f>IFERROR(__xludf.DUMMYFUNCTION("LET(hist, GOOGLEFINANCE(A1226,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rs))))))"),37.68518518518521)</f>
        <v>37.68518519</v>
      </c>
      <c r="W1226" s="16" t="str">
        <f>IFERROR(__xludf.DUMMYFUNCTION("IFERROR(GOOGLEFINANCE(A1226, ""volume"") / GOOGLEFINANCE(A1226, ""volumeavg""), )"),"")</f>
        <v/>
      </c>
      <c r="X1226" s="9">
        <f>IFERROR(__xludf.DUMMYFUNCTION("B1226 * GOOGLEFINANCE(A1226, ""volume"")"),1.528709E7)</f>
        <v>15287090</v>
      </c>
      <c r="Y1226" s="9">
        <f>IFERROR(__xludf.DUMMYFUNCTION("IFERROR(((B1226 - GOOGLEFINANCE(A1226, ""priceopen"")) / GOOGLEFINANCE(A1226, ""priceopen"")) * GOOGLEFINANCE(A1226, ""volume""), 0)"),-2713.0959752321983)</f>
        <v>-2713.095975</v>
      </c>
    </row>
    <row r="1227">
      <c r="A1227" s="4" t="s">
        <v>3020</v>
      </c>
      <c r="B1227" s="7">
        <f>IFERROR(__xludf.DUMMYFUNCTION("GOOGLEFINANCE(A1227, ""price"")"),132.7)</f>
        <v>132.7</v>
      </c>
      <c r="C1227" s="7">
        <f>IFERROR(__xludf.DUMMYFUNCTION("GOOGLEFINANCE(A1227, ""changepct"")"),4.36)</f>
        <v>4.36</v>
      </c>
      <c r="D1227" s="9">
        <f>IFERROR(__xludf.DUMMYFUNCTION("GOOGLEFINANCE(A1227, ""priceopen"")"),127.01)</f>
        <v>127.01</v>
      </c>
      <c r="E1227" s="9">
        <f>IFERROR(__xludf.DUMMYFUNCTION("GOOGLEFINANCE(A1227, ""high"")"),132.9)</f>
        <v>132.9</v>
      </c>
      <c r="F1227" s="9">
        <f>IFERROR(__xludf.DUMMYFUNCTION("GOOGLEFINANCE(A1227, ""low"")"),127.0)</f>
        <v>127</v>
      </c>
      <c r="G1227" s="9">
        <f>IFERROR(__xludf.DUMMYFUNCTION("GOOGLEFINANCE(A1227, ""price"")"),132.7)</f>
        <v>132.7</v>
      </c>
      <c r="H1227" s="9">
        <f>IFERROR(__xludf.DUMMYFUNCTION("MAX(INDEX(GOOGLEFINANCE(A1227, ""high"", TODAY()-30, TODAY()), 0, 2))"),207.0)</f>
        <v>207</v>
      </c>
      <c r="I1227" s="9">
        <f>IFERROR(__xludf.DUMMYFUNCTION("MIN(INDEX(GOOGLEFINANCE(A1227, ""low"", TODAY()-30, TODAY()), 0, 2))"),125.75)</f>
        <v>125.75</v>
      </c>
      <c r="J1227" s="9">
        <f>IFERROR(__xludf.DUMMYFUNCTION("GOOGLEFINANCE(A1227, ""high52"")"),207.0)</f>
        <v>207</v>
      </c>
      <c r="K1227" s="9">
        <f>IFERROR(__xludf.DUMMYFUNCTION("GOOGLEFINANCE(A1227, ""low52"")"),74.15)</f>
        <v>74.15</v>
      </c>
      <c r="L1227" s="9">
        <f t="shared" si="1"/>
        <v>0.3589371981</v>
      </c>
      <c r="M1227" s="9">
        <f t="shared" si="2"/>
        <v>0.789615644</v>
      </c>
      <c r="N1227" s="9">
        <f t="shared" si="3"/>
        <v>0.04645669291</v>
      </c>
      <c r="O1227" s="9">
        <f t="shared" si="4"/>
        <v>0.08553846154</v>
      </c>
      <c r="P1227" s="9">
        <f>IFERROR(__xludf.DUMMYFUNCTION("GOOGLEFINANCE(A1227, ""pe"")"),10.39)</f>
        <v>10.39</v>
      </c>
      <c r="Q1227" s="9">
        <f>IFERROR(__xludf.DUMMYFUNCTION("IFERROR(GOOGLEFINANCE(A1227, ""volume"") / GOOGLEFINANCE(A1227, ""volumeavg""), 0)"),0.0)</f>
        <v>0</v>
      </c>
      <c r="R1227" s="9">
        <f>IFERROR(__xludf.DUMMYFUNCTION("AVERAGE(INDEX(GOOGLEFINANCE(A1227, ""price"", TODAY()-30, TODAY()), 0, 2))"),161.6352173913044)</f>
        <v>161.6352174</v>
      </c>
      <c r="S1227" s="9">
        <f>IFERROR(__xludf.DUMMYFUNCTION("AVERAGE(INDEX(GOOGLEFINANCE(A1227, ""price"", TODAY()-75, TODAY()), 0, 2))"),158.63358490566034)</f>
        <v>158.6335849</v>
      </c>
      <c r="T1227" s="9">
        <f>IFERROR(__xludf.DUMMYFUNCTION("AVERAGE(INDEX(GOOGLEFINANCE(A1227, ""price"", TODAY()-300, TODAY()), 0, 2))"),109.93836633663368)</f>
        <v>109.9383663</v>
      </c>
      <c r="U1227" s="9">
        <f t="shared" si="5"/>
        <v>-0.1790155503</v>
      </c>
      <c r="V1227" s="15">
        <f>IFERROR(__xludf.DUMMYFUNCTION("LET(hist, GOOGLEFINANCE(A1227,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rs))))))"),30.67862401284971)</f>
        <v>30.67862401</v>
      </c>
      <c r="W1227" s="16" t="str">
        <f>IFERROR(__xludf.DUMMYFUNCTION("IFERROR(GOOGLEFINANCE(A1227, ""volume"") / GOOGLEFINANCE(A1227, ""volumeavg""), )"),"")</f>
        <v/>
      </c>
      <c r="X1227" s="9">
        <f>IFERROR(__xludf.DUMMYFUNCTION("B1227 * GOOGLEFINANCE(A1227, ""volume"")"),7.55745078E7)</f>
        <v>75574507.8</v>
      </c>
      <c r="Y1227" s="9">
        <f>IFERROR(__xludf.DUMMYFUNCTION("IFERROR(((B1227 - GOOGLEFINANCE(A1227, ""priceopen"")) / GOOGLEFINANCE(A1227, ""priceopen"")) * GOOGLEFINANCE(A1227, ""volume""), 0)"),25514.011967561535)</f>
        <v>25514.01197</v>
      </c>
    </row>
    <row r="1228">
      <c r="A1228" s="4" t="s">
        <v>3021</v>
      </c>
      <c r="B1228" s="7">
        <f>IFERROR(__xludf.DUMMYFUNCTION("GOOGLEFINANCE(A1228, ""price"")"),420.2)</f>
        <v>420.2</v>
      </c>
      <c r="C1228" s="7">
        <f>IFERROR(__xludf.DUMMYFUNCTION("GOOGLEFINANCE(A1228, ""changepct"")"),-0.28)</f>
        <v>-0.28</v>
      </c>
      <c r="D1228" s="9">
        <f>IFERROR(__xludf.DUMMYFUNCTION("GOOGLEFINANCE(A1228, ""priceopen"")"),421.0)</f>
        <v>421</v>
      </c>
      <c r="E1228" s="9">
        <f>IFERROR(__xludf.DUMMYFUNCTION("GOOGLEFINANCE(A1228, ""high"")"),424.4)</f>
        <v>424.4</v>
      </c>
      <c r="F1228" s="9">
        <f>IFERROR(__xludf.DUMMYFUNCTION("GOOGLEFINANCE(A1228, ""low"")"),416.8)</f>
        <v>416.8</v>
      </c>
      <c r="G1228" s="9">
        <f>IFERROR(__xludf.DUMMYFUNCTION("GOOGLEFINANCE(A1228, ""price"")"),420.2)</f>
        <v>420.2</v>
      </c>
      <c r="H1228" s="9">
        <f>IFERROR(__xludf.DUMMYFUNCTION("MAX(INDEX(GOOGLEFINANCE(A1228, ""high"", TODAY()-30, TODAY()), 0, 2))"),465.0)</f>
        <v>465</v>
      </c>
      <c r="I1228" s="9">
        <f>IFERROR(__xludf.DUMMYFUNCTION("MIN(INDEX(GOOGLEFINANCE(A1228, ""low"", TODAY()-30, TODAY()), 0, 2))"),412.3)</f>
        <v>412.3</v>
      </c>
      <c r="J1228" s="9">
        <f>IFERROR(__xludf.DUMMYFUNCTION("GOOGLEFINANCE(A1228, ""high52"")"),600.0)</f>
        <v>600</v>
      </c>
      <c r="K1228" s="9">
        <f>IFERROR(__xludf.DUMMYFUNCTION("GOOGLEFINANCE(A1228, ""low52"")"),412.3)</f>
        <v>412.3</v>
      </c>
      <c r="L1228" s="9">
        <f t="shared" si="1"/>
        <v>0.2996666667</v>
      </c>
      <c r="M1228" s="9">
        <f t="shared" si="2"/>
        <v>0.01916080524</v>
      </c>
      <c r="N1228" s="9">
        <f t="shared" si="3"/>
        <v>0.01823416507</v>
      </c>
      <c r="O1228" s="9">
        <f t="shared" si="4"/>
        <v>0.1499051233</v>
      </c>
      <c r="P1228" s="9">
        <f>IFERROR(__xludf.DUMMYFUNCTION("GOOGLEFINANCE(A1228, ""pe"")"),22.13)</f>
        <v>22.13</v>
      </c>
      <c r="Q1228" s="9">
        <f>IFERROR(__xludf.DUMMYFUNCTION("IFERROR(GOOGLEFINANCE(A1228, ""volume"") / GOOGLEFINANCE(A1228, ""volumeavg""), 0)"),0.0)</f>
        <v>0</v>
      </c>
      <c r="R1228" s="9">
        <f>IFERROR(__xludf.DUMMYFUNCTION("AVERAGE(INDEX(GOOGLEFINANCE(A1228, ""price"", TODAY()-30, TODAY()), 0, 2))"),443.4869565217391)</f>
        <v>443.4869565</v>
      </c>
      <c r="S1228" s="9">
        <f>IFERROR(__xludf.DUMMYFUNCTION("AVERAGE(INDEX(GOOGLEFINANCE(A1228, ""price"", TODAY()-75, TODAY()), 0, 2))"),461.2103773584905)</f>
        <v>461.2103774</v>
      </c>
      <c r="T1228" s="9">
        <f>IFERROR(__xludf.DUMMYFUNCTION("AVERAGE(INDEX(GOOGLEFINANCE(A1228, ""price"", TODAY()-300, TODAY()), 0, 2))"),494.25718085106377)</f>
        <v>494.2571809</v>
      </c>
      <c r="U1228" s="9">
        <f t="shared" si="5"/>
        <v>-0.05250877434</v>
      </c>
      <c r="V1228" s="15">
        <f>IFERROR(__xludf.DUMMYFUNCTION("LET(hist, GOOGLEFINANCE(A1228,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rs))))))"),34.655532359081434)</f>
        <v>34.65553236</v>
      </c>
      <c r="W1228" s="16" t="str">
        <f>IFERROR(__xludf.DUMMYFUNCTION("IFERROR(GOOGLEFINANCE(A1228, ""volume"") / GOOGLEFINANCE(A1228, ""volumeavg""), )"),"")</f>
        <v/>
      </c>
      <c r="X1228" s="9">
        <f>IFERROR(__xludf.DUMMYFUNCTION("B1228 * GOOGLEFINANCE(A1228, ""volume"")"),1.4486395E7)</f>
        <v>14486395</v>
      </c>
      <c r="Y1228" s="9">
        <f>IFERROR(__xludf.DUMMYFUNCTION("IFERROR(((B1228 - GOOGLEFINANCE(A1228, ""priceopen"")) / GOOGLEFINANCE(A1228, ""priceopen"")) * GOOGLEFINANCE(A1228, ""volume""), 0)"),-65.51068883610544)</f>
        <v>-65.51068884</v>
      </c>
    </row>
    <row r="1229">
      <c r="A1229" s="4" t="s">
        <v>3022</v>
      </c>
      <c r="B1229" s="7">
        <f>IFERROR(__xludf.DUMMYFUNCTION("GOOGLEFINANCE(A1229, ""price"")"),121.05)</f>
        <v>121.05</v>
      </c>
      <c r="C1229" s="7">
        <f>IFERROR(__xludf.DUMMYFUNCTION("GOOGLEFINANCE(A1229, ""changepct"")"),2.72)</f>
        <v>2.72</v>
      </c>
      <c r="D1229" s="9">
        <f>IFERROR(__xludf.DUMMYFUNCTION("GOOGLEFINANCE(A1229, ""priceopen"")"),117.99)</f>
        <v>117.99</v>
      </c>
      <c r="E1229" s="9">
        <f>IFERROR(__xludf.DUMMYFUNCTION("GOOGLEFINANCE(A1229, ""high"")"),124.0)</f>
        <v>124</v>
      </c>
      <c r="F1229" s="9">
        <f>IFERROR(__xludf.DUMMYFUNCTION("GOOGLEFINANCE(A1229, ""low"")"),117.99)</f>
        <v>117.99</v>
      </c>
      <c r="G1229" s="9">
        <f>IFERROR(__xludf.DUMMYFUNCTION("GOOGLEFINANCE(A1229, ""price"")"),121.05)</f>
        <v>121.05</v>
      </c>
      <c r="H1229" s="9">
        <f>IFERROR(__xludf.DUMMYFUNCTION("MAX(INDEX(GOOGLEFINANCE(A1229, ""high"", TODAY()-30, TODAY()), 0, 2))"),124.0)</f>
        <v>124</v>
      </c>
      <c r="I1229" s="9">
        <f>IFERROR(__xludf.DUMMYFUNCTION("MIN(INDEX(GOOGLEFINANCE(A1229, ""low"", TODAY()-30, TODAY()), 0, 2))"),100.9)</f>
        <v>100.9</v>
      </c>
      <c r="J1229" s="9">
        <f>IFERROR(__xludf.DUMMYFUNCTION("GOOGLEFINANCE(A1229, ""high52"")"),131.82)</f>
        <v>131.82</v>
      </c>
      <c r="K1229" s="9">
        <f>IFERROR(__xludf.DUMMYFUNCTION("GOOGLEFINANCE(A1229, ""low52"")"),43.98)</f>
        <v>43.98</v>
      </c>
      <c r="L1229" s="9">
        <f t="shared" si="1"/>
        <v>0.08170232135</v>
      </c>
      <c r="M1229" s="9">
        <f t="shared" si="2"/>
        <v>1.752387449</v>
      </c>
      <c r="N1229" s="9">
        <f t="shared" si="3"/>
        <v>0.05093652004</v>
      </c>
      <c r="O1229" s="9">
        <f t="shared" si="4"/>
        <v>0.8722943723</v>
      </c>
      <c r="P1229" s="9" t="str">
        <f>IFERROR(__xludf.DUMMYFUNCTION("GOOGLEFINANCE(A1229, ""pe"")"),"#N/A")</f>
        <v>#N/A</v>
      </c>
      <c r="Q1229" s="9">
        <f>IFERROR(__xludf.DUMMYFUNCTION("IFERROR(GOOGLEFINANCE(A1229, ""volume"") / GOOGLEFINANCE(A1229, ""volumeavg""), 0)"),0.0)</f>
        <v>0</v>
      </c>
      <c r="R1229" s="9">
        <f>IFERROR(__xludf.DUMMYFUNCTION("AVERAGE(INDEX(GOOGLEFINANCE(A1229, ""price"", TODAY()-30, TODAY()), 0, 2))"),112.9091304347826)</f>
        <v>112.9091304</v>
      </c>
      <c r="S1229" s="9">
        <f>IFERROR(__xludf.DUMMYFUNCTION("AVERAGE(INDEX(GOOGLEFINANCE(A1229, ""price"", TODAY()-75, TODAY()), 0, 2))"),105.97603773584902)</f>
        <v>105.9760377</v>
      </c>
      <c r="T1229" s="9">
        <f>IFERROR(__xludf.DUMMYFUNCTION("AVERAGE(INDEX(GOOGLEFINANCE(A1229, ""price"", TODAY()-300, TODAY()), 0, 2))"),75.5695049504951)</f>
        <v>75.56950495</v>
      </c>
      <c r="U1229" s="9">
        <f t="shared" si="5"/>
        <v>0.07210107397</v>
      </c>
      <c r="V1229" s="15">
        <f>IFERROR(__xludf.DUMMYFUNCTION("LET(hist, GOOGLEFINANCE(A1229,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rs))))))"),72.32606438213917)</f>
        <v>72.32606438</v>
      </c>
      <c r="W1229" s="16" t="str">
        <f>IFERROR(__xludf.DUMMYFUNCTION("IFERROR(GOOGLEFINANCE(A1229, ""volume"") / GOOGLEFINANCE(A1229, ""volumeavg""), )"),"")</f>
        <v/>
      </c>
      <c r="X1229" s="9">
        <f>IFERROR(__xludf.DUMMYFUNCTION("B1229 * GOOGLEFINANCE(A1229, ""volume"")"),1.0969538895E8)</f>
        <v>109695389</v>
      </c>
      <c r="Y1229" s="9">
        <f>IFERROR(__xludf.DUMMYFUNCTION("IFERROR(((B1229 - GOOGLEFINANCE(A1229, ""priceopen"")) / GOOGLEFINANCE(A1229, ""priceopen"")) * GOOGLEFINANCE(A1229, ""volume""), 0)"),23501.72845156371)</f>
        <v>23501.72845</v>
      </c>
    </row>
    <row r="1230">
      <c r="A1230" s="4" t="s">
        <v>3023</v>
      </c>
      <c r="B1230" s="7">
        <f>IFERROR(__xludf.DUMMYFUNCTION("GOOGLEFINANCE(A1230, ""price"")"),28.55)</f>
        <v>28.55</v>
      </c>
      <c r="C1230" s="7">
        <f>IFERROR(__xludf.DUMMYFUNCTION("GOOGLEFINANCE(A1230, ""changepct"")"),-1.25)</f>
        <v>-1.25</v>
      </c>
      <c r="D1230" s="9">
        <f>IFERROR(__xludf.DUMMYFUNCTION("GOOGLEFINANCE(A1230, ""priceopen"")"),28.9)</f>
        <v>28.9</v>
      </c>
      <c r="E1230" s="9">
        <f>IFERROR(__xludf.DUMMYFUNCTION("GOOGLEFINANCE(A1230, ""high"")"),29.7)</f>
        <v>29.7</v>
      </c>
      <c r="F1230" s="9">
        <f>IFERROR(__xludf.DUMMYFUNCTION("GOOGLEFINANCE(A1230, ""low"")"),27.8)</f>
        <v>27.8</v>
      </c>
      <c r="G1230" s="9">
        <f>IFERROR(__xludf.DUMMYFUNCTION("GOOGLEFINANCE(A1230, ""price"")"),28.55)</f>
        <v>28.55</v>
      </c>
      <c r="H1230" s="9">
        <f>IFERROR(__xludf.DUMMYFUNCTION("MAX(INDEX(GOOGLEFINANCE(A1230, ""high"", TODAY()-30, TODAY()), 0, 2))"),30.17)</f>
        <v>30.17</v>
      </c>
      <c r="I1230" s="9">
        <f>IFERROR(__xludf.DUMMYFUNCTION("MIN(INDEX(GOOGLEFINANCE(A1230, ""low"", TODAY()-30, TODAY()), 0, 2))"),26.37)</f>
        <v>26.37</v>
      </c>
      <c r="J1230" s="9">
        <f>IFERROR(__xludf.DUMMYFUNCTION("GOOGLEFINANCE(A1230, ""high52"")"),90.5)</f>
        <v>90.5</v>
      </c>
      <c r="K1230" s="9">
        <f>IFERROR(__xludf.DUMMYFUNCTION("GOOGLEFINANCE(A1230, ""low52"")"),19.4)</f>
        <v>19.4</v>
      </c>
      <c r="L1230" s="9">
        <f t="shared" si="1"/>
        <v>0.6845303867</v>
      </c>
      <c r="M1230" s="9">
        <f t="shared" si="2"/>
        <v>0.4716494845</v>
      </c>
      <c r="N1230" s="9">
        <f t="shared" si="3"/>
        <v>0.06834532374</v>
      </c>
      <c r="O1230" s="9">
        <f t="shared" si="4"/>
        <v>0.5736842105</v>
      </c>
      <c r="P1230" s="9">
        <f>IFERROR(__xludf.DUMMYFUNCTION("GOOGLEFINANCE(A1230, ""pe"")"),14.64)</f>
        <v>14.64</v>
      </c>
      <c r="Q1230" s="9">
        <f>IFERROR(__xludf.DUMMYFUNCTION("IFERROR(GOOGLEFINANCE(A1230, ""volume"") / GOOGLEFINANCE(A1230, ""volumeavg""), 0)"),0.0)</f>
        <v>0</v>
      </c>
      <c r="R1230" s="9">
        <f>IFERROR(__xludf.DUMMYFUNCTION("AVERAGE(INDEX(GOOGLEFINANCE(A1230, ""price"", TODAY()-30, TODAY()), 0, 2))"),28.679565217391303)</f>
        <v>28.67956522</v>
      </c>
      <c r="S1230" s="9">
        <f>IFERROR(__xludf.DUMMYFUNCTION("AVERAGE(INDEX(GOOGLEFINANCE(A1230, ""price"", TODAY()-75, TODAY()), 0, 2))"),28.1654716981132)</f>
        <v>28.1654717</v>
      </c>
      <c r="T1230" s="9">
        <f>IFERROR(__xludf.DUMMYFUNCTION("AVERAGE(INDEX(GOOGLEFINANCE(A1230, ""price"", TODAY()-300, TODAY()), 0, 2))"),30.55242574257425)</f>
        <v>30.55242574</v>
      </c>
      <c r="U1230" s="9">
        <f t="shared" si="5"/>
        <v>-0.004517684156</v>
      </c>
      <c r="V1230" s="15">
        <f>IFERROR(__xludf.DUMMYFUNCTION("LET(hist, GOOGLEFINANCE(A1230,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rs))))))"),64.50079239302694)</f>
        <v>64.50079239</v>
      </c>
      <c r="W1230" s="16" t="str">
        <f>IFERROR(__xludf.DUMMYFUNCTION("IFERROR(GOOGLEFINANCE(A1230, ""volume"") / GOOGLEFINANCE(A1230, ""volumeavg""), )"),"")</f>
        <v/>
      </c>
      <c r="X1230" s="9">
        <f>IFERROR(__xludf.DUMMYFUNCTION("B1230 * GOOGLEFINANCE(A1230, ""volume"")"),7.08090819E7)</f>
        <v>70809081.9</v>
      </c>
      <c r="Y1230" s="9">
        <f>IFERROR(__xludf.DUMMYFUNCTION("IFERROR(((B1230 - GOOGLEFINANCE(A1230, ""priceopen"")) / GOOGLEFINANCE(A1230, ""priceopen"")) * GOOGLEFINANCE(A1230, ""volume""), 0)"),-30036.757785466947)</f>
        <v>-30036.75779</v>
      </c>
    </row>
    <row r="1231">
      <c r="A1231" s="4" t="s">
        <v>3024</v>
      </c>
      <c r="B1231" s="7">
        <f>IFERROR(__xludf.DUMMYFUNCTION("GOOGLEFINANCE(A1231, ""price"")"),160.99)</f>
        <v>160.99</v>
      </c>
      <c r="C1231" s="7">
        <f>IFERROR(__xludf.DUMMYFUNCTION("GOOGLEFINANCE(A1231, ""changepct"")"),-1.63)</f>
        <v>-1.63</v>
      </c>
      <c r="D1231" s="9">
        <f>IFERROR(__xludf.DUMMYFUNCTION("GOOGLEFINANCE(A1231, ""priceopen"")"),163.65)</f>
        <v>163.65</v>
      </c>
      <c r="E1231" s="9">
        <f>IFERROR(__xludf.DUMMYFUNCTION("GOOGLEFINANCE(A1231, ""high"")"),163.65)</f>
        <v>163.65</v>
      </c>
      <c r="F1231" s="9">
        <f>IFERROR(__xludf.DUMMYFUNCTION("GOOGLEFINANCE(A1231, ""low"")"),159.54)</f>
        <v>159.54</v>
      </c>
      <c r="G1231" s="9">
        <f>IFERROR(__xludf.DUMMYFUNCTION("GOOGLEFINANCE(A1231, ""price"")"),160.99)</f>
        <v>160.99</v>
      </c>
      <c r="H1231" s="9">
        <f>IFERROR(__xludf.DUMMYFUNCTION("MAX(INDEX(GOOGLEFINANCE(A1231, ""high"", TODAY()-30, TODAY()), 0, 2))"),218.0)</f>
        <v>218</v>
      </c>
      <c r="I1231" s="9">
        <f>IFERROR(__xludf.DUMMYFUNCTION("MIN(INDEX(GOOGLEFINANCE(A1231, ""low"", TODAY()-30, TODAY()), 0, 2))"),158.52)</f>
        <v>158.52</v>
      </c>
      <c r="J1231" s="9">
        <f>IFERROR(__xludf.DUMMYFUNCTION("GOOGLEFINANCE(A1231, ""high52"")"),218.0)</f>
        <v>218</v>
      </c>
      <c r="K1231" s="9">
        <f>IFERROR(__xludf.DUMMYFUNCTION("GOOGLEFINANCE(A1231, ""low52"")"),115.41)</f>
        <v>115.41</v>
      </c>
      <c r="L1231" s="9">
        <f t="shared" si="1"/>
        <v>0.2615137615</v>
      </c>
      <c r="M1231" s="9">
        <f t="shared" si="2"/>
        <v>0.3949397799</v>
      </c>
      <c r="N1231" s="9">
        <f t="shared" si="3"/>
        <v>0.0257615645</v>
      </c>
      <c r="O1231" s="9">
        <f t="shared" si="4"/>
        <v>0.04152656355</v>
      </c>
      <c r="P1231" s="9">
        <f>IFERROR(__xludf.DUMMYFUNCTION("GOOGLEFINANCE(A1231, ""pe"")"),8.93)</f>
        <v>8.93</v>
      </c>
      <c r="Q1231" s="9">
        <f>IFERROR(__xludf.DUMMYFUNCTION("IFERROR(GOOGLEFINANCE(A1231, ""volume"") / GOOGLEFINANCE(A1231, ""volumeavg""), 0)"),0.0)</f>
        <v>0</v>
      </c>
      <c r="R1231" s="9">
        <f>IFERROR(__xludf.DUMMYFUNCTION("AVERAGE(INDEX(GOOGLEFINANCE(A1231, ""price"", TODAY()-30, TODAY()), 0, 2))"),174.4065217391304)</f>
        <v>174.4065217</v>
      </c>
      <c r="S1231" s="9">
        <f>IFERROR(__xludf.DUMMYFUNCTION("AVERAGE(INDEX(GOOGLEFINANCE(A1231, ""price"", TODAY()-75, TODAY()), 0, 2))"),173.87698113207549)</f>
        <v>173.8769811</v>
      </c>
      <c r="T1231" s="9">
        <f>IFERROR(__xludf.DUMMYFUNCTION("AVERAGE(INDEX(GOOGLEFINANCE(A1231, ""price"", TODAY()-300, TODAY()), 0, 2))"),149.38094059405947)</f>
        <v>149.3809406</v>
      </c>
      <c r="U1231" s="9">
        <f t="shared" si="5"/>
        <v>-0.07692672043</v>
      </c>
      <c r="V1231" s="15">
        <f>IFERROR(__xludf.DUMMYFUNCTION("LET(hist, GOOGLEFINANCE(A1231,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rs))))))"),10.459062943681943)</f>
        <v>10.45906294</v>
      </c>
      <c r="W1231" s="16" t="str">
        <f>IFERROR(__xludf.DUMMYFUNCTION("IFERROR(GOOGLEFINANCE(A1231, ""volume"") / GOOGLEFINANCE(A1231, ""volumeavg""), )"),"")</f>
        <v/>
      </c>
      <c r="X1231" s="9">
        <f>IFERROR(__xludf.DUMMYFUNCTION("B1231 * GOOGLEFINANCE(A1231, ""volume"")"),6.726387586E7)</f>
        <v>67263875.86</v>
      </c>
      <c r="Y1231" s="9">
        <f>IFERROR(__xludf.DUMMYFUNCTION("IFERROR(((B1231 - GOOGLEFINANCE(A1231, ""priceopen"")) / GOOGLEFINANCE(A1231, ""priceopen"")) * GOOGLEFINANCE(A1231, ""volume""), 0)"),-6791.232752826145)</f>
        <v>-6791.232753</v>
      </c>
    </row>
    <row r="1232">
      <c r="A1232" s="4" t="s">
        <v>3025</v>
      </c>
      <c r="B1232" s="7">
        <f>IFERROR(__xludf.DUMMYFUNCTION("GOOGLEFINANCE(A1232, ""price"")"),77.96)</f>
        <v>77.96</v>
      </c>
      <c r="C1232" s="7">
        <f>IFERROR(__xludf.DUMMYFUNCTION("GOOGLEFINANCE(A1232, ""changepct"")"),-7.39)</f>
        <v>-7.39</v>
      </c>
      <c r="D1232" s="9">
        <f>IFERROR(__xludf.DUMMYFUNCTION("GOOGLEFINANCE(A1232, ""priceopen"")"),84.15)</f>
        <v>84.15</v>
      </c>
      <c r="E1232" s="9">
        <f>IFERROR(__xludf.DUMMYFUNCTION("GOOGLEFINANCE(A1232, ""high"")"),84.76)</f>
        <v>84.76</v>
      </c>
      <c r="F1232" s="9">
        <f>IFERROR(__xludf.DUMMYFUNCTION("GOOGLEFINANCE(A1232, ""low"")"),77.28)</f>
        <v>77.28</v>
      </c>
      <c r="G1232" s="9">
        <f>IFERROR(__xludf.DUMMYFUNCTION("GOOGLEFINANCE(A1232, ""price"")"),77.96)</f>
        <v>77.96</v>
      </c>
      <c r="H1232" s="9">
        <f>IFERROR(__xludf.DUMMYFUNCTION("MAX(INDEX(GOOGLEFINANCE(A1232, ""high"", TODAY()-30, TODAY()), 0, 2))"),89.89)</f>
        <v>89.89</v>
      </c>
      <c r="I1232" s="9">
        <f>IFERROR(__xludf.DUMMYFUNCTION("MIN(INDEX(GOOGLEFINANCE(A1232, ""low"", TODAY()-30, TODAY()), 0, 2))"),77.28)</f>
        <v>77.28</v>
      </c>
      <c r="J1232" s="9">
        <f>IFERROR(__xludf.DUMMYFUNCTION("GOOGLEFINANCE(A1232, ""high52"")"),127.5)</f>
        <v>127.5</v>
      </c>
      <c r="K1232" s="9">
        <f>IFERROR(__xludf.DUMMYFUNCTION("GOOGLEFINANCE(A1232, ""low52"")"),70.14)</f>
        <v>70.14</v>
      </c>
      <c r="L1232" s="9">
        <f t="shared" si="1"/>
        <v>0.3885490196</v>
      </c>
      <c r="M1232" s="9">
        <f t="shared" si="2"/>
        <v>0.1114913031</v>
      </c>
      <c r="N1232" s="9">
        <f t="shared" si="3"/>
        <v>0.09679089027</v>
      </c>
      <c r="O1232" s="9">
        <f t="shared" si="4"/>
        <v>0.05392545599</v>
      </c>
      <c r="P1232" s="9">
        <f>IFERROR(__xludf.DUMMYFUNCTION("GOOGLEFINANCE(A1232, ""pe"")"),20.68)</f>
        <v>20.68</v>
      </c>
      <c r="Q1232" s="9">
        <f>IFERROR(__xludf.DUMMYFUNCTION("IFERROR(GOOGLEFINANCE(A1232, ""volume"") / GOOGLEFINANCE(A1232, ""volumeavg""), 0)"),0.0)</f>
        <v>0</v>
      </c>
      <c r="R1232" s="9">
        <f>IFERROR(__xludf.DUMMYFUNCTION("AVERAGE(INDEX(GOOGLEFINANCE(A1232, ""price"", TODAY()-30, TODAY()), 0, 2))"),85.46000000000001)</f>
        <v>85.46</v>
      </c>
      <c r="S1232" s="9">
        <f>IFERROR(__xludf.DUMMYFUNCTION("AVERAGE(INDEX(GOOGLEFINANCE(A1232, ""price"", TODAY()-75, TODAY()), 0, 2))"),87.27056603773583)</f>
        <v>87.27056604</v>
      </c>
      <c r="T1232" s="9">
        <f>IFERROR(__xludf.DUMMYFUNCTION("AVERAGE(INDEX(GOOGLEFINANCE(A1232, ""price"", TODAY()-300, TODAY()), 0, 2))"),89.77549504950503)</f>
        <v>89.77549505</v>
      </c>
      <c r="U1232" s="9">
        <f t="shared" si="5"/>
        <v>-0.08776035572</v>
      </c>
      <c r="V1232" s="15">
        <f>IFERROR(__xludf.DUMMYFUNCTION("LET(hist, GOOGLEFINANCE(A1232,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rs))))))"),28.376777251184777)</f>
        <v>28.37677725</v>
      </c>
      <c r="W1232" s="16" t="str">
        <f>IFERROR(__xludf.DUMMYFUNCTION("IFERROR(GOOGLEFINANCE(A1232, ""volume"") / GOOGLEFINANCE(A1232, ""volumeavg""), )"),"")</f>
        <v/>
      </c>
      <c r="X1232" s="9">
        <f>IFERROR(__xludf.DUMMYFUNCTION("B1232 * GOOGLEFINANCE(A1232, ""volume"")"),2.4160092451999998E8)</f>
        <v>241600924.5</v>
      </c>
      <c r="Y1232" s="9">
        <f>IFERROR(__xludf.DUMMYFUNCTION("IFERROR(((B1232 - GOOGLEFINANCE(A1232, ""priceopen"")) / GOOGLEFINANCE(A1232, ""priceopen"")) * GOOGLEFINANCE(A1232, ""volume""), 0)"),-227962.4364824722)</f>
        <v>-227962.4365</v>
      </c>
    </row>
    <row r="1233">
      <c r="A1233" s="4" t="s">
        <v>3026</v>
      </c>
      <c r="B1233" s="7">
        <f>IFERROR(__xludf.DUMMYFUNCTION("GOOGLEFINANCE(A1233, ""price"")"),147.01)</f>
        <v>147.01</v>
      </c>
      <c r="C1233" s="7">
        <f>IFERROR(__xludf.DUMMYFUNCTION("GOOGLEFINANCE(A1233, ""changepct"")"),-1.95)</f>
        <v>-1.95</v>
      </c>
      <c r="D1233" s="9">
        <f>IFERROR(__xludf.DUMMYFUNCTION("GOOGLEFINANCE(A1233, ""priceopen"")"),149.93)</f>
        <v>149.93</v>
      </c>
      <c r="E1233" s="9">
        <f>IFERROR(__xludf.DUMMYFUNCTION("GOOGLEFINANCE(A1233, ""high"")"),153.67)</f>
        <v>153.67</v>
      </c>
      <c r="F1233" s="9">
        <f>IFERROR(__xludf.DUMMYFUNCTION("GOOGLEFINANCE(A1233, ""low"")"),147.0)</f>
        <v>147</v>
      </c>
      <c r="G1233" s="9">
        <f>IFERROR(__xludf.DUMMYFUNCTION("GOOGLEFINANCE(A1233, ""price"")"),147.01)</f>
        <v>147.01</v>
      </c>
      <c r="H1233" s="9">
        <f>IFERROR(__xludf.DUMMYFUNCTION("MAX(INDEX(GOOGLEFINANCE(A1233, ""high"", TODAY()-30, TODAY()), 0, 2))"),180.95)</f>
        <v>180.95</v>
      </c>
      <c r="I1233" s="9">
        <f>IFERROR(__xludf.DUMMYFUNCTION("MIN(INDEX(GOOGLEFINANCE(A1233, ""low"", TODAY()-30, TODAY()), 0, 2))"),147.0)</f>
        <v>147</v>
      </c>
      <c r="J1233" s="9">
        <f>IFERROR(__xludf.DUMMYFUNCTION("GOOGLEFINANCE(A1233, ""high52"")"),223.7)</f>
        <v>223.7</v>
      </c>
      <c r="K1233" s="9">
        <f>IFERROR(__xludf.DUMMYFUNCTION("GOOGLEFINANCE(A1233, ""low52"")"),142.15)</f>
        <v>142.15</v>
      </c>
      <c r="L1233" s="9">
        <f t="shared" si="1"/>
        <v>0.3428252123</v>
      </c>
      <c r="M1233" s="9">
        <f t="shared" si="2"/>
        <v>0.03418923672</v>
      </c>
      <c r="N1233" s="9">
        <f t="shared" si="3"/>
        <v>0.04537414966</v>
      </c>
      <c r="O1233" s="9">
        <f t="shared" si="4"/>
        <v>0.00029455081</v>
      </c>
      <c r="P1233" s="9" t="str">
        <f>IFERROR(__xludf.DUMMYFUNCTION("GOOGLEFINANCE(A1233, ""pe"")"),"#N/A")</f>
        <v>#N/A</v>
      </c>
      <c r="Q1233" s="9">
        <f>IFERROR(__xludf.DUMMYFUNCTION("IFERROR(GOOGLEFINANCE(A1233, ""volume"") / GOOGLEFINANCE(A1233, ""volumeavg""), 0)"),0.0)</f>
        <v>0</v>
      </c>
      <c r="R1233" s="9">
        <f>IFERROR(__xludf.DUMMYFUNCTION("AVERAGE(INDEX(GOOGLEFINANCE(A1233, ""price"", TODAY()-30, TODAY()), 0, 2))"),162.4769565217391)</f>
        <v>162.4769565</v>
      </c>
      <c r="S1233" s="9">
        <f>IFERROR(__xludf.DUMMYFUNCTION("AVERAGE(INDEX(GOOGLEFINANCE(A1233, ""price"", TODAY()-75, TODAY()), 0, 2))"),162.73339622641504)</f>
        <v>162.7333962</v>
      </c>
      <c r="T1233" s="9">
        <f>IFERROR(__xludf.DUMMYFUNCTION("AVERAGE(INDEX(GOOGLEFINANCE(A1233, ""price"", TODAY()-300, TODAY()), 0, 2))"),168.104875)</f>
        <v>168.104875</v>
      </c>
      <c r="U1233" s="9">
        <f t="shared" si="5"/>
        <v>-0.09519477009</v>
      </c>
      <c r="V1233" s="15">
        <f>IFERROR(__xludf.DUMMYFUNCTION("LET(hist, GOOGLEFINANCE(A1233,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rs))))))"),19.8194945848375)</f>
        <v>19.81949458</v>
      </c>
      <c r="W1233" s="16" t="str">
        <f>IFERROR(__xludf.DUMMYFUNCTION("IFERROR(GOOGLEFINANCE(A1233, ""volume"") / GOOGLEFINANCE(A1233, ""volumeavg""), )"),"")</f>
        <v/>
      </c>
      <c r="X1233" s="9">
        <f>IFERROR(__xludf.DUMMYFUNCTION("B1233 * GOOGLEFINANCE(A1233, ""volume"")"),622293.33)</f>
        <v>622293.33</v>
      </c>
      <c r="Y1233" s="9">
        <f>IFERROR(__xludf.DUMMYFUNCTION("IFERROR(((B1233 - GOOGLEFINANCE(A1233, ""priceopen"")) / GOOGLEFINANCE(A1233, ""priceopen"")) * GOOGLEFINANCE(A1233, ""volume""), 0)"),-82.44087240712378)</f>
        <v>-82.44087241</v>
      </c>
    </row>
    <row r="1234">
      <c r="A1234" s="4" t="s">
        <v>3027</v>
      </c>
      <c r="B1234" s="7">
        <f>IFERROR(__xludf.DUMMYFUNCTION("GOOGLEFINANCE(A1234, ""price"")"),456.55)</f>
        <v>456.55</v>
      </c>
      <c r="C1234" s="7">
        <f>IFERROR(__xludf.DUMMYFUNCTION("GOOGLEFINANCE(A1234, ""changepct"")"),-2.51)</f>
        <v>-2.51</v>
      </c>
      <c r="D1234" s="9">
        <f>IFERROR(__xludf.DUMMYFUNCTION("GOOGLEFINANCE(A1234, ""priceopen"")"),471.3)</f>
        <v>471.3</v>
      </c>
      <c r="E1234" s="9">
        <f>IFERROR(__xludf.DUMMYFUNCTION("GOOGLEFINANCE(A1234, ""high"")"),471.3)</f>
        <v>471.3</v>
      </c>
      <c r="F1234" s="9">
        <f>IFERROR(__xludf.DUMMYFUNCTION("GOOGLEFINANCE(A1234, ""low"")"),456.0)</f>
        <v>456</v>
      </c>
      <c r="G1234" s="9">
        <f>IFERROR(__xludf.DUMMYFUNCTION("GOOGLEFINANCE(A1234, ""price"")"),456.55)</f>
        <v>456.55</v>
      </c>
      <c r="H1234" s="9">
        <f>IFERROR(__xludf.DUMMYFUNCTION("MAX(INDEX(GOOGLEFINANCE(A1234, ""high"", TODAY()-30, TODAY()), 0, 2))"),584.7)</f>
        <v>584.7</v>
      </c>
      <c r="I1234" s="9">
        <f>IFERROR(__xludf.DUMMYFUNCTION("MIN(INDEX(GOOGLEFINANCE(A1234, ""low"", TODAY()-30, TODAY()), 0, 2))"),438.5)</f>
        <v>438.5</v>
      </c>
      <c r="J1234" s="9">
        <f>IFERROR(__xludf.DUMMYFUNCTION("GOOGLEFINANCE(A1234, ""high52"")"),584.7)</f>
        <v>584.7</v>
      </c>
      <c r="K1234" s="9">
        <f>IFERROR(__xludf.DUMMYFUNCTION("GOOGLEFINANCE(A1234, ""low52"")"),315.0)</f>
        <v>315</v>
      </c>
      <c r="L1234" s="9">
        <f t="shared" si="1"/>
        <v>0.2191722251</v>
      </c>
      <c r="M1234" s="9">
        <f t="shared" si="2"/>
        <v>0.4493650794</v>
      </c>
      <c r="N1234" s="9">
        <f t="shared" si="3"/>
        <v>0.03355263158</v>
      </c>
      <c r="O1234" s="9">
        <f t="shared" si="4"/>
        <v>0.1234610123</v>
      </c>
      <c r="P1234" s="9">
        <f>IFERROR(__xludf.DUMMYFUNCTION("GOOGLEFINANCE(A1234, ""pe"")"),6.1)</f>
        <v>6.1</v>
      </c>
      <c r="Q1234" s="9">
        <f>IFERROR(__xludf.DUMMYFUNCTION("IFERROR(GOOGLEFINANCE(A1234, ""volume"") / GOOGLEFINANCE(A1234, ""volumeavg""), 0)"),0.0)</f>
        <v>0</v>
      </c>
      <c r="R1234" s="9">
        <f>IFERROR(__xludf.DUMMYFUNCTION("AVERAGE(INDEX(GOOGLEFINANCE(A1234, ""price"", TODAY()-30, TODAY()), 0, 2))"),469.8391304347826)</f>
        <v>469.8391304</v>
      </c>
      <c r="S1234" s="9">
        <f>IFERROR(__xludf.DUMMYFUNCTION("AVERAGE(INDEX(GOOGLEFINANCE(A1234, ""price"", TODAY()-75, TODAY()), 0, 2))"),456.06698113207545)</f>
        <v>456.0669811</v>
      </c>
      <c r="T1234" s="9">
        <f>IFERROR(__xludf.DUMMYFUNCTION("AVERAGE(INDEX(GOOGLEFINANCE(A1234, ""price"", TODAY()-300, TODAY()), 0, 2))"),423.8663366336638)</f>
        <v>423.8663366</v>
      </c>
      <c r="U1234" s="9">
        <f t="shared" si="5"/>
        <v>-0.02828442668</v>
      </c>
      <c r="V1234" s="15">
        <f>IFERROR(__xludf.DUMMYFUNCTION("LET(hist, GOOGLEFINANCE(A1234,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rs))))))"),52.76995305164318)</f>
        <v>52.76995305</v>
      </c>
      <c r="W1234" s="16" t="str">
        <f>IFERROR(__xludf.DUMMYFUNCTION("IFERROR(GOOGLEFINANCE(A1234, ""volume"") / GOOGLEFINANCE(A1234, ""volumeavg""), )"),"")</f>
        <v/>
      </c>
      <c r="X1234" s="9">
        <f>IFERROR(__xludf.DUMMYFUNCTION("B1234 * GOOGLEFINANCE(A1234, ""volume"")"),1.7717792400000002E7)</f>
        <v>17717792.4</v>
      </c>
      <c r="Y1234" s="9">
        <f>IFERROR(__xludf.DUMMYFUNCTION("IFERROR(((B1234 - GOOGLEFINANCE(A1234, ""priceopen"")) / GOOGLEFINANCE(A1234, ""priceopen"")) * GOOGLEFINANCE(A1234, ""volume""), 0)"),-1214.551241247613)</f>
        <v>-1214.551241</v>
      </c>
    </row>
    <row r="1235">
      <c r="A1235" s="4" t="s">
        <v>3028</v>
      </c>
      <c r="B1235" s="7">
        <f>IFERROR(__xludf.DUMMYFUNCTION("GOOGLEFINANCE(A1235, ""price"")"),570.8)</f>
        <v>570.8</v>
      </c>
      <c r="C1235" s="7">
        <f>IFERROR(__xludf.DUMMYFUNCTION("GOOGLEFINANCE(A1235, ""changepct"")"),-0.7)</f>
        <v>-0.7</v>
      </c>
      <c r="D1235" s="9">
        <f>IFERROR(__xludf.DUMMYFUNCTION("GOOGLEFINANCE(A1235, ""priceopen"")"),575.1)</f>
        <v>575.1</v>
      </c>
      <c r="E1235" s="9">
        <f>IFERROR(__xludf.DUMMYFUNCTION("GOOGLEFINANCE(A1235, ""high"")"),577.0)</f>
        <v>577</v>
      </c>
      <c r="F1235" s="9">
        <f>IFERROR(__xludf.DUMMYFUNCTION("GOOGLEFINANCE(A1235, ""low"")"),563.2)</f>
        <v>563.2</v>
      </c>
      <c r="G1235" s="9">
        <f>IFERROR(__xludf.DUMMYFUNCTION("GOOGLEFINANCE(A1235, ""price"")"),570.8)</f>
        <v>570.8</v>
      </c>
      <c r="H1235" s="9">
        <f>IFERROR(__xludf.DUMMYFUNCTION("MAX(INDEX(GOOGLEFINANCE(A1235, ""high"", TODAY()-30, TODAY()), 0, 2))"),578.35)</f>
        <v>578.35</v>
      </c>
      <c r="I1235" s="9">
        <f>IFERROR(__xludf.DUMMYFUNCTION("MIN(INDEX(GOOGLEFINANCE(A1235, ""low"", TODAY()-30, TODAY()), 0, 2))"),520.8)</f>
        <v>520.8</v>
      </c>
      <c r="J1235" s="9">
        <f>IFERROR(__xludf.DUMMYFUNCTION("GOOGLEFINANCE(A1235, ""high52"")"),894.4)</f>
        <v>894.4</v>
      </c>
      <c r="K1235" s="9">
        <f>IFERROR(__xludf.DUMMYFUNCTION("GOOGLEFINANCE(A1235, ""low52"")"),515.0)</f>
        <v>515</v>
      </c>
      <c r="L1235" s="9">
        <f t="shared" si="1"/>
        <v>0.3618067979</v>
      </c>
      <c r="M1235" s="9">
        <f t="shared" si="2"/>
        <v>0.1083495146</v>
      </c>
      <c r="N1235" s="9">
        <f t="shared" si="3"/>
        <v>0.02450284091</v>
      </c>
      <c r="O1235" s="9">
        <f t="shared" si="4"/>
        <v>0.8688097307</v>
      </c>
      <c r="P1235" s="9">
        <f>IFERROR(__xludf.DUMMYFUNCTION("GOOGLEFINANCE(A1235, ""pe"")"),18.48)</f>
        <v>18.48</v>
      </c>
      <c r="Q1235" s="9">
        <f>IFERROR(__xludf.DUMMYFUNCTION("IFERROR(GOOGLEFINANCE(A1235, ""volume"") / GOOGLEFINANCE(A1235, ""volumeavg""), 0)"),0.0)</f>
        <v>0</v>
      </c>
      <c r="R1235" s="9">
        <f>IFERROR(__xludf.DUMMYFUNCTION("AVERAGE(INDEX(GOOGLEFINANCE(A1235, ""price"", TODAY()-30, TODAY()), 0, 2))"),549.041304347826)</f>
        <v>549.0413043</v>
      </c>
      <c r="S1235" s="9">
        <f>IFERROR(__xludf.DUMMYFUNCTION("AVERAGE(INDEX(GOOGLEFINANCE(A1235, ""price"", TODAY()-75, TODAY()), 0, 2))"),545.7584905660376)</f>
        <v>545.7584906</v>
      </c>
      <c r="T1235" s="9">
        <f>IFERROR(__xludf.DUMMYFUNCTION("AVERAGE(INDEX(GOOGLEFINANCE(A1235, ""price"", TODAY()-300, TODAY()), 0, 2))"),646.1341584158417)</f>
        <v>646.1341584</v>
      </c>
      <c r="U1235" s="9">
        <f t="shared" si="5"/>
        <v>0.0396303438</v>
      </c>
      <c r="V1235" s="15">
        <f>IFERROR(__xludf.DUMMYFUNCTION("LET(hist, GOOGLEFINANCE(A1235,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rs))))))"),71.75305765870705)</f>
        <v>71.75305766</v>
      </c>
      <c r="W1235" s="16" t="str">
        <f>IFERROR(__xludf.DUMMYFUNCTION("IFERROR(GOOGLEFINANCE(A1235, ""volume"") / GOOGLEFINANCE(A1235, ""volumeavg""), )"),"")</f>
        <v/>
      </c>
      <c r="X1235" s="9">
        <f>IFERROR(__xludf.DUMMYFUNCTION("B1235 * GOOGLEFINANCE(A1235, ""volume"")"),8.42535048E7)</f>
        <v>84253504.8</v>
      </c>
      <c r="Y1235" s="9">
        <f>IFERROR(__xludf.DUMMYFUNCTION("IFERROR(((B1235 - GOOGLEFINANCE(A1235, ""priceopen"")) / GOOGLEFINANCE(A1235, ""priceopen"")) * GOOGLEFINANCE(A1235, ""volume""), 0)"),-1103.6442357850983)</f>
        <v>-1103.644236</v>
      </c>
    </row>
    <row r="1236">
      <c r="A1236" s="4" t="s">
        <v>3029</v>
      </c>
      <c r="B1236" s="7">
        <f>IFERROR(__xludf.DUMMYFUNCTION("GOOGLEFINANCE(A1236, ""price"")"),1144.0)</f>
        <v>1144</v>
      </c>
      <c r="C1236" s="7">
        <f>IFERROR(__xludf.DUMMYFUNCTION("GOOGLEFINANCE(A1236, ""changepct"")"),-0.23)</f>
        <v>-0.23</v>
      </c>
      <c r="D1236" s="9">
        <f>IFERROR(__xludf.DUMMYFUNCTION("GOOGLEFINANCE(A1236, ""priceopen"")"),1146.0)</f>
        <v>1146</v>
      </c>
      <c r="E1236" s="9">
        <f>IFERROR(__xludf.DUMMYFUNCTION("GOOGLEFINANCE(A1236, ""high"")"),1149.7)</f>
        <v>1149.7</v>
      </c>
      <c r="F1236" s="9">
        <f>IFERROR(__xludf.DUMMYFUNCTION("GOOGLEFINANCE(A1236, ""low"")"),1140.0)</f>
        <v>1140</v>
      </c>
      <c r="G1236" s="9">
        <f>IFERROR(__xludf.DUMMYFUNCTION("GOOGLEFINANCE(A1236, ""price"")"),1144.0)</f>
        <v>1144</v>
      </c>
      <c r="H1236" s="9">
        <f>IFERROR(__xludf.DUMMYFUNCTION("MAX(INDEX(GOOGLEFINANCE(A1236, ""high"", TODAY()-30, TODAY()), 0, 2))"),1180.0)</f>
        <v>1180</v>
      </c>
      <c r="I1236" s="9">
        <f>IFERROR(__xludf.DUMMYFUNCTION("MIN(INDEX(GOOGLEFINANCE(A1236, ""low"", TODAY()-30, TODAY()), 0, 2))"),1091.2)</f>
        <v>1091.2</v>
      </c>
      <c r="J1236" s="9">
        <f>IFERROR(__xludf.DUMMYFUNCTION("GOOGLEFINANCE(A1236, ""high52"")"),1527.0)</f>
        <v>1527</v>
      </c>
      <c r="K1236" s="9">
        <f>IFERROR(__xludf.DUMMYFUNCTION("GOOGLEFINANCE(A1236, ""low52"")"),1012.4)</f>
        <v>1012.4</v>
      </c>
      <c r="L1236" s="9">
        <f t="shared" si="1"/>
        <v>0.2508185986</v>
      </c>
      <c r="M1236" s="9">
        <f t="shared" si="2"/>
        <v>0.129988147</v>
      </c>
      <c r="N1236" s="9">
        <f t="shared" si="3"/>
        <v>0.00850877193</v>
      </c>
      <c r="O1236" s="9">
        <f t="shared" si="4"/>
        <v>0.5945945946</v>
      </c>
      <c r="P1236" s="9">
        <f>IFERROR(__xludf.DUMMYFUNCTION("GOOGLEFINANCE(A1236, ""pe"")"),17.9)</f>
        <v>17.9</v>
      </c>
      <c r="Q1236" s="9">
        <f>IFERROR(__xludf.DUMMYFUNCTION("IFERROR(GOOGLEFINANCE(A1236, ""volume"") / GOOGLEFINANCE(A1236, ""volumeavg""), 0)"),0.0)</f>
        <v>0</v>
      </c>
      <c r="R1236" s="9">
        <f>IFERROR(__xludf.DUMMYFUNCTION("AVERAGE(INDEX(GOOGLEFINANCE(A1236, ""price"", TODAY()-30, TODAY()), 0, 2))"),1142.2173913043475)</f>
        <v>1142.217391</v>
      </c>
      <c r="S1236" s="9">
        <f>IFERROR(__xludf.DUMMYFUNCTION("AVERAGE(INDEX(GOOGLEFINANCE(A1236, ""price"", TODAY()-75, TODAY()), 0, 2))"),1128.3641509433965)</f>
        <v>1128.364151</v>
      </c>
      <c r="T1236" s="9">
        <f>IFERROR(__xludf.DUMMYFUNCTION("AVERAGE(INDEX(GOOGLEFINANCE(A1236, ""price"", TODAY()-300, TODAY()), 0, 2))"),1221.5004950495045)</f>
        <v>1221.500495</v>
      </c>
      <c r="U1236" s="9">
        <f t="shared" si="5"/>
        <v>0.001560656237</v>
      </c>
      <c r="V1236" s="15">
        <f>IFERROR(__xludf.DUMMYFUNCTION("LET(hist, GOOGLEFINANCE(A1236,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rs))))))"),47.15447154471543)</f>
        <v>47.15447154</v>
      </c>
      <c r="W1236" s="16" t="str">
        <f>IFERROR(__xludf.DUMMYFUNCTION("IFERROR(GOOGLEFINANCE(A1236, ""volume"") / GOOGLEFINANCE(A1236, ""volumeavg""), )"),"")</f>
        <v/>
      </c>
      <c r="X1236" s="9">
        <f>IFERROR(__xludf.DUMMYFUNCTION("B1236 * GOOGLEFINANCE(A1236, ""volume"")"),4269408.0)</f>
        <v>4269408</v>
      </c>
      <c r="Y1236" s="9">
        <f>IFERROR(__xludf.DUMMYFUNCTION("IFERROR(((B1236 - GOOGLEFINANCE(A1236, ""priceopen"")) / GOOGLEFINANCE(A1236, ""priceopen"")) * GOOGLEFINANCE(A1236, ""volume""), 0)"),-6.513089005235602)</f>
        <v>-6.513089005</v>
      </c>
    </row>
    <row r="1237">
      <c r="A1237" s="4" t="s">
        <v>3030</v>
      </c>
      <c r="B1237" s="7">
        <f>IFERROR(__xludf.DUMMYFUNCTION("GOOGLEFINANCE(A1237, ""price"")"),26.98)</f>
        <v>26.98</v>
      </c>
      <c r="C1237" s="7">
        <f>IFERROR(__xludf.DUMMYFUNCTION("GOOGLEFINANCE(A1237, ""changepct"")"),-1.42)</f>
        <v>-1.42</v>
      </c>
      <c r="D1237" s="9">
        <f>IFERROR(__xludf.DUMMYFUNCTION("GOOGLEFINANCE(A1237, ""priceopen"")"),27.35)</f>
        <v>27.35</v>
      </c>
      <c r="E1237" s="9">
        <f>IFERROR(__xludf.DUMMYFUNCTION("GOOGLEFINANCE(A1237, ""high"")"),27.55)</f>
        <v>27.55</v>
      </c>
      <c r="F1237" s="9">
        <f>IFERROR(__xludf.DUMMYFUNCTION("GOOGLEFINANCE(A1237, ""low"")"),26.87)</f>
        <v>26.87</v>
      </c>
      <c r="G1237" s="9">
        <f>IFERROR(__xludf.DUMMYFUNCTION("GOOGLEFINANCE(A1237, ""price"")"),26.98)</f>
        <v>26.98</v>
      </c>
      <c r="H1237" s="9">
        <f>IFERROR(__xludf.DUMMYFUNCTION("MAX(INDEX(GOOGLEFINANCE(A1237, ""high"", TODAY()-30, TODAY()), 0, 2))"),29.5)</f>
        <v>29.5</v>
      </c>
      <c r="I1237" s="9">
        <f>IFERROR(__xludf.DUMMYFUNCTION("MIN(INDEX(GOOGLEFINANCE(A1237, ""low"", TODAY()-30, TODAY()), 0, 2))"),26.27)</f>
        <v>26.27</v>
      </c>
      <c r="J1237" s="9">
        <f>IFERROR(__xludf.DUMMYFUNCTION("GOOGLEFINANCE(A1237, ""high52"")"),48.19)</f>
        <v>48.19</v>
      </c>
      <c r="K1237" s="9">
        <f>IFERROR(__xludf.DUMMYFUNCTION("GOOGLEFINANCE(A1237, ""low52"")"),21.26)</f>
        <v>21.26</v>
      </c>
      <c r="L1237" s="9">
        <f t="shared" si="1"/>
        <v>0.4401328076</v>
      </c>
      <c r="M1237" s="9">
        <f t="shared" si="2"/>
        <v>0.2690498589</v>
      </c>
      <c r="N1237" s="9">
        <f t="shared" si="3"/>
        <v>0.02530703387</v>
      </c>
      <c r="O1237" s="9">
        <f t="shared" si="4"/>
        <v>0.2198142415</v>
      </c>
      <c r="P1237" s="9" t="str">
        <f>IFERROR(__xludf.DUMMYFUNCTION("GOOGLEFINANCE(A1237, ""pe"")"),"#N/A")</f>
        <v>#N/A</v>
      </c>
      <c r="Q1237" s="9">
        <f>IFERROR(__xludf.DUMMYFUNCTION("IFERROR(GOOGLEFINANCE(A1237, ""volume"") / GOOGLEFINANCE(A1237, ""volumeavg""), 0)"),0.0)</f>
        <v>0</v>
      </c>
      <c r="R1237" s="9">
        <f>IFERROR(__xludf.DUMMYFUNCTION("AVERAGE(INDEX(GOOGLEFINANCE(A1237, ""price"", TODAY()-30, TODAY()), 0, 2))"),27.700434782608696)</f>
        <v>27.70043478</v>
      </c>
      <c r="S1237" s="9">
        <f>IFERROR(__xludf.DUMMYFUNCTION("AVERAGE(INDEX(GOOGLEFINANCE(A1237, ""price"", TODAY()-75, TODAY()), 0, 2))"),29.158490566037727)</f>
        <v>29.15849057</v>
      </c>
      <c r="T1237" s="9">
        <f>IFERROR(__xludf.DUMMYFUNCTION("AVERAGE(INDEX(GOOGLEFINANCE(A1237, ""price"", TODAY()-300, TODAY()), 0, 2))"),32.09707920792078)</f>
        <v>32.09707921</v>
      </c>
      <c r="U1237" s="9">
        <f t="shared" si="5"/>
        <v>-0.02600806768</v>
      </c>
      <c r="V1237" s="15">
        <f>IFERROR(__xludf.DUMMYFUNCTION("LET(hist, GOOGLEFINANCE(A1237,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rs))))))"),53.03030303030301)</f>
        <v>53.03030303</v>
      </c>
      <c r="W1237" s="16" t="str">
        <f>IFERROR(__xludf.DUMMYFUNCTION("IFERROR(GOOGLEFINANCE(A1237, ""volume"") / GOOGLEFINANCE(A1237, ""volumeavg""), )"),"")</f>
        <v/>
      </c>
      <c r="X1237" s="9">
        <f>IFERROR(__xludf.DUMMYFUNCTION("B1237 * GOOGLEFINANCE(A1237, ""volume"")"),1.01630962E7)</f>
        <v>10163096.2</v>
      </c>
      <c r="Y1237" s="9">
        <f>IFERROR(__xludf.DUMMYFUNCTION("IFERROR(((B1237 - GOOGLEFINANCE(A1237, ""priceopen"")) / GOOGLEFINANCE(A1237, ""priceopen"")) * GOOGLEFINANCE(A1237, ""volume""), 0)"),-5095.989031078624)</f>
        <v>-5095.989031</v>
      </c>
    </row>
    <row r="1238">
      <c r="A1238" s="4" t="s">
        <v>3031</v>
      </c>
      <c r="B1238" s="7">
        <f>IFERROR(__xludf.DUMMYFUNCTION("GOOGLEFINANCE(A1238, ""price"")"),79.45)</f>
        <v>79.45</v>
      </c>
      <c r="C1238" s="7">
        <f>IFERROR(__xludf.DUMMYFUNCTION("GOOGLEFINANCE(A1238, ""changepct"")"),0.04)</f>
        <v>0.04</v>
      </c>
      <c r="D1238" s="9">
        <f>IFERROR(__xludf.DUMMYFUNCTION("GOOGLEFINANCE(A1238, ""priceopen"")"),79.13)</f>
        <v>79.13</v>
      </c>
      <c r="E1238" s="9">
        <f>IFERROR(__xludf.DUMMYFUNCTION("GOOGLEFINANCE(A1238, ""high"")"),79.83)</f>
        <v>79.83</v>
      </c>
      <c r="F1238" s="9">
        <f>IFERROR(__xludf.DUMMYFUNCTION("GOOGLEFINANCE(A1238, ""low"")"),77.13)</f>
        <v>77.13</v>
      </c>
      <c r="G1238" s="9">
        <f>IFERROR(__xludf.DUMMYFUNCTION("GOOGLEFINANCE(A1238, ""price"")"),79.45)</f>
        <v>79.45</v>
      </c>
      <c r="H1238" s="9">
        <f>IFERROR(__xludf.DUMMYFUNCTION("MAX(INDEX(GOOGLEFINANCE(A1238, ""high"", TODAY()-30, TODAY()), 0, 2))"),83.0)</f>
        <v>83</v>
      </c>
      <c r="I1238" s="9">
        <f>IFERROR(__xludf.DUMMYFUNCTION("MIN(INDEX(GOOGLEFINANCE(A1238, ""low"", TODAY()-30, TODAY()), 0, 2))"),73.88)</f>
        <v>73.88</v>
      </c>
      <c r="J1238" s="9">
        <f>IFERROR(__xludf.DUMMYFUNCTION("GOOGLEFINANCE(A1238, ""high52"")"),94.9)</f>
        <v>94.9</v>
      </c>
      <c r="K1238" s="9">
        <f>IFERROR(__xludf.DUMMYFUNCTION("GOOGLEFINANCE(A1238, ""low52"")"),54.44)</f>
        <v>54.44</v>
      </c>
      <c r="L1238" s="9">
        <f t="shared" si="1"/>
        <v>0.1628029505</v>
      </c>
      <c r="M1238" s="9">
        <f t="shared" si="2"/>
        <v>0.4594048494</v>
      </c>
      <c r="N1238" s="9">
        <f t="shared" si="3"/>
        <v>0.03500583431</v>
      </c>
      <c r="O1238" s="9">
        <f t="shared" si="4"/>
        <v>0.610745614</v>
      </c>
      <c r="P1238" s="9">
        <f>IFERROR(__xludf.DUMMYFUNCTION("GOOGLEFINANCE(A1238, ""pe"")"),15.26)</f>
        <v>15.26</v>
      </c>
      <c r="Q1238" s="9">
        <f>IFERROR(__xludf.DUMMYFUNCTION("IFERROR(GOOGLEFINANCE(A1238, ""volume"") / GOOGLEFINANCE(A1238, ""volumeavg""), 0)"),0.0)</f>
        <v>0</v>
      </c>
      <c r="R1238" s="9">
        <f>IFERROR(__xludf.DUMMYFUNCTION("AVERAGE(INDEX(GOOGLEFINANCE(A1238, ""price"", TODAY()-30, TODAY()), 0, 2))"),79.46695652173914)</f>
        <v>79.46695652</v>
      </c>
      <c r="S1238" s="9">
        <f>IFERROR(__xludf.DUMMYFUNCTION("AVERAGE(INDEX(GOOGLEFINANCE(A1238, ""price"", TODAY()-75, TODAY()), 0, 2))"),73.51283018867925)</f>
        <v>73.51283019</v>
      </c>
      <c r="T1238" s="9">
        <f>IFERROR(__xludf.DUMMYFUNCTION("AVERAGE(INDEX(GOOGLEFINANCE(A1238, ""price"", TODAY()-300, TODAY()), 0, 2))"),72.1012376237624)</f>
        <v>72.10123762</v>
      </c>
      <c r="U1238" s="9">
        <f t="shared" si="5"/>
        <v>-0.0002133782704</v>
      </c>
      <c r="V1238" s="15">
        <f>IFERROR(__xludf.DUMMYFUNCTION("LET(hist, GOOGLEFINANCE(A1238,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rs))))))"),54.38859714928733)</f>
        <v>54.38859715</v>
      </c>
      <c r="W1238" s="16" t="str">
        <f>IFERROR(__xludf.DUMMYFUNCTION("IFERROR(GOOGLEFINANCE(A1238, ""volume"") / GOOGLEFINANCE(A1238, ""volumeavg""), )"),"")</f>
        <v/>
      </c>
      <c r="X1238" s="9">
        <f>IFERROR(__xludf.DUMMYFUNCTION("B1238 * GOOGLEFINANCE(A1238, ""volume"")"),1.72945171E7)</f>
        <v>17294517.1</v>
      </c>
      <c r="Y1238" s="9">
        <f>IFERROR(__xludf.DUMMYFUNCTION("IFERROR(((B1238 - GOOGLEFINANCE(A1238, ""priceopen"")) / GOOGLEFINANCE(A1238, ""priceopen"")) * GOOGLEFINANCE(A1238, ""volume""), 0)"),880.2851004676055)</f>
        <v>880.2851005</v>
      </c>
    </row>
    <row r="1239">
      <c r="A1239" s="4" t="s">
        <v>3032</v>
      </c>
      <c r="B1239" s="7">
        <f>IFERROR(__xludf.DUMMYFUNCTION("GOOGLEFINANCE(A1239, ""price"")"),224.97)</f>
        <v>224.97</v>
      </c>
      <c r="C1239" s="7">
        <f>IFERROR(__xludf.DUMMYFUNCTION("GOOGLEFINANCE(A1239, ""changepct"")"),-1.57)</f>
        <v>-1.57</v>
      </c>
      <c r="D1239" s="9">
        <f>IFERROR(__xludf.DUMMYFUNCTION("GOOGLEFINANCE(A1239, ""priceopen"")"),229.15)</f>
        <v>229.15</v>
      </c>
      <c r="E1239" s="9">
        <f>IFERROR(__xludf.DUMMYFUNCTION("GOOGLEFINANCE(A1239, ""high"")"),229.15)</f>
        <v>229.15</v>
      </c>
      <c r="F1239" s="9">
        <f>IFERROR(__xludf.DUMMYFUNCTION("GOOGLEFINANCE(A1239, ""low"")"),223.5)</f>
        <v>223.5</v>
      </c>
      <c r="G1239" s="9">
        <f>IFERROR(__xludf.DUMMYFUNCTION("GOOGLEFINANCE(A1239, ""price"")"),224.97)</f>
        <v>224.97</v>
      </c>
      <c r="H1239" s="9">
        <f>IFERROR(__xludf.DUMMYFUNCTION("MAX(INDEX(GOOGLEFINANCE(A1239, ""high"", TODAY()-30, TODAY()), 0, 2))"),264.64)</f>
        <v>264.64</v>
      </c>
      <c r="I1239" s="9">
        <f>IFERROR(__xludf.DUMMYFUNCTION("MIN(INDEX(GOOGLEFINANCE(A1239, ""low"", TODAY()-30, TODAY()), 0, 2))"),205.35)</f>
        <v>205.35</v>
      </c>
      <c r="J1239" s="9">
        <f>IFERROR(__xludf.DUMMYFUNCTION("GOOGLEFINANCE(A1239, ""high52"")"),264.64)</f>
        <v>264.64</v>
      </c>
      <c r="K1239" s="9">
        <f>IFERROR(__xludf.DUMMYFUNCTION("GOOGLEFINANCE(A1239, ""low52"")"),151.9)</f>
        <v>151.9</v>
      </c>
      <c r="L1239" s="9">
        <f t="shared" si="1"/>
        <v>0.1499017533</v>
      </c>
      <c r="M1239" s="9">
        <f t="shared" si="2"/>
        <v>0.481040158</v>
      </c>
      <c r="N1239" s="9">
        <f t="shared" si="3"/>
        <v>0.02527964206</v>
      </c>
      <c r="O1239" s="9">
        <f t="shared" si="4"/>
        <v>0.3309158374</v>
      </c>
      <c r="P1239" s="9">
        <f>IFERROR(__xludf.DUMMYFUNCTION("GOOGLEFINANCE(A1239, ""pe"")"),29.41)</f>
        <v>29.41</v>
      </c>
      <c r="Q1239" s="9">
        <f>IFERROR(__xludf.DUMMYFUNCTION("IFERROR(GOOGLEFINANCE(A1239, ""volume"") / GOOGLEFINANCE(A1239, ""volumeavg""), 0)"),0.0)</f>
        <v>0</v>
      </c>
      <c r="R1239" s="9">
        <f>IFERROR(__xludf.DUMMYFUNCTION("AVERAGE(INDEX(GOOGLEFINANCE(A1239, ""price"", TODAY()-30, TODAY()), 0, 2))"),227.8121739130435)</f>
        <v>227.8121739</v>
      </c>
      <c r="S1239" s="9">
        <f>IFERROR(__xludf.DUMMYFUNCTION("AVERAGE(INDEX(GOOGLEFINANCE(A1239, ""price"", TODAY()-75, TODAY()), 0, 2))"),214.05245283018863)</f>
        <v>214.0524528</v>
      </c>
      <c r="T1239" s="9">
        <f>IFERROR(__xludf.DUMMYFUNCTION("AVERAGE(INDEX(GOOGLEFINANCE(A1239, ""price"", TODAY()-300, TODAY()), 0, 2))"),185.79292079207926)</f>
        <v>185.7929208</v>
      </c>
      <c r="U1239" s="9">
        <f t="shared" si="5"/>
        <v>-0.01247595273</v>
      </c>
      <c r="V1239" s="15">
        <f>IFERROR(__xludf.DUMMYFUNCTION("LET(hist, GOOGLEFINANCE(A1239,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rs))))))"),49.86144467023831)</f>
        <v>49.86144467</v>
      </c>
      <c r="W1239" s="16" t="str">
        <f>IFERROR(__xludf.DUMMYFUNCTION("IFERROR(GOOGLEFINANCE(A1239, ""volume"") / GOOGLEFINANCE(A1239, ""volumeavg""), )"),"")</f>
        <v/>
      </c>
      <c r="X1239" s="9">
        <f>IFERROR(__xludf.DUMMYFUNCTION("B1239 * GOOGLEFINANCE(A1239, ""volume"")"),1.906440774E7)</f>
        <v>19064407.74</v>
      </c>
      <c r="Y1239" s="9">
        <f>IFERROR(__xludf.DUMMYFUNCTION("IFERROR(((B1239 - GOOGLEFINANCE(A1239, ""priceopen"")) / GOOGLEFINANCE(A1239, ""priceopen"")) * GOOGLEFINANCE(A1239, ""volume""), 0)"),-1545.806502291078)</f>
        <v>-1545.806502</v>
      </c>
    </row>
    <row r="1240">
      <c r="A1240" s="4" t="s">
        <v>3033</v>
      </c>
      <c r="B1240" s="7">
        <f>IFERROR(__xludf.DUMMYFUNCTION("GOOGLEFINANCE(A1240, ""price"")"),60.5)</f>
        <v>60.5</v>
      </c>
      <c r="C1240" s="7">
        <f>IFERROR(__xludf.DUMMYFUNCTION("GOOGLEFINANCE(A1240, ""changepct"")"),-4.38)</f>
        <v>-4.38</v>
      </c>
      <c r="D1240" s="9">
        <f>IFERROR(__xludf.DUMMYFUNCTION("GOOGLEFINANCE(A1240, ""priceopen"")"),64.0)</f>
        <v>64</v>
      </c>
      <c r="E1240" s="9">
        <f>IFERROR(__xludf.DUMMYFUNCTION("GOOGLEFINANCE(A1240, ""high"")"),64.01)</f>
        <v>64.01</v>
      </c>
      <c r="F1240" s="9">
        <f>IFERROR(__xludf.DUMMYFUNCTION("GOOGLEFINANCE(A1240, ""low"")"),60.39)</f>
        <v>60.39</v>
      </c>
      <c r="G1240" s="9">
        <f>IFERROR(__xludf.DUMMYFUNCTION("GOOGLEFINANCE(A1240, ""price"")"),60.5)</f>
        <v>60.5</v>
      </c>
      <c r="H1240" s="9">
        <f>IFERROR(__xludf.DUMMYFUNCTION("MAX(INDEX(GOOGLEFINANCE(A1240, ""high"", TODAY()-30, TODAY()), 0, 2))"),69.2)</f>
        <v>69.2</v>
      </c>
      <c r="I1240" s="9">
        <f>IFERROR(__xludf.DUMMYFUNCTION("MIN(INDEX(GOOGLEFINANCE(A1240, ""low"", TODAY()-30, TODAY()), 0, 2))"),60.39)</f>
        <v>60.39</v>
      </c>
      <c r="J1240" s="9">
        <f>IFERROR(__xludf.DUMMYFUNCTION("GOOGLEFINANCE(A1240, ""high52"")"),98.8)</f>
        <v>98.8</v>
      </c>
      <c r="K1240" s="9">
        <f>IFERROR(__xludf.DUMMYFUNCTION("GOOGLEFINANCE(A1240, ""low52"")"),48.3)</f>
        <v>48.3</v>
      </c>
      <c r="L1240" s="9">
        <f t="shared" si="1"/>
        <v>0.3876518219</v>
      </c>
      <c r="M1240" s="9">
        <f t="shared" si="2"/>
        <v>0.2525879917</v>
      </c>
      <c r="N1240" s="9">
        <f t="shared" si="3"/>
        <v>0.05994369929</v>
      </c>
      <c r="O1240" s="9">
        <f t="shared" si="4"/>
        <v>0.01248581158</v>
      </c>
      <c r="P1240" s="9">
        <f>IFERROR(__xludf.DUMMYFUNCTION("GOOGLEFINANCE(A1240, ""pe"")"),18.97)</f>
        <v>18.97</v>
      </c>
      <c r="Q1240" s="9">
        <f>IFERROR(__xludf.DUMMYFUNCTION("IFERROR(GOOGLEFINANCE(A1240, ""volume"") / GOOGLEFINANCE(A1240, ""volumeavg""), 0)"),0.0)</f>
        <v>0</v>
      </c>
      <c r="R1240" s="9">
        <f>IFERROR(__xludf.DUMMYFUNCTION("AVERAGE(INDEX(GOOGLEFINANCE(A1240, ""price"", TODAY()-30, TODAY()), 0, 2))"),63.46217391304347)</f>
        <v>63.46217391</v>
      </c>
      <c r="S1240" s="9">
        <f>IFERROR(__xludf.DUMMYFUNCTION("AVERAGE(INDEX(GOOGLEFINANCE(A1240, ""price"", TODAY()-75, TODAY()), 0, 2))"),64.5543396226415)</f>
        <v>64.55433962</v>
      </c>
      <c r="T1240" s="9">
        <f>IFERROR(__xludf.DUMMYFUNCTION("AVERAGE(INDEX(GOOGLEFINANCE(A1240, ""price"", TODAY()-300, TODAY()), 0, 2))"),66.77034653465348)</f>
        <v>66.77034653</v>
      </c>
      <c r="U1240" s="9">
        <f t="shared" si="5"/>
        <v>-0.04667621246</v>
      </c>
      <c r="V1240" s="15">
        <f>IFERROR(__xludf.DUMMYFUNCTION("LET(hist, GOOGLEFINANCE(A1240,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rs))))))"),38.151041666666664)</f>
        <v>38.15104167</v>
      </c>
      <c r="W1240" s="16" t="str">
        <f>IFERROR(__xludf.DUMMYFUNCTION("IFERROR(GOOGLEFINANCE(A1240, ""volume"") / GOOGLEFINANCE(A1240, ""volumeavg""), )"),"")</f>
        <v/>
      </c>
      <c r="X1240" s="9">
        <f>IFERROR(__xludf.DUMMYFUNCTION("B1240 * GOOGLEFINANCE(A1240, ""volume"")"),1.368638865E8)</f>
        <v>136863886.5</v>
      </c>
      <c r="Y1240" s="9">
        <f>IFERROR(__xludf.DUMMYFUNCTION("IFERROR(((B1240 - GOOGLEFINANCE(A1240, ""priceopen"")) / GOOGLEFINANCE(A1240, ""priceopen"")) * GOOGLEFINANCE(A1240, ""volume""), 0)"),-123714.7734375)</f>
        <v>-123714.7734</v>
      </c>
    </row>
    <row r="1241">
      <c r="A1241" s="4" t="s">
        <v>3034</v>
      </c>
      <c r="B1241" s="7">
        <f>IFERROR(__xludf.DUMMYFUNCTION("GOOGLEFINANCE(A1241, ""price"")"),267.3)</f>
        <v>267.3</v>
      </c>
      <c r="C1241" s="7">
        <f>IFERROR(__xludf.DUMMYFUNCTION("GOOGLEFINANCE(A1241, ""changepct"")"),0.07)</f>
        <v>0.07</v>
      </c>
      <c r="D1241" s="9">
        <f>IFERROR(__xludf.DUMMYFUNCTION("GOOGLEFINANCE(A1241, ""priceopen"")"),269.95)</f>
        <v>269.95</v>
      </c>
      <c r="E1241" s="9">
        <f>IFERROR(__xludf.DUMMYFUNCTION("GOOGLEFINANCE(A1241, ""high"")"),276.0)</f>
        <v>276</v>
      </c>
      <c r="F1241" s="9">
        <f>IFERROR(__xludf.DUMMYFUNCTION("GOOGLEFINANCE(A1241, ""low"")"),263.3)</f>
        <v>263.3</v>
      </c>
      <c r="G1241" s="9">
        <f>IFERROR(__xludf.DUMMYFUNCTION("GOOGLEFINANCE(A1241, ""price"")"),267.3)</f>
        <v>267.3</v>
      </c>
      <c r="H1241" s="9">
        <f>IFERROR(__xludf.DUMMYFUNCTION("MAX(INDEX(GOOGLEFINANCE(A1241, ""high"", TODAY()-30, TODAY()), 0, 2))"),344.6)</f>
        <v>344.6</v>
      </c>
      <c r="I1241" s="9">
        <f>IFERROR(__xludf.DUMMYFUNCTION("MIN(INDEX(GOOGLEFINANCE(A1241, ""low"", TODAY()-30, TODAY()), 0, 2))"),258.25)</f>
        <v>258.25</v>
      </c>
      <c r="J1241" s="9">
        <f>IFERROR(__xludf.DUMMYFUNCTION("GOOGLEFINANCE(A1241, ""high52"")"),535.9)</f>
        <v>535.9</v>
      </c>
      <c r="K1241" s="9">
        <f>IFERROR(__xludf.DUMMYFUNCTION("GOOGLEFINANCE(A1241, ""low52"")"),223.05)</f>
        <v>223.05</v>
      </c>
      <c r="L1241" s="9">
        <f t="shared" si="1"/>
        <v>0.5012129129</v>
      </c>
      <c r="M1241" s="9">
        <f t="shared" si="2"/>
        <v>0.1983860121</v>
      </c>
      <c r="N1241" s="9">
        <f t="shared" si="3"/>
        <v>0.04823395367</v>
      </c>
      <c r="O1241" s="9">
        <f t="shared" si="4"/>
        <v>0.104806022</v>
      </c>
      <c r="P1241" s="9">
        <f>IFERROR(__xludf.DUMMYFUNCTION("GOOGLEFINANCE(A1241, ""pe"")"),15.78)</f>
        <v>15.78</v>
      </c>
      <c r="Q1241" s="9">
        <f>IFERROR(__xludf.DUMMYFUNCTION("IFERROR(GOOGLEFINANCE(A1241, ""volume"") / GOOGLEFINANCE(A1241, ""volumeavg""), 0)"),0.0)</f>
        <v>0</v>
      </c>
      <c r="R1241" s="9">
        <f>IFERROR(__xludf.DUMMYFUNCTION("AVERAGE(INDEX(GOOGLEFINANCE(A1241, ""price"", TODAY()-30, TODAY()), 0, 2))"),300.86086956521734)</f>
        <v>300.8608696</v>
      </c>
      <c r="S1241" s="9">
        <f>IFERROR(__xludf.DUMMYFUNCTION("AVERAGE(INDEX(GOOGLEFINANCE(A1241, ""price"", TODAY()-75, TODAY()), 0, 2))"),301.9650943396226)</f>
        <v>301.9650943</v>
      </c>
      <c r="T1241" s="9">
        <f>IFERROR(__xludf.DUMMYFUNCTION("AVERAGE(INDEX(GOOGLEFINANCE(A1241, ""price"", TODAY()-300, TODAY()), 0, 2))"),336.89400990099006)</f>
        <v>336.8940099</v>
      </c>
      <c r="U1241" s="9">
        <f t="shared" si="5"/>
        <v>-0.1115494667</v>
      </c>
      <c r="V1241" s="15">
        <f>IFERROR(__xludf.DUMMYFUNCTION("LET(hist, GOOGLEFINANCE(A1241,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rs))))))"),33.285302593659964)</f>
        <v>33.28530259</v>
      </c>
      <c r="W1241" s="16" t="str">
        <f>IFERROR(__xludf.DUMMYFUNCTION("IFERROR(GOOGLEFINANCE(A1241, ""volume"") / GOOGLEFINANCE(A1241, ""volumeavg""), )"),"")</f>
        <v/>
      </c>
      <c r="X1241" s="9">
        <f>IFERROR(__xludf.DUMMYFUNCTION("B1241 * GOOGLEFINANCE(A1241, ""volume"")"),1.547669673E8)</f>
        <v>154766967.3</v>
      </c>
      <c r="Y1241" s="9">
        <f>IFERROR(__xludf.DUMMYFUNCTION("IFERROR(((B1241 - GOOGLEFINANCE(A1241, ""priceopen"")) / GOOGLEFINANCE(A1241, ""priceopen"")) * GOOGLEFINANCE(A1241, ""volume""), 0)"),-5683.840155584319)</f>
        <v>-5683.840156</v>
      </c>
    </row>
    <row r="1242">
      <c r="A1242" s="4" t="s">
        <v>3035</v>
      </c>
      <c r="B1242" s="7">
        <f>IFERROR(__xludf.DUMMYFUNCTION("GOOGLEFINANCE(A1242, ""price"")"),311.0)</f>
        <v>311</v>
      </c>
      <c r="C1242" s="7">
        <f>IFERROR(__xludf.DUMMYFUNCTION("GOOGLEFINANCE(A1242, ""changepct"")"),4.64)</f>
        <v>4.64</v>
      </c>
      <c r="D1242" s="9">
        <f>IFERROR(__xludf.DUMMYFUNCTION("GOOGLEFINANCE(A1242, ""priceopen"")"),300.2)</f>
        <v>300.2</v>
      </c>
      <c r="E1242" s="9">
        <f>IFERROR(__xludf.DUMMYFUNCTION("GOOGLEFINANCE(A1242, ""high"")"),328.9)</f>
        <v>328.9</v>
      </c>
      <c r="F1242" s="9">
        <f>IFERROR(__xludf.DUMMYFUNCTION("GOOGLEFINANCE(A1242, ""low"")"),291.0)</f>
        <v>291</v>
      </c>
      <c r="G1242" s="9">
        <f>IFERROR(__xludf.DUMMYFUNCTION("GOOGLEFINANCE(A1242, ""price"")"),311.0)</f>
        <v>311</v>
      </c>
      <c r="H1242" s="9">
        <f>IFERROR(__xludf.DUMMYFUNCTION("MAX(INDEX(GOOGLEFINANCE(A1242, ""high"", TODAY()-30, TODAY()), 0, 2))"),334.9)</f>
        <v>334.9</v>
      </c>
      <c r="I1242" s="9">
        <f>IFERROR(__xludf.DUMMYFUNCTION("MIN(INDEX(GOOGLEFINANCE(A1242, ""low"", TODAY()-30, TODAY()), 0, 2))"),278.0)</f>
        <v>278</v>
      </c>
      <c r="J1242" s="9">
        <f>IFERROR(__xludf.DUMMYFUNCTION("GOOGLEFINANCE(A1242, ""high52"")"),379.95)</f>
        <v>379.95</v>
      </c>
      <c r="K1242" s="9">
        <f>IFERROR(__xludf.DUMMYFUNCTION("GOOGLEFINANCE(A1242, ""low52"")"),164.45)</f>
        <v>164.45</v>
      </c>
      <c r="L1242" s="9">
        <f t="shared" si="1"/>
        <v>0.1814712462</v>
      </c>
      <c r="M1242" s="9">
        <f t="shared" si="2"/>
        <v>0.8911523259</v>
      </c>
      <c r="N1242" s="9">
        <f t="shared" si="3"/>
        <v>0.1302405498</v>
      </c>
      <c r="O1242" s="9">
        <f t="shared" si="4"/>
        <v>0.5799648506</v>
      </c>
      <c r="P1242" s="9">
        <f>IFERROR(__xludf.DUMMYFUNCTION("GOOGLEFINANCE(A1242, ""pe"")"),115.61)</f>
        <v>115.61</v>
      </c>
      <c r="Q1242" s="9">
        <f>IFERROR(__xludf.DUMMYFUNCTION("IFERROR(GOOGLEFINANCE(A1242, ""volume"") / GOOGLEFINANCE(A1242, ""volumeavg""), 0)"),0.0)</f>
        <v>0</v>
      </c>
      <c r="R1242" s="9">
        <f>IFERROR(__xludf.DUMMYFUNCTION("AVERAGE(INDEX(GOOGLEFINANCE(A1242, ""price"", TODAY()-30, TODAY()), 0, 2))"),310.63695652173914)</f>
        <v>310.6369565</v>
      </c>
      <c r="S1242" s="9">
        <f>IFERROR(__xludf.DUMMYFUNCTION("AVERAGE(INDEX(GOOGLEFINANCE(A1242, ""price"", TODAY()-75, TODAY()), 0, 2))"),274.17773584905655)</f>
        <v>274.1777358</v>
      </c>
      <c r="T1242" s="9">
        <f>IFERROR(__xludf.DUMMYFUNCTION("AVERAGE(INDEX(GOOGLEFINANCE(A1242, ""price"", TODAY()-300, TODAY()), 0, 2))"),233.82009900990113)</f>
        <v>233.820099</v>
      </c>
      <c r="U1242" s="9">
        <f t="shared" si="5"/>
        <v>0.001168706655</v>
      </c>
      <c r="V1242" s="15">
        <f>IFERROR(__xludf.DUMMYFUNCTION("LET(hist, GOOGLEFINANCE(A1242,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rs))))))"),48.09934110491637)</f>
        <v>48.0993411</v>
      </c>
      <c r="W1242" s="16" t="str">
        <f>IFERROR(__xludf.DUMMYFUNCTION("IFERROR(GOOGLEFINANCE(A1242, ""volume"") / GOOGLEFINANCE(A1242, ""volumeavg""), )"),"")</f>
        <v/>
      </c>
      <c r="X1242" s="9">
        <f>IFERROR(__xludf.DUMMYFUNCTION("B1242 * GOOGLEFINANCE(A1242, ""volume"")"),5.0354943E8)</f>
        <v>503549430</v>
      </c>
      <c r="Y1242" s="9">
        <f>IFERROR(__xludf.DUMMYFUNCTION("IFERROR(((B1242 - GOOGLEFINANCE(A1242, ""priceopen"")) / GOOGLEFINANCE(A1242, ""priceopen"")) * GOOGLEFINANCE(A1242, ""volume""), 0)"),58249.84676882085)</f>
        <v>58249.84677</v>
      </c>
    </row>
    <row r="1243">
      <c r="A1243" s="4" t="s">
        <v>3036</v>
      </c>
      <c r="B1243" s="7">
        <f>IFERROR(__xludf.DUMMYFUNCTION("GOOGLEFINANCE(A1243, ""price"")"),117.35)</f>
        <v>117.35</v>
      </c>
      <c r="C1243" s="7">
        <f>IFERROR(__xludf.DUMMYFUNCTION("GOOGLEFINANCE(A1243, ""changepct"")"),2.66)</f>
        <v>2.66</v>
      </c>
      <c r="D1243" s="9">
        <f>IFERROR(__xludf.DUMMYFUNCTION("GOOGLEFINANCE(A1243, ""priceopen"")"),115.0)</f>
        <v>115</v>
      </c>
      <c r="E1243" s="9">
        <f>IFERROR(__xludf.DUMMYFUNCTION("GOOGLEFINANCE(A1243, ""high"")"),120.4)</f>
        <v>120.4</v>
      </c>
      <c r="F1243" s="9">
        <f>IFERROR(__xludf.DUMMYFUNCTION("GOOGLEFINANCE(A1243, ""low"")"),113.15)</f>
        <v>113.15</v>
      </c>
      <c r="G1243" s="9">
        <f>IFERROR(__xludf.DUMMYFUNCTION("GOOGLEFINANCE(A1243, ""price"")"),117.35)</f>
        <v>117.35</v>
      </c>
      <c r="H1243" s="9">
        <f>IFERROR(__xludf.DUMMYFUNCTION("MAX(INDEX(GOOGLEFINANCE(A1243, ""high"", TODAY()-30, TODAY()), 0, 2))"),120.4)</f>
        <v>120.4</v>
      </c>
      <c r="I1243" s="9">
        <f>IFERROR(__xludf.DUMMYFUNCTION("MIN(INDEX(GOOGLEFINANCE(A1243, ""low"", TODAY()-30, TODAY()), 0, 2))"),101.26)</f>
        <v>101.26</v>
      </c>
      <c r="J1243" s="9">
        <f>IFERROR(__xludf.DUMMYFUNCTION("GOOGLEFINANCE(A1243, ""high52"")"),202.0)</f>
        <v>202</v>
      </c>
      <c r="K1243" s="9">
        <f>IFERROR(__xludf.DUMMYFUNCTION("GOOGLEFINANCE(A1243, ""low52"")"),89.9)</f>
        <v>89.9</v>
      </c>
      <c r="L1243" s="9">
        <f t="shared" si="1"/>
        <v>0.4190594059</v>
      </c>
      <c r="M1243" s="9">
        <f t="shared" si="2"/>
        <v>0.3053392659</v>
      </c>
      <c r="N1243" s="9">
        <f t="shared" si="3"/>
        <v>0.06407423774</v>
      </c>
      <c r="O1243" s="9">
        <f t="shared" si="4"/>
        <v>0.8406478579</v>
      </c>
      <c r="P1243" s="9">
        <f>IFERROR(__xludf.DUMMYFUNCTION("GOOGLEFINANCE(A1243, ""pe"")"),39.38)</f>
        <v>39.38</v>
      </c>
      <c r="Q1243" s="9">
        <f>IFERROR(__xludf.DUMMYFUNCTION("IFERROR(GOOGLEFINANCE(A1243, ""volume"") / GOOGLEFINANCE(A1243, ""volumeavg""), 0)"),0.0)</f>
        <v>0</v>
      </c>
      <c r="R1243" s="9">
        <f>IFERROR(__xludf.DUMMYFUNCTION("AVERAGE(INDEX(GOOGLEFINANCE(A1243, ""price"", TODAY()-30, TODAY()), 0, 2))"),109.08347826086957)</f>
        <v>109.0834783</v>
      </c>
      <c r="S1243" s="9">
        <f>IFERROR(__xludf.DUMMYFUNCTION("AVERAGE(INDEX(GOOGLEFINANCE(A1243, ""price"", TODAY()-75, TODAY()), 0, 2))"),107.82113207547167)</f>
        <v>107.8211321</v>
      </c>
      <c r="T1243" s="9">
        <f>IFERROR(__xludf.DUMMYFUNCTION("AVERAGE(INDEX(GOOGLEFINANCE(A1243, ""price"", TODAY()-300, TODAY()), 0, 2))"),131.6728217821782)</f>
        <v>131.6728218</v>
      </c>
      <c r="U1243" s="9">
        <f t="shared" si="5"/>
        <v>0.07578161121</v>
      </c>
      <c r="V1243" s="15">
        <f>IFERROR(__xludf.DUMMYFUNCTION("LET(hist, GOOGLEFINANCE(A1243,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rs))))))"),66.23522791221158)</f>
        <v>66.23522791</v>
      </c>
      <c r="W1243" s="16" t="str">
        <f>IFERROR(__xludf.DUMMYFUNCTION("IFERROR(GOOGLEFINANCE(A1243, ""volume"") / GOOGLEFINANCE(A1243, ""volumeavg""), )"),"")</f>
        <v/>
      </c>
      <c r="X1243" s="9">
        <f>IFERROR(__xludf.DUMMYFUNCTION("B1243 * GOOGLEFINANCE(A1243, ""volume"")"),9.931227231999999E8)</f>
        <v>993122723.2</v>
      </c>
      <c r="Y1243" s="9">
        <f>IFERROR(__xludf.DUMMYFUNCTION("IFERROR(((B1243 - GOOGLEFINANCE(A1243, ""priceopen"")) / GOOGLEFINANCE(A1243, ""priceopen"")) * GOOGLEFINANCE(A1243, ""volume""), 0)"),172937.76695652131)</f>
        <v>172937.767</v>
      </c>
    </row>
    <row r="1244">
      <c r="A1244" s="4" t="s">
        <v>3037</v>
      </c>
      <c r="B1244" s="7">
        <f>IFERROR(__xludf.DUMMYFUNCTION("GOOGLEFINANCE(A1244, ""price"")"),991.0)</f>
        <v>991</v>
      </c>
      <c r="C1244" s="7">
        <f>IFERROR(__xludf.DUMMYFUNCTION("GOOGLEFINANCE(A1244, ""changepct"")"),-4.66)</f>
        <v>-4.66</v>
      </c>
      <c r="D1244" s="9">
        <f>IFERROR(__xludf.DUMMYFUNCTION("GOOGLEFINANCE(A1244, ""priceopen"")"),1039.4)</f>
        <v>1039.4</v>
      </c>
      <c r="E1244" s="9">
        <f>IFERROR(__xludf.DUMMYFUNCTION("GOOGLEFINANCE(A1244, ""high"")"),1039.4)</f>
        <v>1039.4</v>
      </c>
      <c r="F1244" s="9">
        <f>IFERROR(__xludf.DUMMYFUNCTION("GOOGLEFINANCE(A1244, ""low"")"),987.6)</f>
        <v>987.6</v>
      </c>
      <c r="G1244" s="9">
        <f>IFERROR(__xludf.DUMMYFUNCTION("GOOGLEFINANCE(A1244, ""price"")"),991.0)</f>
        <v>991</v>
      </c>
      <c r="H1244" s="9">
        <f>IFERROR(__xludf.DUMMYFUNCTION("MAX(INDEX(GOOGLEFINANCE(A1244, ""high"", TODAY()-30, TODAY()), 0, 2))"),1103.7)</f>
        <v>1103.7</v>
      </c>
      <c r="I1244" s="9">
        <f>IFERROR(__xludf.DUMMYFUNCTION("MIN(INDEX(GOOGLEFINANCE(A1244, ""low"", TODAY()-30, TODAY()), 0, 2))"),718.25)</f>
        <v>718.25</v>
      </c>
      <c r="J1244" s="9">
        <f>IFERROR(__xludf.DUMMYFUNCTION("GOOGLEFINANCE(A1244, ""high52"")"),1103.7)</f>
        <v>1103.7</v>
      </c>
      <c r="K1244" s="9">
        <f>IFERROR(__xludf.DUMMYFUNCTION("GOOGLEFINANCE(A1244, ""low52"")"),312.2)</f>
        <v>312.2</v>
      </c>
      <c r="L1244" s="9">
        <f t="shared" si="1"/>
        <v>0.1021110809</v>
      </c>
      <c r="M1244" s="9">
        <f t="shared" si="2"/>
        <v>2.174247277</v>
      </c>
      <c r="N1244" s="9">
        <f t="shared" si="3"/>
        <v>0.05245038477</v>
      </c>
      <c r="O1244" s="9">
        <f t="shared" si="4"/>
        <v>0.7076144766</v>
      </c>
      <c r="P1244" s="9">
        <f>IFERROR(__xludf.DUMMYFUNCTION("GOOGLEFINANCE(A1244, ""pe"")"),169.69)</f>
        <v>169.69</v>
      </c>
      <c r="Q1244" s="9">
        <f>IFERROR(__xludf.DUMMYFUNCTION("IFERROR(GOOGLEFINANCE(A1244, ""volume"") / GOOGLEFINANCE(A1244, ""volumeavg""), 0)"),0.0)</f>
        <v>0</v>
      </c>
      <c r="R1244" s="9">
        <f>IFERROR(__xludf.DUMMYFUNCTION("AVERAGE(INDEX(GOOGLEFINANCE(A1244, ""price"", TODAY()-30, TODAY()), 0, 2))"),912.9413043478262)</f>
        <v>912.9413043</v>
      </c>
      <c r="S1244" s="9">
        <f>IFERROR(__xludf.DUMMYFUNCTION("AVERAGE(INDEX(GOOGLEFINANCE(A1244, ""price"", TODAY()-75, TODAY()), 0, 2))"),876.493396226415)</f>
        <v>876.4933962</v>
      </c>
      <c r="T1244" s="9">
        <f>IFERROR(__xludf.DUMMYFUNCTION("AVERAGE(INDEX(GOOGLEFINANCE(A1244, ""price"", TODAY()-300, TODAY()), 0, 2))"),827.7408415841584)</f>
        <v>827.7408416</v>
      </c>
      <c r="U1244" s="9">
        <f t="shared" si="5"/>
        <v>0.08550242527</v>
      </c>
      <c r="V1244" s="15">
        <f>IFERROR(__xludf.DUMMYFUNCTION("LET(hist, GOOGLEFINANCE(A1244,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rs))))))"),71.02665350444224)</f>
        <v>71.0266535</v>
      </c>
      <c r="W1244" s="16" t="str">
        <f>IFERROR(__xludf.DUMMYFUNCTION("IFERROR(GOOGLEFINANCE(A1244, ""volume"") / GOOGLEFINANCE(A1244, ""volumeavg""), )"),"")</f>
        <v/>
      </c>
      <c r="X1244" s="9">
        <f>IFERROR(__xludf.DUMMYFUNCTION("B1244 * GOOGLEFINANCE(A1244, ""volume"")"),5621943.0)</f>
        <v>5621943</v>
      </c>
      <c r="Y1244" s="9">
        <f>IFERROR(__xludf.DUMMYFUNCTION("IFERROR(((B1244 - GOOGLEFINANCE(A1244, ""priceopen"")) / GOOGLEFINANCE(A1244, ""priceopen"")) * GOOGLEFINANCE(A1244, ""volume""), 0)"),-264.1650952472585)</f>
        <v>-264.1650952</v>
      </c>
    </row>
    <row r="1245">
      <c r="A1245" s="4" t="s">
        <v>3038</v>
      </c>
      <c r="B1245" s="7">
        <f>IFERROR(__xludf.DUMMYFUNCTION("GOOGLEFINANCE(A1245, ""price"")"),317.5)</f>
        <v>317.5</v>
      </c>
      <c r="C1245" s="7">
        <f>IFERROR(__xludf.DUMMYFUNCTION("GOOGLEFINANCE(A1245, ""changepct"")"),0.57)</f>
        <v>0.57</v>
      </c>
      <c r="D1245" s="9">
        <f>IFERROR(__xludf.DUMMYFUNCTION("GOOGLEFINANCE(A1245, ""priceopen"")"),315.7)</f>
        <v>315.7</v>
      </c>
      <c r="E1245" s="9">
        <f>IFERROR(__xludf.DUMMYFUNCTION("GOOGLEFINANCE(A1245, ""high"")"),317.5)</f>
        <v>317.5</v>
      </c>
      <c r="F1245" s="9">
        <f>IFERROR(__xludf.DUMMYFUNCTION("GOOGLEFINANCE(A1245, ""low"")"),313.05)</f>
        <v>313.05</v>
      </c>
      <c r="G1245" s="9">
        <f>IFERROR(__xludf.DUMMYFUNCTION("GOOGLEFINANCE(A1245, ""price"")"),317.5)</f>
        <v>317.5</v>
      </c>
      <c r="H1245" s="9">
        <f>IFERROR(__xludf.DUMMYFUNCTION("MAX(INDEX(GOOGLEFINANCE(A1245, ""high"", TODAY()-30, TODAY()), 0, 2))"),349.9)</f>
        <v>349.9</v>
      </c>
      <c r="I1245" s="9">
        <f>IFERROR(__xludf.DUMMYFUNCTION("MIN(INDEX(GOOGLEFINANCE(A1245, ""low"", TODAY()-30, TODAY()), 0, 2))"),291.25)</f>
        <v>291.25</v>
      </c>
      <c r="J1245" s="9">
        <f>IFERROR(__xludf.DUMMYFUNCTION("GOOGLEFINANCE(A1245, ""high52"")"),410.0)</f>
        <v>410</v>
      </c>
      <c r="K1245" s="9">
        <f>IFERROR(__xludf.DUMMYFUNCTION("GOOGLEFINANCE(A1245, ""low52"")"),258.6)</f>
        <v>258.6</v>
      </c>
      <c r="L1245" s="9">
        <f t="shared" si="1"/>
        <v>0.2256097561</v>
      </c>
      <c r="M1245" s="9">
        <f t="shared" si="2"/>
        <v>0.2277648879</v>
      </c>
      <c r="N1245" s="9">
        <f t="shared" si="3"/>
        <v>0.01421498163</v>
      </c>
      <c r="O1245" s="9">
        <f t="shared" si="4"/>
        <v>0.4475703325</v>
      </c>
      <c r="P1245" s="9">
        <f>IFERROR(__xludf.DUMMYFUNCTION("GOOGLEFINANCE(A1245, ""pe"")"),29.78)</f>
        <v>29.78</v>
      </c>
      <c r="Q1245" s="9">
        <f>IFERROR(__xludf.DUMMYFUNCTION("IFERROR(GOOGLEFINANCE(A1245, ""volume"") / GOOGLEFINANCE(A1245, ""volumeavg""), 0)"),0.0)</f>
        <v>0</v>
      </c>
      <c r="R1245" s="9">
        <f>IFERROR(__xludf.DUMMYFUNCTION("AVERAGE(INDEX(GOOGLEFINANCE(A1245, ""price"", TODAY()-30, TODAY()), 0, 2))"),312.80869565217387)</f>
        <v>312.8086957</v>
      </c>
      <c r="S1245" s="9">
        <f>IFERROR(__xludf.DUMMYFUNCTION("AVERAGE(INDEX(GOOGLEFINANCE(A1245, ""price"", TODAY()-75, TODAY()), 0, 2))"),299.28867924528305)</f>
        <v>299.2886792</v>
      </c>
      <c r="T1245" s="9">
        <f>IFERROR(__xludf.DUMMYFUNCTION("AVERAGE(INDEX(GOOGLEFINANCE(A1245, ""price"", TODAY()-300, TODAY()), 0, 2))"),315.3997524752475)</f>
        <v>315.3997525</v>
      </c>
      <c r="U1245" s="9">
        <f t="shared" si="5"/>
        <v>0.01499735913</v>
      </c>
      <c r="V1245" s="15">
        <f>IFERROR(__xludf.DUMMYFUNCTION("LET(hist, GOOGLEFINANCE(A1245,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rs))))))"),55.48589341692791)</f>
        <v>55.48589342</v>
      </c>
      <c r="W1245" s="16" t="str">
        <f>IFERROR(__xludf.DUMMYFUNCTION("IFERROR(GOOGLEFINANCE(A1245, ""volume"") / GOOGLEFINANCE(A1245, ""volumeavg""), )"),"")</f>
        <v/>
      </c>
      <c r="X1245" s="9">
        <f>IFERROR(__xludf.DUMMYFUNCTION("B1245 * GOOGLEFINANCE(A1245, ""volume"")"),2259965.0)</f>
        <v>2259965</v>
      </c>
      <c r="Y1245" s="9">
        <f>IFERROR(__xludf.DUMMYFUNCTION("IFERROR(((B1245 - GOOGLEFINANCE(A1245, ""priceopen"")) / GOOGLEFINANCE(A1245, ""priceopen"")) * GOOGLEFINANCE(A1245, ""volume""), 0)"),40.58409882800153)</f>
        <v>40.58409883</v>
      </c>
    </row>
    <row r="1246">
      <c r="A1246" s="4" t="s">
        <v>3039</v>
      </c>
      <c r="B1246" s="7">
        <f>IFERROR(__xludf.DUMMYFUNCTION("GOOGLEFINANCE(A1246, ""price"")"),8030.0)</f>
        <v>8030</v>
      </c>
      <c r="C1246" s="7">
        <f>IFERROR(__xludf.DUMMYFUNCTION("GOOGLEFINANCE(A1246, ""changepct"")"),0.16)</f>
        <v>0.16</v>
      </c>
      <c r="D1246" s="9">
        <f>IFERROR(__xludf.DUMMYFUNCTION("GOOGLEFINANCE(A1246, ""priceopen"")"),8025.0)</f>
        <v>8025</v>
      </c>
      <c r="E1246" s="9">
        <f>IFERROR(__xludf.DUMMYFUNCTION("GOOGLEFINANCE(A1246, ""high"")"),8070.5)</f>
        <v>8070.5</v>
      </c>
      <c r="F1246" s="9">
        <f>IFERROR(__xludf.DUMMYFUNCTION("GOOGLEFINANCE(A1246, ""low"")"),7920.0)</f>
        <v>7920</v>
      </c>
      <c r="G1246" s="9">
        <f>IFERROR(__xludf.DUMMYFUNCTION("GOOGLEFINANCE(A1246, ""price"")"),8030.0)</f>
        <v>8030</v>
      </c>
      <c r="H1246" s="9">
        <f>IFERROR(__xludf.DUMMYFUNCTION("MAX(INDEX(GOOGLEFINANCE(A1246, ""high"", TODAY()-30, TODAY()), 0, 2))"),8600.0)</f>
        <v>8600</v>
      </c>
      <c r="I1246" s="9">
        <f>IFERROR(__xludf.DUMMYFUNCTION("MIN(INDEX(GOOGLEFINANCE(A1246, ""low"", TODAY()-30, TODAY()), 0, 2))"),7300.0)</f>
        <v>7300</v>
      </c>
      <c r="J1246" s="9">
        <f>IFERROR(__xludf.DUMMYFUNCTION("GOOGLEFINANCE(A1246, ""high52"")"),10585.0)</f>
        <v>10585</v>
      </c>
      <c r="K1246" s="9">
        <f>IFERROR(__xludf.DUMMYFUNCTION("GOOGLEFINANCE(A1246, ""low52"")"),5841.5)</f>
        <v>5841.5</v>
      </c>
      <c r="L1246" s="9">
        <f t="shared" si="1"/>
        <v>0.2413793103</v>
      </c>
      <c r="M1246" s="9">
        <f t="shared" si="2"/>
        <v>0.3746469229</v>
      </c>
      <c r="N1246" s="9">
        <f t="shared" si="3"/>
        <v>0.01900252525</v>
      </c>
      <c r="O1246" s="9">
        <f t="shared" si="4"/>
        <v>0.5615384615</v>
      </c>
      <c r="P1246" s="9">
        <f>IFERROR(__xludf.DUMMYFUNCTION("GOOGLEFINANCE(A1246, ""pe"")"),94.78)</f>
        <v>94.78</v>
      </c>
      <c r="Q1246" s="9">
        <f>IFERROR(__xludf.DUMMYFUNCTION("IFERROR(GOOGLEFINANCE(A1246, ""volume"") / GOOGLEFINANCE(A1246, ""volumeavg""), 0)"),0.0)</f>
        <v>0</v>
      </c>
      <c r="R1246" s="9">
        <f>IFERROR(__xludf.DUMMYFUNCTION("AVERAGE(INDEX(GOOGLEFINANCE(A1246, ""price"", TODAY()-30, TODAY()), 0, 2))"),7945.869565217391)</f>
        <v>7945.869565</v>
      </c>
      <c r="S1246" s="9">
        <f>IFERROR(__xludf.DUMMYFUNCTION("AVERAGE(INDEX(GOOGLEFINANCE(A1246, ""price"", TODAY()-75, TODAY()), 0, 2))"),7704.632075471698)</f>
        <v>7704.632075</v>
      </c>
      <c r="T1246" s="9">
        <f>IFERROR(__xludf.DUMMYFUNCTION("AVERAGE(INDEX(GOOGLEFINANCE(A1246, ""price"", TODAY()-300, TODAY()), 0, 2))"),7478.839108910891)</f>
        <v>7478.839109</v>
      </c>
      <c r="U1246" s="9">
        <f t="shared" si="5"/>
        <v>0.01058794561</v>
      </c>
      <c r="V1246" s="15">
        <f>IFERROR(__xludf.DUMMYFUNCTION("LET(hist, GOOGLEFINANCE(A1246,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rs))))))"),66.21663086836452)</f>
        <v>66.21663087</v>
      </c>
      <c r="W1246" s="16" t="str">
        <f>IFERROR(__xludf.DUMMYFUNCTION("IFERROR(GOOGLEFINANCE(A1246, ""volume"") / GOOGLEFINANCE(A1246, ""volumeavg""), )"),"")</f>
        <v/>
      </c>
      <c r="X1246" s="9">
        <f>IFERROR(__xludf.DUMMYFUNCTION("B1246 * GOOGLEFINANCE(A1246, ""volume"")"),3.095565E7)</f>
        <v>30955650</v>
      </c>
      <c r="Y1246" s="9">
        <f>IFERROR(__xludf.DUMMYFUNCTION("IFERROR(((B1246 - GOOGLEFINANCE(A1246, ""priceopen"")) / GOOGLEFINANCE(A1246, ""priceopen"")) * GOOGLEFINANCE(A1246, ""volume""), 0)"),2.4018691588785046)</f>
        <v>2.401869159</v>
      </c>
    </row>
    <row r="1247">
      <c r="A1247" s="4" t="s">
        <v>3040</v>
      </c>
      <c r="B1247" s="7">
        <f>IFERROR(__xludf.DUMMYFUNCTION("GOOGLEFINANCE(A1247, ""price"")"),1431.1)</f>
        <v>1431.1</v>
      </c>
      <c r="C1247" s="7">
        <f>IFERROR(__xludf.DUMMYFUNCTION("GOOGLEFINANCE(A1247, ""changepct"")"),-2.24)</f>
        <v>-2.24</v>
      </c>
      <c r="D1247" s="9">
        <f>IFERROR(__xludf.DUMMYFUNCTION("GOOGLEFINANCE(A1247, ""priceopen"")"),1482.0)</f>
        <v>1482</v>
      </c>
      <c r="E1247" s="9">
        <f>IFERROR(__xludf.DUMMYFUNCTION("GOOGLEFINANCE(A1247, ""high"")"),1482.0)</f>
        <v>1482</v>
      </c>
      <c r="F1247" s="9">
        <f>IFERROR(__xludf.DUMMYFUNCTION("GOOGLEFINANCE(A1247, ""low"")"),1429.0)</f>
        <v>1429</v>
      </c>
      <c r="G1247" s="9">
        <f>IFERROR(__xludf.DUMMYFUNCTION("GOOGLEFINANCE(A1247, ""price"")"),1431.1)</f>
        <v>1431.1</v>
      </c>
      <c r="H1247" s="9">
        <f>IFERROR(__xludf.DUMMYFUNCTION("MAX(INDEX(GOOGLEFINANCE(A1247, ""high"", TODAY()-30, TODAY()), 0, 2))"),1649.0)</f>
        <v>1649</v>
      </c>
      <c r="I1247" s="9">
        <f>IFERROR(__xludf.DUMMYFUNCTION("MIN(INDEX(GOOGLEFINANCE(A1247, ""low"", TODAY()-30, TODAY()), 0, 2))"),1429.0)</f>
        <v>1429</v>
      </c>
      <c r="J1247" s="9">
        <f>IFERROR(__xludf.DUMMYFUNCTION("GOOGLEFINANCE(A1247, ""high52"")"),2495.0)</f>
        <v>2495</v>
      </c>
      <c r="K1247" s="9">
        <f>IFERROR(__xludf.DUMMYFUNCTION("GOOGLEFINANCE(A1247, ""low52"")"),1312.0)</f>
        <v>1312</v>
      </c>
      <c r="L1247" s="9">
        <f t="shared" si="1"/>
        <v>0.4264128257</v>
      </c>
      <c r="M1247" s="9">
        <f t="shared" si="2"/>
        <v>0.09077743902</v>
      </c>
      <c r="N1247" s="9">
        <f t="shared" si="3"/>
        <v>0.03708887334</v>
      </c>
      <c r="O1247" s="9">
        <f t="shared" si="4"/>
        <v>0.009545454545</v>
      </c>
      <c r="P1247" s="9">
        <f>IFERROR(__xludf.DUMMYFUNCTION("GOOGLEFINANCE(A1247, ""pe"")"),13.03)</f>
        <v>13.03</v>
      </c>
      <c r="Q1247" s="9">
        <f>IFERROR(__xludf.DUMMYFUNCTION("IFERROR(GOOGLEFINANCE(A1247, ""volume"") / GOOGLEFINANCE(A1247, ""volumeavg""), 0)"),0.0)</f>
        <v>0</v>
      </c>
      <c r="R1247" s="9">
        <f>IFERROR(__xludf.DUMMYFUNCTION("AVERAGE(INDEX(GOOGLEFINANCE(A1247, ""price"", TODAY()-30, TODAY()), 0, 2))"),1501.5565217391302)</f>
        <v>1501.556522</v>
      </c>
      <c r="S1247" s="9">
        <f>IFERROR(__xludf.DUMMYFUNCTION("AVERAGE(INDEX(GOOGLEFINANCE(A1247, ""price"", TODAY()-75, TODAY()), 0, 2))"),1515.8037735849061)</f>
        <v>1515.803774</v>
      </c>
      <c r="T1247" s="9">
        <f>IFERROR(__xludf.DUMMYFUNCTION("AVERAGE(INDEX(GOOGLEFINANCE(A1247, ""price"", TODAY()-300, TODAY()), 0, 2))"),1739.4202970297029)</f>
        <v>1739.420297</v>
      </c>
      <c r="U1247" s="9">
        <f t="shared" si="5"/>
        <v>-0.04692232408</v>
      </c>
      <c r="V1247" s="15">
        <f>IFERROR(__xludf.DUMMYFUNCTION("LET(hist, GOOGLEFINANCE(A1247,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rs))))))"),39.85978968452681)</f>
        <v>39.85978968</v>
      </c>
      <c r="W1247" s="16" t="str">
        <f>IFERROR(__xludf.DUMMYFUNCTION("IFERROR(GOOGLEFINANCE(A1247, ""volume"") / GOOGLEFINANCE(A1247, ""volumeavg""), )"),"")</f>
        <v/>
      </c>
      <c r="X1247" s="9">
        <f>IFERROR(__xludf.DUMMYFUNCTION("B1247 * GOOGLEFINANCE(A1247, ""volume"")"),5383798.199999999)</f>
        <v>5383798.2</v>
      </c>
      <c r="Y1247" s="9">
        <f>IFERROR(__xludf.DUMMYFUNCTION("IFERROR(((B1247 - GOOGLEFINANCE(A1247, ""priceopen"")) / GOOGLEFINANCE(A1247, ""priceopen"")) * GOOGLEFINANCE(A1247, ""volume""), 0)"),-129.20769230769255)</f>
        <v>-129.2076923</v>
      </c>
    </row>
    <row r="1248">
      <c r="A1248" s="4" t="s">
        <v>3041</v>
      </c>
      <c r="B1248" s="7">
        <f>IFERROR(__xludf.DUMMYFUNCTION("GOOGLEFINANCE(A1248, ""price"")"),388.5)</f>
        <v>388.5</v>
      </c>
      <c r="C1248" s="7">
        <f>IFERROR(__xludf.DUMMYFUNCTION("GOOGLEFINANCE(A1248, ""changepct"")"),2.95)</f>
        <v>2.95</v>
      </c>
      <c r="D1248" s="9">
        <f>IFERROR(__xludf.DUMMYFUNCTION("GOOGLEFINANCE(A1248, ""priceopen"")"),377.35)</f>
        <v>377.35</v>
      </c>
      <c r="E1248" s="9">
        <f>IFERROR(__xludf.DUMMYFUNCTION("GOOGLEFINANCE(A1248, ""high"")"),392.0)</f>
        <v>392</v>
      </c>
      <c r="F1248" s="9">
        <f>IFERROR(__xludf.DUMMYFUNCTION("GOOGLEFINANCE(A1248, ""low"")"),376.55)</f>
        <v>376.55</v>
      </c>
      <c r="G1248" s="9">
        <f>IFERROR(__xludf.DUMMYFUNCTION("GOOGLEFINANCE(A1248, ""price"")"),388.5)</f>
        <v>388.5</v>
      </c>
      <c r="H1248" s="9">
        <f>IFERROR(__xludf.DUMMYFUNCTION("MAX(INDEX(GOOGLEFINANCE(A1248, ""high"", TODAY()-30, TODAY()), 0, 2))"),400.0)</f>
        <v>400</v>
      </c>
      <c r="I1248" s="9">
        <f>IFERROR(__xludf.DUMMYFUNCTION("MIN(INDEX(GOOGLEFINANCE(A1248, ""low"", TODAY()-30, TODAY()), 0, 2))"),344.0)</f>
        <v>344</v>
      </c>
      <c r="J1248" s="9">
        <f>IFERROR(__xludf.DUMMYFUNCTION("GOOGLEFINANCE(A1248, ""high52"")"),400.0)</f>
        <v>400</v>
      </c>
      <c r="K1248" s="9">
        <f>IFERROR(__xludf.DUMMYFUNCTION("GOOGLEFINANCE(A1248, ""low52"")"),245.5)</f>
        <v>245.5</v>
      </c>
      <c r="L1248" s="9">
        <f t="shared" si="1"/>
        <v>0.02875</v>
      </c>
      <c r="M1248" s="9">
        <f t="shared" si="2"/>
        <v>0.5824847251</v>
      </c>
      <c r="N1248" s="9">
        <f t="shared" si="3"/>
        <v>0.04103040765</v>
      </c>
      <c r="O1248" s="9">
        <f t="shared" si="4"/>
        <v>0.7946428571</v>
      </c>
      <c r="P1248" s="9">
        <f>IFERROR(__xludf.DUMMYFUNCTION("GOOGLEFINANCE(A1248, ""pe"")"),29.66)</f>
        <v>29.66</v>
      </c>
      <c r="Q1248" s="9">
        <f>IFERROR(__xludf.DUMMYFUNCTION("IFERROR(GOOGLEFINANCE(A1248, ""volume"") / GOOGLEFINANCE(A1248, ""volumeavg""), 0)"),0.0)</f>
        <v>0</v>
      </c>
      <c r="R1248" s="9">
        <f>IFERROR(__xludf.DUMMYFUNCTION("AVERAGE(INDEX(GOOGLEFINANCE(A1248, ""price"", TODAY()-30, TODAY()), 0, 2))"),368.82173913043476)</f>
        <v>368.8217391</v>
      </c>
      <c r="S1248" s="9">
        <f>IFERROR(__xludf.DUMMYFUNCTION("AVERAGE(INDEX(GOOGLEFINANCE(A1248, ""price"", TODAY()-75, TODAY()), 0, 2))"),351.8066037735849)</f>
        <v>351.8066038</v>
      </c>
      <c r="T1248" s="9">
        <f>IFERROR(__xludf.DUMMYFUNCTION("AVERAGE(INDEX(GOOGLEFINANCE(A1248, ""price"", TODAY()-300, TODAY()), 0, 2))"),331.3143564356435)</f>
        <v>331.3143564</v>
      </c>
      <c r="U1248" s="9">
        <f t="shared" si="5"/>
        <v>0.05335439531</v>
      </c>
      <c r="V1248" s="15">
        <f>IFERROR(__xludf.DUMMYFUNCTION("LET(hist, GOOGLEFINANCE(A1248,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rs))))))"),60.64690026954179)</f>
        <v>60.64690027</v>
      </c>
      <c r="W1248" s="16" t="str">
        <f>IFERROR(__xludf.DUMMYFUNCTION("IFERROR(GOOGLEFINANCE(A1248, ""volume"") / GOOGLEFINANCE(A1248, ""volumeavg""), )"),"")</f>
        <v/>
      </c>
      <c r="X1248" s="9">
        <f>IFERROR(__xludf.DUMMYFUNCTION("B1248 * GOOGLEFINANCE(A1248, ""volume"")"),2.74953105E7)</f>
        <v>27495310.5</v>
      </c>
      <c r="Y1248" s="9">
        <f>IFERROR(__xludf.DUMMYFUNCTION("IFERROR(((B1248 - GOOGLEFINANCE(A1248, ""priceopen"")) / GOOGLEFINANCE(A1248, ""priceopen"")) * GOOGLEFINANCE(A1248, ""volume""), 0)"),2091.2122697760656)</f>
        <v>2091.21227</v>
      </c>
    </row>
    <row r="1249">
      <c r="A1249" s="4" t="s">
        <v>3042</v>
      </c>
      <c r="B1249" s="7">
        <f>IFERROR(__xludf.DUMMYFUNCTION("GOOGLEFINANCE(A1249, ""price"")"),161.45)</f>
        <v>161.45</v>
      </c>
      <c r="C1249" s="7">
        <f>IFERROR(__xludf.DUMMYFUNCTION("GOOGLEFINANCE(A1249, ""changepct"")"),-1.92)</f>
        <v>-1.92</v>
      </c>
      <c r="D1249" s="9">
        <f>IFERROR(__xludf.DUMMYFUNCTION("GOOGLEFINANCE(A1249, ""priceopen"")"),165.5)</f>
        <v>165.5</v>
      </c>
      <c r="E1249" s="9">
        <f>IFERROR(__xludf.DUMMYFUNCTION("GOOGLEFINANCE(A1249, ""high"")"),166.56)</f>
        <v>166.56</v>
      </c>
      <c r="F1249" s="9">
        <f>IFERROR(__xludf.DUMMYFUNCTION("GOOGLEFINANCE(A1249, ""low"")"),160.62)</f>
        <v>160.62</v>
      </c>
      <c r="G1249" s="9">
        <f>IFERROR(__xludf.DUMMYFUNCTION("GOOGLEFINANCE(A1249, ""price"")"),161.45)</f>
        <v>161.45</v>
      </c>
      <c r="H1249" s="9">
        <f>IFERROR(__xludf.DUMMYFUNCTION("MAX(INDEX(GOOGLEFINANCE(A1249, ""high"", TODAY()-30, TODAY()), 0, 2))"),222.0)</f>
        <v>222</v>
      </c>
      <c r="I1249" s="9">
        <f>IFERROR(__xludf.DUMMYFUNCTION("MIN(INDEX(GOOGLEFINANCE(A1249, ""low"", TODAY()-30, TODAY()), 0, 2))"),160.62)</f>
        <v>160.62</v>
      </c>
      <c r="J1249" s="9">
        <f>IFERROR(__xludf.DUMMYFUNCTION("GOOGLEFINANCE(A1249, ""high52"")"),388.5)</f>
        <v>388.5</v>
      </c>
      <c r="K1249" s="9">
        <f>IFERROR(__xludf.DUMMYFUNCTION("GOOGLEFINANCE(A1249, ""low52"")"),139.19)</f>
        <v>139.19</v>
      </c>
      <c r="L1249" s="9">
        <f t="shared" si="1"/>
        <v>0.5844272844</v>
      </c>
      <c r="M1249" s="9">
        <f t="shared" si="2"/>
        <v>0.159925282</v>
      </c>
      <c r="N1249" s="9">
        <f t="shared" si="3"/>
        <v>0.03698169593</v>
      </c>
      <c r="O1249" s="9">
        <f t="shared" si="4"/>
        <v>0.01352231997</v>
      </c>
      <c r="P1249" s="9">
        <f>IFERROR(__xludf.DUMMYFUNCTION("GOOGLEFINANCE(A1249, ""pe"")"),10.81)</f>
        <v>10.81</v>
      </c>
      <c r="Q1249" s="9">
        <f>IFERROR(__xludf.DUMMYFUNCTION("IFERROR(GOOGLEFINANCE(A1249, ""volume"") / GOOGLEFINANCE(A1249, ""volumeavg""), 0)"),0.0)</f>
        <v>0</v>
      </c>
      <c r="R1249" s="9">
        <f>IFERROR(__xludf.DUMMYFUNCTION("AVERAGE(INDEX(GOOGLEFINANCE(A1249, ""price"", TODAY()-30, TODAY()), 0, 2))"),189.99260869565214)</f>
        <v>189.9926087</v>
      </c>
      <c r="S1249" s="9">
        <f>IFERROR(__xludf.DUMMYFUNCTION("AVERAGE(INDEX(GOOGLEFINANCE(A1249, ""price"", TODAY()-75, TODAY()), 0, 2))"),191.71264150943392)</f>
        <v>191.7126415</v>
      </c>
      <c r="T1249" s="9">
        <f>IFERROR(__xludf.DUMMYFUNCTION("AVERAGE(INDEX(GOOGLEFINANCE(A1249, ""price"", TODAY()-300, TODAY()), 0, 2))"),225.90935643564376)</f>
        <v>225.9093564</v>
      </c>
      <c r="U1249" s="9">
        <f t="shared" si="5"/>
        <v>-0.1502301005</v>
      </c>
      <c r="V1249" s="15">
        <f>IFERROR(__xludf.DUMMYFUNCTION("LET(hist, GOOGLEFINANCE(A1249,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rs))))))"),9.768140832975547)</f>
        <v>9.768140833</v>
      </c>
      <c r="W1249" s="16" t="str">
        <f>IFERROR(__xludf.DUMMYFUNCTION("IFERROR(GOOGLEFINANCE(A1249, ""volume"") / GOOGLEFINANCE(A1249, ""volumeavg""), )"),"")</f>
        <v/>
      </c>
      <c r="X1249" s="9">
        <f>IFERROR(__xludf.DUMMYFUNCTION("B1249 * GOOGLEFINANCE(A1249, ""volume"")"),8.850737435E7)</f>
        <v>88507374.35</v>
      </c>
      <c r="Y1249" s="9">
        <f>IFERROR(__xludf.DUMMYFUNCTION("IFERROR(((B1249 - GOOGLEFINANCE(A1249, ""priceopen"")) / GOOGLEFINANCE(A1249, ""priceopen"")) * GOOGLEFINANCE(A1249, ""volume""), 0)"),-13415.239577039312)</f>
        <v>-13415.23958</v>
      </c>
    </row>
    <row r="1250">
      <c r="A1250" s="4" t="s">
        <v>3043</v>
      </c>
      <c r="B1250" s="7">
        <f>IFERROR(__xludf.DUMMYFUNCTION("GOOGLEFINANCE(A1250, ""price"")"),53.5)</f>
        <v>53.5</v>
      </c>
      <c r="C1250" s="7">
        <f>IFERROR(__xludf.DUMMYFUNCTION("GOOGLEFINANCE(A1250, ""changepct"")"),1.23)</f>
        <v>1.23</v>
      </c>
      <c r="D1250" s="9">
        <f>IFERROR(__xludf.DUMMYFUNCTION("GOOGLEFINANCE(A1250, ""priceopen"")"),53.7)</f>
        <v>53.7</v>
      </c>
      <c r="E1250" s="9">
        <f>IFERROR(__xludf.DUMMYFUNCTION("GOOGLEFINANCE(A1250, ""high"")"),55.49)</f>
        <v>55.49</v>
      </c>
      <c r="F1250" s="9">
        <f>IFERROR(__xludf.DUMMYFUNCTION("GOOGLEFINANCE(A1250, ""low"")"),52.53)</f>
        <v>52.53</v>
      </c>
      <c r="G1250" s="9">
        <f>IFERROR(__xludf.DUMMYFUNCTION("GOOGLEFINANCE(A1250, ""price"")"),53.5)</f>
        <v>53.5</v>
      </c>
      <c r="H1250" s="9">
        <f>IFERROR(__xludf.DUMMYFUNCTION("MAX(INDEX(GOOGLEFINANCE(A1250, ""high"", TODAY()-30, TODAY()), 0, 2))"),68.43)</f>
        <v>68.43</v>
      </c>
      <c r="I1250" s="9">
        <f>IFERROR(__xludf.DUMMYFUNCTION("MIN(INDEX(GOOGLEFINANCE(A1250, ""low"", TODAY()-30, TODAY()), 0, 2))"),42.5)</f>
        <v>42.5</v>
      </c>
      <c r="J1250" s="9">
        <f>IFERROR(__xludf.DUMMYFUNCTION("GOOGLEFINANCE(A1250, ""high52"")"),79.06)</f>
        <v>79.06</v>
      </c>
      <c r="K1250" s="9">
        <f>IFERROR(__xludf.DUMMYFUNCTION("GOOGLEFINANCE(A1250, ""low52"")"),42.5)</f>
        <v>42.5</v>
      </c>
      <c r="L1250" s="9">
        <f t="shared" si="1"/>
        <v>0.3232987604</v>
      </c>
      <c r="M1250" s="9">
        <f t="shared" si="2"/>
        <v>0.2588235294</v>
      </c>
      <c r="N1250" s="9">
        <f t="shared" si="3"/>
        <v>0.05634875309</v>
      </c>
      <c r="O1250" s="9">
        <f t="shared" si="4"/>
        <v>0.4242190513</v>
      </c>
      <c r="P1250" s="9">
        <f>IFERROR(__xludf.DUMMYFUNCTION("GOOGLEFINANCE(A1250, ""pe"")"),76.43)</f>
        <v>76.43</v>
      </c>
      <c r="Q1250" s="9">
        <f>IFERROR(__xludf.DUMMYFUNCTION("IFERROR(GOOGLEFINANCE(A1250, ""volume"") / GOOGLEFINANCE(A1250, ""volumeavg""), 0)"),0.0)</f>
        <v>0</v>
      </c>
      <c r="R1250" s="9">
        <f>IFERROR(__xludf.DUMMYFUNCTION("AVERAGE(INDEX(GOOGLEFINANCE(A1250, ""price"", TODAY()-30, TODAY()), 0, 2))"),52.0791304347826)</f>
        <v>52.07913043</v>
      </c>
      <c r="S1250" s="9">
        <f>IFERROR(__xludf.DUMMYFUNCTION("AVERAGE(INDEX(GOOGLEFINANCE(A1250, ""price"", TODAY()-75, TODAY()), 0, 2))"),54.391132075471674)</f>
        <v>54.39113208</v>
      </c>
      <c r="T1250" s="9">
        <f>IFERROR(__xludf.DUMMYFUNCTION("AVERAGE(INDEX(GOOGLEFINANCE(A1250, ""price"", TODAY()-300, TODAY()), 0, 2))"),63.88693069306928)</f>
        <v>63.88693069</v>
      </c>
      <c r="U1250" s="9">
        <f t="shared" si="5"/>
        <v>0.02728289726</v>
      </c>
      <c r="V1250" s="15">
        <f>IFERROR(__xludf.DUMMYFUNCTION("LET(hist, GOOGLEFINANCE(A1250,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rs))))))"),52.71691498685363)</f>
        <v>52.71691499</v>
      </c>
      <c r="W1250" s="16" t="str">
        <f>IFERROR(__xludf.DUMMYFUNCTION("IFERROR(GOOGLEFINANCE(A1250, ""volume"") / GOOGLEFINANCE(A1250, ""volumeavg""), )"),"")</f>
        <v/>
      </c>
      <c r="X1250" s="9">
        <f>IFERROR(__xludf.DUMMYFUNCTION("B1250 * GOOGLEFINANCE(A1250, ""volume"")"),4.567161785E8)</f>
        <v>456716178.5</v>
      </c>
      <c r="Y1250" s="9">
        <f>IFERROR(__xludf.DUMMYFUNCTION("IFERROR(((B1250 - GOOGLEFINANCE(A1250, ""priceopen"")) / GOOGLEFINANCE(A1250, ""priceopen"")) * GOOGLEFINANCE(A1250, ""volume""), 0)"),-31794.230912477175)</f>
        <v>-31794.23091</v>
      </c>
    </row>
    <row r="1251">
      <c r="A1251" s="4" t="s">
        <v>3044</v>
      </c>
      <c r="B1251" s="7">
        <f>IFERROR(__xludf.DUMMYFUNCTION("GOOGLEFINANCE(A1251, ""price"")"),162.41)</f>
        <v>162.41</v>
      </c>
      <c r="C1251" s="7">
        <f>IFERROR(__xludf.DUMMYFUNCTION("GOOGLEFINANCE(A1251, ""changepct"")"),-2.56)</f>
        <v>-2.56</v>
      </c>
      <c r="D1251" s="9">
        <f>IFERROR(__xludf.DUMMYFUNCTION("GOOGLEFINANCE(A1251, ""priceopen"")"),168.99)</f>
        <v>168.99</v>
      </c>
      <c r="E1251" s="9">
        <f>IFERROR(__xludf.DUMMYFUNCTION("GOOGLEFINANCE(A1251, ""high"")"),169.5)</f>
        <v>169.5</v>
      </c>
      <c r="F1251" s="9">
        <f>IFERROR(__xludf.DUMMYFUNCTION("GOOGLEFINANCE(A1251, ""low"")"),162.05)</f>
        <v>162.05</v>
      </c>
      <c r="G1251" s="9">
        <f>IFERROR(__xludf.DUMMYFUNCTION("GOOGLEFINANCE(A1251, ""price"")"),162.41)</f>
        <v>162.41</v>
      </c>
      <c r="H1251" s="9">
        <f>IFERROR(__xludf.DUMMYFUNCTION("MAX(INDEX(GOOGLEFINANCE(A1251, ""high"", TODAY()-30, TODAY()), 0, 2))"),176.3)</f>
        <v>176.3</v>
      </c>
      <c r="I1251" s="9">
        <f>IFERROR(__xludf.DUMMYFUNCTION("MIN(INDEX(GOOGLEFINANCE(A1251, ""low"", TODAY()-30, TODAY()), 0, 2))"),154.05)</f>
        <v>154.05</v>
      </c>
      <c r="J1251" s="9">
        <f>IFERROR(__xludf.DUMMYFUNCTION("GOOGLEFINANCE(A1251, ""high52"")"),257.5)</f>
        <v>257.5</v>
      </c>
      <c r="K1251" s="9">
        <f>IFERROR(__xludf.DUMMYFUNCTION("GOOGLEFINANCE(A1251, ""low52"")"),116.5)</f>
        <v>116.5</v>
      </c>
      <c r="L1251" s="9">
        <f t="shared" si="1"/>
        <v>0.3692815534</v>
      </c>
      <c r="M1251" s="9">
        <f t="shared" si="2"/>
        <v>0.3940772532</v>
      </c>
      <c r="N1251" s="9">
        <f t="shared" si="3"/>
        <v>0.04597346498</v>
      </c>
      <c r="O1251" s="9">
        <f t="shared" si="4"/>
        <v>0.3757303371</v>
      </c>
      <c r="P1251" s="9">
        <f>IFERROR(__xludf.DUMMYFUNCTION("GOOGLEFINANCE(A1251, ""pe"")"),18.57)</f>
        <v>18.57</v>
      </c>
      <c r="Q1251" s="9">
        <f>IFERROR(__xludf.DUMMYFUNCTION("IFERROR(GOOGLEFINANCE(A1251, ""volume"") / GOOGLEFINANCE(A1251, ""volumeavg""), 0)"),0.0)</f>
        <v>0</v>
      </c>
      <c r="R1251" s="9">
        <f>IFERROR(__xludf.DUMMYFUNCTION("AVERAGE(INDEX(GOOGLEFINANCE(A1251, ""price"", TODAY()-30, TODAY()), 0, 2))"),165.89826086956523)</f>
        <v>165.8982609</v>
      </c>
      <c r="S1251" s="9">
        <f>IFERROR(__xludf.DUMMYFUNCTION("AVERAGE(INDEX(GOOGLEFINANCE(A1251, ""price"", TODAY()-75, TODAY()), 0, 2))"),164.78867924528305)</f>
        <v>164.7886792</v>
      </c>
      <c r="T1251" s="9">
        <f>IFERROR(__xludf.DUMMYFUNCTION("AVERAGE(INDEX(GOOGLEFINANCE(A1251, ""price"", TODAY()-300, TODAY()), 0, 2))"),171.16189054726357)</f>
        <v>171.1618905</v>
      </c>
      <c r="U1251" s="9">
        <f t="shared" si="5"/>
        <v>-0.02102650655</v>
      </c>
      <c r="V1251" s="15">
        <f>IFERROR(__xludf.DUMMYFUNCTION("LET(hist, GOOGLEFINANCE(A1251,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rs))))))"),57.77777777777776)</f>
        <v>57.77777778</v>
      </c>
      <c r="W1251" s="16" t="str">
        <f>IFERROR(__xludf.DUMMYFUNCTION("IFERROR(GOOGLEFINANCE(A1251, ""volume"") / GOOGLEFINANCE(A1251, ""volumeavg""), )"),"")</f>
        <v/>
      </c>
      <c r="X1251" s="9">
        <f>IFERROR(__xludf.DUMMYFUNCTION("B1251 * GOOGLEFINANCE(A1251, ""volume"")"),3.099042656E7)</f>
        <v>30990426.56</v>
      </c>
      <c r="Y1251" s="9">
        <f>IFERROR(__xludf.DUMMYFUNCTION("IFERROR(((B1251 - GOOGLEFINANCE(A1251, ""priceopen"")) / GOOGLEFINANCE(A1251, ""priceopen"")) * GOOGLEFINANCE(A1251, ""volume""), 0)"),-7429.843659388143)</f>
        <v>-7429.843659</v>
      </c>
    </row>
    <row r="1252">
      <c r="A1252" s="4" t="s">
        <v>3045</v>
      </c>
      <c r="B1252" s="7">
        <f>IFERROR(__xludf.DUMMYFUNCTION("GOOGLEFINANCE(A1252, ""price"")"),207.5)</f>
        <v>207.5</v>
      </c>
      <c r="C1252" s="7">
        <f>IFERROR(__xludf.DUMMYFUNCTION("GOOGLEFINANCE(A1252, ""changepct"")"),-2.21)</f>
        <v>-2.21</v>
      </c>
      <c r="D1252" s="9">
        <f>IFERROR(__xludf.DUMMYFUNCTION("GOOGLEFINANCE(A1252, ""priceopen"")"),212.9)</f>
        <v>212.9</v>
      </c>
      <c r="E1252" s="9">
        <f>IFERROR(__xludf.DUMMYFUNCTION("GOOGLEFINANCE(A1252, ""high"")"),213.14)</f>
        <v>213.14</v>
      </c>
      <c r="F1252" s="9">
        <f>IFERROR(__xludf.DUMMYFUNCTION("GOOGLEFINANCE(A1252, ""low"")"),206.1)</f>
        <v>206.1</v>
      </c>
      <c r="G1252" s="9">
        <f>IFERROR(__xludf.DUMMYFUNCTION("GOOGLEFINANCE(A1252, ""price"")"),207.5)</f>
        <v>207.5</v>
      </c>
      <c r="H1252" s="9">
        <f>IFERROR(__xludf.DUMMYFUNCTION("MAX(INDEX(GOOGLEFINANCE(A1252, ""high"", TODAY()-30, TODAY()), 0, 2))"),238.8)</f>
        <v>238.8</v>
      </c>
      <c r="I1252" s="9">
        <f>IFERROR(__xludf.DUMMYFUNCTION("MIN(INDEX(GOOGLEFINANCE(A1252, ""low"", TODAY()-30, TODAY()), 0, 2))"),196.8)</f>
        <v>196.8</v>
      </c>
      <c r="J1252" s="9">
        <f>IFERROR(__xludf.DUMMYFUNCTION("GOOGLEFINANCE(A1252, ""high52"")"),334.0)</f>
        <v>334</v>
      </c>
      <c r="K1252" s="9">
        <f>IFERROR(__xludf.DUMMYFUNCTION("GOOGLEFINANCE(A1252, ""low52"")"),151.46)</f>
        <v>151.46</v>
      </c>
      <c r="L1252" s="9">
        <f t="shared" si="1"/>
        <v>0.378742515</v>
      </c>
      <c r="M1252" s="9">
        <f t="shared" si="2"/>
        <v>0.3699986795</v>
      </c>
      <c r="N1252" s="9">
        <f t="shared" si="3"/>
        <v>0.03415817564</v>
      </c>
      <c r="O1252" s="9">
        <f t="shared" si="4"/>
        <v>0.2547619048</v>
      </c>
      <c r="P1252" s="9" t="str">
        <f>IFERROR(__xludf.DUMMYFUNCTION("GOOGLEFINANCE(A1252, ""pe"")"),"#N/A")</f>
        <v>#N/A</v>
      </c>
      <c r="Q1252" s="9">
        <f>IFERROR(__xludf.DUMMYFUNCTION("IFERROR(GOOGLEFINANCE(A1252, ""volume"") / GOOGLEFINANCE(A1252, ""volumeavg""), 0)"),0.0)</f>
        <v>0</v>
      </c>
      <c r="R1252" s="9">
        <f>IFERROR(__xludf.DUMMYFUNCTION("AVERAGE(INDEX(GOOGLEFINANCE(A1252, ""price"", TODAY()-30, TODAY()), 0, 2))"),209.42739130434782)</f>
        <v>209.4273913</v>
      </c>
      <c r="S1252" s="9">
        <f>IFERROR(__xludf.DUMMYFUNCTION("AVERAGE(INDEX(GOOGLEFINANCE(A1252, ""price"", TODAY()-75, TODAY()), 0, 2))"),203.12415094339627)</f>
        <v>203.1241509</v>
      </c>
      <c r="T1252" s="9">
        <f>IFERROR(__xludf.DUMMYFUNCTION("AVERAGE(INDEX(GOOGLEFINANCE(A1252, ""price"", TODAY()-300, TODAY()), 0, 2))"),213.8397029702969)</f>
        <v>213.839703</v>
      </c>
      <c r="U1252" s="9">
        <f t="shared" si="5"/>
        <v>-0.009203148129</v>
      </c>
      <c r="V1252" s="15">
        <f>IFERROR(__xludf.DUMMYFUNCTION("LET(hist, GOOGLEFINANCE(A1252,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rs))))))"),51.07428731919674)</f>
        <v>51.07428732</v>
      </c>
      <c r="W1252" s="16" t="str">
        <f>IFERROR(__xludf.DUMMYFUNCTION("IFERROR(GOOGLEFINANCE(A1252, ""volume"") / GOOGLEFINANCE(A1252, ""volumeavg""), )"),"")</f>
        <v/>
      </c>
      <c r="X1252" s="9">
        <f>IFERROR(__xludf.DUMMYFUNCTION("B1252 * GOOGLEFINANCE(A1252, ""volume"")"),1.383300825E8)</f>
        <v>138330082.5</v>
      </c>
      <c r="Y1252" s="9">
        <f>IFERROR(__xludf.DUMMYFUNCTION("IFERROR(((B1252 - GOOGLEFINANCE(A1252, ""priceopen"")) / GOOGLEFINANCE(A1252, ""priceopen"")) * GOOGLEFINANCE(A1252, ""volume""), 0)"),-16908.94974166277)</f>
        <v>-16908.94974</v>
      </c>
    </row>
    <row r="1253">
      <c r="A1253" s="4" t="s">
        <v>3046</v>
      </c>
      <c r="B1253" s="7">
        <f>IFERROR(__xludf.DUMMYFUNCTION("GOOGLEFINANCE(A1253, ""price"")"),190.0)</f>
        <v>190</v>
      </c>
      <c r="C1253" s="7">
        <f>IFERROR(__xludf.DUMMYFUNCTION("GOOGLEFINANCE(A1253, ""changepct"")"),1.91)</f>
        <v>1.91</v>
      </c>
      <c r="D1253" s="9">
        <f>IFERROR(__xludf.DUMMYFUNCTION("GOOGLEFINANCE(A1253, ""priceopen"")"),186.43)</f>
        <v>186.43</v>
      </c>
      <c r="E1253" s="9">
        <f>IFERROR(__xludf.DUMMYFUNCTION("GOOGLEFINANCE(A1253, ""high"")"),194.3)</f>
        <v>194.3</v>
      </c>
      <c r="F1253" s="9">
        <f>IFERROR(__xludf.DUMMYFUNCTION("GOOGLEFINANCE(A1253, ""low"")"),183.0)</f>
        <v>183</v>
      </c>
      <c r="G1253" s="9">
        <f>IFERROR(__xludf.DUMMYFUNCTION("GOOGLEFINANCE(A1253, ""price"")"),190.0)</f>
        <v>190</v>
      </c>
      <c r="H1253" s="9">
        <f>IFERROR(__xludf.DUMMYFUNCTION("MAX(INDEX(GOOGLEFINANCE(A1253, ""high"", TODAY()-30, TODAY()), 0, 2))"),213.48)</f>
        <v>213.48</v>
      </c>
      <c r="I1253" s="9">
        <f>IFERROR(__xludf.DUMMYFUNCTION("MIN(INDEX(GOOGLEFINANCE(A1253, ""low"", TODAY()-30, TODAY()), 0, 2))"),183.0)</f>
        <v>183</v>
      </c>
      <c r="J1253" s="9">
        <f>IFERROR(__xludf.DUMMYFUNCTION("GOOGLEFINANCE(A1253, ""high52"")"),309.9)</f>
        <v>309.9</v>
      </c>
      <c r="K1253" s="9">
        <f>IFERROR(__xludf.DUMMYFUNCTION("GOOGLEFINANCE(A1253, ""low52"")"),151.01)</f>
        <v>151.01</v>
      </c>
      <c r="L1253" s="9">
        <f t="shared" si="1"/>
        <v>0.3868989997</v>
      </c>
      <c r="M1253" s="9">
        <f t="shared" si="2"/>
        <v>0.2581948215</v>
      </c>
      <c r="N1253" s="9">
        <f t="shared" si="3"/>
        <v>0.06174863388</v>
      </c>
      <c r="O1253" s="9">
        <f t="shared" si="4"/>
        <v>0.2296587927</v>
      </c>
      <c r="P1253" s="9">
        <f>IFERROR(__xludf.DUMMYFUNCTION("GOOGLEFINANCE(A1253, ""pe"")"),18.74)</f>
        <v>18.74</v>
      </c>
      <c r="Q1253" s="9">
        <f>IFERROR(__xludf.DUMMYFUNCTION("IFERROR(GOOGLEFINANCE(A1253, ""volume"") / GOOGLEFINANCE(A1253, ""volumeavg""), 0)"),0.0)</f>
        <v>0</v>
      </c>
      <c r="R1253" s="9">
        <f>IFERROR(__xludf.DUMMYFUNCTION("AVERAGE(INDEX(GOOGLEFINANCE(A1253, ""price"", TODAY()-30, TODAY()), 0, 2))"),196.69260869565224)</f>
        <v>196.6926087</v>
      </c>
      <c r="S1253" s="9">
        <f>IFERROR(__xludf.DUMMYFUNCTION("AVERAGE(INDEX(GOOGLEFINANCE(A1253, ""price"", TODAY()-75, TODAY()), 0, 2))"),196.17660377358496)</f>
        <v>196.1766038</v>
      </c>
      <c r="T1253" s="9">
        <f>IFERROR(__xludf.DUMMYFUNCTION("AVERAGE(INDEX(GOOGLEFINANCE(A1253, ""price"", TODAY()-300, TODAY()), 0, 2))"),192.5389603960396)</f>
        <v>192.5389604</v>
      </c>
      <c r="U1253" s="9">
        <f t="shared" si="5"/>
        <v>-0.03402572542</v>
      </c>
      <c r="V1253" s="15">
        <f>IFERROR(__xludf.DUMMYFUNCTION("LET(hist, GOOGLEFINANCE(A1253,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rs))))))"),39.86802309595818)</f>
        <v>39.8680231</v>
      </c>
      <c r="W1253" s="16" t="str">
        <f>IFERROR(__xludf.DUMMYFUNCTION("IFERROR(GOOGLEFINANCE(A1253, ""volume"") / GOOGLEFINANCE(A1253, ""volumeavg""), )"),"")</f>
        <v/>
      </c>
      <c r="X1253" s="9">
        <f>IFERROR(__xludf.DUMMYFUNCTION("B1253 * GOOGLEFINANCE(A1253, ""volume"")"),7.178371E7)</f>
        <v>71783710</v>
      </c>
      <c r="Y1253" s="9">
        <f>IFERROR(__xludf.DUMMYFUNCTION("IFERROR(((B1253 - GOOGLEFINANCE(A1253, ""priceopen"")) / GOOGLEFINANCE(A1253, ""priceopen"")) * GOOGLEFINANCE(A1253, ""volume""), 0)"),7234.769779541905)</f>
        <v>7234.76978</v>
      </c>
    </row>
    <row r="1254">
      <c r="A1254" s="4" t="s">
        <v>3047</v>
      </c>
      <c r="B1254" s="7">
        <f>IFERROR(__xludf.DUMMYFUNCTION("GOOGLEFINANCE(A1254, ""price"")"),183.37)</f>
        <v>183.37</v>
      </c>
      <c r="C1254" s="7">
        <f>IFERROR(__xludf.DUMMYFUNCTION("GOOGLEFINANCE(A1254, ""changepct"")"),-3.83)</f>
        <v>-3.83</v>
      </c>
      <c r="D1254" s="9">
        <f>IFERROR(__xludf.DUMMYFUNCTION("GOOGLEFINANCE(A1254, ""priceopen"")"),191.05)</f>
        <v>191.05</v>
      </c>
      <c r="E1254" s="9">
        <f>IFERROR(__xludf.DUMMYFUNCTION("GOOGLEFINANCE(A1254, ""high"")"),193.48)</f>
        <v>193.48</v>
      </c>
      <c r="F1254" s="9">
        <f>IFERROR(__xludf.DUMMYFUNCTION("GOOGLEFINANCE(A1254, ""low"")"),182.2)</f>
        <v>182.2</v>
      </c>
      <c r="G1254" s="9">
        <f>IFERROR(__xludf.DUMMYFUNCTION("GOOGLEFINANCE(A1254, ""price"")"),183.37)</f>
        <v>183.37</v>
      </c>
      <c r="H1254" s="9">
        <f>IFERROR(__xludf.DUMMYFUNCTION("MAX(INDEX(GOOGLEFINANCE(A1254, ""high"", TODAY()-30, TODAY()), 0, 2))"),200.5)</f>
        <v>200.5</v>
      </c>
      <c r="I1254" s="9">
        <f>IFERROR(__xludf.DUMMYFUNCTION("MIN(INDEX(GOOGLEFINANCE(A1254, ""low"", TODAY()-30, TODAY()), 0, 2))"),167.1)</f>
        <v>167.1</v>
      </c>
      <c r="J1254" s="9">
        <f>IFERROR(__xludf.DUMMYFUNCTION("GOOGLEFINANCE(A1254, ""high52"")"),249.3)</f>
        <v>249.3</v>
      </c>
      <c r="K1254" s="9">
        <f>IFERROR(__xludf.DUMMYFUNCTION("GOOGLEFINANCE(A1254, ""low52"")"),130.0)</f>
        <v>130</v>
      </c>
      <c r="L1254" s="9">
        <f t="shared" si="1"/>
        <v>0.2644604894</v>
      </c>
      <c r="M1254" s="9">
        <f t="shared" si="2"/>
        <v>0.4105384615</v>
      </c>
      <c r="N1254" s="9">
        <f t="shared" si="3"/>
        <v>0.06190998902</v>
      </c>
      <c r="O1254" s="9">
        <f t="shared" si="4"/>
        <v>0.4871257485</v>
      </c>
      <c r="P1254" s="9">
        <f>IFERROR(__xludf.DUMMYFUNCTION("GOOGLEFINANCE(A1254, ""pe"")"),13.92)</f>
        <v>13.92</v>
      </c>
      <c r="Q1254" s="9">
        <f>IFERROR(__xludf.DUMMYFUNCTION("IFERROR(GOOGLEFINANCE(A1254, ""volume"") / GOOGLEFINANCE(A1254, ""volumeavg""), 0)"),0.0)</f>
        <v>0</v>
      </c>
      <c r="R1254" s="9">
        <f>IFERROR(__xludf.DUMMYFUNCTION("AVERAGE(INDEX(GOOGLEFINANCE(A1254, ""price"", TODAY()-30, TODAY()), 0, 2))"),177.4991304347826)</f>
        <v>177.4991304</v>
      </c>
      <c r="S1254" s="9">
        <f>IFERROR(__xludf.DUMMYFUNCTION("AVERAGE(INDEX(GOOGLEFINANCE(A1254, ""price"", TODAY()-75, TODAY()), 0, 2))"),175.11264150943396)</f>
        <v>175.1126415</v>
      </c>
      <c r="T1254" s="9">
        <f>IFERROR(__xludf.DUMMYFUNCTION("AVERAGE(INDEX(GOOGLEFINANCE(A1254, ""price"", TODAY()-300, TODAY()), 0, 2))"),183.5093564356436)</f>
        <v>183.5093564</v>
      </c>
      <c r="U1254" s="9">
        <f t="shared" si="5"/>
        <v>0.03307548353</v>
      </c>
      <c r="V1254" s="15">
        <f>IFERROR(__xludf.DUMMYFUNCTION("LET(hist, GOOGLEFINANCE(A1254,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rs))))))"),60.690887432995844)</f>
        <v>60.69088743</v>
      </c>
      <c r="W1254" s="16" t="str">
        <f>IFERROR(__xludf.DUMMYFUNCTION("IFERROR(GOOGLEFINANCE(A1254, ""volume"") / GOOGLEFINANCE(A1254, ""volumeavg""), )"),"")</f>
        <v/>
      </c>
      <c r="X1254" s="9">
        <f>IFERROR(__xludf.DUMMYFUNCTION("B1254 * GOOGLEFINANCE(A1254, ""volume"")"),1.9553733298000002E8)</f>
        <v>195537333</v>
      </c>
      <c r="Y1254" s="9">
        <f>IFERROR(__xludf.DUMMYFUNCTION("IFERROR(((B1254 - GOOGLEFINANCE(A1254, ""priceopen"")) / GOOGLEFINANCE(A1254, ""priceopen"")) * GOOGLEFINANCE(A1254, ""volume""), 0)"),-42866.25867573937)</f>
        <v>-42866.25868</v>
      </c>
    </row>
    <row r="1255">
      <c r="A1255" s="4" t="s">
        <v>3048</v>
      </c>
      <c r="B1255" s="7">
        <f>IFERROR(__xludf.DUMMYFUNCTION("GOOGLEFINANCE(A1255, ""price"")"),423.0)</f>
        <v>423</v>
      </c>
      <c r="C1255" s="7">
        <f>IFERROR(__xludf.DUMMYFUNCTION("GOOGLEFINANCE(A1255, ""changepct"")"),-2.19)</f>
        <v>-2.19</v>
      </c>
      <c r="D1255" s="9">
        <f>IFERROR(__xludf.DUMMYFUNCTION("GOOGLEFINANCE(A1255, ""priceopen"")"),435.0)</f>
        <v>435</v>
      </c>
      <c r="E1255" s="9">
        <f>IFERROR(__xludf.DUMMYFUNCTION("GOOGLEFINANCE(A1255, ""high"")"),435.0)</f>
        <v>435</v>
      </c>
      <c r="F1255" s="9">
        <f>IFERROR(__xludf.DUMMYFUNCTION("GOOGLEFINANCE(A1255, ""low"")"),422.85)</f>
        <v>422.85</v>
      </c>
      <c r="G1255" s="9">
        <f>IFERROR(__xludf.DUMMYFUNCTION("GOOGLEFINANCE(A1255, ""price"")"),423.0)</f>
        <v>423</v>
      </c>
      <c r="H1255" s="9">
        <f>IFERROR(__xludf.DUMMYFUNCTION("MAX(INDEX(GOOGLEFINANCE(A1255, ""high"", TODAY()-30, TODAY()), 0, 2))"),499.7)</f>
        <v>499.7</v>
      </c>
      <c r="I1255" s="9">
        <f>IFERROR(__xludf.DUMMYFUNCTION("MIN(INDEX(GOOGLEFINANCE(A1255, ""low"", TODAY()-30, TODAY()), 0, 2))"),422.85)</f>
        <v>422.85</v>
      </c>
      <c r="J1255" s="9">
        <f>IFERROR(__xludf.DUMMYFUNCTION("GOOGLEFINANCE(A1255, ""high52"")"),549.2)</f>
        <v>549.2</v>
      </c>
      <c r="K1255" s="9">
        <f>IFERROR(__xludf.DUMMYFUNCTION("GOOGLEFINANCE(A1255, ""low52"")"),367.65)</f>
        <v>367.65</v>
      </c>
      <c r="L1255" s="9">
        <f t="shared" si="1"/>
        <v>0.2297887837</v>
      </c>
      <c r="M1255" s="9">
        <f t="shared" si="2"/>
        <v>0.1505507956</v>
      </c>
      <c r="N1255" s="9">
        <f t="shared" si="3"/>
        <v>0.02873359347</v>
      </c>
      <c r="O1255" s="9">
        <f t="shared" si="4"/>
        <v>0.001951854262</v>
      </c>
      <c r="P1255" s="9">
        <f>IFERROR(__xludf.DUMMYFUNCTION("GOOGLEFINANCE(A1255, ""pe"")"),14.0)</f>
        <v>14</v>
      </c>
      <c r="Q1255" s="9">
        <f>IFERROR(__xludf.DUMMYFUNCTION("IFERROR(GOOGLEFINANCE(A1255, ""volume"") / GOOGLEFINANCE(A1255, ""volumeavg""), 0)"),0.0)</f>
        <v>0</v>
      </c>
      <c r="R1255" s="9">
        <f>IFERROR(__xludf.DUMMYFUNCTION("AVERAGE(INDEX(GOOGLEFINANCE(A1255, ""price"", TODAY()-30, TODAY()), 0, 2))"),449.97173913043486)</f>
        <v>449.9717391</v>
      </c>
      <c r="S1255" s="9">
        <f>IFERROR(__xludf.DUMMYFUNCTION("AVERAGE(INDEX(GOOGLEFINANCE(A1255, ""price"", TODAY()-75, TODAY()), 0, 2))"),482.24811320754714)</f>
        <v>482.2481132</v>
      </c>
      <c r="T1255" s="9">
        <f>IFERROR(__xludf.DUMMYFUNCTION("AVERAGE(INDEX(GOOGLEFINANCE(A1255, ""price"", TODAY()-300, TODAY()), 0, 2))"),441.92326732673274)</f>
        <v>441.9232673</v>
      </c>
      <c r="U1255" s="9">
        <f t="shared" si="5"/>
        <v>-0.05994096248</v>
      </c>
      <c r="V1255" s="15">
        <f>IFERROR(__xludf.DUMMYFUNCTION("LET(hist, GOOGLEFINANCE(A1255,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rs))))))"),38.741470811220594)</f>
        <v>38.74147081</v>
      </c>
      <c r="W1255" s="16" t="str">
        <f>IFERROR(__xludf.DUMMYFUNCTION("IFERROR(GOOGLEFINANCE(A1255, ""volume"") / GOOGLEFINANCE(A1255, ""volumeavg""), )"),"")</f>
        <v/>
      </c>
      <c r="X1255" s="9">
        <f>IFERROR(__xludf.DUMMYFUNCTION("B1255 * GOOGLEFINANCE(A1255, ""volume"")"),3.8370753E7)</f>
        <v>38370753</v>
      </c>
      <c r="Y1255" s="9">
        <f>IFERROR(__xludf.DUMMYFUNCTION("IFERROR(((B1255 - GOOGLEFINANCE(A1255, ""priceopen"")) / GOOGLEFINANCE(A1255, ""priceopen"")) * GOOGLEFINANCE(A1255, ""volume""), 0)"),-2502.3724137931035)</f>
        <v>-2502.372414</v>
      </c>
    </row>
    <row r="1256">
      <c r="A1256" s="4" t="s">
        <v>3049</v>
      </c>
      <c r="B1256" s="7">
        <f>IFERROR(__xludf.DUMMYFUNCTION("GOOGLEFINANCE(A1256, ""price"")"),137.0)</f>
        <v>137</v>
      </c>
      <c r="C1256" s="7">
        <f>IFERROR(__xludf.DUMMYFUNCTION("GOOGLEFINANCE(A1256, ""changepct"")"),1.86)</f>
        <v>1.86</v>
      </c>
      <c r="D1256" s="9">
        <f>IFERROR(__xludf.DUMMYFUNCTION("GOOGLEFINANCE(A1256, ""priceopen"")"),134.5)</f>
        <v>134.5</v>
      </c>
      <c r="E1256" s="9">
        <f>IFERROR(__xludf.DUMMYFUNCTION("GOOGLEFINANCE(A1256, ""high"")"),139.6)</f>
        <v>139.6</v>
      </c>
      <c r="F1256" s="9">
        <f>IFERROR(__xludf.DUMMYFUNCTION("GOOGLEFINANCE(A1256, ""low"")"),131.5)</f>
        <v>131.5</v>
      </c>
      <c r="G1256" s="9">
        <f>IFERROR(__xludf.DUMMYFUNCTION("GOOGLEFINANCE(A1256, ""price"")"),137.0)</f>
        <v>137</v>
      </c>
      <c r="H1256" s="9">
        <f>IFERROR(__xludf.DUMMYFUNCTION("MAX(INDEX(GOOGLEFINANCE(A1256, ""high"", TODAY()-30, TODAY()), 0, 2))"),139.6)</f>
        <v>139.6</v>
      </c>
      <c r="I1256" s="9">
        <f>IFERROR(__xludf.DUMMYFUNCTION("MIN(INDEX(GOOGLEFINANCE(A1256, ""low"", TODAY()-30, TODAY()), 0, 2))"),98.54)</f>
        <v>98.54</v>
      </c>
      <c r="J1256" s="9">
        <f>IFERROR(__xludf.DUMMYFUNCTION("GOOGLEFINANCE(A1256, ""high52"")"),183.53)</f>
        <v>183.53</v>
      </c>
      <c r="K1256" s="9">
        <f>IFERROR(__xludf.DUMMYFUNCTION("GOOGLEFINANCE(A1256, ""low52"")"),75.01)</f>
        <v>75.01</v>
      </c>
      <c r="L1256" s="9">
        <f t="shared" si="1"/>
        <v>0.2535280336</v>
      </c>
      <c r="M1256" s="9">
        <f t="shared" si="2"/>
        <v>0.8264231436</v>
      </c>
      <c r="N1256" s="9">
        <f t="shared" si="3"/>
        <v>0.06159695817</v>
      </c>
      <c r="O1256" s="9">
        <f t="shared" si="4"/>
        <v>0.9366780321</v>
      </c>
      <c r="P1256" s="9">
        <f>IFERROR(__xludf.DUMMYFUNCTION("GOOGLEFINANCE(A1256, ""pe"")"),201.47)</f>
        <v>201.47</v>
      </c>
      <c r="Q1256" s="9">
        <f>IFERROR(__xludf.DUMMYFUNCTION("IFERROR(GOOGLEFINANCE(A1256, ""volume"") / GOOGLEFINANCE(A1256, ""volumeavg""), 0)"),0.0)</f>
        <v>0</v>
      </c>
      <c r="R1256" s="9">
        <f>IFERROR(__xludf.DUMMYFUNCTION("AVERAGE(INDEX(GOOGLEFINANCE(A1256, ""price"", TODAY()-30, TODAY()), 0, 2))"),113.4513043478261)</f>
        <v>113.4513043</v>
      </c>
      <c r="S1256" s="9">
        <f>IFERROR(__xludf.DUMMYFUNCTION("AVERAGE(INDEX(GOOGLEFINANCE(A1256, ""price"", TODAY()-75, TODAY()), 0, 2))"),103.96207547169809)</f>
        <v>103.9620755</v>
      </c>
      <c r="T1256" s="9">
        <f>IFERROR(__xludf.DUMMYFUNCTION("AVERAGE(INDEX(GOOGLEFINANCE(A1256, ""price"", TODAY()-300, TODAY()), 0, 2))"),127.62618811881187)</f>
        <v>127.6261881</v>
      </c>
      <c r="U1256" s="9">
        <f t="shared" si="5"/>
        <v>0.2075665484</v>
      </c>
      <c r="V1256" s="15">
        <f>IFERROR(__xludf.DUMMYFUNCTION("LET(hist, GOOGLEFINANCE(A1256,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rs))))))"),87.4804731086811)</f>
        <v>87.48047311</v>
      </c>
      <c r="W1256" s="16" t="str">
        <f>IFERROR(__xludf.DUMMYFUNCTION("IFERROR(GOOGLEFINANCE(A1256, ""volume"") / GOOGLEFINANCE(A1256, ""volumeavg""), )"),"")</f>
        <v/>
      </c>
      <c r="X1256" s="9">
        <f>IFERROR(__xludf.DUMMYFUNCTION("B1256 * GOOGLEFINANCE(A1256, ""volume"")"),1.9681009E8)</f>
        <v>196810090</v>
      </c>
      <c r="Y1256" s="9">
        <f>IFERROR(__xludf.DUMMYFUNCTION("IFERROR(((B1256 - GOOGLEFINANCE(A1256, ""priceopen"")) / GOOGLEFINANCE(A1256, ""priceopen"")) * GOOGLEFINANCE(A1256, ""volume""), 0)"),26702.04460966543)</f>
        <v>26702.04461</v>
      </c>
    </row>
    <row r="1257">
      <c r="A1257" s="4" t="s">
        <v>3050</v>
      </c>
      <c r="B1257" s="7">
        <f>IFERROR(__xludf.DUMMYFUNCTION("GOOGLEFINANCE(A1257, ""price"")"),1525.0)</f>
        <v>1525</v>
      </c>
      <c r="C1257" s="7">
        <f>IFERROR(__xludf.DUMMYFUNCTION("GOOGLEFINANCE(A1257, ""changepct"")"),2.92)</f>
        <v>2.92</v>
      </c>
      <c r="D1257" s="9">
        <f>IFERROR(__xludf.DUMMYFUNCTION("GOOGLEFINANCE(A1257, ""priceopen"")"),1492.4)</f>
        <v>1492.4</v>
      </c>
      <c r="E1257" s="9">
        <f>IFERROR(__xludf.DUMMYFUNCTION("GOOGLEFINANCE(A1257, ""high"")"),1575.0)</f>
        <v>1575</v>
      </c>
      <c r="F1257" s="9">
        <f>IFERROR(__xludf.DUMMYFUNCTION("GOOGLEFINANCE(A1257, ""low"")"),1475.0)</f>
        <v>1475</v>
      </c>
      <c r="G1257" s="9">
        <f>IFERROR(__xludf.DUMMYFUNCTION("GOOGLEFINANCE(A1257, ""price"")"),1525.0)</f>
        <v>1525</v>
      </c>
      <c r="H1257" s="9">
        <f>IFERROR(__xludf.DUMMYFUNCTION("MAX(INDEX(GOOGLEFINANCE(A1257, ""high"", TODAY()-30, TODAY()), 0, 2))"),1575.0)</f>
        <v>1575</v>
      </c>
      <c r="I1257" s="9">
        <f>IFERROR(__xludf.DUMMYFUNCTION("MIN(INDEX(GOOGLEFINANCE(A1257, ""low"", TODAY()-30, TODAY()), 0, 2))"),1309.1)</f>
        <v>1309.1</v>
      </c>
      <c r="J1257" s="9">
        <f>IFERROR(__xludf.DUMMYFUNCTION("GOOGLEFINANCE(A1257, ""high52"")"),1869.0)</f>
        <v>1869</v>
      </c>
      <c r="K1257" s="9">
        <f>IFERROR(__xludf.DUMMYFUNCTION("GOOGLEFINANCE(A1257, ""low52"")"),1309.1)</f>
        <v>1309.1</v>
      </c>
      <c r="L1257" s="9">
        <f t="shared" si="1"/>
        <v>0.1840556447</v>
      </c>
      <c r="M1257" s="9">
        <f t="shared" si="2"/>
        <v>0.1649224658</v>
      </c>
      <c r="N1257" s="9">
        <f t="shared" si="3"/>
        <v>0.06779661017</v>
      </c>
      <c r="O1257" s="9">
        <f t="shared" si="4"/>
        <v>0.8119593832</v>
      </c>
      <c r="P1257" s="9">
        <f>IFERROR(__xludf.DUMMYFUNCTION("GOOGLEFINANCE(A1257, ""pe"")"),29.86)</f>
        <v>29.86</v>
      </c>
      <c r="Q1257" s="9">
        <f>IFERROR(__xludf.DUMMYFUNCTION("IFERROR(GOOGLEFINANCE(A1257, ""volume"") / GOOGLEFINANCE(A1257, ""volumeavg""), 0)"),0.0)</f>
        <v>0</v>
      </c>
      <c r="R1257" s="9">
        <f>IFERROR(__xludf.DUMMYFUNCTION("AVERAGE(INDEX(GOOGLEFINANCE(A1257, ""price"", TODAY()-30, TODAY()), 0, 2))"),1393.5652173913045)</f>
        <v>1393.565217</v>
      </c>
      <c r="S1257" s="9">
        <f>IFERROR(__xludf.DUMMYFUNCTION("AVERAGE(INDEX(GOOGLEFINANCE(A1257, ""price"", TODAY()-75, TODAY()), 0, 2))"),1433.7773584905653)</f>
        <v>1433.777358</v>
      </c>
      <c r="T1257" s="9">
        <f>IFERROR(__xludf.DUMMYFUNCTION("AVERAGE(INDEX(GOOGLEFINANCE(A1257, ""price"", TODAY()-300, TODAY()), 0, 2))"),1479.7175)</f>
        <v>1479.7175</v>
      </c>
      <c r="U1257" s="9">
        <f t="shared" si="5"/>
        <v>0.09431548733</v>
      </c>
      <c r="V1257" s="15">
        <f>IFERROR(__xludf.DUMMYFUNCTION("LET(hist, GOOGLEFINANCE(A1257,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rs))))))"),71.52890329551596)</f>
        <v>71.5289033</v>
      </c>
      <c r="W1257" s="16" t="str">
        <f>IFERROR(__xludf.DUMMYFUNCTION("IFERROR(GOOGLEFINANCE(A1257, ""volume"") / GOOGLEFINANCE(A1257, ""volumeavg""), )"),"")</f>
        <v/>
      </c>
      <c r="X1257" s="9">
        <f>IFERROR(__xludf.DUMMYFUNCTION("B1257 * GOOGLEFINANCE(A1257, ""volume"")"),1.25646275E8)</f>
        <v>125646275</v>
      </c>
      <c r="Y1257" s="9">
        <f>IFERROR(__xludf.DUMMYFUNCTION("IFERROR(((B1257 - GOOGLEFINANCE(A1257, ""priceopen"")) / GOOGLEFINANCE(A1257, ""priceopen"")) * GOOGLEFINANCE(A1257, ""volume""), 0)"),1799.7497989815013)</f>
        <v>1799.749799</v>
      </c>
    </row>
    <row r="1258">
      <c r="A1258" s="4" t="s">
        <v>3051</v>
      </c>
      <c r="B1258" s="7">
        <f>IFERROR(__xludf.DUMMYFUNCTION("GOOGLEFINANCE(A1258, ""price"")"),81.77)</f>
        <v>81.77</v>
      </c>
      <c r="C1258" s="7">
        <f>IFERROR(__xludf.DUMMYFUNCTION("GOOGLEFINANCE(A1258, ""changepct"")"),-1.52)</f>
        <v>-1.52</v>
      </c>
      <c r="D1258" s="9">
        <f>IFERROR(__xludf.DUMMYFUNCTION("GOOGLEFINANCE(A1258, ""priceopen"")"),83.03)</f>
        <v>83.03</v>
      </c>
      <c r="E1258" s="9">
        <f>IFERROR(__xludf.DUMMYFUNCTION("GOOGLEFINANCE(A1258, ""high"")"),83.39)</f>
        <v>83.39</v>
      </c>
      <c r="F1258" s="9">
        <f>IFERROR(__xludf.DUMMYFUNCTION("GOOGLEFINANCE(A1258, ""low"")"),80.8)</f>
        <v>80.8</v>
      </c>
      <c r="G1258" s="9">
        <f>IFERROR(__xludf.DUMMYFUNCTION("GOOGLEFINANCE(A1258, ""price"")"),81.77)</f>
        <v>81.77</v>
      </c>
      <c r="H1258" s="9">
        <f>IFERROR(__xludf.DUMMYFUNCTION("MAX(INDEX(GOOGLEFINANCE(A1258, ""high"", TODAY()-30, TODAY()), 0, 2))"),101.0)</f>
        <v>101</v>
      </c>
      <c r="I1258" s="9">
        <f>IFERROR(__xludf.DUMMYFUNCTION("MIN(INDEX(GOOGLEFINANCE(A1258, ""low"", TODAY()-30, TODAY()), 0, 2))"),80.8)</f>
        <v>80.8</v>
      </c>
      <c r="J1258" s="9">
        <f>IFERROR(__xludf.DUMMYFUNCTION("GOOGLEFINANCE(A1258, ""high52"")"),101.0)</f>
        <v>101</v>
      </c>
      <c r="K1258" s="9">
        <f>IFERROR(__xludf.DUMMYFUNCTION("GOOGLEFINANCE(A1258, ""low52"")"),62.5)</f>
        <v>62.5</v>
      </c>
      <c r="L1258" s="9">
        <f t="shared" si="1"/>
        <v>0.1903960396</v>
      </c>
      <c r="M1258" s="9">
        <f t="shared" si="2"/>
        <v>0.30832</v>
      </c>
      <c r="N1258" s="9">
        <f t="shared" si="3"/>
        <v>0.03205445545</v>
      </c>
      <c r="O1258" s="9">
        <f t="shared" si="4"/>
        <v>0.04801980198</v>
      </c>
      <c r="P1258" s="9" t="str">
        <f>IFERROR(__xludf.DUMMYFUNCTION("GOOGLEFINANCE(A1258, ""pe"")"),"#N/A")</f>
        <v>#N/A</v>
      </c>
      <c r="Q1258" s="9">
        <f>IFERROR(__xludf.DUMMYFUNCTION("IFERROR(GOOGLEFINANCE(A1258, ""volume"") / GOOGLEFINANCE(A1258, ""volumeavg""), 0)"),0.0)</f>
        <v>0</v>
      </c>
      <c r="R1258" s="9">
        <f>IFERROR(__xludf.DUMMYFUNCTION("AVERAGE(INDEX(GOOGLEFINANCE(A1258, ""price"", TODAY()-30, TODAY()), 0, 2))"),88.72565217391303)</f>
        <v>88.72565217</v>
      </c>
      <c r="S1258" s="9">
        <f>IFERROR(__xludf.DUMMYFUNCTION("AVERAGE(INDEX(GOOGLEFINANCE(A1258, ""price"", TODAY()-75, TODAY()), 0, 2))"),83.2252830188679)</f>
        <v>83.22528302</v>
      </c>
      <c r="T1258" s="9">
        <f>IFERROR(__xludf.DUMMYFUNCTION("AVERAGE(INDEX(GOOGLEFINANCE(A1258, ""price"", TODAY()-300, TODAY()), 0, 2))"),78.03485148514851)</f>
        <v>78.03485149</v>
      </c>
      <c r="U1258" s="9">
        <f t="shared" si="5"/>
        <v>-0.07839505265</v>
      </c>
      <c r="V1258" s="15">
        <f>IFERROR(__xludf.DUMMYFUNCTION("LET(hist, GOOGLEFINANCE(A1258,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rs))))))"),37.72545090180362)</f>
        <v>37.7254509</v>
      </c>
      <c r="W1258" s="16" t="str">
        <f>IFERROR(__xludf.DUMMYFUNCTION("IFERROR(GOOGLEFINANCE(A1258, ""volume"") / GOOGLEFINANCE(A1258, ""volumeavg""), )"),"")</f>
        <v/>
      </c>
      <c r="X1258" s="9">
        <f>IFERROR(__xludf.DUMMYFUNCTION("B1258 * GOOGLEFINANCE(A1258, ""volume"")"),2.71075727E7)</f>
        <v>27107572.7</v>
      </c>
      <c r="Y1258" s="9">
        <f>IFERROR(__xludf.DUMMYFUNCTION("IFERROR(((B1258 - GOOGLEFINANCE(A1258, ""priceopen"")) / GOOGLEFINANCE(A1258, ""priceopen"")) * GOOGLEFINANCE(A1258, ""volume""), 0)"),-5030.743104901863)</f>
        <v>-5030.743105</v>
      </c>
    </row>
    <row r="1259">
      <c r="A1259" s="4" t="s">
        <v>3052</v>
      </c>
      <c r="B1259" s="7">
        <f>IFERROR(__xludf.DUMMYFUNCTION("GOOGLEFINANCE(A1259, ""price"")"),1.23)</f>
        <v>1.23</v>
      </c>
      <c r="C1259" s="7">
        <f>IFERROR(__xludf.DUMMYFUNCTION("GOOGLEFINANCE(A1259, ""changepct"")"),-0.81)</f>
        <v>-0.81</v>
      </c>
      <c r="D1259" s="9">
        <f>IFERROR(__xludf.DUMMYFUNCTION("GOOGLEFINANCE(A1259, ""priceopen"")"),1.24)</f>
        <v>1.24</v>
      </c>
      <c r="E1259" s="9">
        <f>IFERROR(__xludf.DUMMYFUNCTION("GOOGLEFINANCE(A1259, ""high"")"),1.25)</f>
        <v>1.25</v>
      </c>
      <c r="F1259" s="9">
        <f>IFERROR(__xludf.DUMMYFUNCTION("GOOGLEFINANCE(A1259, ""low"")"),1.22)</f>
        <v>1.22</v>
      </c>
      <c r="G1259" s="9">
        <f>IFERROR(__xludf.DUMMYFUNCTION("GOOGLEFINANCE(A1259, ""price"")"),1.23)</f>
        <v>1.23</v>
      </c>
      <c r="H1259" s="9">
        <f>IFERROR(__xludf.DUMMYFUNCTION("MAX(INDEX(GOOGLEFINANCE(A1259, ""high"", TODAY()-30, TODAY()), 0, 2))"),1.35)</f>
        <v>1.35</v>
      </c>
      <c r="I1259" s="9">
        <f>IFERROR(__xludf.DUMMYFUNCTION("MIN(INDEX(GOOGLEFINANCE(A1259, ""low"", TODAY()-30, TODAY()), 0, 2))"),1.18)</f>
        <v>1.18</v>
      </c>
      <c r="J1259" s="9">
        <f>IFERROR(__xludf.DUMMYFUNCTION("GOOGLEFINANCE(A1259, ""high52"")"),1.67)</f>
        <v>1.67</v>
      </c>
      <c r="K1259" s="9">
        <f>IFERROR(__xludf.DUMMYFUNCTION("GOOGLEFINANCE(A1259, ""low52"")"),0.96)</f>
        <v>0.96</v>
      </c>
      <c r="L1259" s="9">
        <f t="shared" si="1"/>
        <v>0.2634730539</v>
      </c>
      <c r="M1259" s="9">
        <f t="shared" si="2"/>
        <v>0.28125</v>
      </c>
      <c r="N1259" s="9">
        <f t="shared" si="3"/>
        <v>0.02459016393</v>
      </c>
      <c r="O1259" s="9">
        <f t="shared" si="4"/>
        <v>0.2941176471</v>
      </c>
      <c r="P1259" s="9">
        <f>IFERROR(__xludf.DUMMYFUNCTION("GOOGLEFINANCE(A1259, ""pe"")"),1.5)</f>
        <v>1.5</v>
      </c>
      <c r="Q1259" s="9">
        <f>IFERROR(__xludf.DUMMYFUNCTION("IFERROR(GOOGLEFINANCE(A1259, ""volume"") / GOOGLEFINANCE(A1259, ""volumeavg""), 0)"),0.0)</f>
        <v>0</v>
      </c>
      <c r="R1259" s="9">
        <f>IFERROR(__xludf.DUMMYFUNCTION("AVERAGE(INDEX(GOOGLEFINANCE(A1259, ""price"", TODAY()-30, TODAY()), 0, 2))"),1.2447826086956522)</f>
        <v>1.244782609</v>
      </c>
      <c r="S1259" s="9">
        <f>IFERROR(__xludf.DUMMYFUNCTION("AVERAGE(INDEX(GOOGLEFINANCE(A1259, ""price"", TODAY()-75, TODAY()), 0, 2))"),1.3567924528301887)</f>
        <v>1.356792453</v>
      </c>
      <c r="T1259" s="9">
        <f>IFERROR(__xludf.DUMMYFUNCTION("AVERAGE(INDEX(GOOGLEFINANCE(A1259, ""price"", TODAY()-300, TODAY()), 0, 2))"),1.2613930348258704)</f>
        <v>1.261393035</v>
      </c>
      <c r="U1259" s="9">
        <f t="shared" si="5"/>
        <v>-0.01187565491</v>
      </c>
      <c r="V1259" s="15">
        <f>IFERROR(__xludf.DUMMYFUNCTION("LET(hist, GOOGLEFINANCE(A1259,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rs))))))"),53.57142857142857)</f>
        <v>53.57142857</v>
      </c>
      <c r="W1259" s="16" t="str">
        <f>IFERROR(__xludf.DUMMYFUNCTION("IFERROR(GOOGLEFINANCE(A1259, ""volume"") / GOOGLEFINANCE(A1259, ""volumeavg""), )"),"")</f>
        <v/>
      </c>
      <c r="X1259" s="9">
        <f>IFERROR(__xludf.DUMMYFUNCTION("B1259 * GOOGLEFINANCE(A1259, ""volume"")"),2.634794931E7)</f>
        <v>26347949.31</v>
      </c>
      <c r="Y1259" s="9">
        <f>IFERROR(__xludf.DUMMYFUNCTION("IFERROR(((B1259 - GOOGLEFINANCE(A1259, ""priceopen"")) / GOOGLEFINANCE(A1259, ""priceopen"")) * GOOGLEFINANCE(A1259, ""volume""), 0)"),-172750.78225806466)</f>
        <v>-172750.7823</v>
      </c>
    </row>
    <row r="1260">
      <c r="A1260" s="4" t="s">
        <v>3053</v>
      </c>
      <c r="B1260" s="7">
        <f>IFERROR(__xludf.DUMMYFUNCTION("GOOGLEFINANCE(A1260, ""price"")"),497.1)</f>
        <v>497.1</v>
      </c>
      <c r="C1260" s="7">
        <f>IFERROR(__xludf.DUMMYFUNCTION("GOOGLEFINANCE(A1260, ""changepct"")"),12.84)</f>
        <v>12.84</v>
      </c>
      <c r="D1260" s="9">
        <f>IFERROR(__xludf.DUMMYFUNCTION("GOOGLEFINANCE(A1260, ""priceopen"")"),446.0)</f>
        <v>446</v>
      </c>
      <c r="E1260" s="9">
        <f>IFERROR(__xludf.DUMMYFUNCTION("GOOGLEFINANCE(A1260, ""high"")"),500.0)</f>
        <v>500</v>
      </c>
      <c r="F1260" s="9">
        <f>IFERROR(__xludf.DUMMYFUNCTION("GOOGLEFINANCE(A1260, ""low"")"),436.15)</f>
        <v>436.15</v>
      </c>
      <c r="G1260" s="9">
        <f>IFERROR(__xludf.DUMMYFUNCTION("GOOGLEFINANCE(A1260, ""price"")"),497.1)</f>
        <v>497.1</v>
      </c>
      <c r="H1260" s="9">
        <f>IFERROR(__xludf.DUMMYFUNCTION("MAX(INDEX(GOOGLEFINANCE(A1260, ""high"", TODAY()-30, TODAY()), 0, 2))"),500.0)</f>
        <v>500</v>
      </c>
      <c r="I1260" s="9">
        <f>IFERROR(__xludf.DUMMYFUNCTION("MIN(INDEX(GOOGLEFINANCE(A1260, ""low"", TODAY()-30, TODAY()), 0, 2))"),369.25)</f>
        <v>369.25</v>
      </c>
      <c r="J1260" s="9">
        <f>IFERROR(__xludf.DUMMYFUNCTION("GOOGLEFINANCE(A1260, ""high52"")"),501.95)</f>
        <v>501.95</v>
      </c>
      <c r="K1260" s="9">
        <f>IFERROR(__xludf.DUMMYFUNCTION("GOOGLEFINANCE(A1260, ""low52"")"),322.0)</f>
        <v>322</v>
      </c>
      <c r="L1260" s="9">
        <f t="shared" si="1"/>
        <v>0.009662316964</v>
      </c>
      <c r="M1260" s="9">
        <f t="shared" si="2"/>
        <v>0.5437888199</v>
      </c>
      <c r="N1260" s="9">
        <f t="shared" si="3"/>
        <v>0.146394589</v>
      </c>
      <c r="O1260" s="9">
        <f t="shared" si="4"/>
        <v>0.9778202677</v>
      </c>
      <c r="P1260" s="9">
        <f>IFERROR(__xludf.DUMMYFUNCTION("GOOGLEFINANCE(A1260, ""pe"")"),27.61)</f>
        <v>27.61</v>
      </c>
      <c r="Q1260" s="9">
        <f>IFERROR(__xludf.DUMMYFUNCTION("IFERROR(GOOGLEFINANCE(A1260, ""volume"") / GOOGLEFINANCE(A1260, ""volumeavg""), 0)"),0.0)</f>
        <v>0</v>
      </c>
      <c r="R1260" s="9">
        <f>IFERROR(__xludf.DUMMYFUNCTION("AVERAGE(INDEX(GOOGLEFINANCE(A1260, ""price"", TODAY()-30, TODAY()), 0, 2))"),396.3173913043478)</f>
        <v>396.3173913</v>
      </c>
      <c r="S1260" s="9">
        <f>IFERROR(__xludf.DUMMYFUNCTION("AVERAGE(INDEX(GOOGLEFINANCE(A1260, ""price"", TODAY()-75, TODAY()), 0, 2))"),390.22830188679245)</f>
        <v>390.2283019</v>
      </c>
      <c r="T1260" s="9">
        <f>IFERROR(__xludf.DUMMYFUNCTION("AVERAGE(INDEX(GOOGLEFINANCE(A1260, ""price"", TODAY()-300, TODAY()), 0, 2))"),402.71658415841586)</f>
        <v>402.7165842</v>
      </c>
      <c r="U1260" s="9">
        <f t="shared" si="5"/>
        <v>0.2542977192</v>
      </c>
      <c r="V1260" s="15">
        <f>IFERROR(__xludf.DUMMYFUNCTION("LET(hist, GOOGLEFINANCE(A1260,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rs))))))"),81.86579378068741)</f>
        <v>81.86579378</v>
      </c>
      <c r="W1260" s="16" t="str">
        <f>IFERROR(__xludf.DUMMYFUNCTION("IFERROR(GOOGLEFINANCE(A1260, ""volume"") / GOOGLEFINANCE(A1260, ""volumeavg""), )"),"")</f>
        <v/>
      </c>
      <c r="X1260" s="9">
        <f>IFERROR(__xludf.DUMMYFUNCTION("B1260 * GOOGLEFINANCE(A1260, ""volume"")"),3.255666972E8)</f>
        <v>325566697.2</v>
      </c>
      <c r="Y1260" s="9">
        <f>IFERROR(__xludf.DUMMYFUNCTION("IFERROR(((B1260 - GOOGLEFINANCE(A1260, ""priceopen"")) / GOOGLEFINANCE(A1260, ""priceopen"")) * GOOGLEFINANCE(A1260, ""volume""), 0)"),75038.17309417043)</f>
        <v>75038.17309</v>
      </c>
    </row>
    <row r="1261">
      <c r="A1261" s="4" t="s">
        <v>3054</v>
      </c>
      <c r="B1261" s="7">
        <f>IFERROR(__xludf.DUMMYFUNCTION("GOOGLEFINANCE(A1261, ""price"")"),236.4)</f>
        <v>236.4</v>
      </c>
      <c r="C1261" s="7">
        <f>IFERROR(__xludf.DUMMYFUNCTION("GOOGLEFINANCE(A1261, ""changepct"")"),1.55)</f>
        <v>1.55</v>
      </c>
      <c r="D1261" s="9">
        <f>IFERROR(__xludf.DUMMYFUNCTION("GOOGLEFINANCE(A1261, ""priceopen"")"),237.4)</f>
        <v>237.4</v>
      </c>
      <c r="E1261" s="9">
        <f>IFERROR(__xludf.DUMMYFUNCTION("GOOGLEFINANCE(A1261, ""high"")"),242.0)</f>
        <v>242</v>
      </c>
      <c r="F1261" s="9">
        <f>IFERROR(__xludf.DUMMYFUNCTION("GOOGLEFINANCE(A1261, ""low"")"),229.4)</f>
        <v>229.4</v>
      </c>
      <c r="G1261" s="9">
        <f>IFERROR(__xludf.DUMMYFUNCTION("GOOGLEFINANCE(A1261, ""price"")"),236.4)</f>
        <v>236.4</v>
      </c>
      <c r="H1261" s="9">
        <f>IFERROR(__xludf.DUMMYFUNCTION("MAX(INDEX(GOOGLEFINANCE(A1261, ""high"", TODAY()-30, TODAY()), 0, 2))"),267.0)</f>
        <v>267</v>
      </c>
      <c r="I1261" s="9">
        <f>IFERROR(__xludf.DUMMYFUNCTION("MIN(INDEX(GOOGLEFINANCE(A1261, ""low"", TODAY()-30, TODAY()), 0, 2))"),219.4)</f>
        <v>219.4</v>
      </c>
      <c r="J1261" s="9">
        <f>IFERROR(__xludf.DUMMYFUNCTION("GOOGLEFINANCE(A1261, ""high52"")"),315.8)</f>
        <v>315.8</v>
      </c>
      <c r="K1261" s="9">
        <f>IFERROR(__xludf.DUMMYFUNCTION("GOOGLEFINANCE(A1261, ""low52"")"),131.15)</f>
        <v>131.15</v>
      </c>
      <c r="L1261" s="9">
        <f t="shared" si="1"/>
        <v>0.2514249525</v>
      </c>
      <c r="M1261" s="9">
        <f t="shared" si="2"/>
        <v>0.8025162028</v>
      </c>
      <c r="N1261" s="9">
        <f t="shared" si="3"/>
        <v>0.05492589364</v>
      </c>
      <c r="O1261" s="9">
        <f t="shared" si="4"/>
        <v>0.3571428571</v>
      </c>
      <c r="P1261" s="9" t="str">
        <f>IFERROR(__xludf.DUMMYFUNCTION("GOOGLEFINANCE(A1261, ""pe"")"),"#N/A")</f>
        <v>#N/A</v>
      </c>
      <c r="Q1261" s="9">
        <f>IFERROR(__xludf.DUMMYFUNCTION("IFERROR(GOOGLEFINANCE(A1261, ""volume"") / GOOGLEFINANCE(A1261, ""volumeavg""), 0)"),0.0)</f>
        <v>0</v>
      </c>
      <c r="R1261" s="9">
        <f>IFERROR(__xludf.DUMMYFUNCTION("AVERAGE(INDEX(GOOGLEFINANCE(A1261, ""price"", TODAY()-30, TODAY()), 0, 2))"),238.17130434782612)</f>
        <v>238.1713043</v>
      </c>
      <c r="S1261" s="9">
        <f>IFERROR(__xludf.DUMMYFUNCTION("AVERAGE(INDEX(GOOGLEFINANCE(A1261, ""price"", TODAY()-75, TODAY()), 0, 2))"),250.02169811320758)</f>
        <v>250.0216981</v>
      </c>
      <c r="T1261" s="9">
        <f>IFERROR(__xludf.DUMMYFUNCTION("AVERAGE(INDEX(GOOGLEFINANCE(A1261, ""price"", TODAY()-300, TODAY()), 0, 2))"),198.7713366336633)</f>
        <v>198.7713366</v>
      </c>
      <c r="U1261" s="9">
        <f t="shared" si="5"/>
        <v>-0.007437102268</v>
      </c>
      <c r="V1261" s="15">
        <f>IFERROR(__xludf.DUMMYFUNCTION("LET(hist, GOOGLEFINANCE(A1261,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rs))))))"),44.14298018949181)</f>
        <v>44.14298019</v>
      </c>
      <c r="W1261" s="16" t="str">
        <f>IFERROR(__xludf.DUMMYFUNCTION("IFERROR(GOOGLEFINANCE(A1261, ""volume"") / GOOGLEFINANCE(A1261, ""volumeavg""), )"),"")</f>
        <v/>
      </c>
      <c r="X1261" s="9">
        <f>IFERROR(__xludf.DUMMYFUNCTION("B1261 * GOOGLEFINANCE(A1261, ""volume"")"),3.0751644840000004E8)</f>
        <v>307516448.4</v>
      </c>
      <c r="Y1261" s="9">
        <f>IFERROR(__xludf.DUMMYFUNCTION("IFERROR(((B1261 - GOOGLEFINANCE(A1261, ""priceopen"")) / GOOGLEFINANCE(A1261, ""priceopen"")) * GOOGLEFINANCE(A1261, ""volume""), 0)"),-5479.490311710193)</f>
        <v>-5479.490312</v>
      </c>
    </row>
    <row r="1262">
      <c r="A1262" s="4" t="s">
        <v>3055</v>
      </c>
      <c r="B1262" s="7">
        <f>IFERROR(__xludf.DUMMYFUNCTION("GOOGLEFINANCE(A1262, ""price"")"),1244.0)</f>
        <v>1244</v>
      </c>
      <c r="C1262" s="7">
        <f>IFERROR(__xludf.DUMMYFUNCTION("GOOGLEFINANCE(A1262, ""changepct"")"),0.34)</f>
        <v>0.34</v>
      </c>
      <c r="D1262" s="9">
        <f>IFERROR(__xludf.DUMMYFUNCTION("GOOGLEFINANCE(A1262, ""priceopen"")"),1240.2)</f>
        <v>1240.2</v>
      </c>
      <c r="E1262" s="9">
        <f>IFERROR(__xludf.DUMMYFUNCTION("GOOGLEFINANCE(A1262, ""high"")"),1258.3)</f>
        <v>1258.3</v>
      </c>
      <c r="F1262" s="9">
        <f>IFERROR(__xludf.DUMMYFUNCTION("GOOGLEFINANCE(A1262, ""low"")"),1222.8)</f>
        <v>1222.8</v>
      </c>
      <c r="G1262" s="9">
        <f>IFERROR(__xludf.DUMMYFUNCTION("GOOGLEFINANCE(A1262, ""price"")"),1244.0)</f>
        <v>1244</v>
      </c>
      <c r="H1262" s="9">
        <f>IFERROR(__xludf.DUMMYFUNCTION("MAX(INDEX(GOOGLEFINANCE(A1262, ""high"", TODAY()-30, TODAY()), 0, 2))"),1329.9)</f>
        <v>1329.9</v>
      </c>
      <c r="I1262" s="9">
        <f>IFERROR(__xludf.DUMMYFUNCTION("MIN(INDEX(GOOGLEFINANCE(A1262, ""low"", TODAY()-30, TODAY()), 0, 2))"),1160.0)</f>
        <v>1160</v>
      </c>
      <c r="J1262" s="9">
        <f>IFERROR(__xludf.DUMMYFUNCTION("GOOGLEFINANCE(A1262, ""high52"")"),1924.8)</f>
        <v>1924.8</v>
      </c>
      <c r="K1262" s="9">
        <f>IFERROR(__xludf.DUMMYFUNCTION("GOOGLEFINANCE(A1262, ""low52"")"),781.0)</f>
        <v>781</v>
      </c>
      <c r="L1262" s="9">
        <f t="shared" si="1"/>
        <v>0.3536990856</v>
      </c>
      <c r="M1262" s="9">
        <f t="shared" si="2"/>
        <v>0.5928297055</v>
      </c>
      <c r="N1262" s="9">
        <f t="shared" si="3"/>
        <v>0.02903173045</v>
      </c>
      <c r="O1262" s="9">
        <f t="shared" si="4"/>
        <v>0.4944084756</v>
      </c>
      <c r="P1262" s="9">
        <f>IFERROR(__xludf.DUMMYFUNCTION("GOOGLEFINANCE(A1262, ""pe"")"),18.67)</f>
        <v>18.67</v>
      </c>
      <c r="Q1262" s="9">
        <f>IFERROR(__xludf.DUMMYFUNCTION("IFERROR(GOOGLEFINANCE(A1262, ""volume"") / GOOGLEFINANCE(A1262, ""volumeavg""), 0)"),0.0)</f>
        <v>0</v>
      </c>
      <c r="R1262" s="9">
        <f>IFERROR(__xludf.DUMMYFUNCTION("AVERAGE(INDEX(GOOGLEFINANCE(A1262, ""price"", TODAY()-30, TODAY()), 0, 2))"),1230.895652173913)</f>
        <v>1230.895652</v>
      </c>
      <c r="S1262" s="9">
        <f>IFERROR(__xludf.DUMMYFUNCTION("AVERAGE(INDEX(GOOGLEFINANCE(A1262, ""price"", TODAY()-75, TODAY()), 0, 2))"),1309.5320754716986)</f>
        <v>1309.532075</v>
      </c>
      <c r="T1262" s="9">
        <f>IFERROR(__xludf.DUMMYFUNCTION("AVERAGE(INDEX(GOOGLEFINANCE(A1262, ""price"", TODAY()-300, TODAY()), 0, 2))"),1089.2940594059398)</f>
        <v>1089.294059</v>
      </c>
      <c r="U1262" s="9">
        <f t="shared" si="5"/>
        <v>0.01064618906</v>
      </c>
      <c r="V1262" s="15">
        <f>IFERROR(__xludf.DUMMYFUNCTION("LET(hist, GOOGLEFINANCE(A1262,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rs))))))"),59.05213270142185)</f>
        <v>59.0521327</v>
      </c>
      <c r="W1262" s="16" t="str">
        <f>IFERROR(__xludf.DUMMYFUNCTION("IFERROR(GOOGLEFINANCE(A1262, ""volume"") / GOOGLEFINANCE(A1262, ""volumeavg""), )"),"")</f>
        <v/>
      </c>
      <c r="X1262" s="9">
        <f>IFERROR(__xludf.DUMMYFUNCTION("B1262 * GOOGLEFINANCE(A1262, ""volume"")"),2.37604E7)</f>
        <v>23760400</v>
      </c>
      <c r="Y1262" s="9">
        <f>IFERROR(__xludf.DUMMYFUNCTION("IFERROR(((B1262 - GOOGLEFINANCE(A1262, ""priceopen"")) / GOOGLEFINANCE(A1262, ""priceopen"")) * GOOGLEFINANCE(A1262, ""volume""), 0)"),58.52281890017669)</f>
        <v>58.5228189</v>
      </c>
    </row>
    <row r="1263">
      <c r="A1263" s="4" t="s">
        <v>3056</v>
      </c>
      <c r="B1263" s="7">
        <f>IFERROR(__xludf.DUMMYFUNCTION("GOOGLEFINANCE(A1263, ""price"")"),231.7)</f>
        <v>231.7</v>
      </c>
      <c r="C1263" s="7">
        <f>IFERROR(__xludf.DUMMYFUNCTION("GOOGLEFINANCE(A1263, ""changepct"")"),1.73)</f>
        <v>1.73</v>
      </c>
      <c r="D1263" s="9">
        <f>IFERROR(__xludf.DUMMYFUNCTION("GOOGLEFINANCE(A1263, ""priceopen"")"),225.0)</f>
        <v>225</v>
      </c>
      <c r="E1263" s="9">
        <f>IFERROR(__xludf.DUMMYFUNCTION("GOOGLEFINANCE(A1263, ""high"")"),232.15)</f>
        <v>232.15</v>
      </c>
      <c r="F1263" s="9">
        <f>IFERROR(__xludf.DUMMYFUNCTION("GOOGLEFINANCE(A1263, ""low"")"),218.13)</f>
        <v>218.13</v>
      </c>
      <c r="G1263" s="9">
        <f>IFERROR(__xludf.DUMMYFUNCTION("GOOGLEFINANCE(A1263, ""price"")"),231.7)</f>
        <v>231.7</v>
      </c>
      <c r="H1263" s="9">
        <f>IFERROR(__xludf.DUMMYFUNCTION("MAX(INDEX(GOOGLEFINANCE(A1263, ""high"", TODAY()-30, TODAY()), 0, 2))"),234.77)</f>
        <v>234.77</v>
      </c>
      <c r="I1263" s="9">
        <f>IFERROR(__xludf.DUMMYFUNCTION("MIN(INDEX(GOOGLEFINANCE(A1263, ""low"", TODAY()-30, TODAY()), 0, 2))"),203.91)</f>
        <v>203.91</v>
      </c>
      <c r="J1263" s="9">
        <f>IFERROR(__xludf.DUMMYFUNCTION("GOOGLEFINANCE(A1263, ""high52"")"),273.95)</f>
        <v>273.95</v>
      </c>
      <c r="K1263" s="9">
        <f>IFERROR(__xludf.DUMMYFUNCTION("GOOGLEFINANCE(A1263, ""low52"")"),154.91)</f>
        <v>154.91</v>
      </c>
      <c r="L1263" s="9">
        <f t="shared" si="1"/>
        <v>0.1542252236</v>
      </c>
      <c r="M1263" s="9">
        <f t="shared" si="2"/>
        <v>0.4957071848</v>
      </c>
      <c r="N1263" s="9">
        <f t="shared" si="3"/>
        <v>0.06427359831</v>
      </c>
      <c r="O1263" s="9">
        <f t="shared" si="4"/>
        <v>0.9005184705</v>
      </c>
      <c r="P1263" s="9">
        <f>IFERROR(__xludf.DUMMYFUNCTION("GOOGLEFINANCE(A1263, ""pe"")"),10.92)</f>
        <v>10.92</v>
      </c>
      <c r="Q1263" s="9">
        <f>IFERROR(__xludf.DUMMYFUNCTION("IFERROR(GOOGLEFINANCE(A1263, ""volume"") / GOOGLEFINANCE(A1263, ""volumeavg""), 0)"),0.0)</f>
        <v>0</v>
      </c>
      <c r="R1263" s="9">
        <f>IFERROR(__xludf.DUMMYFUNCTION("AVERAGE(INDEX(GOOGLEFINANCE(A1263, ""price"", TODAY()-30, TODAY()), 0, 2))"),216.85608695652172)</f>
        <v>216.856087</v>
      </c>
      <c r="S1263" s="9">
        <f>IFERROR(__xludf.DUMMYFUNCTION("AVERAGE(INDEX(GOOGLEFINANCE(A1263, ""price"", TODAY()-75, TODAY()), 0, 2))"),219.66528301886797)</f>
        <v>219.665283</v>
      </c>
      <c r="T1263" s="9">
        <f>IFERROR(__xludf.DUMMYFUNCTION("AVERAGE(INDEX(GOOGLEFINANCE(A1263, ""price"", TODAY()-300, TODAY()), 0, 2))"),208.6482178217822)</f>
        <v>208.6482178</v>
      </c>
      <c r="U1263" s="9">
        <f t="shared" si="5"/>
        <v>0.06845052519</v>
      </c>
      <c r="V1263" s="15">
        <f>IFERROR(__xludf.DUMMYFUNCTION("LET(hist, GOOGLEFINANCE(A1263,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rs))))))"),76.00539204673109)</f>
        <v>76.00539205</v>
      </c>
      <c r="W1263" s="16" t="str">
        <f>IFERROR(__xludf.DUMMYFUNCTION("IFERROR(GOOGLEFINANCE(A1263, ""volume"") / GOOGLEFINANCE(A1263, ""volumeavg""), )"),"")</f>
        <v/>
      </c>
      <c r="X1263" s="9">
        <f>IFERROR(__xludf.DUMMYFUNCTION("B1263 * GOOGLEFINANCE(A1263, ""volume"")"),3.4497303259999996E8)</f>
        <v>344973032.6</v>
      </c>
      <c r="Y1263" s="9">
        <f>IFERROR(__xludf.DUMMYFUNCTION("IFERROR(((B1263 - GOOGLEFINANCE(A1263, ""priceopen"")) / GOOGLEFINANCE(A1263, ""priceopen"")) * GOOGLEFINANCE(A1263, ""volume""), 0)"),44335.47822222215)</f>
        <v>44335.47822</v>
      </c>
    </row>
    <row r="1264">
      <c r="A1264" s="4" t="s">
        <v>3057</v>
      </c>
      <c r="B1264" s="7">
        <f>IFERROR(__xludf.DUMMYFUNCTION("GOOGLEFINANCE(A1264, ""price"")"),70.78)</f>
        <v>70.78</v>
      </c>
      <c r="C1264" s="7">
        <f>IFERROR(__xludf.DUMMYFUNCTION("GOOGLEFINANCE(A1264, ""changepct"")"),-0.14)</f>
        <v>-0.14</v>
      </c>
      <c r="D1264" s="9">
        <f>IFERROR(__xludf.DUMMYFUNCTION("GOOGLEFINANCE(A1264, ""priceopen"")"),70.75)</f>
        <v>70.75</v>
      </c>
      <c r="E1264" s="9">
        <f>IFERROR(__xludf.DUMMYFUNCTION("GOOGLEFINANCE(A1264, ""high"")"),71.4)</f>
        <v>71.4</v>
      </c>
      <c r="F1264" s="9">
        <f>IFERROR(__xludf.DUMMYFUNCTION("GOOGLEFINANCE(A1264, ""low"")"),70.75)</f>
        <v>70.75</v>
      </c>
      <c r="G1264" s="9">
        <f>IFERROR(__xludf.DUMMYFUNCTION("GOOGLEFINANCE(A1264, ""price"")"),70.78)</f>
        <v>70.78</v>
      </c>
      <c r="H1264" s="9">
        <f>IFERROR(__xludf.DUMMYFUNCTION("MAX(INDEX(GOOGLEFINANCE(A1264, ""high"", TODAY()-30, TODAY()), 0, 2))"),71.4)</f>
        <v>71.4</v>
      </c>
      <c r="I1264" s="9">
        <f>IFERROR(__xludf.DUMMYFUNCTION("MIN(INDEX(GOOGLEFINANCE(A1264, ""low"", TODAY()-30, TODAY()), 0, 2))"),68.46)</f>
        <v>68.46</v>
      </c>
      <c r="J1264" s="9">
        <f>IFERROR(__xludf.DUMMYFUNCTION("GOOGLEFINANCE(A1264, ""high52"")"),79.5)</f>
        <v>79.5</v>
      </c>
      <c r="K1264" s="9">
        <f>IFERROR(__xludf.DUMMYFUNCTION("GOOGLEFINANCE(A1264, ""low52"")"),67.0)</f>
        <v>67</v>
      </c>
      <c r="L1264" s="9">
        <f t="shared" si="1"/>
        <v>0.1096855346</v>
      </c>
      <c r="M1264" s="9">
        <f t="shared" si="2"/>
        <v>0.05641791045</v>
      </c>
      <c r="N1264" s="9">
        <f t="shared" si="3"/>
        <v>0.009187279152</v>
      </c>
      <c r="O1264" s="9">
        <f t="shared" si="4"/>
        <v>0.7891156463</v>
      </c>
      <c r="P1264" s="9">
        <f>IFERROR(__xludf.DUMMYFUNCTION("GOOGLEFINANCE(A1264, ""pe"")"),8.8)</f>
        <v>8.8</v>
      </c>
      <c r="Q1264" s="9">
        <f>IFERROR(__xludf.DUMMYFUNCTION("IFERROR(GOOGLEFINANCE(A1264, ""volume"") / GOOGLEFINANCE(A1264, ""volumeavg""), 0)"),0.0)</f>
        <v>0</v>
      </c>
      <c r="R1264" s="9">
        <f>IFERROR(__xludf.DUMMYFUNCTION("AVERAGE(INDEX(GOOGLEFINANCE(A1264, ""price"", TODAY()-30, TODAY()), 0, 2))"),70.3804347826087)</f>
        <v>70.38043478</v>
      </c>
      <c r="S1264" s="9">
        <f>IFERROR(__xludf.DUMMYFUNCTION("AVERAGE(INDEX(GOOGLEFINANCE(A1264, ""price"", TODAY()-75, TODAY()), 0, 2))"),70.89301886792452)</f>
        <v>70.89301887</v>
      </c>
      <c r="T1264" s="9">
        <f>IFERROR(__xludf.DUMMYFUNCTION("AVERAGE(INDEX(GOOGLEFINANCE(A1264, ""price"", TODAY()-300, TODAY()), 0, 2))"),71.87650000000001)</f>
        <v>71.8765</v>
      </c>
      <c r="U1264" s="9">
        <f t="shared" si="5"/>
        <v>0.005677220077</v>
      </c>
      <c r="V1264" s="15">
        <f>IFERROR(__xludf.DUMMYFUNCTION("LET(hist, GOOGLEFINANCE(A1264,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rs))))))"),65.32258064516137)</f>
        <v>65.32258065</v>
      </c>
      <c r="W1264" s="16" t="str">
        <f>IFERROR(__xludf.DUMMYFUNCTION("IFERROR(GOOGLEFINANCE(A1264, ""volume"") / GOOGLEFINANCE(A1264, ""volumeavg""), )"),"")</f>
        <v/>
      </c>
      <c r="X1264" s="9">
        <f>IFERROR(__xludf.DUMMYFUNCTION("B1264 * GOOGLEFINANCE(A1264, ""volume"")"),4789682.6)</f>
        <v>4789682.6</v>
      </c>
      <c r="Y1264" s="9">
        <f>IFERROR(__xludf.DUMMYFUNCTION("IFERROR(((B1264 - GOOGLEFINANCE(A1264, ""priceopen"")) / GOOGLEFINANCE(A1264, ""priceopen"")) * GOOGLEFINANCE(A1264, ""volume""), 0)"),28.693992932863278)</f>
        <v>28.69399293</v>
      </c>
    </row>
    <row r="1265">
      <c r="A1265" s="4" t="s">
        <v>3058</v>
      </c>
      <c r="B1265" s="7">
        <f>IFERROR(__xludf.DUMMYFUNCTION("GOOGLEFINANCE(A1265, ""price"")"),518.35)</f>
        <v>518.35</v>
      </c>
      <c r="C1265" s="7">
        <f>IFERROR(__xludf.DUMMYFUNCTION("GOOGLEFINANCE(A1265, ""changepct"")"),5.57)</f>
        <v>5.57</v>
      </c>
      <c r="D1265" s="9">
        <f>IFERROR(__xludf.DUMMYFUNCTION("GOOGLEFINANCE(A1265, ""priceopen"")"),493.0)</f>
        <v>493</v>
      </c>
      <c r="E1265" s="9">
        <f>IFERROR(__xludf.DUMMYFUNCTION("GOOGLEFINANCE(A1265, ""high"")"),535.1)</f>
        <v>535.1</v>
      </c>
      <c r="F1265" s="9">
        <f>IFERROR(__xludf.DUMMYFUNCTION("GOOGLEFINANCE(A1265, ""low"")"),492.95)</f>
        <v>492.95</v>
      </c>
      <c r="G1265" s="9">
        <f>IFERROR(__xludf.DUMMYFUNCTION("GOOGLEFINANCE(A1265, ""price"")"),518.35)</f>
        <v>518.35</v>
      </c>
      <c r="H1265" s="9">
        <f>IFERROR(__xludf.DUMMYFUNCTION("MAX(INDEX(GOOGLEFINANCE(A1265, ""high"", TODAY()-30, TODAY()), 0, 2))"),535.1)</f>
        <v>535.1</v>
      </c>
      <c r="I1265" s="9">
        <f>IFERROR(__xludf.DUMMYFUNCTION("MIN(INDEX(GOOGLEFINANCE(A1265, ""low"", TODAY()-30, TODAY()), 0, 2))"),434.35)</f>
        <v>434.35</v>
      </c>
      <c r="J1265" s="9">
        <f>IFERROR(__xludf.DUMMYFUNCTION("GOOGLEFINANCE(A1265, ""high52"")"),535.1)</f>
        <v>535.1</v>
      </c>
      <c r="K1265" s="9">
        <f>IFERROR(__xludf.DUMMYFUNCTION("GOOGLEFINANCE(A1265, ""low52"")"),428.65)</f>
        <v>428.65</v>
      </c>
      <c r="L1265" s="9">
        <f t="shared" si="1"/>
        <v>0.03130256027</v>
      </c>
      <c r="M1265" s="9">
        <f t="shared" si="2"/>
        <v>0.2092616354</v>
      </c>
      <c r="N1265" s="9">
        <f t="shared" si="3"/>
        <v>0.08550562937</v>
      </c>
      <c r="O1265" s="9">
        <f t="shared" si="4"/>
        <v>0.8337468983</v>
      </c>
      <c r="P1265" s="9">
        <f>IFERROR(__xludf.DUMMYFUNCTION("GOOGLEFINANCE(A1265, ""pe"")"),104.09)</f>
        <v>104.09</v>
      </c>
      <c r="Q1265" s="9">
        <f>IFERROR(__xludf.DUMMYFUNCTION("IFERROR(GOOGLEFINANCE(A1265, ""volume"") / GOOGLEFINANCE(A1265, ""volumeavg""), 0)"),0.0)</f>
        <v>0</v>
      </c>
      <c r="R1265" s="9">
        <f>IFERROR(__xludf.DUMMYFUNCTION("AVERAGE(INDEX(GOOGLEFINANCE(A1265, ""price"", TODAY()-30, TODAY()), 0, 2))"),488.458695652174)</f>
        <v>488.4586957</v>
      </c>
      <c r="S1265" s="9">
        <f>IFERROR(__xludf.DUMMYFUNCTION("AVERAGE(INDEX(GOOGLEFINANCE(A1265, ""price"", TODAY()-75, TODAY()), 0, 2))"),479.0145161290324)</f>
        <v>479.0145161</v>
      </c>
      <c r="T1265" s="9">
        <f>IFERROR(__xludf.DUMMYFUNCTION("AVERAGE(INDEX(GOOGLEFINANCE(A1265, ""price"", TODAY()-300, TODAY()), 0, 2))"),479.0145161290324)</f>
        <v>479.0145161</v>
      </c>
      <c r="U1265" s="9">
        <f t="shared" si="5"/>
        <v>0.06119515245</v>
      </c>
      <c r="V1265" s="15">
        <f>IFERROR(__xludf.DUMMYFUNCTION("LET(hist, GOOGLEFINANCE(A1265,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rs))))))"),55.209145232527916)</f>
        <v>55.20914523</v>
      </c>
      <c r="W1265" s="16" t="str">
        <f>IFERROR(__xludf.DUMMYFUNCTION("IFERROR(GOOGLEFINANCE(A1265, ""volume"") / GOOGLEFINANCE(A1265, ""volumeavg""), )"),"")</f>
        <v/>
      </c>
      <c r="X1265" s="9">
        <f>IFERROR(__xludf.DUMMYFUNCTION("B1265 * GOOGLEFINANCE(A1265, ""volume"")"),1.1086625305000001E8)</f>
        <v>110866253.1</v>
      </c>
      <c r="Y1265" s="9">
        <f>IFERROR(__xludf.DUMMYFUNCTION("IFERROR(((B1265 - GOOGLEFINANCE(A1265, ""priceopen"")) / GOOGLEFINANCE(A1265, ""priceopen"")) * GOOGLEFINANCE(A1265, ""volume""), 0)"),10997.837829614615)</f>
        <v>10997.83783</v>
      </c>
    </row>
    <row r="1266">
      <c r="A1266" s="4" t="s">
        <v>3059</v>
      </c>
      <c r="B1266" s="7">
        <f>IFERROR(__xludf.DUMMYFUNCTION("GOOGLEFINANCE(A1266, ""price"")"),15.5)</f>
        <v>15.5</v>
      </c>
      <c r="C1266" s="7">
        <f>IFERROR(__xludf.DUMMYFUNCTION("GOOGLEFINANCE(A1266, ""changepct"")"),-2.82)</f>
        <v>-2.82</v>
      </c>
      <c r="D1266" s="9">
        <f>IFERROR(__xludf.DUMMYFUNCTION("GOOGLEFINANCE(A1266, ""priceopen"")"),16.25)</f>
        <v>16.25</v>
      </c>
      <c r="E1266" s="9">
        <f>IFERROR(__xludf.DUMMYFUNCTION("GOOGLEFINANCE(A1266, ""high"")"),16.25)</f>
        <v>16.25</v>
      </c>
      <c r="F1266" s="9">
        <f>IFERROR(__xludf.DUMMYFUNCTION("GOOGLEFINANCE(A1266, ""low"")"),15.16)</f>
        <v>15.16</v>
      </c>
      <c r="G1266" s="9">
        <f>IFERROR(__xludf.DUMMYFUNCTION("GOOGLEFINANCE(A1266, ""price"")"),15.5)</f>
        <v>15.5</v>
      </c>
      <c r="H1266" s="9">
        <f>IFERROR(__xludf.DUMMYFUNCTION("MAX(INDEX(GOOGLEFINANCE(A1266, ""high"", TODAY()-30, TODAY()), 0, 2))"),16.57)</f>
        <v>16.57</v>
      </c>
      <c r="I1266" s="9">
        <f>IFERROR(__xludf.DUMMYFUNCTION("MIN(INDEX(GOOGLEFINANCE(A1266, ""low"", TODAY()-30, TODAY()), 0, 2))"),13.01)</f>
        <v>13.01</v>
      </c>
      <c r="J1266" s="9">
        <f>IFERROR(__xludf.DUMMYFUNCTION("GOOGLEFINANCE(A1266, ""high52"")"),16.57)</f>
        <v>16.57</v>
      </c>
      <c r="K1266" s="9">
        <f>IFERROR(__xludf.DUMMYFUNCTION("GOOGLEFINANCE(A1266, ""low52"")"),9.02)</f>
        <v>9.02</v>
      </c>
      <c r="L1266" s="9">
        <f t="shared" si="1"/>
        <v>0.06457453229</v>
      </c>
      <c r="M1266" s="9">
        <f t="shared" si="2"/>
        <v>0.7184035477</v>
      </c>
      <c r="N1266" s="9">
        <f t="shared" si="3"/>
        <v>0.07189973615</v>
      </c>
      <c r="O1266" s="9">
        <f t="shared" si="4"/>
        <v>0.6994382022</v>
      </c>
      <c r="P1266" s="9">
        <f>IFERROR(__xludf.DUMMYFUNCTION("GOOGLEFINANCE(A1266, ""pe"")"),299.81)</f>
        <v>299.81</v>
      </c>
      <c r="Q1266" s="9">
        <f>IFERROR(__xludf.DUMMYFUNCTION("IFERROR(GOOGLEFINANCE(A1266, ""volume"") / GOOGLEFINANCE(A1266, ""volumeavg""), 0)"),0.0)</f>
        <v>0</v>
      </c>
      <c r="R1266" s="9">
        <f>IFERROR(__xludf.DUMMYFUNCTION("AVERAGE(INDEX(GOOGLEFINANCE(A1266, ""price"", TODAY()-30, TODAY()), 0, 2))"),14.240869565217393)</f>
        <v>14.24086957</v>
      </c>
      <c r="S1266" s="9">
        <f>IFERROR(__xludf.DUMMYFUNCTION("AVERAGE(INDEX(GOOGLEFINANCE(A1266, ""price"", TODAY()-75, TODAY()), 0, 2))"),13.72056603773585)</f>
        <v>13.72056604</v>
      </c>
      <c r="T1266" s="9">
        <f>IFERROR(__xludf.DUMMYFUNCTION("AVERAGE(INDEX(GOOGLEFINANCE(A1266, ""price"", TODAY()-300, TODAY()), 0, 2))"),13.383000000000001)</f>
        <v>13.383</v>
      </c>
      <c r="U1266" s="9">
        <f t="shared" si="5"/>
        <v>0.08841668193</v>
      </c>
      <c r="V1266" s="15">
        <f>IFERROR(__xludf.DUMMYFUNCTION("LET(hist, GOOGLEFINANCE(A1266,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rs))))))"),62.70833333333336)</f>
        <v>62.70833333</v>
      </c>
      <c r="W1266" s="16" t="str">
        <f>IFERROR(__xludf.DUMMYFUNCTION("IFERROR(GOOGLEFINANCE(A1266, ""volume"") / GOOGLEFINANCE(A1266, ""volumeavg""), )"),"")</f>
        <v/>
      </c>
      <c r="X1266" s="9">
        <f>IFERROR(__xludf.DUMMYFUNCTION("B1266 * GOOGLEFINANCE(A1266, ""volume"")"),324523.5)</f>
        <v>324523.5</v>
      </c>
      <c r="Y1266" s="9">
        <f>IFERROR(__xludf.DUMMYFUNCTION("IFERROR(((B1266 - GOOGLEFINANCE(A1266, ""priceopen"")) / GOOGLEFINANCE(A1266, ""priceopen"")) * GOOGLEFINANCE(A1266, ""volume""), 0)"),-966.323076923077)</f>
        <v>-966.3230769</v>
      </c>
    </row>
    <row r="1267">
      <c r="A1267" s="4" t="s">
        <v>3060</v>
      </c>
      <c r="B1267" s="7">
        <f>IFERROR(__xludf.DUMMYFUNCTION("GOOGLEFINANCE(A1267, ""price"")"),713.0)</f>
        <v>713</v>
      </c>
      <c r="C1267" s="7">
        <f>IFERROR(__xludf.DUMMYFUNCTION("GOOGLEFINANCE(A1267, ""changepct"")"),3.47)</f>
        <v>3.47</v>
      </c>
      <c r="D1267" s="9">
        <f>IFERROR(__xludf.DUMMYFUNCTION("GOOGLEFINANCE(A1267, ""priceopen"")"),686.0)</f>
        <v>686</v>
      </c>
      <c r="E1267" s="9">
        <f>IFERROR(__xludf.DUMMYFUNCTION("GOOGLEFINANCE(A1267, ""high"")"),715.4)</f>
        <v>715.4</v>
      </c>
      <c r="F1267" s="9">
        <f>IFERROR(__xludf.DUMMYFUNCTION("GOOGLEFINANCE(A1267, ""low"")"),675.0)</f>
        <v>675</v>
      </c>
      <c r="G1267" s="9">
        <f>IFERROR(__xludf.DUMMYFUNCTION("GOOGLEFINANCE(A1267, ""price"")"),713.0)</f>
        <v>713</v>
      </c>
      <c r="H1267" s="9">
        <f>IFERROR(__xludf.DUMMYFUNCTION("MAX(INDEX(GOOGLEFINANCE(A1267, ""high"", TODAY()-30, TODAY()), 0, 2))"),780.6)</f>
        <v>780.6</v>
      </c>
      <c r="I1267" s="9">
        <f>IFERROR(__xludf.DUMMYFUNCTION("MIN(INDEX(GOOGLEFINANCE(A1267, ""low"", TODAY()-30, TODAY()), 0, 2))"),535.9)</f>
        <v>535.9</v>
      </c>
      <c r="J1267" s="9">
        <f>IFERROR(__xludf.DUMMYFUNCTION("GOOGLEFINANCE(A1267, ""high52"")"),780.6)</f>
        <v>780.6</v>
      </c>
      <c r="K1267" s="9">
        <f>IFERROR(__xludf.DUMMYFUNCTION("GOOGLEFINANCE(A1267, ""low52"")"),342.5)</f>
        <v>342.5</v>
      </c>
      <c r="L1267" s="9">
        <f t="shared" si="1"/>
        <v>0.08660005124</v>
      </c>
      <c r="M1267" s="9">
        <f t="shared" si="2"/>
        <v>1.081751825</v>
      </c>
      <c r="N1267" s="9">
        <f t="shared" si="3"/>
        <v>0.05985185185</v>
      </c>
      <c r="O1267" s="9">
        <f t="shared" si="4"/>
        <v>0.7237433592</v>
      </c>
      <c r="P1267" s="9">
        <f>IFERROR(__xludf.DUMMYFUNCTION("GOOGLEFINANCE(A1267, ""pe"")"),41.48)</f>
        <v>41.48</v>
      </c>
      <c r="Q1267" s="9">
        <f>IFERROR(__xludf.DUMMYFUNCTION("IFERROR(GOOGLEFINANCE(A1267, ""volume"") / GOOGLEFINANCE(A1267, ""volumeavg""), 0)"),0.0)</f>
        <v>0</v>
      </c>
      <c r="R1267" s="9">
        <f>IFERROR(__xludf.DUMMYFUNCTION("AVERAGE(INDEX(GOOGLEFINANCE(A1267, ""price"", TODAY()-30, TODAY()), 0, 2))"),614.75)</f>
        <v>614.75</v>
      </c>
      <c r="S1267" s="9">
        <f>IFERROR(__xludf.DUMMYFUNCTION("AVERAGE(INDEX(GOOGLEFINANCE(A1267, ""price"", TODAY()-75, TODAY()), 0, 2))"),544.5943396226415)</f>
        <v>544.5943396</v>
      </c>
      <c r="T1267" s="9">
        <f>IFERROR(__xludf.DUMMYFUNCTION("AVERAGE(INDEX(GOOGLEFINANCE(A1267, ""price"", TODAY()-300, TODAY()), 0, 2))"),511.8752906976742)</f>
        <v>511.8752907</v>
      </c>
      <c r="U1267" s="9">
        <f t="shared" si="5"/>
        <v>0.1598210655</v>
      </c>
      <c r="V1267" s="15">
        <f>IFERROR(__xludf.DUMMYFUNCTION("LET(hist, GOOGLEFINANCE(A1267,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rs))))))"),77.64985380116961)</f>
        <v>77.6498538</v>
      </c>
      <c r="W1267" s="16" t="str">
        <f>IFERROR(__xludf.DUMMYFUNCTION("IFERROR(GOOGLEFINANCE(A1267, ""volume"") / GOOGLEFINANCE(A1267, ""volumeavg""), )"),"")</f>
        <v/>
      </c>
      <c r="X1267" s="9">
        <f>IFERROR(__xludf.DUMMYFUNCTION("B1267 * GOOGLEFINANCE(A1267, ""volume"")"),2.3034178E7)</f>
        <v>23034178</v>
      </c>
      <c r="Y1267" s="9">
        <f>IFERROR(__xludf.DUMMYFUNCTION("IFERROR(((B1267 - GOOGLEFINANCE(A1267, ""priceopen"")) / GOOGLEFINANCE(A1267, ""priceopen"")) * GOOGLEFINANCE(A1267, ""volume""), 0)"),1271.518950437318)</f>
        <v>1271.51895</v>
      </c>
    </row>
    <row r="1268">
      <c r="A1268" s="4" t="s">
        <v>3061</v>
      </c>
      <c r="B1268" s="7">
        <f>IFERROR(__xludf.DUMMYFUNCTION("GOOGLEFINANCE(A1268, ""price"")"),14.82)</f>
        <v>14.82</v>
      </c>
      <c r="C1268" s="7">
        <f>IFERROR(__xludf.DUMMYFUNCTION("GOOGLEFINANCE(A1268, ""changepct"")"),-5.0)</f>
        <v>-5</v>
      </c>
      <c r="D1268" s="9">
        <f>IFERROR(__xludf.DUMMYFUNCTION("GOOGLEFINANCE(A1268, ""priceopen"")"),14.82)</f>
        <v>14.82</v>
      </c>
      <c r="E1268" s="9">
        <f>IFERROR(__xludf.DUMMYFUNCTION("GOOGLEFINANCE(A1268, ""high"")"),15.19)</f>
        <v>15.19</v>
      </c>
      <c r="F1268" s="9">
        <f>IFERROR(__xludf.DUMMYFUNCTION("GOOGLEFINANCE(A1268, ""low"")"),14.82)</f>
        <v>14.82</v>
      </c>
      <c r="G1268" s="9">
        <f>IFERROR(__xludf.DUMMYFUNCTION("GOOGLEFINANCE(A1268, ""price"")"),14.82)</f>
        <v>14.82</v>
      </c>
      <c r="H1268" s="9">
        <f>IFERROR(__xludf.DUMMYFUNCTION("MAX(INDEX(GOOGLEFINANCE(A1268, ""high"", TODAY()-30, TODAY()), 0, 2))"),35.67)</f>
        <v>35.67</v>
      </c>
      <c r="I1268" s="9">
        <f>IFERROR(__xludf.DUMMYFUNCTION("MIN(INDEX(GOOGLEFINANCE(A1268, ""low"", TODAY()-30, TODAY()), 0, 2))"),14.82)</f>
        <v>14.82</v>
      </c>
      <c r="J1268" s="9">
        <f>IFERROR(__xludf.DUMMYFUNCTION("GOOGLEFINANCE(A1268, ""high52"")"),35.67)</f>
        <v>35.67</v>
      </c>
      <c r="K1268" s="9">
        <f>IFERROR(__xludf.DUMMYFUNCTION("GOOGLEFINANCE(A1268, ""low52"")"),14.82)</f>
        <v>14.82</v>
      </c>
      <c r="L1268" s="9">
        <f t="shared" si="1"/>
        <v>0.5845248108</v>
      </c>
      <c r="M1268" s="9">
        <f t="shared" si="2"/>
        <v>0</v>
      </c>
      <c r="N1268" s="9">
        <f t="shared" si="3"/>
        <v>0.02496626181</v>
      </c>
      <c r="O1268" s="9">
        <f t="shared" si="4"/>
        <v>0</v>
      </c>
      <c r="P1268" s="9">
        <f>IFERROR(__xludf.DUMMYFUNCTION("GOOGLEFINANCE(A1268, ""pe"")"),31.35)</f>
        <v>31.35</v>
      </c>
      <c r="Q1268" s="9">
        <f>IFERROR(__xludf.DUMMYFUNCTION("IFERROR(GOOGLEFINANCE(A1268, ""volume"") / GOOGLEFINANCE(A1268, ""volumeavg""), 0)"),0.0)</f>
        <v>0</v>
      </c>
      <c r="R1268" s="9">
        <f>IFERROR(__xludf.DUMMYFUNCTION("AVERAGE(INDEX(GOOGLEFINANCE(A1268, ""price"", TODAY()-30, TODAY()), 0, 2))"),25.73173913043478)</f>
        <v>25.73173913</v>
      </c>
      <c r="S1268" s="9">
        <f>IFERROR(__xludf.DUMMYFUNCTION("AVERAGE(INDEX(GOOGLEFINANCE(A1268, ""price"", TODAY()-75, TODAY()), 0, 2))"),26.368679245283023)</f>
        <v>26.36867925</v>
      </c>
      <c r="T1268" s="9">
        <f>IFERROR(__xludf.DUMMYFUNCTION("AVERAGE(INDEX(GOOGLEFINANCE(A1268, ""price"", TODAY()-300, TODAY()), 0, 2))"),25.94663366336634)</f>
        <v>25.94663366</v>
      </c>
      <c r="U1268" s="9">
        <f t="shared" si="5"/>
        <v>-0.4240575841</v>
      </c>
      <c r="V1268" s="15">
        <f>IFERROR(__xludf.DUMMYFUNCTION("LET(hist, GOOGLEFINANCE(A1268,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rs))))))"),0.0)</f>
        <v>0</v>
      </c>
      <c r="W1268" s="16" t="str">
        <f>IFERROR(__xludf.DUMMYFUNCTION("IFERROR(GOOGLEFINANCE(A1268, ""volume"") / GOOGLEFINANCE(A1268, ""volumeavg""), )"),"")</f>
        <v/>
      </c>
      <c r="X1268" s="9">
        <f>IFERROR(__xludf.DUMMYFUNCTION("B1268 * GOOGLEFINANCE(A1268, ""volume"")"),8.429816811E8)</f>
        <v>842981681.1</v>
      </c>
      <c r="Y1268" s="9">
        <f>IFERROR(__xludf.DUMMYFUNCTION("IFERROR(((B1268 - GOOGLEFINANCE(A1268, ""priceopen"")) / GOOGLEFINANCE(A1268, ""priceopen"")) * GOOGLEFINANCE(A1268, ""volume""), 0)"),0.0)</f>
        <v>0</v>
      </c>
    </row>
    <row r="1269">
      <c r="A1269" s="4" t="s">
        <v>3062</v>
      </c>
      <c r="B1269" s="7">
        <f>IFERROR(__xludf.DUMMYFUNCTION("GOOGLEFINANCE(A1269, ""price"")"),215.5)</f>
        <v>215.5</v>
      </c>
      <c r="C1269" s="7">
        <f>IFERROR(__xludf.DUMMYFUNCTION("GOOGLEFINANCE(A1269, ""changepct"")"),5.82)</f>
        <v>5.82</v>
      </c>
      <c r="D1269" s="9">
        <f>IFERROR(__xludf.DUMMYFUNCTION("GOOGLEFINANCE(A1269, ""priceopen"")"),207.7)</f>
        <v>207.7</v>
      </c>
      <c r="E1269" s="9">
        <f>IFERROR(__xludf.DUMMYFUNCTION("GOOGLEFINANCE(A1269, ""high"")"),216.0)</f>
        <v>216</v>
      </c>
      <c r="F1269" s="9">
        <f>IFERROR(__xludf.DUMMYFUNCTION("GOOGLEFINANCE(A1269, ""low"")"),205.0)</f>
        <v>205</v>
      </c>
      <c r="G1269" s="9">
        <f>IFERROR(__xludf.DUMMYFUNCTION("GOOGLEFINANCE(A1269, ""price"")"),215.5)</f>
        <v>215.5</v>
      </c>
      <c r="H1269" s="9">
        <f>IFERROR(__xludf.DUMMYFUNCTION("MAX(INDEX(GOOGLEFINANCE(A1269, ""high"", TODAY()-30, TODAY()), 0, 2))"),235.0)</f>
        <v>235</v>
      </c>
      <c r="I1269" s="9">
        <f>IFERROR(__xludf.DUMMYFUNCTION("MIN(INDEX(GOOGLEFINANCE(A1269, ""low"", TODAY()-30, TODAY()), 0, 2))"),193.0)</f>
        <v>193</v>
      </c>
      <c r="J1269" s="9">
        <f>IFERROR(__xludf.DUMMYFUNCTION("GOOGLEFINANCE(A1269, ""high52"")"),252.9)</f>
        <v>252.9</v>
      </c>
      <c r="K1269" s="9">
        <f>IFERROR(__xludf.DUMMYFUNCTION("GOOGLEFINANCE(A1269, ""low52"")"),103.53)</f>
        <v>103.53</v>
      </c>
      <c r="L1269" s="9">
        <f t="shared" si="1"/>
        <v>0.1478845393</v>
      </c>
      <c r="M1269" s="9">
        <f t="shared" si="2"/>
        <v>1.081522264</v>
      </c>
      <c r="N1269" s="9">
        <f t="shared" si="3"/>
        <v>0.05365853659</v>
      </c>
      <c r="O1269" s="9">
        <f t="shared" si="4"/>
        <v>0.5357142857</v>
      </c>
      <c r="P1269" s="9">
        <f>IFERROR(__xludf.DUMMYFUNCTION("GOOGLEFINANCE(A1269, ""pe"")"),34.08)</f>
        <v>34.08</v>
      </c>
      <c r="Q1269" s="9">
        <f>IFERROR(__xludf.DUMMYFUNCTION("IFERROR(GOOGLEFINANCE(A1269, ""volume"") / GOOGLEFINANCE(A1269, ""volumeavg""), 0)"),0.0)</f>
        <v>0</v>
      </c>
      <c r="R1269" s="9">
        <f>IFERROR(__xludf.DUMMYFUNCTION("AVERAGE(INDEX(GOOGLEFINANCE(A1269, ""price"", TODAY()-30, TODAY()), 0, 2))"),207.37999999999994)</f>
        <v>207.38</v>
      </c>
      <c r="S1269" s="9">
        <f>IFERROR(__xludf.DUMMYFUNCTION("AVERAGE(INDEX(GOOGLEFINANCE(A1269, ""price"", TODAY()-75, TODAY()), 0, 2))"),183.50886792452826)</f>
        <v>183.5088679</v>
      </c>
      <c r="T1269" s="9">
        <f>IFERROR(__xludf.DUMMYFUNCTION("AVERAGE(INDEX(GOOGLEFINANCE(A1269, ""price"", TODAY()-300, TODAY()), 0, 2))"),168.7967821782179)</f>
        <v>168.7967822</v>
      </c>
      <c r="U1269" s="9">
        <f t="shared" si="5"/>
        <v>0.03915517408</v>
      </c>
      <c r="V1269" s="15">
        <f>IFERROR(__xludf.DUMMYFUNCTION("LET(hist, GOOGLEFINANCE(A1269,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rs))))))"),58.24386503067484)</f>
        <v>58.24386503</v>
      </c>
      <c r="W1269" s="16" t="str">
        <f>IFERROR(__xludf.DUMMYFUNCTION("IFERROR(GOOGLEFINANCE(A1269, ""volume"") / GOOGLEFINANCE(A1269, ""volumeavg""), )"),"")</f>
        <v/>
      </c>
      <c r="X1269" s="9">
        <f>IFERROR(__xludf.DUMMYFUNCTION("B1269 * GOOGLEFINANCE(A1269, ""volume"")"),1.28888826E8)</f>
        <v>128888826</v>
      </c>
      <c r="Y1269" s="9">
        <f>IFERROR(__xludf.DUMMYFUNCTION("IFERROR(((B1269 - GOOGLEFINANCE(A1269, ""priceopen"")) / GOOGLEFINANCE(A1269, ""priceopen"")) * GOOGLEFINANCE(A1269, ""volume""), 0)"),22460.84545016855)</f>
        <v>22460.84545</v>
      </c>
    </row>
    <row r="1270">
      <c r="A1270" s="4" t="s">
        <v>3063</v>
      </c>
      <c r="B1270" s="7">
        <f>IFERROR(__xludf.DUMMYFUNCTION("GOOGLEFINANCE(A1270, ""price"")"),100.0)</f>
        <v>100</v>
      </c>
      <c r="C1270" s="7">
        <f>IFERROR(__xludf.DUMMYFUNCTION("GOOGLEFINANCE(A1270, ""changepct"")"),0.33)</f>
        <v>0.33</v>
      </c>
      <c r="D1270" s="9">
        <f>IFERROR(__xludf.DUMMYFUNCTION("GOOGLEFINANCE(A1270, ""priceopen"")"),98.61)</f>
        <v>98.61</v>
      </c>
      <c r="E1270" s="9">
        <f>IFERROR(__xludf.DUMMYFUNCTION("GOOGLEFINANCE(A1270, ""high"")"),100.36)</f>
        <v>100.36</v>
      </c>
      <c r="F1270" s="9">
        <f>IFERROR(__xludf.DUMMYFUNCTION("GOOGLEFINANCE(A1270, ""low"")"),98.61)</f>
        <v>98.61</v>
      </c>
      <c r="G1270" s="9">
        <f>IFERROR(__xludf.DUMMYFUNCTION("GOOGLEFINANCE(A1270, ""price"")"),100.0)</f>
        <v>100</v>
      </c>
      <c r="H1270" s="9">
        <f>IFERROR(__xludf.DUMMYFUNCTION("MAX(INDEX(GOOGLEFINANCE(A1270, ""high"", TODAY()-30, TODAY()), 0, 2))"),120.95)</f>
        <v>120.95</v>
      </c>
      <c r="I1270" s="9">
        <f>IFERROR(__xludf.DUMMYFUNCTION("MIN(INDEX(GOOGLEFINANCE(A1270, ""low"", TODAY()-30, TODAY()), 0, 2))"),98.07)</f>
        <v>98.07</v>
      </c>
      <c r="J1270" s="9">
        <f>IFERROR(__xludf.DUMMYFUNCTION("GOOGLEFINANCE(A1270, ""high52"")"),132.5)</f>
        <v>132.5</v>
      </c>
      <c r="K1270" s="9">
        <f>IFERROR(__xludf.DUMMYFUNCTION("GOOGLEFINANCE(A1270, ""low52"")"),74.05)</f>
        <v>74.05</v>
      </c>
      <c r="L1270" s="9">
        <f t="shared" si="1"/>
        <v>0.2452830189</v>
      </c>
      <c r="M1270" s="9">
        <f t="shared" si="2"/>
        <v>0.3504388926</v>
      </c>
      <c r="N1270" s="9">
        <f t="shared" si="3"/>
        <v>0.01774667884</v>
      </c>
      <c r="O1270" s="9">
        <f t="shared" si="4"/>
        <v>0.08435314685</v>
      </c>
      <c r="P1270" s="9">
        <f>IFERROR(__xludf.DUMMYFUNCTION("GOOGLEFINANCE(A1270, ""pe"")"),37.47)</f>
        <v>37.47</v>
      </c>
      <c r="Q1270" s="9">
        <f>IFERROR(__xludf.DUMMYFUNCTION("IFERROR(GOOGLEFINANCE(A1270, ""volume"") / GOOGLEFINANCE(A1270, ""volumeavg""), 0)"),0.0)</f>
        <v>0</v>
      </c>
      <c r="R1270" s="9">
        <f>IFERROR(__xludf.DUMMYFUNCTION("AVERAGE(INDEX(GOOGLEFINANCE(A1270, ""price"", TODAY()-30, TODAY()), 0, 2))"),103.92826086956524)</f>
        <v>103.9282609</v>
      </c>
      <c r="S1270" s="9">
        <f>IFERROR(__xludf.DUMMYFUNCTION("AVERAGE(INDEX(GOOGLEFINANCE(A1270, ""price"", TODAY()-75, TODAY()), 0, 2))"),103.68943396226413)</f>
        <v>103.689434</v>
      </c>
      <c r="T1270" s="9">
        <f>IFERROR(__xludf.DUMMYFUNCTION("AVERAGE(INDEX(GOOGLEFINANCE(A1270, ""price"", TODAY()-300, TODAY()), 0, 2))"),100.44237623762373)</f>
        <v>100.4423762</v>
      </c>
      <c r="U1270" s="9">
        <f t="shared" si="5"/>
        <v>-0.03779781204</v>
      </c>
      <c r="V1270" s="15">
        <f>IFERROR(__xludf.DUMMYFUNCTION("LET(hist, GOOGLEFINANCE(A1270,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rs))))))"),48.05890227576975)</f>
        <v>48.05890228</v>
      </c>
      <c r="W1270" s="16" t="str">
        <f>IFERROR(__xludf.DUMMYFUNCTION("IFERROR(GOOGLEFINANCE(A1270, ""volume"") / GOOGLEFINANCE(A1270, ""volumeavg""), )"),"")</f>
        <v/>
      </c>
      <c r="X1270" s="9">
        <f>IFERROR(__xludf.DUMMYFUNCTION("B1270 * GOOGLEFINANCE(A1270, ""volume"")"),2.30854E7)</f>
        <v>23085400</v>
      </c>
      <c r="Y1270" s="9">
        <f>IFERROR(__xludf.DUMMYFUNCTION("IFERROR(((B1270 - GOOGLEFINANCE(A1270, ""priceopen"")) / GOOGLEFINANCE(A1270, ""priceopen"")) * GOOGLEFINANCE(A1270, ""volume""), 0)"),3254.102626508469)</f>
        <v>3254.102627</v>
      </c>
    </row>
    <row r="1271">
      <c r="A1271" s="4" t="s">
        <v>3064</v>
      </c>
      <c r="B1271" s="7">
        <f>IFERROR(__xludf.DUMMYFUNCTION("GOOGLEFINANCE(A1271, ""price"")"),231.96)</f>
        <v>231.96</v>
      </c>
      <c r="C1271" s="7">
        <f>IFERROR(__xludf.DUMMYFUNCTION("GOOGLEFINANCE(A1271, ""changepct"")"),-0.45)</f>
        <v>-0.45</v>
      </c>
      <c r="D1271" s="9">
        <f>IFERROR(__xludf.DUMMYFUNCTION("GOOGLEFINANCE(A1271, ""priceopen"")"),232.21)</f>
        <v>232.21</v>
      </c>
      <c r="E1271" s="9">
        <f>IFERROR(__xludf.DUMMYFUNCTION("GOOGLEFINANCE(A1271, ""high"")"),234.95)</f>
        <v>234.95</v>
      </c>
      <c r="F1271" s="9">
        <f>IFERROR(__xludf.DUMMYFUNCTION("GOOGLEFINANCE(A1271, ""low"")"),229.0)</f>
        <v>229</v>
      </c>
      <c r="G1271" s="9">
        <f>IFERROR(__xludf.DUMMYFUNCTION("GOOGLEFINANCE(A1271, ""price"")"),231.96)</f>
        <v>231.96</v>
      </c>
      <c r="H1271" s="9">
        <f>IFERROR(__xludf.DUMMYFUNCTION("MAX(INDEX(GOOGLEFINANCE(A1271, ""high"", TODAY()-30, TODAY()), 0, 2))"),264.0)</f>
        <v>264</v>
      </c>
      <c r="I1271" s="9">
        <f>IFERROR(__xludf.DUMMYFUNCTION("MIN(INDEX(GOOGLEFINANCE(A1271, ""low"", TODAY()-30, TODAY()), 0, 2))"),215.05)</f>
        <v>215.05</v>
      </c>
      <c r="J1271" s="9">
        <f>IFERROR(__xludf.DUMMYFUNCTION("GOOGLEFINANCE(A1271, ""high52"")"),293.11)</f>
        <v>293.11</v>
      </c>
      <c r="K1271" s="9">
        <f>IFERROR(__xludf.DUMMYFUNCTION("GOOGLEFINANCE(A1271, ""low52"")"),209.96)</f>
        <v>209.96</v>
      </c>
      <c r="L1271" s="9">
        <f t="shared" si="1"/>
        <v>0.2086247484</v>
      </c>
      <c r="M1271" s="9">
        <f t="shared" si="2"/>
        <v>0.1047818632</v>
      </c>
      <c r="N1271" s="9">
        <f t="shared" si="3"/>
        <v>0.02598253275</v>
      </c>
      <c r="O1271" s="9">
        <f t="shared" si="4"/>
        <v>0.3454545455</v>
      </c>
      <c r="P1271" s="9">
        <f>IFERROR(__xludf.DUMMYFUNCTION("GOOGLEFINANCE(A1271, ""pe"")"),14.11)</f>
        <v>14.11</v>
      </c>
      <c r="Q1271" s="9">
        <f>IFERROR(__xludf.DUMMYFUNCTION("IFERROR(GOOGLEFINANCE(A1271, ""volume"") / GOOGLEFINANCE(A1271, ""volumeavg""), 0)"),0.0)</f>
        <v>0</v>
      </c>
      <c r="R1271" s="9">
        <f>IFERROR(__xludf.DUMMYFUNCTION("AVERAGE(INDEX(GOOGLEFINANCE(A1271, ""price"", TODAY()-30, TODAY()), 0, 2))"),228.6356521739131)</f>
        <v>228.6356522</v>
      </c>
      <c r="S1271" s="9">
        <f>IFERROR(__xludf.DUMMYFUNCTION("AVERAGE(INDEX(GOOGLEFINANCE(A1271, ""price"", TODAY()-75, TODAY()), 0, 2))"),227.46433962264155)</f>
        <v>227.4643396</v>
      </c>
      <c r="T1271" s="9">
        <f>IFERROR(__xludf.DUMMYFUNCTION("AVERAGE(INDEX(GOOGLEFINANCE(A1271, ""price"", TODAY()-300, TODAY()), 0, 2))"),243.9867326732674)</f>
        <v>243.9867327</v>
      </c>
      <c r="U1271" s="9">
        <f t="shared" si="5"/>
        <v>0.01453993633</v>
      </c>
      <c r="V1271" s="15">
        <f>IFERROR(__xludf.DUMMYFUNCTION("LET(hist, GOOGLEFINANCE(A1271,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rs))))))"),53.001611603545555)</f>
        <v>53.0016116</v>
      </c>
      <c r="W1271" s="16" t="str">
        <f>IFERROR(__xludf.DUMMYFUNCTION("IFERROR(GOOGLEFINANCE(A1271, ""volume"") / GOOGLEFINANCE(A1271, ""volumeavg""), )"),"")</f>
        <v/>
      </c>
      <c r="X1271" s="9">
        <f>IFERROR(__xludf.DUMMYFUNCTION("B1271 * GOOGLEFINANCE(A1271, ""volume"")"),5496988.08)</f>
        <v>5496988.08</v>
      </c>
      <c r="Y1271" s="9">
        <f>IFERROR(__xludf.DUMMYFUNCTION("IFERROR(((B1271 - GOOGLEFINANCE(A1271, ""priceopen"")) / GOOGLEFINANCE(A1271, ""priceopen"")) * GOOGLEFINANCE(A1271, ""volume""), 0)"),-25.513543775031224)</f>
        <v>-25.51354378</v>
      </c>
    </row>
    <row r="1272">
      <c r="A1272" s="4" t="s">
        <v>3065</v>
      </c>
      <c r="B1272" s="7">
        <f>IFERROR(__xludf.DUMMYFUNCTION("GOOGLEFINANCE(A1272, ""price"")"),225.5)</f>
        <v>225.5</v>
      </c>
      <c r="C1272" s="7">
        <f>IFERROR(__xludf.DUMMYFUNCTION("GOOGLEFINANCE(A1272, ""changepct"")"),-2.38)</f>
        <v>-2.38</v>
      </c>
      <c r="D1272" s="9">
        <f>IFERROR(__xludf.DUMMYFUNCTION("GOOGLEFINANCE(A1272, ""priceopen"")"),230.4)</f>
        <v>230.4</v>
      </c>
      <c r="E1272" s="9">
        <f>IFERROR(__xludf.DUMMYFUNCTION("GOOGLEFINANCE(A1272, ""high"")"),231.98)</f>
        <v>231.98</v>
      </c>
      <c r="F1272" s="9">
        <f>IFERROR(__xludf.DUMMYFUNCTION("GOOGLEFINANCE(A1272, ""low"")"),224.6)</f>
        <v>224.6</v>
      </c>
      <c r="G1272" s="9">
        <f>IFERROR(__xludf.DUMMYFUNCTION("GOOGLEFINANCE(A1272, ""price"")"),225.5)</f>
        <v>225.5</v>
      </c>
      <c r="H1272" s="9">
        <f>IFERROR(__xludf.DUMMYFUNCTION("MAX(INDEX(GOOGLEFINANCE(A1272, ""high"", TODAY()-30, TODAY()), 0, 2))"),263.7)</f>
        <v>263.7</v>
      </c>
      <c r="I1272" s="9">
        <f>IFERROR(__xludf.DUMMYFUNCTION("MIN(INDEX(GOOGLEFINANCE(A1272, ""low"", TODAY()-30, TODAY()), 0, 2))"),214.24)</f>
        <v>214.24</v>
      </c>
      <c r="J1272" s="9">
        <f>IFERROR(__xludf.DUMMYFUNCTION("GOOGLEFINANCE(A1272, ""high52"")"),264.5)</f>
        <v>264.5</v>
      </c>
      <c r="K1272" s="9">
        <f>IFERROR(__xludf.DUMMYFUNCTION("GOOGLEFINANCE(A1272, ""low52"")"),155.0)</f>
        <v>155</v>
      </c>
      <c r="L1272" s="9">
        <f t="shared" si="1"/>
        <v>0.1474480151</v>
      </c>
      <c r="M1272" s="9">
        <f t="shared" si="2"/>
        <v>0.4548387097</v>
      </c>
      <c r="N1272" s="9">
        <f t="shared" si="3"/>
        <v>0.03285841496</v>
      </c>
      <c r="O1272" s="9">
        <f t="shared" si="4"/>
        <v>0.2276587141</v>
      </c>
      <c r="P1272" s="9">
        <f>IFERROR(__xludf.DUMMYFUNCTION("GOOGLEFINANCE(A1272, ""pe"")"),33.61)</f>
        <v>33.61</v>
      </c>
      <c r="Q1272" s="9">
        <f>IFERROR(__xludf.DUMMYFUNCTION("IFERROR(GOOGLEFINANCE(A1272, ""volume"") / GOOGLEFINANCE(A1272, ""volumeavg""), 0)"),0.0)</f>
        <v>0</v>
      </c>
      <c r="R1272" s="9">
        <f>IFERROR(__xludf.DUMMYFUNCTION("AVERAGE(INDEX(GOOGLEFINANCE(A1272, ""price"", TODAY()-30, TODAY()), 0, 2))"),228.5621739130435)</f>
        <v>228.5621739</v>
      </c>
      <c r="S1272" s="9">
        <f>IFERROR(__xludf.DUMMYFUNCTION("AVERAGE(INDEX(GOOGLEFINANCE(A1272, ""price"", TODAY()-75, TODAY()), 0, 2))"),222.84490566037738)</f>
        <v>222.8449057</v>
      </c>
      <c r="T1272" s="9">
        <f>IFERROR(__xludf.DUMMYFUNCTION("AVERAGE(INDEX(GOOGLEFINANCE(A1272, ""price"", TODAY()-300, TODAY()), 0, 2))"),202.02422885572136)</f>
        <v>202.0242289</v>
      </c>
      <c r="U1272" s="9">
        <f t="shared" si="5"/>
        <v>-0.01339755332</v>
      </c>
      <c r="V1272" s="15">
        <f>IFERROR(__xludf.DUMMYFUNCTION("LET(hist, GOOGLEFINANCE(A1272,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rs))))))"),56.265356265356274)</f>
        <v>56.26535627</v>
      </c>
      <c r="W1272" s="16" t="str">
        <f>IFERROR(__xludf.DUMMYFUNCTION("IFERROR(GOOGLEFINANCE(A1272, ""volume"") / GOOGLEFINANCE(A1272, ""volumeavg""), )"),"")</f>
        <v/>
      </c>
      <c r="X1272" s="9">
        <f>IFERROR(__xludf.DUMMYFUNCTION("B1272 * GOOGLEFINANCE(A1272, ""volume"")"),3.4601171E7)</f>
        <v>34601171</v>
      </c>
      <c r="Y1272" s="9">
        <f>IFERROR(__xludf.DUMMYFUNCTION("IFERROR(((B1272 - GOOGLEFINANCE(A1272, ""priceopen"")) / GOOGLEFINANCE(A1272, ""priceopen"")) * GOOGLEFINANCE(A1272, ""volume""), 0)"),-3263.306423611115)</f>
        <v>-3263.306424</v>
      </c>
    </row>
    <row r="1273">
      <c r="A1273" s="4" t="s">
        <v>3066</v>
      </c>
      <c r="B1273" s="7">
        <f>IFERROR(__xludf.DUMMYFUNCTION("GOOGLEFINANCE(A1273, ""price"")"),80.2)</f>
        <v>80.2</v>
      </c>
      <c r="C1273" s="7">
        <f>IFERROR(__xludf.DUMMYFUNCTION("GOOGLEFINANCE(A1273, ""changepct"")"),0.09)</f>
        <v>0.09</v>
      </c>
      <c r="D1273" s="9">
        <f>IFERROR(__xludf.DUMMYFUNCTION("GOOGLEFINANCE(A1273, ""priceopen"")"),80.19)</f>
        <v>80.19</v>
      </c>
      <c r="E1273" s="9">
        <f>IFERROR(__xludf.DUMMYFUNCTION("GOOGLEFINANCE(A1273, ""high"")"),81.79)</f>
        <v>81.79</v>
      </c>
      <c r="F1273" s="9">
        <f>IFERROR(__xludf.DUMMYFUNCTION("GOOGLEFINANCE(A1273, ""low"")"),80.01)</f>
        <v>80.01</v>
      </c>
      <c r="G1273" s="9">
        <f>IFERROR(__xludf.DUMMYFUNCTION("GOOGLEFINANCE(A1273, ""price"")"),80.2)</f>
        <v>80.2</v>
      </c>
      <c r="H1273" s="9">
        <f>IFERROR(__xludf.DUMMYFUNCTION("MAX(INDEX(GOOGLEFINANCE(A1273, ""high"", TODAY()-30, TODAY()), 0, 2))"),92.48)</f>
        <v>92.48</v>
      </c>
      <c r="I1273" s="9">
        <f>IFERROR(__xludf.DUMMYFUNCTION("MIN(INDEX(GOOGLEFINANCE(A1273, ""low"", TODAY()-30, TODAY()), 0, 2))"),80.0)</f>
        <v>80</v>
      </c>
      <c r="J1273" s="9">
        <f>IFERROR(__xludf.DUMMYFUNCTION("GOOGLEFINANCE(A1273, ""high52"")"),109.99)</f>
        <v>109.99</v>
      </c>
      <c r="K1273" s="9">
        <f>IFERROR(__xludf.DUMMYFUNCTION("GOOGLEFINANCE(A1273, ""low52"")"),58.6)</f>
        <v>58.6</v>
      </c>
      <c r="L1273" s="9">
        <f t="shared" si="1"/>
        <v>0.2708428039</v>
      </c>
      <c r="M1273" s="9">
        <f t="shared" si="2"/>
        <v>0.3686006826</v>
      </c>
      <c r="N1273" s="9">
        <f t="shared" si="3"/>
        <v>0.0222472191</v>
      </c>
      <c r="O1273" s="9">
        <f t="shared" si="4"/>
        <v>0.01602564103</v>
      </c>
      <c r="P1273" s="9">
        <f>IFERROR(__xludf.DUMMYFUNCTION("GOOGLEFINANCE(A1273, ""pe"")"),14.14)</f>
        <v>14.14</v>
      </c>
      <c r="Q1273" s="9">
        <f>IFERROR(__xludf.DUMMYFUNCTION("IFERROR(GOOGLEFINANCE(A1273, ""volume"") / GOOGLEFINANCE(A1273, ""volumeavg""), 0)"),0.0)</f>
        <v>0</v>
      </c>
      <c r="R1273" s="9">
        <f>IFERROR(__xludf.DUMMYFUNCTION("AVERAGE(INDEX(GOOGLEFINANCE(A1273, ""price"", TODAY()-30, TODAY()), 0, 2))"),84.74869565217394)</f>
        <v>84.74869565</v>
      </c>
      <c r="S1273" s="9">
        <f>IFERROR(__xludf.DUMMYFUNCTION("AVERAGE(INDEX(GOOGLEFINANCE(A1273, ""price"", TODAY()-75, TODAY()), 0, 2))"),87.1501886792453)</f>
        <v>87.15018868</v>
      </c>
      <c r="T1273" s="9">
        <f>IFERROR(__xludf.DUMMYFUNCTION("AVERAGE(INDEX(GOOGLEFINANCE(A1273, ""price"", TODAY()-300, TODAY()), 0, 2))"),81.04415841584158)</f>
        <v>81.04415842</v>
      </c>
      <c r="U1273" s="9">
        <f t="shared" si="5"/>
        <v>-0.05367275115</v>
      </c>
      <c r="V1273" s="15">
        <f>IFERROR(__xludf.DUMMYFUNCTION("LET(hist, GOOGLEFINANCE(A1273,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rs))))))"),33.54531001589825)</f>
        <v>33.54531002</v>
      </c>
      <c r="W1273" s="16" t="str">
        <f>IFERROR(__xludf.DUMMYFUNCTION("IFERROR(GOOGLEFINANCE(A1273, ""volume"") / GOOGLEFINANCE(A1273, ""volumeavg""), )"),"")</f>
        <v/>
      </c>
      <c r="X1273" s="9">
        <f>IFERROR(__xludf.DUMMYFUNCTION("B1273 * GOOGLEFINANCE(A1273, ""volume"")"),1.85682248E7)</f>
        <v>18568224.8</v>
      </c>
      <c r="Y1273" s="9">
        <f>IFERROR(__xludf.DUMMYFUNCTION("IFERROR(((B1273 - GOOGLEFINANCE(A1273, ""priceopen"")) / GOOGLEFINANCE(A1273, ""priceopen"")) * GOOGLEFINANCE(A1273, ""volume""), 0)"),28.871929168240232)</f>
        <v>28.87192917</v>
      </c>
    </row>
    <row r="1274">
      <c r="A1274" s="4" t="s">
        <v>3067</v>
      </c>
      <c r="B1274" s="7">
        <f>IFERROR(__xludf.DUMMYFUNCTION("GOOGLEFINANCE(A1274, ""price"")"),268.7)</f>
        <v>268.7</v>
      </c>
      <c r="C1274" s="7">
        <f>IFERROR(__xludf.DUMMYFUNCTION("GOOGLEFINANCE(A1274, ""changepct"")"),-0.76)</f>
        <v>-0.76</v>
      </c>
      <c r="D1274" s="9">
        <f>IFERROR(__xludf.DUMMYFUNCTION("GOOGLEFINANCE(A1274, ""priceopen"")"),272.45)</f>
        <v>272.45</v>
      </c>
      <c r="E1274" s="9">
        <f>IFERROR(__xludf.DUMMYFUNCTION("GOOGLEFINANCE(A1274, ""high"")"),275.95)</f>
        <v>275.95</v>
      </c>
      <c r="F1274" s="9">
        <f>IFERROR(__xludf.DUMMYFUNCTION("GOOGLEFINANCE(A1274, ""low"")"),268.0)</f>
        <v>268</v>
      </c>
      <c r="G1274" s="9">
        <f>IFERROR(__xludf.DUMMYFUNCTION("GOOGLEFINANCE(A1274, ""price"")"),268.7)</f>
        <v>268.7</v>
      </c>
      <c r="H1274" s="9">
        <f>IFERROR(__xludf.DUMMYFUNCTION("MAX(INDEX(GOOGLEFINANCE(A1274, ""high"", TODAY()-30, TODAY()), 0, 2))"),336.8)</f>
        <v>336.8</v>
      </c>
      <c r="I1274" s="9">
        <f>IFERROR(__xludf.DUMMYFUNCTION("MIN(INDEX(GOOGLEFINANCE(A1274, ""low"", TODAY()-30, TODAY()), 0, 2))"),264.35)</f>
        <v>264.35</v>
      </c>
      <c r="J1274" s="9">
        <f>IFERROR(__xludf.DUMMYFUNCTION("GOOGLEFINANCE(A1274, ""high52"")"),336.8)</f>
        <v>336.8</v>
      </c>
      <c r="K1274" s="9">
        <f>IFERROR(__xludf.DUMMYFUNCTION("GOOGLEFINANCE(A1274, ""low52"")"),191.41)</f>
        <v>191.41</v>
      </c>
      <c r="L1274" s="9">
        <f t="shared" si="1"/>
        <v>0.2021971496</v>
      </c>
      <c r="M1274" s="9">
        <f t="shared" si="2"/>
        <v>0.4037929053</v>
      </c>
      <c r="N1274" s="9">
        <f t="shared" si="3"/>
        <v>0.0296641791</v>
      </c>
      <c r="O1274" s="9">
        <f t="shared" si="4"/>
        <v>0.06004140787</v>
      </c>
      <c r="P1274" s="9">
        <f>IFERROR(__xludf.DUMMYFUNCTION("GOOGLEFINANCE(A1274, ""pe"")"),19.51)</f>
        <v>19.51</v>
      </c>
      <c r="Q1274" s="9">
        <f>IFERROR(__xludf.DUMMYFUNCTION("IFERROR(GOOGLEFINANCE(A1274, ""volume"") / GOOGLEFINANCE(A1274, ""volumeavg""), 0)"),0.0)</f>
        <v>0</v>
      </c>
      <c r="R1274" s="9">
        <f>IFERROR(__xludf.DUMMYFUNCTION("AVERAGE(INDEX(GOOGLEFINANCE(A1274, ""price"", TODAY()-30, TODAY()), 0, 2))"),296.7391304347826)</f>
        <v>296.7391304</v>
      </c>
      <c r="S1274" s="9">
        <f>IFERROR(__xludf.DUMMYFUNCTION("AVERAGE(INDEX(GOOGLEFINANCE(A1274, ""price"", TODAY()-75, TODAY()), 0, 2))"),284.0905660377358)</f>
        <v>284.090566</v>
      </c>
      <c r="T1274" s="9">
        <f>IFERROR(__xludf.DUMMYFUNCTION("AVERAGE(INDEX(GOOGLEFINANCE(A1274, ""price"", TODAY()-300, TODAY()), 0, 2))"),249.29554455445543)</f>
        <v>249.2955446</v>
      </c>
      <c r="U1274" s="9">
        <f t="shared" si="5"/>
        <v>-0.09449084249</v>
      </c>
      <c r="V1274" s="15">
        <f>IFERROR(__xludf.DUMMYFUNCTION("LET(hist, GOOGLEFINANCE(A1274,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rs))))))"),26.280623608017763)</f>
        <v>26.28062361</v>
      </c>
      <c r="W1274" s="16" t="str">
        <f>IFERROR(__xludf.DUMMYFUNCTION("IFERROR(GOOGLEFINANCE(A1274, ""volume"") / GOOGLEFINANCE(A1274, ""volumeavg""), )"),"")</f>
        <v/>
      </c>
      <c r="X1274" s="9">
        <f>IFERROR(__xludf.DUMMYFUNCTION("B1274 * GOOGLEFINANCE(A1274, ""volume"")"),1.1868210299999999E7)</f>
        <v>11868210.3</v>
      </c>
      <c r="Y1274" s="9">
        <f>IFERROR(__xludf.DUMMYFUNCTION("IFERROR(((B1274 - GOOGLEFINANCE(A1274, ""priceopen"")) / GOOGLEFINANCE(A1274, ""priceopen"")) * GOOGLEFINANCE(A1274, ""volume""), 0)"),-607.9418241879245)</f>
        <v>-607.9418242</v>
      </c>
    </row>
    <row r="1275">
      <c r="A1275" s="4" t="s">
        <v>3068</v>
      </c>
      <c r="B1275" s="7">
        <f>IFERROR(__xludf.DUMMYFUNCTION("GOOGLEFINANCE(A1275, ""price"")"),84.4)</f>
        <v>84.4</v>
      </c>
      <c r="C1275" s="7">
        <f>IFERROR(__xludf.DUMMYFUNCTION("GOOGLEFINANCE(A1275, ""changepct"")"),-0.8)</f>
        <v>-0.8</v>
      </c>
      <c r="D1275" s="9">
        <f>IFERROR(__xludf.DUMMYFUNCTION("GOOGLEFINANCE(A1275, ""priceopen"")"),84.15)</f>
        <v>84.15</v>
      </c>
      <c r="E1275" s="9">
        <f>IFERROR(__xludf.DUMMYFUNCTION("GOOGLEFINANCE(A1275, ""high"")"),85.56)</f>
        <v>85.56</v>
      </c>
      <c r="F1275" s="9">
        <f>IFERROR(__xludf.DUMMYFUNCTION("GOOGLEFINANCE(A1275, ""low"")"),83.91)</f>
        <v>83.91</v>
      </c>
      <c r="G1275" s="9">
        <f>IFERROR(__xludf.DUMMYFUNCTION("GOOGLEFINANCE(A1275, ""price"")"),84.4)</f>
        <v>84.4</v>
      </c>
      <c r="H1275" s="9">
        <f>IFERROR(__xludf.DUMMYFUNCTION("MAX(INDEX(GOOGLEFINANCE(A1275, ""high"", TODAY()-30, TODAY()), 0, 2))"),93.5)</f>
        <v>93.5</v>
      </c>
      <c r="I1275" s="9">
        <f>IFERROR(__xludf.DUMMYFUNCTION("MIN(INDEX(GOOGLEFINANCE(A1275, ""low"", TODAY()-30, TODAY()), 0, 2))"),83.91)</f>
        <v>83.91</v>
      </c>
      <c r="J1275" s="9">
        <f>IFERROR(__xludf.DUMMYFUNCTION("GOOGLEFINANCE(A1275, ""high52"")"),106.2)</f>
        <v>106.2</v>
      </c>
      <c r="K1275" s="9">
        <f>IFERROR(__xludf.DUMMYFUNCTION("GOOGLEFINANCE(A1275, ""low52"")"),32.0)</f>
        <v>32</v>
      </c>
      <c r="L1275" s="9">
        <f t="shared" si="1"/>
        <v>0.2052730697</v>
      </c>
      <c r="M1275" s="9">
        <f t="shared" si="2"/>
        <v>1.6375</v>
      </c>
      <c r="N1275" s="9">
        <f t="shared" si="3"/>
        <v>0.01966392563</v>
      </c>
      <c r="O1275" s="9">
        <f t="shared" si="4"/>
        <v>0.05109489051</v>
      </c>
      <c r="P1275" s="9">
        <f>IFERROR(__xludf.DUMMYFUNCTION("GOOGLEFINANCE(A1275, ""pe"")"),91.74)</f>
        <v>91.74</v>
      </c>
      <c r="Q1275" s="9">
        <f>IFERROR(__xludf.DUMMYFUNCTION("IFERROR(GOOGLEFINANCE(A1275, ""volume"") / GOOGLEFINANCE(A1275, ""volumeavg""), 0)"),0.0)</f>
        <v>0</v>
      </c>
      <c r="R1275" s="9">
        <f>IFERROR(__xludf.DUMMYFUNCTION("AVERAGE(INDEX(GOOGLEFINANCE(A1275, ""price"", TODAY()-30, TODAY()), 0, 2))"),87.50521739130436)</f>
        <v>87.50521739</v>
      </c>
      <c r="S1275" s="9">
        <f>IFERROR(__xludf.DUMMYFUNCTION("AVERAGE(INDEX(GOOGLEFINANCE(A1275, ""price"", TODAY()-75, TODAY()), 0, 2))"),89.11113207547167)</f>
        <v>89.11113208</v>
      </c>
      <c r="T1275" s="9">
        <f>IFERROR(__xludf.DUMMYFUNCTION("AVERAGE(INDEX(GOOGLEFINANCE(A1275, ""price"", TODAY()-300, TODAY()), 0, 2))"),78.12762376237622)</f>
        <v>78.12762376</v>
      </c>
      <c r="U1275" s="9">
        <f t="shared" si="5"/>
        <v>-0.03548608282</v>
      </c>
      <c r="V1275" s="15">
        <f>IFERROR(__xludf.DUMMYFUNCTION("LET(hist, GOOGLEFINANCE(A1275,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rs))))))"),36.64122137404578)</f>
        <v>36.64122137</v>
      </c>
      <c r="W1275" s="16" t="str">
        <f>IFERROR(__xludf.DUMMYFUNCTION("IFERROR(GOOGLEFINANCE(A1275, ""volume"") / GOOGLEFINANCE(A1275, ""volumeavg""), )"),"")</f>
        <v/>
      </c>
      <c r="X1275" s="9">
        <f>IFERROR(__xludf.DUMMYFUNCTION("B1275 * GOOGLEFINANCE(A1275, ""volume"")"),1.02702984E8)</f>
        <v>102702984</v>
      </c>
      <c r="Y1275" s="9">
        <f>IFERROR(__xludf.DUMMYFUNCTION("IFERROR(((B1275 - GOOGLEFINANCE(A1275, ""priceopen"")) / GOOGLEFINANCE(A1275, ""priceopen"")) * GOOGLEFINANCE(A1275, ""volume""), 0)"),3615.151515151515)</f>
        <v>3615.151515</v>
      </c>
    </row>
    <row r="1276">
      <c r="A1276" s="4" t="s">
        <v>3069</v>
      </c>
      <c r="B1276" s="7">
        <f>IFERROR(__xludf.DUMMYFUNCTION("GOOGLEFINANCE(A1276, ""price"")"),59.2)</f>
        <v>59.2</v>
      </c>
      <c r="C1276" s="7">
        <f>IFERROR(__xludf.DUMMYFUNCTION("GOOGLEFINANCE(A1276, ""changepct"")"),0.56)</f>
        <v>0.56</v>
      </c>
      <c r="D1276" s="9">
        <f>IFERROR(__xludf.DUMMYFUNCTION("GOOGLEFINANCE(A1276, ""priceopen"")"),59.16)</f>
        <v>59.16</v>
      </c>
      <c r="E1276" s="9">
        <f>IFERROR(__xludf.DUMMYFUNCTION("GOOGLEFINANCE(A1276, ""high"")"),60.95)</f>
        <v>60.95</v>
      </c>
      <c r="F1276" s="9">
        <f>IFERROR(__xludf.DUMMYFUNCTION("GOOGLEFINANCE(A1276, ""low"")"),57.0)</f>
        <v>57</v>
      </c>
      <c r="G1276" s="9">
        <f>IFERROR(__xludf.DUMMYFUNCTION("GOOGLEFINANCE(A1276, ""price"")"),59.2)</f>
        <v>59.2</v>
      </c>
      <c r="H1276" s="9">
        <f>IFERROR(__xludf.DUMMYFUNCTION("MAX(INDEX(GOOGLEFINANCE(A1276, ""high"", TODAY()-30, TODAY()), 0, 2))"),61.25)</f>
        <v>61.25</v>
      </c>
      <c r="I1276" s="9">
        <f>IFERROR(__xludf.DUMMYFUNCTION("MIN(INDEX(GOOGLEFINANCE(A1276, ""low"", TODAY()-30, TODAY()), 0, 2))"),51.78)</f>
        <v>51.78</v>
      </c>
      <c r="J1276" s="9">
        <f>IFERROR(__xludf.DUMMYFUNCTION("GOOGLEFINANCE(A1276, ""high52"")"),65.85)</f>
        <v>65.85</v>
      </c>
      <c r="K1276" s="9">
        <f>IFERROR(__xludf.DUMMYFUNCTION("GOOGLEFINANCE(A1276, ""low52"")"),40.58)</f>
        <v>40.58</v>
      </c>
      <c r="L1276" s="9">
        <f t="shared" si="1"/>
        <v>0.1009870919</v>
      </c>
      <c r="M1276" s="9">
        <f t="shared" si="2"/>
        <v>0.4588467225</v>
      </c>
      <c r="N1276" s="9">
        <f t="shared" si="3"/>
        <v>0.06929824561</v>
      </c>
      <c r="O1276" s="9">
        <f t="shared" si="4"/>
        <v>0.7835269271</v>
      </c>
      <c r="P1276" s="9">
        <f>IFERROR(__xludf.DUMMYFUNCTION("GOOGLEFINANCE(A1276, ""pe"")"),40.83)</f>
        <v>40.83</v>
      </c>
      <c r="Q1276" s="9">
        <f>IFERROR(__xludf.DUMMYFUNCTION("IFERROR(GOOGLEFINANCE(A1276, ""volume"") / GOOGLEFINANCE(A1276, ""volumeavg""), 0)"),0.0)</f>
        <v>0</v>
      </c>
      <c r="R1276" s="9">
        <f>IFERROR(__xludf.DUMMYFUNCTION("AVERAGE(INDEX(GOOGLEFINANCE(A1276, ""price"", TODAY()-30, TODAY()), 0, 2))"),56.289565217391285)</f>
        <v>56.28956522</v>
      </c>
      <c r="S1276" s="9">
        <f>IFERROR(__xludf.DUMMYFUNCTION("AVERAGE(INDEX(GOOGLEFINANCE(A1276, ""price"", TODAY()-75, TODAY()), 0, 2))"),57.06566037735848)</f>
        <v>57.06566038</v>
      </c>
      <c r="T1276" s="9">
        <f>IFERROR(__xludf.DUMMYFUNCTION("AVERAGE(INDEX(GOOGLEFINANCE(A1276, ""price"", TODAY()-300, TODAY()), 0, 2))"),53.150594059405925)</f>
        <v>53.15059406</v>
      </c>
      <c r="U1276" s="9">
        <f t="shared" si="5"/>
        <v>0.05170469467</v>
      </c>
      <c r="V1276" s="15">
        <f>IFERROR(__xludf.DUMMYFUNCTION("LET(hist, GOOGLEFINANCE(A1276,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rs))))))"),78.35249042145595)</f>
        <v>78.35249042</v>
      </c>
      <c r="W1276" s="16" t="str">
        <f>IFERROR(__xludf.DUMMYFUNCTION("IFERROR(GOOGLEFINANCE(A1276, ""volume"") / GOOGLEFINANCE(A1276, ""volumeavg""), )"),"")</f>
        <v/>
      </c>
      <c r="X1276" s="9">
        <f>IFERROR(__xludf.DUMMYFUNCTION("B1276 * GOOGLEFINANCE(A1276, ""volume"")"),1.100582464E8)</f>
        <v>110058246.4</v>
      </c>
      <c r="Y1276" s="9">
        <f>IFERROR(__xludf.DUMMYFUNCTION("IFERROR(((B1276 - GOOGLEFINANCE(A1276, ""priceopen"")) / GOOGLEFINANCE(A1276, ""priceopen"")) * GOOGLEFINANCE(A1276, ""volume""), 0)"),1256.9925625424548)</f>
        <v>1256.992563</v>
      </c>
    </row>
    <row r="1277">
      <c r="A1277" s="4" t="s">
        <v>3070</v>
      </c>
      <c r="B1277" s="7">
        <f>IFERROR(__xludf.DUMMYFUNCTION("GOOGLEFINANCE(A1277, ""price"")"),103.83)</f>
        <v>103.83</v>
      </c>
      <c r="C1277" s="7">
        <f>IFERROR(__xludf.DUMMYFUNCTION("GOOGLEFINANCE(A1277, ""changepct"")"),1.43)</f>
        <v>1.43</v>
      </c>
      <c r="D1277" s="9">
        <f>IFERROR(__xludf.DUMMYFUNCTION("GOOGLEFINANCE(A1277, ""priceopen"")"),101.8)</f>
        <v>101.8</v>
      </c>
      <c r="E1277" s="9">
        <f>IFERROR(__xludf.DUMMYFUNCTION("GOOGLEFINANCE(A1277, ""high"")"),104.7)</f>
        <v>104.7</v>
      </c>
      <c r="F1277" s="9">
        <f>IFERROR(__xludf.DUMMYFUNCTION("GOOGLEFINANCE(A1277, ""low"")"),99.5)</f>
        <v>99.5</v>
      </c>
      <c r="G1277" s="9">
        <f>IFERROR(__xludf.DUMMYFUNCTION("GOOGLEFINANCE(A1277, ""price"")"),103.83)</f>
        <v>103.83</v>
      </c>
      <c r="H1277" s="9">
        <f>IFERROR(__xludf.DUMMYFUNCTION("MAX(INDEX(GOOGLEFINANCE(A1277, ""high"", TODAY()-30, TODAY()), 0, 2))"),109.72)</f>
        <v>109.72</v>
      </c>
      <c r="I1277" s="9">
        <f>IFERROR(__xludf.DUMMYFUNCTION("MIN(INDEX(GOOGLEFINANCE(A1277, ""low"", TODAY()-30, TODAY()), 0, 2))"),95.5)</f>
        <v>95.5</v>
      </c>
      <c r="J1277" s="9">
        <f>IFERROR(__xludf.DUMMYFUNCTION("GOOGLEFINANCE(A1277, ""high52"")"),219.0)</f>
        <v>219</v>
      </c>
      <c r="K1277" s="9">
        <f>IFERROR(__xludf.DUMMYFUNCTION("GOOGLEFINANCE(A1277, ""low52"")"),69.9)</f>
        <v>69.9</v>
      </c>
      <c r="L1277" s="9">
        <f t="shared" si="1"/>
        <v>0.525890411</v>
      </c>
      <c r="M1277" s="9">
        <f t="shared" si="2"/>
        <v>0.4854077253</v>
      </c>
      <c r="N1277" s="9">
        <f t="shared" si="3"/>
        <v>0.05226130653</v>
      </c>
      <c r="O1277" s="9">
        <f t="shared" si="4"/>
        <v>0.5857946554</v>
      </c>
      <c r="P1277" s="9" t="str">
        <f>IFERROR(__xludf.DUMMYFUNCTION("GOOGLEFINANCE(A1277, ""pe"")"),"#N/A")</f>
        <v>#N/A</v>
      </c>
      <c r="Q1277" s="9">
        <f>IFERROR(__xludf.DUMMYFUNCTION("IFERROR(GOOGLEFINANCE(A1277, ""volume"") / GOOGLEFINANCE(A1277, ""volumeavg""), 0)"),0.0)</f>
        <v>0</v>
      </c>
      <c r="R1277" s="9">
        <f>IFERROR(__xludf.DUMMYFUNCTION("AVERAGE(INDEX(GOOGLEFINANCE(A1277, ""price"", TODAY()-30, TODAY()), 0, 2))"),101.44521739130435)</f>
        <v>101.4452174</v>
      </c>
      <c r="S1277" s="9">
        <f>IFERROR(__xludf.DUMMYFUNCTION("AVERAGE(INDEX(GOOGLEFINANCE(A1277, ""price"", TODAY()-75, TODAY()), 0, 2))"),95.3432075471698)</f>
        <v>95.34320755</v>
      </c>
      <c r="T1277" s="9">
        <f>IFERROR(__xludf.DUMMYFUNCTION("AVERAGE(INDEX(GOOGLEFINANCE(A1277, ""price"", TODAY()-300, TODAY()), 0, 2))"),110.38910447761188)</f>
        <v>110.3891045</v>
      </c>
      <c r="U1277" s="9">
        <f t="shared" si="5"/>
        <v>0.02350808318</v>
      </c>
      <c r="V1277" s="15">
        <f>IFERROR(__xludf.DUMMYFUNCTION("LET(hist, GOOGLEFINANCE(A1277,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rs))))))"),56.13682092555333)</f>
        <v>56.13682093</v>
      </c>
      <c r="W1277" s="16" t="str">
        <f>IFERROR(__xludf.DUMMYFUNCTION("IFERROR(GOOGLEFINANCE(A1277, ""volume"") / GOOGLEFINANCE(A1277, ""volumeavg""), )"),"")</f>
        <v/>
      </c>
      <c r="X1277" s="9">
        <f>IFERROR(__xludf.DUMMYFUNCTION("B1277 * GOOGLEFINANCE(A1277, ""volume"")"),3.680866947E7)</f>
        <v>36808669.47</v>
      </c>
      <c r="Y1277" s="9">
        <f>IFERROR(__xludf.DUMMYFUNCTION("IFERROR(((B1277 - GOOGLEFINANCE(A1277, ""priceopen"")) / GOOGLEFINANCE(A1277, ""priceopen"")) * GOOGLEFINANCE(A1277, ""volume""), 0)"),7069.285559921419)</f>
        <v>7069.28556</v>
      </c>
    </row>
    <row r="1278">
      <c r="A1278" s="4" t="s">
        <v>3071</v>
      </c>
      <c r="B1278" s="7">
        <f>IFERROR(__xludf.DUMMYFUNCTION("GOOGLEFINANCE(A1278, ""price"")"),212.05)</f>
        <v>212.05</v>
      </c>
      <c r="C1278" s="7">
        <f>IFERROR(__xludf.DUMMYFUNCTION("GOOGLEFINANCE(A1278, ""changepct"")"),-2.84)</f>
        <v>-2.84</v>
      </c>
      <c r="D1278" s="9">
        <f>IFERROR(__xludf.DUMMYFUNCTION("GOOGLEFINANCE(A1278, ""priceopen"")"),219.9)</f>
        <v>219.9</v>
      </c>
      <c r="E1278" s="9">
        <f>IFERROR(__xludf.DUMMYFUNCTION("GOOGLEFINANCE(A1278, ""high"")"),224.77)</f>
        <v>224.77</v>
      </c>
      <c r="F1278" s="9">
        <f>IFERROR(__xludf.DUMMYFUNCTION("GOOGLEFINANCE(A1278, ""low"")"),212.0)</f>
        <v>212</v>
      </c>
      <c r="G1278" s="9">
        <f>IFERROR(__xludf.DUMMYFUNCTION("GOOGLEFINANCE(A1278, ""price"")"),212.05)</f>
        <v>212.05</v>
      </c>
      <c r="H1278" s="9">
        <f>IFERROR(__xludf.DUMMYFUNCTION("MAX(INDEX(GOOGLEFINANCE(A1278, ""high"", TODAY()-30, TODAY()), 0, 2))"),237.0)</f>
        <v>237</v>
      </c>
      <c r="I1278" s="9">
        <f>IFERROR(__xludf.DUMMYFUNCTION("MIN(INDEX(GOOGLEFINANCE(A1278, ""low"", TODAY()-30, TODAY()), 0, 2))"),192.39)</f>
        <v>192.39</v>
      </c>
      <c r="J1278" s="9">
        <f>IFERROR(__xludf.DUMMYFUNCTION("GOOGLEFINANCE(A1278, ""high52"")"),338.0)</f>
        <v>338</v>
      </c>
      <c r="K1278" s="9">
        <f>IFERROR(__xludf.DUMMYFUNCTION("GOOGLEFINANCE(A1278, ""low52"")"),119.68)</f>
        <v>119.68</v>
      </c>
      <c r="L1278" s="9">
        <f t="shared" si="1"/>
        <v>0.3726331361</v>
      </c>
      <c r="M1278" s="9">
        <f t="shared" si="2"/>
        <v>0.7718081551</v>
      </c>
      <c r="N1278" s="9">
        <f t="shared" si="3"/>
        <v>0.06023584906</v>
      </c>
      <c r="O1278" s="9">
        <f t="shared" si="4"/>
        <v>0.4407083614</v>
      </c>
      <c r="P1278" s="9">
        <f>IFERROR(__xludf.DUMMYFUNCTION("GOOGLEFINANCE(A1278, ""pe"")"),44.05)</f>
        <v>44.05</v>
      </c>
      <c r="Q1278" s="9">
        <f>IFERROR(__xludf.DUMMYFUNCTION("IFERROR(GOOGLEFINANCE(A1278, ""volume"") / GOOGLEFINANCE(A1278, ""volumeavg""), 0)"),0.0)</f>
        <v>0</v>
      </c>
      <c r="R1278" s="9">
        <f>IFERROR(__xludf.DUMMYFUNCTION("AVERAGE(INDEX(GOOGLEFINANCE(A1278, ""price"", TODAY()-30, TODAY()), 0, 2))"),211.1208695652174)</f>
        <v>211.1208696</v>
      </c>
      <c r="S1278" s="9">
        <f>IFERROR(__xludf.DUMMYFUNCTION("AVERAGE(INDEX(GOOGLEFINANCE(A1278, ""price"", TODAY()-75, TODAY()), 0, 2))"),203.45339622641515)</f>
        <v>203.4533962</v>
      </c>
      <c r="T1278" s="9">
        <f>IFERROR(__xludf.DUMMYFUNCTION("AVERAGE(INDEX(GOOGLEFINANCE(A1278, ""price"", TODAY()-300, TODAY()), 0, 2))"),194.37539603960383)</f>
        <v>194.375396</v>
      </c>
      <c r="U1278" s="9">
        <f t="shared" si="5"/>
        <v>0.004400940735</v>
      </c>
      <c r="V1278" s="15">
        <f>IFERROR(__xludf.DUMMYFUNCTION("LET(hist, GOOGLEFINANCE(A1278,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rs))))))"),63.60655737704919)</f>
        <v>63.60655738</v>
      </c>
      <c r="W1278" s="16" t="str">
        <f>IFERROR(__xludf.DUMMYFUNCTION("IFERROR(GOOGLEFINANCE(A1278, ""volume"") / GOOGLEFINANCE(A1278, ""volumeavg""), )"),"")</f>
        <v/>
      </c>
      <c r="X1278" s="9">
        <f>IFERROR(__xludf.DUMMYFUNCTION("B1278 * GOOGLEFINANCE(A1278, ""volume"")"),6784751.800000001)</f>
        <v>6784751.8</v>
      </c>
      <c r="Y1278" s="9">
        <f>IFERROR(__xludf.DUMMYFUNCTION("IFERROR(((B1278 - GOOGLEFINANCE(A1278, ""priceopen"")) / GOOGLEFINANCE(A1278, ""priceopen"")) * GOOGLEFINANCE(A1278, ""volume""), 0)"),-1142.1946339245103)</f>
        <v>-1142.194634</v>
      </c>
    </row>
    <row r="1279">
      <c r="A1279" s="4" t="s">
        <v>3072</v>
      </c>
      <c r="B1279" s="7">
        <f>IFERROR(__xludf.DUMMYFUNCTION("GOOGLEFINANCE(A1279, ""price"")"),117.0)</f>
        <v>117</v>
      </c>
      <c r="C1279" s="7">
        <f>IFERROR(__xludf.DUMMYFUNCTION("GOOGLEFINANCE(A1279, ""changepct"")"),0.43)</f>
        <v>0.43</v>
      </c>
      <c r="D1279" s="9">
        <f>IFERROR(__xludf.DUMMYFUNCTION("GOOGLEFINANCE(A1279, ""priceopen"")"),116.27)</f>
        <v>116.27</v>
      </c>
      <c r="E1279" s="9">
        <f>IFERROR(__xludf.DUMMYFUNCTION("GOOGLEFINANCE(A1279, ""high"")"),120.19)</f>
        <v>120.19</v>
      </c>
      <c r="F1279" s="9">
        <f>IFERROR(__xludf.DUMMYFUNCTION("GOOGLEFINANCE(A1279, ""low"")"),115.21)</f>
        <v>115.21</v>
      </c>
      <c r="G1279" s="9">
        <f>IFERROR(__xludf.DUMMYFUNCTION("GOOGLEFINANCE(A1279, ""price"")"),117.0)</f>
        <v>117</v>
      </c>
      <c r="H1279" s="9">
        <f>IFERROR(__xludf.DUMMYFUNCTION("MAX(INDEX(GOOGLEFINANCE(A1279, ""high"", TODAY()-30, TODAY()), 0, 2))"),124.0)</f>
        <v>124</v>
      </c>
      <c r="I1279" s="9">
        <f>IFERROR(__xludf.DUMMYFUNCTION("MIN(INDEX(GOOGLEFINANCE(A1279, ""low"", TODAY()-30, TODAY()), 0, 2))"),110.0)</f>
        <v>110</v>
      </c>
      <c r="J1279" s="9">
        <f>IFERROR(__xludf.DUMMYFUNCTION("GOOGLEFINANCE(A1279, ""high52"")"),150.0)</f>
        <v>150</v>
      </c>
      <c r="K1279" s="9">
        <f>IFERROR(__xludf.DUMMYFUNCTION("GOOGLEFINANCE(A1279, ""low52"")"),96.22)</f>
        <v>96.22</v>
      </c>
      <c r="L1279" s="9">
        <f t="shared" si="1"/>
        <v>0.22</v>
      </c>
      <c r="M1279" s="9">
        <f t="shared" si="2"/>
        <v>0.2159634172</v>
      </c>
      <c r="N1279" s="9">
        <f t="shared" si="3"/>
        <v>0.04322541446</v>
      </c>
      <c r="O1279" s="9">
        <f t="shared" si="4"/>
        <v>0.5</v>
      </c>
      <c r="P1279" s="9">
        <f>IFERROR(__xludf.DUMMYFUNCTION("GOOGLEFINANCE(A1279, ""pe"")"),15.02)</f>
        <v>15.02</v>
      </c>
      <c r="Q1279" s="9">
        <f>IFERROR(__xludf.DUMMYFUNCTION("IFERROR(GOOGLEFINANCE(A1279, ""volume"") / GOOGLEFINANCE(A1279, ""volumeavg""), 0)"),0.0)</f>
        <v>0</v>
      </c>
      <c r="R1279" s="9">
        <f>IFERROR(__xludf.DUMMYFUNCTION("AVERAGE(INDEX(GOOGLEFINANCE(A1279, ""price"", TODAY()-30, TODAY()), 0, 2))"),117.97217391304346)</f>
        <v>117.9721739</v>
      </c>
      <c r="S1279" s="9">
        <f>IFERROR(__xludf.DUMMYFUNCTION("AVERAGE(INDEX(GOOGLEFINANCE(A1279, ""price"", TODAY()-75, TODAY()), 0, 2))"),120.42792452830186)</f>
        <v>120.4279245</v>
      </c>
      <c r="T1279" s="9">
        <f>IFERROR(__xludf.DUMMYFUNCTION("AVERAGE(INDEX(GOOGLEFINANCE(A1279, ""price"", TODAY()-300, TODAY()), 0, 2))"),112.80621890547262)</f>
        <v>112.8062189</v>
      </c>
      <c r="U1279" s="9">
        <f t="shared" si="5"/>
        <v>-0.008240705251</v>
      </c>
      <c r="V1279" s="15">
        <f>IFERROR(__xludf.DUMMYFUNCTION("LET(hist, GOOGLEFINANCE(A1279,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rs))))))"),57.668102020536615)</f>
        <v>57.66810202</v>
      </c>
      <c r="W1279" s="16" t="str">
        <f>IFERROR(__xludf.DUMMYFUNCTION("IFERROR(GOOGLEFINANCE(A1279, ""volume"") / GOOGLEFINANCE(A1279, ""volumeavg""), )"),"")</f>
        <v/>
      </c>
      <c r="X1279" s="9">
        <f>IFERROR(__xludf.DUMMYFUNCTION("B1279 * GOOGLEFINANCE(A1279, ""volume"")"),1.2189645E7)</f>
        <v>12189645</v>
      </c>
      <c r="Y1279" s="9">
        <f>IFERROR(__xludf.DUMMYFUNCTION("IFERROR(((B1279 - GOOGLEFINANCE(A1279, ""priceopen"")) / GOOGLEFINANCE(A1279, ""priceopen"")) * GOOGLEFINANCE(A1279, ""volume""), 0)"),654.1244517072367)</f>
        <v>654.1244517</v>
      </c>
    </row>
    <row r="1280">
      <c r="A1280" s="4" t="s">
        <v>3073</v>
      </c>
      <c r="B1280" s="7">
        <f>IFERROR(__xludf.DUMMYFUNCTION("GOOGLEFINANCE(A1280, ""price"")"),278.9)</f>
        <v>278.9</v>
      </c>
      <c r="C1280" s="7">
        <f>IFERROR(__xludf.DUMMYFUNCTION("GOOGLEFINANCE(A1280, ""changepct"")"),-3.38)</f>
        <v>-3.38</v>
      </c>
      <c r="D1280" s="9">
        <f>IFERROR(__xludf.DUMMYFUNCTION("GOOGLEFINANCE(A1280, ""priceopen"")"),290.0)</f>
        <v>290</v>
      </c>
      <c r="E1280" s="9">
        <f>IFERROR(__xludf.DUMMYFUNCTION("GOOGLEFINANCE(A1280, ""high"")"),293.0)</f>
        <v>293</v>
      </c>
      <c r="F1280" s="9">
        <f>IFERROR(__xludf.DUMMYFUNCTION("GOOGLEFINANCE(A1280, ""low"")"),274.65)</f>
        <v>274.65</v>
      </c>
      <c r="G1280" s="9">
        <f>IFERROR(__xludf.DUMMYFUNCTION("GOOGLEFINANCE(A1280, ""price"")"),278.9)</f>
        <v>278.9</v>
      </c>
      <c r="H1280" s="9">
        <f>IFERROR(__xludf.DUMMYFUNCTION("MAX(INDEX(GOOGLEFINANCE(A1280, ""high"", TODAY()-30, TODAY()), 0, 2))"),297.85)</f>
        <v>297.85</v>
      </c>
      <c r="I1280" s="9">
        <f>IFERROR(__xludf.DUMMYFUNCTION("MIN(INDEX(GOOGLEFINANCE(A1280, ""low"", TODAY()-30, TODAY()), 0, 2))"),248.05)</f>
        <v>248.05</v>
      </c>
      <c r="J1280" s="9">
        <f>IFERROR(__xludf.DUMMYFUNCTION("GOOGLEFINANCE(A1280, ""high52"")"),396.0)</f>
        <v>396</v>
      </c>
      <c r="K1280" s="9">
        <f>IFERROR(__xludf.DUMMYFUNCTION("GOOGLEFINANCE(A1280, ""low52"")"),220.5)</f>
        <v>220.5</v>
      </c>
      <c r="L1280" s="9">
        <f t="shared" si="1"/>
        <v>0.2957070707</v>
      </c>
      <c r="M1280" s="9">
        <f t="shared" si="2"/>
        <v>0.2648526077</v>
      </c>
      <c r="N1280" s="9">
        <f t="shared" si="3"/>
        <v>0.06681230657</v>
      </c>
      <c r="O1280" s="9">
        <f t="shared" si="4"/>
        <v>0.6194779116</v>
      </c>
      <c r="P1280" s="9">
        <f>IFERROR(__xludf.DUMMYFUNCTION("GOOGLEFINANCE(A1280, ""pe"")"),14.72)</f>
        <v>14.72</v>
      </c>
      <c r="Q1280" s="9">
        <f>IFERROR(__xludf.DUMMYFUNCTION("IFERROR(GOOGLEFINANCE(A1280, ""volume"") / GOOGLEFINANCE(A1280, ""volumeavg""), 0)"),0.0)</f>
        <v>0</v>
      </c>
      <c r="R1280" s="9">
        <f>IFERROR(__xludf.DUMMYFUNCTION("AVERAGE(INDEX(GOOGLEFINANCE(A1280, ""price"", TODAY()-30, TODAY()), 0, 2))"),266.3760869565217)</f>
        <v>266.376087</v>
      </c>
      <c r="S1280" s="9">
        <f>IFERROR(__xludf.DUMMYFUNCTION("AVERAGE(INDEX(GOOGLEFINANCE(A1280, ""price"", TODAY()-75, TODAY()), 0, 2))"),263.24339622641503)</f>
        <v>263.2433962</v>
      </c>
      <c r="T1280" s="9">
        <f>IFERROR(__xludf.DUMMYFUNCTION("AVERAGE(INDEX(GOOGLEFINANCE(A1280, ""price"", TODAY()-300, TODAY()), 0, 2))"),300.0877722772277)</f>
        <v>300.0877723</v>
      </c>
      <c r="U1280" s="9">
        <f t="shared" si="5"/>
        <v>0.04701590592</v>
      </c>
      <c r="V1280" s="15">
        <f>IFERROR(__xludf.DUMMYFUNCTION("LET(hist, GOOGLEFINANCE(A1280,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rs))))))"),67.85969935576239)</f>
        <v>67.85969936</v>
      </c>
      <c r="W1280" s="16" t="str">
        <f>IFERROR(__xludf.DUMMYFUNCTION("IFERROR(GOOGLEFINANCE(A1280, ""volume"") / GOOGLEFINANCE(A1280, ""volumeavg""), )"),"")</f>
        <v/>
      </c>
      <c r="X1280" s="9">
        <f>IFERROR(__xludf.DUMMYFUNCTION("B1280 * GOOGLEFINANCE(A1280, ""volume"")"),6.490170339999999E7)</f>
        <v>64901703.4</v>
      </c>
      <c r="Y1280" s="9">
        <f>IFERROR(__xludf.DUMMYFUNCTION("IFERROR(((B1280 - GOOGLEFINANCE(A1280, ""priceopen"")) / GOOGLEFINANCE(A1280, ""priceopen"")) * GOOGLEFINANCE(A1280, ""volume""), 0)"),-8907.02275862071)</f>
        <v>-8907.022759</v>
      </c>
    </row>
    <row r="1281">
      <c r="A1281" s="4" t="s">
        <v>3074</v>
      </c>
      <c r="B1281" s="7">
        <f>IFERROR(__xludf.DUMMYFUNCTION("GOOGLEFINANCE(A1281, ""price"")"),71.9)</f>
        <v>71.9</v>
      </c>
      <c r="C1281" s="7">
        <f>IFERROR(__xludf.DUMMYFUNCTION("GOOGLEFINANCE(A1281, ""changepct"")"),-2.2)</f>
        <v>-2.2</v>
      </c>
      <c r="D1281" s="9">
        <f>IFERROR(__xludf.DUMMYFUNCTION("GOOGLEFINANCE(A1281, ""priceopen"")"),69.81)</f>
        <v>69.81</v>
      </c>
      <c r="E1281" s="9">
        <f>IFERROR(__xludf.DUMMYFUNCTION("GOOGLEFINANCE(A1281, ""high"")"),71.9)</f>
        <v>71.9</v>
      </c>
      <c r="F1281" s="9">
        <f>IFERROR(__xludf.DUMMYFUNCTION("GOOGLEFINANCE(A1281, ""low"")"),69.15)</f>
        <v>69.15</v>
      </c>
      <c r="G1281" s="9">
        <f>IFERROR(__xludf.DUMMYFUNCTION("GOOGLEFINANCE(A1281, ""price"")"),71.9)</f>
        <v>71.9</v>
      </c>
      <c r="H1281" s="9">
        <f>IFERROR(__xludf.DUMMYFUNCTION("MAX(INDEX(GOOGLEFINANCE(A1281, ""high"", TODAY()-30, TODAY()), 0, 2))"),79.4)</f>
        <v>79.4</v>
      </c>
      <c r="I1281" s="9">
        <f>IFERROR(__xludf.DUMMYFUNCTION("MIN(INDEX(GOOGLEFINANCE(A1281, ""low"", TODAY()-30, TODAY()), 0, 2))"),64.1)</f>
        <v>64.1</v>
      </c>
      <c r="J1281" s="9">
        <f>IFERROR(__xludf.DUMMYFUNCTION("GOOGLEFINANCE(A1281, ""high52"")"),155.74)</f>
        <v>155.74</v>
      </c>
      <c r="K1281" s="9">
        <f>IFERROR(__xludf.DUMMYFUNCTION("GOOGLEFINANCE(A1281, ""low52"")"),61.8)</f>
        <v>61.8</v>
      </c>
      <c r="L1281" s="9">
        <f t="shared" si="1"/>
        <v>0.5383331193</v>
      </c>
      <c r="M1281" s="9">
        <f t="shared" si="2"/>
        <v>0.1634304207</v>
      </c>
      <c r="N1281" s="9">
        <f t="shared" si="3"/>
        <v>0.03976861894</v>
      </c>
      <c r="O1281" s="9">
        <f t="shared" si="4"/>
        <v>0.5098039216</v>
      </c>
      <c r="P1281" s="9">
        <f>IFERROR(__xludf.DUMMYFUNCTION("GOOGLEFINANCE(A1281, ""pe"")"),146.73)</f>
        <v>146.73</v>
      </c>
      <c r="Q1281" s="9">
        <f>IFERROR(__xludf.DUMMYFUNCTION("IFERROR(GOOGLEFINANCE(A1281, ""volume"") / GOOGLEFINANCE(A1281, ""volumeavg""), 0)"),0.0)</f>
        <v>0</v>
      </c>
      <c r="R1281" s="9">
        <f>IFERROR(__xludf.DUMMYFUNCTION("AVERAGE(INDEX(GOOGLEFINANCE(A1281, ""price"", TODAY()-30, TODAY()), 0, 2))"),71.31826086956522)</f>
        <v>71.31826087</v>
      </c>
      <c r="S1281" s="9">
        <f>IFERROR(__xludf.DUMMYFUNCTION("AVERAGE(INDEX(GOOGLEFINANCE(A1281, ""price"", TODAY()-75, TODAY()), 0, 2))"),72.37264150943398)</f>
        <v>72.37264151</v>
      </c>
      <c r="T1281" s="9">
        <f>IFERROR(__xludf.DUMMYFUNCTION("AVERAGE(INDEX(GOOGLEFINANCE(A1281, ""price"", TODAY()-300, TODAY()), 0, 2))"),90.4757425742574)</f>
        <v>90.47574257</v>
      </c>
      <c r="U1281" s="9">
        <f t="shared" si="5"/>
        <v>0.008156944986</v>
      </c>
      <c r="V1281" s="15">
        <f>IFERROR(__xludf.DUMMYFUNCTION("LET(hist, GOOGLEFINANCE(A1281,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rs))))))"),43.86422976501308)</f>
        <v>43.86422977</v>
      </c>
      <c r="W1281" s="16" t="str">
        <f>IFERROR(__xludf.DUMMYFUNCTION("IFERROR(GOOGLEFINANCE(A1281, ""volume"") / GOOGLEFINANCE(A1281, ""volumeavg""), )"),"")</f>
        <v/>
      </c>
      <c r="X1281" s="9">
        <f>IFERROR(__xludf.DUMMYFUNCTION("B1281 * GOOGLEFINANCE(A1281, ""volume"")"),1.1538404150000001E8)</f>
        <v>115384041.5</v>
      </c>
      <c r="Y1281" s="9">
        <f>IFERROR(__xludf.DUMMYFUNCTION("IFERROR(((B1281 - GOOGLEFINANCE(A1281, ""priceopen"")) / GOOGLEFINANCE(A1281, ""priceopen"")) * GOOGLEFINANCE(A1281, ""volume""), 0)"),48044.70204841721)</f>
        <v>48044.70205</v>
      </c>
    </row>
    <row r="1282">
      <c r="A1282" s="4" t="s">
        <v>3075</v>
      </c>
      <c r="B1282" s="7">
        <f>IFERROR(__xludf.DUMMYFUNCTION("GOOGLEFINANCE(A1282, ""price"")"),1205.0)</f>
        <v>1205</v>
      </c>
      <c r="C1282" s="7">
        <f>IFERROR(__xludf.DUMMYFUNCTION("GOOGLEFINANCE(A1282, ""changepct"")"),8.01)</f>
        <v>8.01</v>
      </c>
      <c r="D1282" s="9">
        <f>IFERROR(__xludf.DUMMYFUNCTION("GOOGLEFINANCE(A1282, ""priceopen"")"),1130.2)</f>
        <v>1130.2</v>
      </c>
      <c r="E1282" s="9">
        <f>IFERROR(__xludf.DUMMYFUNCTION("GOOGLEFINANCE(A1282, ""high"")"),1218.35)</f>
        <v>1218.35</v>
      </c>
      <c r="F1282" s="9">
        <f>IFERROR(__xludf.DUMMYFUNCTION("GOOGLEFINANCE(A1282, ""low"")"),1130.2)</f>
        <v>1130.2</v>
      </c>
      <c r="G1282" s="9">
        <f>IFERROR(__xludf.DUMMYFUNCTION("GOOGLEFINANCE(A1282, ""price"")"),1205.0)</f>
        <v>1205</v>
      </c>
      <c r="H1282" s="9">
        <f>IFERROR(__xludf.DUMMYFUNCTION("MAX(INDEX(GOOGLEFINANCE(A1282, ""high"", TODAY()-30, TODAY()), 0, 2))"),1218.35)</f>
        <v>1218.35</v>
      </c>
      <c r="I1282" s="9">
        <f>IFERROR(__xludf.DUMMYFUNCTION("MIN(INDEX(GOOGLEFINANCE(A1282, ""low"", TODAY()-30, TODAY()), 0, 2))"),830.0)</f>
        <v>830</v>
      </c>
      <c r="J1282" s="9">
        <f>IFERROR(__xludf.DUMMYFUNCTION("GOOGLEFINANCE(A1282, ""high52"")"),1218.35)</f>
        <v>1218.35</v>
      </c>
      <c r="K1282" s="9">
        <f>IFERROR(__xludf.DUMMYFUNCTION("GOOGLEFINANCE(A1282, ""low52"")"),525.0)</f>
        <v>525</v>
      </c>
      <c r="L1282" s="9">
        <f t="shared" si="1"/>
        <v>0.01095744244</v>
      </c>
      <c r="M1282" s="9">
        <f t="shared" si="2"/>
        <v>1.295238095</v>
      </c>
      <c r="N1282" s="9">
        <f t="shared" si="3"/>
        <v>0.07799504512</v>
      </c>
      <c r="O1282" s="9">
        <f t="shared" si="4"/>
        <v>0.965623793</v>
      </c>
      <c r="P1282" s="9">
        <f>IFERROR(__xludf.DUMMYFUNCTION("GOOGLEFINANCE(A1282, ""pe"")"),27.8)</f>
        <v>27.8</v>
      </c>
      <c r="Q1282" s="9">
        <f>IFERROR(__xludf.DUMMYFUNCTION("IFERROR(GOOGLEFINANCE(A1282, ""volume"") / GOOGLEFINANCE(A1282, ""volumeavg""), 0)"),0.0)</f>
        <v>0</v>
      </c>
      <c r="R1282" s="9">
        <f>IFERROR(__xludf.DUMMYFUNCTION("AVERAGE(INDEX(GOOGLEFINANCE(A1282, ""price"", TODAY()-30, TODAY()), 0, 2))"),1003.4021739130435)</f>
        <v>1003.402174</v>
      </c>
      <c r="S1282" s="9">
        <f>IFERROR(__xludf.DUMMYFUNCTION("AVERAGE(INDEX(GOOGLEFINANCE(A1282, ""price"", TODAY()-75, TODAY()), 0, 2))"),843.4169811320754)</f>
        <v>843.4169811</v>
      </c>
      <c r="T1282" s="9">
        <f>IFERROR(__xludf.DUMMYFUNCTION("AVERAGE(INDEX(GOOGLEFINANCE(A1282, ""price"", TODAY()-300, TODAY()), 0, 2))"),718.2878787878786)</f>
        <v>718.2878788</v>
      </c>
      <c r="U1282" s="9">
        <f t="shared" si="5"/>
        <v>0.2009142808</v>
      </c>
      <c r="V1282" s="15">
        <f>IFERROR(__xludf.DUMMYFUNCTION("LET(hist, GOOGLEFINANCE(A1282,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rs))))))"),78.6888111888112)</f>
        <v>78.68881119</v>
      </c>
      <c r="W1282" s="16" t="str">
        <f>IFERROR(__xludf.DUMMYFUNCTION("IFERROR(GOOGLEFINANCE(A1282, ""volume"") / GOOGLEFINANCE(A1282, ""volumeavg""), )"),"")</f>
        <v/>
      </c>
      <c r="X1282" s="9">
        <f>IFERROR(__xludf.DUMMYFUNCTION("B1282 * GOOGLEFINANCE(A1282, ""volume"")"),3.24794495E8)</f>
        <v>324794495</v>
      </c>
      <c r="Y1282" s="9">
        <f>IFERROR(__xludf.DUMMYFUNCTION("IFERROR(((B1282 - GOOGLEFINANCE(A1282, ""priceopen"")) / GOOGLEFINANCE(A1282, ""priceopen"")) * GOOGLEFINANCE(A1282, ""volume""), 0)"),17838.893293222427)</f>
        <v>17838.89329</v>
      </c>
    </row>
    <row r="1283">
      <c r="A1283" s="4" t="s">
        <v>3076</v>
      </c>
      <c r="B1283" s="7">
        <f>IFERROR(__xludf.DUMMYFUNCTION("GOOGLEFINANCE(A1283, ""price"")"),484.0)</f>
        <v>484</v>
      </c>
      <c r="C1283" s="7">
        <f>IFERROR(__xludf.DUMMYFUNCTION("GOOGLEFINANCE(A1283, ""changepct"")"),-9.32)</f>
        <v>-9.32</v>
      </c>
      <c r="D1283" s="9">
        <f>IFERROR(__xludf.DUMMYFUNCTION("GOOGLEFINANCE(A1283, ""priceopen"")"),546.0)</f>
        <v>546</v>
      </c>
      <c r="E1283" s="9">
        <f>IFERROR(__xludf.DUMMYFUNCTION("GOOGLEFINANCE(A1283, ""high"")"),549.9)</f>
        <v>549.9</v>
      </c>
      <c r="F1283" s="9">
        <f>IFERROR(__xludf.DUMMYFUNCTION("GOOGLEFINANCE(A1283, ""low"")"),482.8)</f>
        <v>482.8</v>
      </c>
      <c r="G1283" s="9">
        <f>IFERROR(__xludf.DUMMYFUNCTION("GOOGLEFINANCE(A1283, ""price"")"),484.0)</f>
        <v>484</v>
      </c>
      <c r="H1283" s="9">
        <f>IFERROR(__xludf.DUMMYFUNCTION("MAX(INDEX(GOOGLEFINANCE(A1283, ""high"", TODAY()-30, TODAY()), 0, 2))"),551.9)</f>
        <v>551.9</v>
      </c>
      <c r="I1283" s="9">
        <f>IFERROR(__xludf.DUMMYFUNCTION("MIN(INDEX(GOOGLEFINANCE(A1283, ""low"", TODAY()-30, TODAY()), 0, 2))"),482.8)</f>
        <v>482.8</v>
      </c>
      <c r="J1283" s="9">
        <f>IFERROR(__xludf.DUMMYFUNCTION("GOOGLEFINANCE(A1283, ""high52"")"),790.95)</f>
        <v>790.95</v>
      </c>
      <c r="K1283" s="9">
        <f>IFERROR(__xludf.DUMMYFUNCTION("GOOGLEFINANCE(A1283, ""low52"")"),482.8)</f>
        <v>482.8</v>
      </c>
      <c r="L1283" s="9">
        <f t="shared" si="1"/>
        <v>0.3880776282</v>
      </c>
      <c r="M1283" s="9">
        <f t="shared" si="2"/>
        <v>0.002485501243</v>
      </c>
      <c r="N1283" s="9">
        <f t="shared" si="3"/>
        <v>0.1389809445</v>
      </c>
      <c r="O1283" s="9">
        <f t="shared" si="4"/>
        <v>0.01736613603</v>
      </c>
      <c r="P1283" s="9">
        <f>IFERROR(__xludf.DUMMYFUNCTION("GOOGLEFINANCE(A1283, ""pe"")"),24.16)</f>
        <v>24.16</v>
      </c>
      <c r="Q1283" s="9">
        <f>IFERROR(__xludf.DUMMYFUNCTION("IFERROR(GOOGLEFINANCE(A1283, ""volume"") / GOOGLEFINANCE(A1283, ""volumeavg""), 0)"),0.0)</f>
        <v>0</v>
      </c>
      <c r="R1283" s="9">
        <f>IFERROR(__xludf.DUMMYFUNCTION("AVERAGE(INDEX(GOOGLEFINANCE(A1283, ""price"", TODAY()-30, TODAY()), 0, 2))"),524.0195652173915)</f>
        <v>524.0195652</v>
      </c>
      <c r="S1283" s="9">
        <f>IFERROR(__xludf.DUMMYFUNCTION("AVERAGE(INDEX(GOOGLEFINANCE(A1283, ""price"", TODAY()-75, TODAY()), 0, 2))"),537.2198113207545)</f>
        <v>537.2198113</v>
      </c>
      <c r="T1283" s="9">
        <f>IFERROR(__xludf.DUMMYFUNCTION("AVERAGE(INDEX(GOOGLEFINANCE(A1283, ""price"", TODAY()-300, TODAY()), 0, 2))"),596.45396039604)</f>
        <v>596.4539604</v>
      </c>
      <c r="U1283" s="9">
        <f t="shared" si="5"/>
        <v>-0.07637036453</v>
      </c>
      <c r="V1283" s="15">
        <f>IFERROR(__xludf.DUMMYFUNCTION("LET(hist, GOOGLEFINANCE(A1283,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rs))))))"),34.95934959349596)</f>
        <v>34.95934959</v>
      </c>
      <c r="W1283" s="16" t="str">
        <f>IFERROR(__xludf.DUMMYFUNCTION("IFERROR(GOOGLEFINANCE(A1283, ""volume"") / GOOGLEFINANCE(A1283, ""volumeavg""), )"),"")</f>
        <v/>
      </c>
      <c r="X1283" s="9">
        <f>IFERROR(__xludf.DUMMYFUNCTION("B1283 * GOOGLEFINANCE(A1283, ""volume"")"),2.55489564E8)</f>
        <v>255489564</v>
      </c>
      <c r="Y1283" s="9">
        <f>IFERROR(__xludf.DUMMYFUNCTION("IFERROR(((B1283 - GOOGLEFINANCE(A1283, ""priceopen"")) / GOOGLEFINANCE(A1283, ""priceopen"")) * GOOGLEFINANCE(A1283, ""volume""), 0)"),-59941.395604395606)</f>
        <v>-59941.3956</v>
      </c>
    </row>
    <row r="1284">
      <c r="A1284" s="4" t="s">
        <v>3077</v>
      </c>
      <c r="B1284" s="7">
        <f>IFERROR(__xludf.DUMMYFUNCTION("GOOGLEFINANCE(A1284, ""price"")"),1417.0)</f>
        <v>1417</v>
      </c>
      <c r="C1284" s="7">
        <f>IFERROR(__xludf.DUMMYFUNCTION("GOOGLEFINANCE(A1284, ""changepct"")"),-0.2)</f>
        <v>-0.2</v>
      </c>
      <c r="D1284" s="9">
        <f>IFERROR(__xludf.DUMMYFUNCTION("GOOGLEFINANCE(A1284, ""priceopen"")"),1447.6)</f>
        <v>1447.6</v>
      </c>
      <c r="E1284" s="9">
        <f>IFERROR(__xludf.DUMMYFUNCTION("GOOGLEFINANCE(A1284, ""high"")"),1449.8)</f>
        <v>1449.8</v>
      </c>
      <c r="F1284" s="9">
        <f>IFERROR(__xludf.DUMMYFUNCTION("GOOGLEFINANCE(A1284, ""low"")"),1400.0)</f>
        <v>1400</v>
      </c>
      <c r="G1284" s="9">
        <f>IFERROR(__xludf.DUMMYFUNCTION("GOOGLEFINANCE(A1284, ""price"")"),1417.0)</f>
        <v>1417</v>
      </c>
      <c r="H1284" s="9">
        <f>IFERROR(__xludf.DUMMYFUNCTION("MAX(INDEX(GOOGLEFINANCE(A1284, ""high"", TODAY()-30, TODAY()), 0, 2))"),1510.1)</f>
        <v>1510.1</v>
      </c>
      <c r="I1284" s="9">
        <f>IFERROR(__xludf.DUMMYFUNCTION("MIN(INDEX(GOOGLEFINANCE(A1284, ""low"", TODAY()-30, TODAY()), 0, 2))"),1232.5)</f>
        <v>1232.5</v>
      </c>
      <c r="J1284" s="9">
        <f>IFERROR(__xludf.DUMMYFUNCTION("GOOGLEFINANCE(A1284, ""high52"")"),1691.9)</f>
        <v>1691.9</v>
      </c>
      <c r="K1284" s="9">
        <f>IFERROR(__xludf.DUMMYFUNCTION("GOOGLEFINANCE(A1284, ""low52"")"),805.0)</f>
        <v>805</v>
      </c>
      <c r="L1284" s="9">
        <f t="shared" si="1"/>
        <v>0.162480052</v>
      </c>
      <c r="M1284" s="9">
        <f t="shared" si="2"/>
        <v>0.7602484472</v>
      </c>
      <c r="N1284" s="9">
        <f t="shared" si="3"/>
        <v>0.03557142857</v>
      </c>
      <c r="O1284" s="9">
        <f t="shared" si="4"/>
        <v>0.6646253602</v>
      </c>
      <c r="P1284" s="9">
        <f>IFERROR(__xludf.DUMMYFUNCTION("GOOGLEFINANCE(A1284, ""pe"")"),33.71)</f>
        <v>33.71</v>
      </c>
      <c r="Q1284" s="9">
        <f>IFERROR(__xludf.DUMMYFUNCTION("IFERROR(GOOGLEFINANCE(A1284, ""volume"") / GOOGLEFINANCE(A1284, ""volumeavg""), 0)"),0.0)</f>
        <v>0</v>
      </c>
      <c r="R1284" s="9">
        <f>IFERROR(__xludf.DUMMYFUNCTION("AVERAGE(INDEX(GOOGLEFINANCE(A1284, ""price"", TODAY()-30, TODAY()), 0, 2))"),1346.6478260869565)</f>
        <v>1346.647826</v>
      </c>
      <c r="S1284" s="9">
        <f>IFERROR(__xludf.DUMMYFUNCTION("AVERAGE(INDEX(GOOGLEFINANCE(A1284, ""price"", TODAY()-75, TODAY()), 0, 2))"),1323.2698113207548)</f>
        <v>1323.269811</v>
      </c>
      <c r="T1284" s="9">
        <f>IFERROR(__xludf.DUMMYFUNCTION("AVERAGE(INDEX(GOOGLEFINANCE(A1284, ""price"", TODAY()-300, TODAY()), 0, 2))"),1219.3569306930688)</f>
        <v>1219.356931</v>
      </c>
      <c r="U1284" s="9">
        <f t="shared" si="5"/>
        <v>0.0522424442</v>
      </c>
      <c r="V1284" s="15">
        <f>IFERROR(__xludf.DUMMYFUNCTION("LET(hist, GOOGLEFINANCE(A1284,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rs))))))"),58.83319638455217)</f>
        <v>58.83319638</v>
      </c>
      <c r="W1284" s="16" t="str">
        <f>IFERROR(__xludf.DUMMYFUNCTION("IFERROR(GOOGLEFINANCE(A1284, ""volume"") / GOOGLEFINANCE(A1284, ""volumeavg""), )"),"")</f>
        <v/>
      </c>
      <c r="X1284" s="9">
        <f>IFERROR(__xludf.DUMMYFUNCTION("B1284 * GOOGLEFINANCE(A1284, ""volume"")"),2.9008824E7)</f>
        <v>29008824</v>
      </c>
      <c r="Y1284" s="9">
        <f>IFERROR(__xludf.DUMMYFUNCTION("IFERROR(((B1284 - GOOGLEFINANCE(A1284, ""priceopen"")) / GOOGLEFINANCE(A1284, ""priceopen"")) * GOOGLEFINANCE(A1284, ""volume""), 0)"),-432.74606244818887)</f>
        <v>-432.7460624</v>
      </c>
    </row>
    <row r="1285">
      <c r="A1285" s="4" t="s">
        <v>3078</v>
      </c>
      <c r="B1285" s="7">
        <f>IFERROR(__xludf.DUMMYFUNCTION("GOOGLEFINANCE(A1285, ""price"")"),949.9)</f>
        <v>949.9</v>
      </c>
      <c r="C1285" s="7">
        <f>IFERROR(__xludf.DUMMYFUNCTION("GOOGLEFINANCE(A1285, ""changepct"")"),0.68)</f>
        <v>0.68</v>
      </c>
      <c r="D1285" s="9">
        <f>IFERROR(__xludf.DUMMYFUNCTION("GOOGLEFINANCE(A1285, ""priceopen"")"),949.9)</f>
        <v>949.9</v>
      </c>
      <c r="E1285" s="9">
        <f>IFERROR(__xludf.DUMMYFUNCTION("GOOGLEFINANCE(A1285, ""high"")"),959.2)</f>
        <v>959.2</v>
      </c>
      <c r="F1285" s="9">
        <f>IFERROR(__xludf.DUMMYFUNCTION("GOOGLEFINANCE(A1285, ""low"")"),924.5)</f>
        <v>924.5</v>
      </c>
      <c r="G1285" s="9">
        <f>IFERROR(__xludf.DUMMYFUNCTION("GOOGLEFINANCE(A1285, ""price"")"),949.9)</f>
        <v>949.9</v>
      </c>
      <c r="H1285" s="9">
        <f>IFERROR(__xludf.DUMMYFUNCTION("MAX(INDEX(GOOGLEFINANCE(A1285, ""high"", TODAY()-30, TODAY()), 0, 2))"),1175.4)</f>
        <v>1175.4</v>
      </c>
      <c r="I1285" s="9">
        <f>IFERROR(__xludf.DUMMYFUNCTION("MIN(INDEX(GOOGLEFINANCE(A1285, ""low"", TODAY()-30, TODAY()), 0, 2))"),924.5)</f>
        <v>924.5</v>
      </c>
      <c r="J1285" s="9">
        <f>IFERROR(__xludf.DUMMYFUNCTION("GOOGLEFINANCE(A1285, ""high52"")"),1374.7)</f>
        <v>1374.7</v>
      </c>
      <c r="K1285" s="9">
        <f>IFERROR(__xludf.DUMMYFUNCTION("GOOGLEFINANCE(A1285, ""low52"")"),372.3)</f>
        <v>372.3</v>
      </c>
      <c r="L1285" s="9">
        <f t="shared" si="1"/>
        <v>0.3090128755</v>
      </c>
      <c r="M1285" s="9">
        <f t="shared" si="2"/>
        <v>1.551437013</v>
      </c>
      <c r="N1285" s="9">
        <f t="shared" si="3"/>
        <v>0.03753380206</v>
      </c>
      <c r="O1285" s="9">
        <f t="shared" si="4"/>
        <v>0.101235552</v>
      </c>
      <c r="P1285" s="9">
        <f>IFERROR(__xludf.DUMMYFUNCTION("GOOGLEFINANCE(A1285, ""pe"")"),29.79)</f>
        <v>29.79</v>
      </c>
      <c r="Q1285" s="9">
        <f>IFERROR(__xludf.DUMMYFUNCTION("IFERROR(GOOGLEFINANCE(A1285, ""volume"") / GOOGLEFINANCE(A1285, ""volumeavg""), 0)"),0.0)</f>
        <v>0</v>
      </c>
      <c r="R1285" s="9">
        <f>IFERROR(__xludf.DUMMYFUNCTION("AVERAGE(INDEX(GOOGLEFINANCE(A1285, ""price"", TODAY()-30, TODAY()), 0, 2))"),1045.3565217391304)</f>
        <v>1045.356522</v>
      </c>
      <c r="S1285" s="9">
        <f>IFERROR(__xludf.DUMMYFUNCTION("AVERAGE(INDEX(GOOGLEFINANCE(A1285, ""price"", TODAY()-75, TODAY()), 0, 2))"),1001.9169811320755)</f>
        <v>1001.916981</v>
      </c>
      <c r="T1285" s="9">
        <f>IFERROR(__xludf.DUMMYFUNCTION("AVERAGE(INDEX(GOOGLEFINANCE(A1285, ""price"", TODAY()-300, TODAY()), 0, 2))"),829.814603960396)</f>
        <v>829.814604</v>
      </c>
      <c r="U1285" s="9">
        <f t="shared" si="5"/>
        <v>-0.09131480003</v>
      </c>
      <c r="V1285" s="15">
        <f>IFERROR(__xludf.DUMMYFUNCTION("LET(hist, GOOGLEFINANCE(A1285,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rs))))))"),28.27998593035528)</f>
        <v>28.27998593</v>
      </c>
      <c r="W1285" s="16" t="str">
        <f>IFERROR(__xludf.DUMMYFUNCTION("IFERROR(GOOGLEFINANCE(A1285, ""volume"") / GOOGLEFINANCE(A1285, ""volumeavg""), )"),"")</f>
        <v/>
      </c>
      <c r="X1285" s="9">
        <f>IFERROR(__xludf.DUMMYFUNCTION("B1285 * GOOGLEFINANCE(A1285, ""volume"")"),8.95394738E7)</f>
        <v>89539473.8</v>
      </c>
      <c r="Y1285" s="9">
        <f>IFERROR(__xludf.DUMMYFUNCTION("IFERROR(((B1285 - GOOGLEFINANCE(A1285, ""priceopen"")) / GOOGLEFINANCE(A1285, ""priceopen"")) * GOOGLEFINANCE(A1285, ""volume""), 0)"),0.0)</f>
        <v>0</v>
      </c>
    </row>
    <row r="1286">
      <c r="A1286" s="4" t="s">
        <v>3079</v>
      </c>
      <c r="B1286" s="7">
        <f>IFERROR(__xludf.DUMMYFUNCTION("GOOGLEFINANCE(A1286, ""price"")"),93.79)</f>
        <v>93.79</v>
      </c>
      <c r="C1286" s="7">
        <f>IFERROR(__xludf.DUMMYFUNCTION("GOOGLEFINANCE(A1286, ""changepct"")"),-1.98)</f>
        <v>-1.98</v>
      </c>
      <c r="D1286" s="9">
        <f>IFERROR(__xludf.DUMMYFUNCTION("GOOGLEFINANCE(A1286, ""priceopen"")"),95.68)</f>
        <v>95.68</v>
      </c>
      <c r="E1286" s="9">
        <f>IFERROR(__xludf.DUMMYFUNCTION("GOOGLEFINANCE(A1286, ""high"")"),95.94)</f>
        <v>95.94</v>
      </c>
      <c r="F1286" s="9">
        <f>IFERROR(__xludf.DUMMYFUNCTION("GOOGLEFINANCE(A1286, ""low"")"),92.83)</f>
        <v>92.83</v>
      </c>
      <c r="G1286" s="9">
        <f>IFERROR(__xludf.DUMMYFUNCTION("GOOGLEFINANCE(A1286, ""price"")"),93.79)</f>
        <v>93.79</v>
      </c>
      <c r="H1286" s="9">
        <f>IFERROR(__xludf.DUMMYFUNCTION("MAX(INDEX(GOOGLEFINANCE(A1286, ""high"", TODAY()-30, TODAY()), 0, 2))"),106.38)</f>
        <v>106.38</v>
      </c>
      <c r="I1286" s="9">
        <f>IFERROR(__xludf.DUMMYFUNCTION("MIN(INDEX(GOOGLEFINANCE(A1286, ""low"", TODAY()-30, TODAY()), 0, 2))"),91.36)</f>
        <v>91.36</v>
      </c>
      <c r="J1286" s="9">
        <f>IFERROR(__xludf.DUMMYFUNCTION("GOOGLEFINANCE(A1286, ""high52"")"),192.5)</f>
        <v>192.5</v>
      </c>
      <c r="K1286" s="9">
        <f>IFERROR(__xludf.DUMMYFUNCTION("GOOGLEFINANCE(A1286, ""low52"")"),80.12)</f>
        <v>80.12</v>
      </c>
      <c r="L1286" s="9">
        <f t="shared" si="1"/>
        <v>0.5127792208</v>
      </c>
      <c r="M1286" s="9">
        <f t="shared" si="2"/>
        <v>0.1706190714</v>
      </c>
      <c r="N1286" s="9">
        <f t="shared" si="3"/>
        <v>0.03350210061</v>
      </c>
      <c r="O1286" s="9">
        <f t="shared" si="4"/>
        <v>0.1617842876</v>
      </c>
      <c r="P1286" s="9">
        <f>IFERROR(__xludf.DUMMYFUNCTION("GOOGLEFINANCE(A1286, ""pe"")"),6.63)</f>
        <v>6.63</v>
      </c>
      <c r="Q1286" s="9">
        <f>IFERROR(__xludf.DUMMYFUNCTION("IFERROR(GOOGLEFINANCE(A1286, ""volume"") / GOOGLEFINANCE(A1286, ""volumeavg""), 0)"),0.0)</f>
        <v>0</v>
      </c>
      <c r="R1286" s="9">
        <f>IFERROR(__xludf.DUMMYFUNCTION("AVERAGE(INDEX(GOOGLEFINANCE(A1286, ""price"", TODAY()-30, TODAY()), 0, 2))"),95.84217391304347)</f>
        <v>95.84217391</v>
      </c>
      <c r="S1286" s="9">
        <f>IFERROR(__xludf.DUMMYFUNCTION("AVERAGE(INDEX(GOOGLEFINANCE(A1286, ""price"", TODAY()-75, TODAY()), 0, 2))"),96.1581132075472)</f>
        <v>96.15811321</v>
      </c>
      <c r="T1286" s="9">
        <f>IFERROR(__xludf.DUMMYFUNCTION("AVERAGE(INDEX(GOOGLEFINANCE(A1286, ""price"", TODAY()-300, TODAY()), 0, 2))"),127.2641089108911)</f>
        <v>127.2641089</v>
      </c>
      <c r="U1286" s="9">
        <f t="shared" si="5"/>
        <v>-0.02141201341</v>
      </c>
      <c r="V1286" s="15">
        <f>IFERROR(__xludf.DUMMYFUNCTION("LET(hist, GOOGLEFINANCE(A1286,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rs))))))"),48.477611940298495)</f>
        <v>48.47761194</v>
      </c>
      <c r="W1286" s="16" t="str">
        <f>IFERROR(__xludf.DUMMYFUNCTION("IFERROR(GOOGLEFINANCE(A1286, ""volume"") / GOOGLEFINANCE(A1286, ""volumeavg""), )"),"")</f>
        <v/>
      </c>
      <c r="X1286" s="9">
        <f>IFERROR(__xludf.DUMMYFUNCTION("B1286 * GOOGLEFINANCE(A1286, ""volume"")"),2.153455916E7)</f>
        <v>21534559.16</v>
      </c>
      <c r="Y1286" s="9">
        <f>IFERROR(__xludf.DUMMYFUNCTION("IFERROR(((B1286 - GOOGLEFINANCE(A1286, ""priceopen"")) / GOOGLEFINANCE(A1286, ""priceopen"")) * GOOGLEFINANCE(A1286, ""volume""), 0)"),-4535.446906354516)</f>
        <v>-4535.446906</v>
      </c>
    </row>
    <row r="1287">
      <c r="A1287" s="4" t="s">
        <v>3080</v>
      </c>
      <c r="B1287" s="7">
        <f>IFERROR(__xludf.DUMMYFUNCTION("GOOGLEFINANCE(A1287, ""price"")"),254.2)</f>
        <v>254.2</v>
      </c>
      <c r="C1287" s="7">
        <f>IFERROR(__xludf.DUMMYFUNCTION("GOOGLEFINANCE(A1287, ""changepct"")"),-0.64)</f>
        <v>-0.64</v>
      </c>
      <c r="D1287" s="9">
        <f>IFERROR(__xludf.DUMMYFUNCTION("GOOGLEFINANCE(A1287, ""priceopen"")"),250.55)</f>
        <v>250.55</v>
      </c>
      <c r="E1287" s="9">
        <f>IFERROR(__xludf.DUMMYFUNCTION("GOOGLEFINANCE(A1287, ""high"")"),260.9)</f>
        <v>260.9</v>
      </c>
      <c r="F1287" s="9">
        <f>IFERROR(__xludf.DUMMYFUNCTION("GOOGLEFINANCE(A1287, ""low"")"),240.35)</f>
        <v>240.35</v>
      </c>
      <c r="G1287" s="9">
        <f>IFERROR(__xludf.DUMMYFUNCTION("GOOGLEFINANCE(A1287, ""price"")"),254.2)</f>
        <v>254.2</v>
      </c>
      <c r="H1287" s="9">
        <f>IFERROR(__xludf.DUMMYFUNCTION("MAX(INDEX(GOOGLEFINANCE(A1287, ""high"", TODAY()-30, TODAY()), 0, 2))"),270.39)</f>
        <v>270.39</v>
      </c>
      <c r="I1287" s="9">
        <f>IFERROR(__xludf.DUMMYFUNCTION("MIN(INDEX(GOOGLEFINANCE(A1287, ""low"", TODAY()-30, TODAY()), 0, 2))"),222.72)</f>
        <v>222.72</v>
      </c>
      <c r="J1287" s="9">
        <f>IFERROR(__xludf.DUMMYFUNCTION("GOOGLEFINANCE(A1287, ""high52"")"),281.22)</f>
        <v>281.22</v>
      </c>
      <c r="K1287" s="9">
        <f>IFERROR(__xludf.DUMMYFUNCTION("GOOGLEFINANCE(A1287, ""low52"")"),141.53)</f>
        <v>141.53</v>
      </c>
      <c r="L1287" s="9">
        <f t="shared" si="1"/>
        <v>0.09608135979</v>
      </c>
      <c r="M1287" s="9">
        <f t="shared" si="2"/>
        <v>0.7960856356</v>
      </c>
      <c r="N1287" s="9">
        <f t="shared" si="3"/>
        <v>0.08550031204</v>
      </c>
      <c r="O1287" s="9">
        <f t="shared" si="4"/>
        <v>0.6603734005</v>
      </c>
      <c r="P1287" s="9">
        <f>IFERROR(__xludf.DUMMYFUNCTION("GOOGLEFINANCE(A1287, ""pe"")"),226.96)</f>
        <v>226.96</v>
      </c>
      <c r="Q1287" s="9">
        <f>IFERROR(__xludf.DUMMYFUNCTION("IFERROR(GOOGLEFINANCE(A1287, ""volume"") / GOOGLEFINANCE(A1287, ""volumeavg""), 0)"),0.0)</f>
        <v>0</v>
      </c>
      <c r="R1287" s="9">
        <f>IFERROR(__xludf.DUMMYFUNCTION("AVERAGE(INDEX(GOOGLEFINANCE(A1287, ""price"", TODAY()-30, TODAY()), 0, 2))"),244.24608695652176)</f>
        <v>244.246087</v>
      </c>
      <c r="S1287" s="9">
        <f>IFERROR(__xludf.DUMMYFUNCTION("AVERAGE(INDEX(GOOGLEFINANCE(A1287, ""price"", TODAY()-75, TODAY()), 0, 2))"),234.30452830188682)</f>
        <v>234.3045283</v>
      </c>
      <c r="T1287" s="9">
        <f>IFERROR(__xludf.DUMMYFUNCTION("AVERAGE(INDEX(GOOGLEFINANCE(A1287, ""price"", TODAY()-300, TODAY()), 0, 2))"),197.3874257425743)</f>
        <v>197.3874257</v>
      </c>
      <c r="U1287" s="9">
        <f t="shared" si="5"/>
        <v>0.04075362339</v>
      </c>
      <c r="V1287" s="15">
        <f>IFERROR(__xludf.DUMMYFUNCTION("LET(hist, GOOGLEFINANCE(A1287,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rs))))))"),67.47091770788452)</f>
        <v>67.47091771</v>
      </c>
      <c r="W1287" s="16" t="str">
        <f>IFERROR(__xludf.DUMMYFUNCTION("IFERROR(GOOGLEFINANCE(A1287, ""volume"") / GOOGLEFINANCE(A1287, ""volumeavg""), )"),"")</f>
        <v/>
      </c>
      <c r="X1287" s="9">
        <f>IFERROR(__xludf.DUMMYFUNCTION("B1287 * GOOGLEFINANCE(A1287, ""volume"")"),2.5095895E7)</f>
        <v>25095895</v>
      </c>
      <c r="Y1287" s="9">
        <f>IFERROR(__xludf.DUMMYFUNCTION("IFERROR(((B1287 - GOOGLEFINANCE(A1287, ""priceopen"")) / GOOGLEFINANCE(A1287, ""priceopen"")) * GOOGLEFINANCE(A1287, ""volume""), 0)"),1438.2209139892148)</f>
        <v>1438.220914</v>
      </c>
    </row>
    <row r="1288">
      <c r="A1288" s="4" t="s">
        <v>3081</v>
      </c>
      <c r="B1288" s="7">
        <f>IFERROR(__xludf.DUMMYFUNCTION("GOOGLEFINANCE(A1288, ""price"")"),473.45)</f>
        <v>473.45</v>
      </c>
      <c r="C1288" s="7">
        <f>IFERROR(__xludf.DUMMYFUNCTION("GOOGLEFINANCE(A1288, ""changepct"")"),-2.15)</f>
        <v>-2.15</v>
      </c>
      <c r="D1288" s="9">
        <f>IFERROR(__xludf.DUMMYFUNCTION("GOOGLEFINANCE(A1288, ""priceopen"")"),483.25)</f>
        <v>483.25</v>
      </c>
      <c r="E1288" s="9">
        <f>IFERROR(__xludf.DUMMYFUNCTION("GOOGLEFINANCE(A1288, ""high"")"),499.7)</f>
        <v>499.7</v>
      </c>
      <c r="F1288" s="9">
        <f>IFERROR(__xludf.DUMMYFUNCTION("GOOGLEFINANCE(A1288, ""low"")"),468.0)</f>
        <v>468</v>
      </c>
      <c r="G1288" s="9">
        <f>IFERROR(__xludf.DUMMYFUNCTION("GOOGLEFINANCE(A1288, ""price"")"),473.45)</f>
        <v>473.45</v>
      </c>
      <c r="H1288" s="9">
        <f>IFERROR(__xludf.DUMMYFUNCTION("MAX(INDEX(GOOGLEFINANCE(A1288, ""high"", TODAY()-30, TODAY()), 0, 2))"),580.45)</f>
        <v>580.45</v>
      </c>
      <c r="I1288" s="9">
        <f>IFERROR(__xludf.DUMMYFUNCTION("MIN(INDEX(GOOGLEFINANCE(A1288, ""low"", TODAY()-30, TODAY()), 0, 2))"),388.55)</f>
        <v>388.55</v>
      </c>
      <c r="J1288" s="9">
        <f>IFERROR(__xludf.DUMMYFUNCTION("GOOGLEFINANCE(A1288, ""high52"")"),580.45)</f>
        <v>580.45</v>
      </c>
      <c r="K1288" s="9">
        <f>IFERROR(__xludf.DUMMYFUNCTION("GOOGLEFINANCE(A1288, ""low52"")"),248.85)</f>
        <v>248.85</v>
      </c>
      <c r="L1288" s="9">
        <f t="shared" si="1"/>
        <v>0.1843397364</v>
      </c>
      <c r="M1288" s="9">
        <f t="shared" si="2"/>
        <v>0.902551738</v>
      </c>
      <c r="N1288" s="9">
        <f t="shared" si="3"/>
        <v>0.06773504274</v>
      </c>
      <c r="O1288" s="9">
        <f t="shared" si="4"/>
        <v>0.442417926</v>
      </c>
      <c r="P1288" s="9">
        <f>IFERROR(__xludf.DUMMYFUNCTION("GOOGLEFINANCE(A1288, ""pe"")"),19.31)</f>
        <v>19.31</v>
      </c>
      <c r="Q1288" s="9">
        <f>IFERROR(__xludf.DUMMYFUNCTION("IFERROR(GOOGLEFINANCE(A1288, ""volume"") / GOOGLEFINANCE(A1288, ""volumeavg""), 0)"),0.0)</f>
        <v>0</v>
      </c>
      <c r="R1288" s="9">
        <f>IFERROR(__xludf.DUMMYFUNCTION("AVERAGE(INDEX(GOOGLEFINANCE(A1288, ""price"", TODAY()-30, TODAY()), 0, 2))"),474.83478260869566)</f>
        <v>474.8347826</v>
      </c>
      <c r="S1288" s="9">
        <f>IFERROR(__xludf.DUMMYFUNCTION("AVERAGE(INDEX(GOOGLEFINANCE(A1288, ""price"", TODAY()-75, TODAY()), 0, 2))"),400.8009433962263)</f>
        <v>400.8009434</v>
      </c>
      <c r="T1288" s="9">
        <f>IFERROR(__xludf.DUMMYFUNCTION("AVERAGE(INDEX(GOOGLEFINANCE(A1288, ""price"", TODAY()-300, TODAY()), 0, 2))"),367.31437499999987)</f>
        <v>367.314375</v>
      </c>
      <c r="U1288" s="9">
        <f t="shared" si="5"/>
        <v>-0.002916346189</v>
      </c>
      <c r="V1288" s="15">
        <f>IFERROR(__xludf.DUMMYFUNCTION("LET(hist, GOOGLEFINANCE(A1288,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rs))))))"),64.18114386101892)</f>
        <v>64.18114386</v>
      </c>
      <c r="W1288" s="16" t="str">
        <f>IFERROR(__xludf.DUMMYFUNCTION("IFERROR(GOOGLEFINANCE(A1288, ""volume"") / GOOGLEFINANCE(A1288, ""volumeavg""), )"),"")</f>
        <v/>
      </c>
      <c r="X1288" s="9">
        <f>IFERROR(__xludf.DUMMYFUNCTION("B1288 * GOOGLEFINANCE(A1288, ""volume"")"),1.095449672E8)</f>
        <v>109544967.2</v>
      </c>
      <c r="Y1288" s="9">
        <f>IFERROR(__xludf.DUMMYFUNCTION("IFERROR(((B1288 - GOOGLEFINANCE(A1288, ""priceopen"")) / GOOGLEFINANCE(A1288, ""priceopen"")) * GOOGLEFINANCE(A1288, ""volume""), 0)"),-4692.156854630114)</f>
        <v>-4692.156855</v>
      </c>
    </row>
    <row r="1289">
      <c r="A1289" s="4" t="s">
        <v>3082</v>
      </c>
      <c r="B1289" s="7">
        <f>IFERROR(__xludf.DUMMYFUNCTION("GOOGLEFINANCE(A1289, ""price"")"),57.34)</f>
        <v>57.34</v>
      </c>
      <c r="C1289" s="7">
        <f>IFERROR(__xludf.DUMMYFUNCTION("GOOGLEFINANCE(A1289, ""changepct"")"),-1.22)</f>
        <v>-1.22</v>
      </c>
      <c r="D1289" s="9">
        <f>IFERROR(__xludf.DUMMYFUNCTION("GOOGLEFINANCE(A1289, ""priceopen"")"),58.4)</f>
        <v>58.4</v>
      </c>
      <c r="E1289" s="9">
        <f>IFERROR(__xludf.DUMMYFUNCTION("GOOGLEFINANCE(A1289, ""high"")"),60.35)</f>
        <v>60.35</v>
      </c>
      <c r="F1289" s="9">
        <f>IFERROR(__xludf.DUMMYFUNCTION("GOOGLEFINANCE(A1289, ""low"")"),57.07)</f>
        <v>57.07</v>
      </c>
      <c r="G1289" s="9">
        <f>IFERROR(__xludf.DUMMYFUNCTION("GOOGLEFINANCE(A1289, ""price"")"),57.34)</f>
        <v>57.34</v>
      </c>
      <c r="H1289" s="9">
        <f>IFERROR(__xludf.DUMMYFUNCTION("MAX(INDEX(GOOGLEFINANCE(A1289, ""high"", TODAY()-30, TODAY()), 0, 2))"),66.45)</f>
        <v>66.45</v>
      </c>
      <c r="I1289" s="9">
        <f>IFERROR(__xludf.DUMMYFUNCTION("MIN(INDEX(GOOGLEFINANCE(A1289, ""low"", TODAY()-30, TODAY()), 0, 2))"),46.2)</f>
        <v>46.2</v>
      </c>
      <c r="J1289" s="9">
        <f>IFERROR(__xludf.DUMMYFUNCTION("GOOGLEFINANCE(A1289, ""high52"")"),75.0)</f>
        <v>75</v>
      </c>
      <c r="K1289" s="9">
        <f>IFERROR(__xludf.DUMMYFUNCTION("GOOGLEFINANCE(A1289, ""low52"")"),29.0)</f>
        <v>29</v>
      </c>
      <c r="L1289" s="9">
        <f t="shared" si="1"/>
        <v>0.2354666667</v>
      </c>
      <c r="M1289" s="9">
        <f t="shared" si="2"/>
        <v>0.9772413793</v>
      </c>
      <c r="N1289" s="9">
        <f t="shared" si="3"/>
        <v>0.05747327843</v>
      </c>
      <c r="O1289" s="9">
        <f t="shared" si="4"/>
        <v>0.5501234568</v>
      </c>
      <c r="P1289" s="9">
        <f>IFERROR(__xludf.DUMMYFUNCTION("GOOGLEFINANCE(A1289, ""pe"")"),9.28)</f>
        <v>9.28</v>
      </c>
      <c r="Q1289" s="9">
        <f>IFERROR(__xludf.DUMMYFUNCTION("IFERROR(GOOGLEFINANCE(A1289, ""volume"") / GOOGLEFINANCE(A1289, ""volumeavg""), 0)"),0.0)</f>
        <v>0</v>
      </c>
      <c r="R1289" s="9">
        <f>IFERROR(__xludf.DUMMYFUNCTION("AVERAGE(INDEX(GOOGLEFINANCE(A1289, ""price"", TODAY()-30, TODAY()), 0, 2))"),53.926956521739136)</f>
        <v>53.92695652</v>
      </c>
      <c r="S1289" s="9">
        <f>IFERROR(__xludf.DUMMYFUNCTION("AVERAGE(INDEX(GOOGLEFINANCE(A1289, ""price"", TODAY()-75, TODAY()), 0, 2))"),49.21339622641509)</f>
        <v>49.21339623</v>
      </c>
      <c r="T1289" s="9">
        <f>IFERROR(__xludf.DUMMYFUNCTION("AVERAGE(INDEX(GOOGLEFINANCE(A1289, ""price"", TODAY()-300, TODAY()), 0, 2))"),45.53777227722773)</f>
        <v>45.53777228</v>
      </c>
      <c r="U1289" s="9">
        <f t="shared" si="5"/>
        <v>0.06329011868</v>
      </c>
      <c r="V1289" s="15">
        <f>IFERROR(__xludf.DUMMYFUNCTION("LET(hist, GOOGLEFINANCE(A1289,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rs))))))"),69.2505510653931)</f>
        <v>69.25055107</v>
      </c>
      <c r="W1289" s="16" t="str">
        <f>IFERROR(__xludf.DUMMYFUNCTION("IFERROR(GOOGLEFINANCE(A1289, ""volume"") / GOOGLEFINANCE(A1289, ""volumeavg""), )"),"")</f>
        <v/>
      </c>
      <c r="X1289" s="9">
        <f>IFERROR(__xludf.DUMMYFUNCTION("B1289 * GOOGLEFINANCE(A1289, ""volume"")"),1.372335422E7)</f>
        <v>13723354.22</v>
      </c>
      <c r="Y1289" s="9">
        <f>IFERROR(__xludf.DUMMYFUNCTION("IFERROR(((B1289 - GOOGLEFINANCE(A1289, ""priceopen"")) / GOOGLEFINANCE(A1289, ""priceopen"")) * GOOGLEFINANCE(A1289, ""volume""), 0)"),-4344.057876712309)</f>
        <v>-4344.057877</v>
      </c>
    </row>
    <row r="1290">
      <c r="A1290" s="4" t="s">
        <v>3083</v>
      </c>
      <c r="B1290" s="7">
        <f>IFERROR(__xludf.DUMMYFUNCTION("GOOGLEFINANCE(A1290, ""price"")"),37.5)</f>
        <v>37.5</v>
      </c>
      <c r="C1290" s="7">
        <f>IFERROR(__xludf.DUMMYFUNCTION("GOOGLEFINANCE(A1290, ""changepct"")"),-2.42)</f>
        <v>-2.42</v>
      </c>
      <c r="D1290" s="9">
        <f>IFERROR(__xludf.DUMMYFUNCTION("GOOGLEFINANCE(A1290, ""priceopen"")"),38.43)</f>
        <v>38.43</v>
      </c>
      <c r="E1290" s="9">
        <f>IFERROR(__xludf.DUMMYFUNCTION("GOOGLEFINANCE(A1290, ""high"")"),38.5)</f>
        <v>38.5</v>
      </c>
      <c r="F1290" s="9">
        <f>IFERROR(__xludf.DUMMYFUNCTION("GOOGLEFINANCE(A1290, ""low"")"),36.8)</f>
        <v>36.8</v>
      </c>
      <c r="G1290" s="9">
        <f>IFERROR(__xludf.DUMMYFUNCTION("GOOGLEFINANCE(A1290, ""price"")"),37.5)</f>
        <v>37.5</v>
      </c>
      <c r="H1290" s="9">
        <f>IFERROR(__xludf.DUMMYFUNCTION("MAX(INDEX(GOOGLEFINANCE(A1290, ""high"", TODAY()-30, TODAY()), 0, 2))"),42.0)</f>
        <v>42</v>
      </c>
      <c r="I1290" s="9">
        <f>IFERROR(__xludf.DUMMYFUNCTION("MIN(INDEX(GOOGLEFINANCE(A1290, ""low"", TODAY()-30, TODAY()), 0, 2))"),36.54)</f>
        <v>36.54</v>
      </c>
      <c r="J1290" s="9">
        <f>IFERROR(__xludf.DUMMYFUNCTION("GOOGLEFINANCE(A1290, ""high52"")"),45.8)</f>
        <v>45.8</v>
      </c>
      <c r="K1290" s="9">
        <f>IFERROR(__xludf.DUMMYFUNCTION("GOOGLEFINANCE(A1290, ""low52"")"),36.54)</f>
        <v>36.54</v>
      </c>
      <c r="L1290" s="9">
        <f t="shared" si="1"/>
        <v>0.1812227074</v>
      </c>
      <c r="M1290" s="9">
        <f t="shared" si="2"/>
        <v>0.026272578</v>
      </c>
      <c r="N1290" s="9">
        <f t="shared" si="3"/>
        <v>0.04619565217</v>
      </c>
      <c r="O1290" s="9">
        <f t="shared" si="4"/>
        <v>0.1758241758</v>
      </c>
      <c r="P1290" s="9" t="str">
        <f>IFERROR(__xludf.DUMMYFUNCTION("GOOGLEFINANCE(A1290, ""pe"")"),"#N/A")</f>
        <v>#N/A</v>
      </c>
      <c r="Q1290" s="9">
        <f>IFERROR(__xludf.DUMMYFUNCTION("IFERROR(GOOGLEFINANCE(A1290, ""volume"") / GOOGLEFINANCE(A1290, ""volumeavg""), 0)"),0.0)</f>
        <v>0</v>
      </c>
      <c r="R1290" s="9">
        <f>IFERROR(__xludf.DUMMYFUNCTION("AVERAGE(INDEX(GOOGLEFINANCE(A1290, ""price"", TODAY()-30, TODAY()), 0, 2))"),38.57217391304348)</f>
        <v>38.57217391</v>
      </c>
      <c r="S1290" s="9">
        <f>IFERROR(__xludf.DUMMYFUNCTION("AVERAGE(INDEX(GOOGLEFINANCE(A1290, ""price"", TODAY()-75, TODAY()), 0, 2))"),39.97184210526316)</f>
        <v>39.97184211</v>
      </c>
      <c r="T1290" s="9">
        <f>IFERROR(__xludf.DUMMYFUNCTION("AVERAGE(INDEX(GOOGLEFINANCE(A1290, ""price"", TODAY()-300, TODAY()), 0, 2))"),39.97184210526316)</f>
        <v>39.97184211</v>
      </c>
      <c r="U1290" s="9">
        <f t="shared" si="5"/>
        <v>-0.02779656432</v>
      </c>
      <c r="V1290" s="15">
        <f>IFERROR(__xludf.DUMMYFUNCTION("LET(hist, GOOGLEFINANCE(A1290,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rs))))))"),44.26719840478565)</f>
        <v>44.2671984</v>
      </c>
      <c r="W1290" s="16" t="str">
        <f>IFERROR(__xludf.DUMMYFUNCTION("IFERROR(GOOGLEFINANCE(A1290, ""volume"") / GOOGLEFINANCE(A1290, ""volumeavg""), )"),"")</f>
        <v/>
      </c>
      <c r="X1290" s="9">
        <f>IFERROR(__xludf.DUMMYFUNCTION("B1290 * GOOGLEFINANCE(A1290, ""volume"")"),1.48596E7)</f>
        <v>14859600</v>
      </c>
      <c r="Y1290" s="9">
        <f>IFERROR(__xludf.DUMMYFUNCTION("IFERROR(((B1290 - GOOGLEFINANCE(A1290, ""priceopen"")) / GOOGLEFINANCE(A1290, ""priceopen"")) * GOOGLEFINANCE(A1290, ""volume""), 0)"),-9589.33333333333)</f>
        <v>-9589.333333</v>
      </c>
    </row>
    <row r="1291">
      <c r="A1291" s="4" t="s">
        <v>3084</v>
      </c>
      <c r="B1291" s="7">
        <f>IFERROR(__xludf.DUMMYFUNCTION("GOOGLEFINANCE(A1291, ""price"")"),610.6)</f>
        <v>610.6</v>
      </c>
      <c r="C1291" s="7">
        <f>IFERROR(__xludf.DUMMYFUNCTION("GOOGLEFINANCE(A1291, ""changepct"")"),-0.75)</f>
        <v>-0.75</v>
      </c>
      <c r="D1291" s="9">
        <f>IFERROR(__xludf.DUMMYFUNCTION("GOOGLEFINANCE(A1291, ""priceopen"")"),615.2)</f>
        <v>615.2</v>
      </c>
      <c r="E1291" s="9">
        <f>IFERROR(__xludf.DUMMYFUNCTION("GOOGLEFINANCE(A1291, ""high"")"),616.05)</f>
        <v>616.05</v>
      </c>
      <c r="F1291" s="9">
        <f>IFERROR(__xludf.DUMMYFUNCTION("GOOGLEFINANCE(A1291, ""low"")"),606.0)</f>
        <v>606</v>
      </c>
      <c r="G1291" s="9">
        <f>IFERROR(__xludf.DUMMYFUNCTION("GOOGLEFINANCE(A1291, ""price"")"),610.6)</f>
        <v>610.6</v>
      </c>
      <c r="H1291" s="9">
        <f>IFERROR(__xludf.DUMMYFUNCTION("MAX(INDEX(GOOGLEFINANCE(A1291, ""high"", TODAY()-30, TODAY()), 0, 2))"),720.0)</f>
        <v>720</v>
      </c>
      <c r="I1291" s="9">
        <f>IFERROR(__xludf.DUMMYFUNCTION("MIN(INDEX(GOOGLEFINANCE(A1291, ""low"", TODAY()-30, TODAY()), 0, 2))"),604.2)</f>
        <v>604.2</v>
      </c>
      <c r="J1291" s="9">
        <f>IFERROR(__xludf.DUMMYFUNCTION("GOOGLEFINANCE(A1291, ""high52"")"),941.75)</f>
        <v>941.75</v>
      </c>
      <c r="K1291" s="9">
        <f>IFERROR(__xludf.DUMMYFUNCTION("GOOGLEFINANCE(A1291, ""low52"")"),513.4)</f>
        <v>513.4</v>
      </c>
      <c r="L1291" s="9">
        <f t="shared" si="1"/>
        <v>0.3516325989</v>
      </c>
      <c r="M1291" s="9">
        <f t="shared" si="2"/>
        <v>0.1893260616</v>
      </c>
      <c r="N1291" s="9">
        <f t="shared" si="3"/>
        <v>0.01658415842</v>
      </c>
      <c r="O1291" s="9">
        <f t="shared" si="4"/>
        <v>0.05526770294</v>
      </c>
      <c r="P1291" s="9" t="str">
        <f>IFERROR(__xludf.DUMMYFUNCTION("GOOGLEFINANCE(A1291, ""pe"")"),"#N/A")</f>
        <v>#N/A</v>
      </c>
      <c r="Q1291" s="9">
        <f>IFERROR(__xludf.DUMMYFUNCTION("IFERROR(GOOGLEFINANCE(A1291, ""volume"") / GOOGLEFINANCE(A1291, ""volumeavg""), 0)"),0.0)</f>
        <v>0</v>
      </c>
      <c r="R1291" s="9">
        <f>IFERROR(__xludf.DUMMYFUNCTION("AVERAGE(INDEX(GOOGLEFINANCE(A1291, ""price"", TODAY()-30, TODAY()), 0, 2))"),651.9760869565217)</f>
        <v>651.976087</v>
      </c>
      <c r="S1291" s="9">
        <f>IFERROR(__xludf.DUMMYFUNCTION("AVERAGE(INDEX(GOOGLEFINANCE(A1291, ""price"", TODAY()-75, TODAY()), 0, 2))"),706.6556603773588)</f>
        <v>706.6556604</v>
      </c>
      <c r="T1291" s="9">
        <f>IFERROR(__xludf.DUMMYFUNCTION("AVERAGE(INDEX(GOOGLEFINANCE(A1291, ""price"", TODAY()-300, TODAY()), 0, 2))"),680.8826732673265)</f>
        <v>680.8826733</v>
      </c>
      <c r="U1291" s="9">
        <f t="shared" si="5"/>
        <v>-0.06346258365</v>
      </c>
      <c r="V1291" s="15">
        <f>IFERROR(__xludf.DUMMYFUNCTION("LET(hist, GOOGLEFINANCE(A1291,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rs))))))"),28.40568862275451)</f>
        <v>28.40568862</v>
      </c>
      <c r="W1291" s="16" t="str">
        <f>IFERROR(__xludf.DUMMYFUNCTION("IFERROR(GOOGLEFINANCE(A1291, ""volume"") / GOOGLEFINANCE(A1291, ""volumeavg""), )"),"")</f>
        <v/>
      </c>
      <c r="X1291" s="9">
        <f>IFERROR(__xludf.DUMMYFUNCTION("B1291 * GOOGLEFINANCE(A1291, ""volume"")"),1.32506306E7)</f>
        <v>13250630.6</v>
      </c>
      <c r="Y1291" s="9">
        <f>IFERROR(__xludf.DUMMYFUNCTION("IFERROR(((B1291 - GOOGLEFINANCE(A1291, ""priceopen"")) / GOOGLEFINANCE(A1291, ""priceopen"")) * GOOGLEFINANCE(A1291, ""volume""), 0)"),-162.26365409622966)</f>
        <v>-162.2636541</v>
      </c>
    </row>
    <row r="1292">
      <c r="A1292" s="4" t="s">
        <v>3085</v>
      </c>
      <c r="B1292" s="7">
        <f>IFERROR(__xludf.DUMMYFUNCTION("GOOGLEFINANCE(A1292, ""price"")"),1739.0)</f>
        <v>1739</v>
      </c>
      <c r="C1292" s="7">
        <f>IFERROR(__xludf.DUMMYFUNCTION("GOOGLEFINANCE(A1292, ""changepct"")"),-0.87)</f>
        <v>-0.87</v>
      </c>
      <c r="D1292" s="9">
        <f>IFERROR(__xludf.DUMMYFUNCTION("GOOGLEFINANCE(A1292, ""priceopen"")"),1752.7)</f>
        <v>1752.7</v>
      </c>
      <c r="E1292" s="9">
        <f>IFERROR(__xludf.DUMMYFUNCTION("GOOGLEFINANCE(A1292, ""high"")"),1799.0)</f>
        <v>1799</v>
      </c>
      <c r="F1292" s="9">
        <f>IFERROR(__xludf.DUMMYFUNCTION("GOOGLEFINANCE(A1292, ""low"")"),1694.2)</f>
        <v>1694.2</v>
      </c>
      <c r="G1292" s="9">
        <f>IFERROR(__xludf.DUMMYFUNCTION("GOOGLEFINANCE(A1292, ""price"")"),1739.0)</f>
        <v>1739</v>
      </c>
      <c r="H1292" s="9">
        <f>IFERROR(__xludf.DUMMYFUNCTION("MAX(INDEX(GOOGLEFINANCE(A1292, ""high"", TODAY()-30, TODAY()), 0, 2))"),1850.0)</f>
        <v>1850</v>
      </c>
      <c r="I1292" s="9">
        <f>IFERROR(__xludf.DUMMYFUNCTION("MIN(INDEX(GOOGLEFINANCE(A1292, ""low"", TODAY()-30, TODAY()), 0, 2))"),1270.0)</f>
        <v>1270</v>
      </c>
      <c r="J1292" s="9">
        <f>IFERROR(__xludf.DUMMYFUNCTION("GOOGLEFINANCE(A1292, ""high52"")"),1850.0)</f>
        <v>1850</v>
      </c>
      <c r="K1292" s="9">
        <f>IFERROR(__xludf.DUMMYFUNCTION("GOOGLEFINANCE(A1292, ""low52"")"),761.0)</f>
        <v>761</v>
      </c>
      <c r="L1292" s="9">
        <f t="shared" si="1"/>
        <v>0.06</v>
      </c>
      <c r="M1292" s="9">
        <f t="shared" si="2"/>
        <v>1.285151117</v>
      </c>
      <c r="N1292" s="9">
        <f t="shared" si="3"/>
        <v>0.06185810412</v>
      </c>
      <c r="O1292" s="9">
        <f t="shared" si="4"/>
        <v>0.8086206897</v>
      </c>
      <c r="P1292" s="9">
        <f>IFERROR(__xludf.DUMMYFUNCTION("GOOGLEFINANCE(A1292, ""pe"")"),44.73)</f>
        <v>44.73</v>
      </c>
      <c r="Q1292" s="9">
        <f>IFERROR(__xludf.DUMMYFUNCTION("IFERROR(GOOGLEFINANCE(A1292, ""volume"") / GOOGLEFINANCE(A1292, ""volumeavg""), 0)"),0.0)</f>
        <v>0</v>
      </c>
      <c r="R1292" s="9">
        <f>IFERROR(__xludf.DUMMYFUNCTION("AVERAGE(INDEX(GOOGLEFINANCE(A1292, ""price"", TODAY()-30, TODAY()), 0, 2))"),1451.891304347826)</f>
        <v>1451.891304</v>
      </c>
      <c r="S1292" s="9">
        <f>IFERROR(__xludf.DUMMYFUNCTION("AVERAGE(INDEX(GOOGLEFINANCE(A1292, ""price"", TODAY()-75, TODAY()), 0, 2))"),1277.2500000000002)</f>
        <v>1277.25</v>
      </c>
      <c r="T1292" s="9">
        <f>IFERROR(__xludf.DUMMYFUNCTION("AVERAGE(INDEX(GOOGLEFINANCE(A1292, ""price"", TODAY()-300, TODAY()), 0, 2))"),1044.664356435643)</f>
        <v>1044.664356</v>
      </c>
      <c r="U1292" s="9">
        <f t="shared" si="5"/>
        <v>0.1977480647</v>
      </c>
      <c r="V1292" s="15">
        <f>IFERROR(__xludf.DUMMYFUNCTION("LET(hist, GOOGLEFINANCE(A1292,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rs))))))"),75.54429686430232)</f>
        <v>75.54429686</v>
      </c>
      <c r="W1292" s="16" t="str">
        <f>IFERROR(__xludf.DUMMYFUNCTION("IFERROR(GOOGLEFINANCE(A1292, ""volume"") / GOOGLEFINANCE(A1292, ""volumeavg""), )"),"")</f>
        <v/>
      </c>
      <c r="X1292" s="9">
        <f>IFERROR(__xludf.DUMMYFUNCTION("B1292 * GOOGLEFINANCE(A1292, ""volume"")"),3.9670068E7)</f>
        <v>39670068</v>
      </c>
      <c r="Y1292" s="9">
        <f>IFERROR(__xludf.DUMMYFUNCTION("IFERROR(((B1292 - GOOGLEFINANCE(A1292, ""priceopen"")) / GOOGLEFINANCE(A1292, ""priceopen"")) * GOOGLEFINANCE(A1292, ""volume""), 0)"),-178.31026416386206)</f>
        <v>-178.3102642</v>
      </c>
    </row>
    <row r="1293">
      <c r="A1293" s="4" t="s">
        <v>3086</v>
      </c>
      <c r="B1293" s="7">
        <f>IFERROR(__xludf.DUMMYFUNCTION("GOOGLEFINANCE(A1293, ""price"")"),725.0)</f>
        <v>725</v>
      </c>
      <c r="C1293" s="7">
        <f>IFERROR(__xludf.DUMMYFUNCTION("GOOGLEFINANCE(A1293, ""changepct"")"),-0.77)</f>
        <v>-0.77</v>
      </c>
      <c r="D1293" s="9">
        <f>IFERROR(__xludf.DUMMYFUNCTION("GOOGLEFINANCE(A1293, ""priceopen"")"),730.65)</f>
        <v>730.65</v>
      </c>
      <c r="E1293" s="9">
        <f>IFERROR(__xludf.DUMMYFUNCTION("GOOGLEFINANCE(A1293, ""high"")"),745.3)</f>
        <v>745.3</v>
      </c>
      <c r="F1293" s="9">
        <f>IFERROR(__xludf.DUMMYFUNCTION("GOOGLEFINANCE(A1293, ""low"")"),704.0)</f>
        <v>704</v>
      </c>
      <c r="G1293" s="9">
        <f>IFERROR(__xludf.DUMMYFUNCTION("GOOGLEFINANCE(A1293, ""price"")"),725.0)</f>
        <v>725</v>
      </c>
      <c r="H1293" s="9">
        <f>IFERROR(__xludf.DUMMYFUNCTION("MAX(INDEX(GOOGLEFINANCE(A1293, ""high"", TODAY()-30, TODAY()), 0, 2))"),915.0)</f>
        <v>915</v>
      </c>
      <c r="I1293" s="9">
        <f>IFERROR(__xludf.DUMMYFUNCTION("MIN(INDEX(GOOGLEFINANCE(A1293, ""low"", TODAY()-30, TODAY()), 0, 2))"),698.15)</f>
        <v>698.15</v>
      </c>
      <c r="J1293" s="9">
        <f>IFERROR(__xludf.DUMMYFUNCTION("GOOGLEFINANCE(A1293, ""high52"")"),935.0)</f>
        <v>935</v>
      </c>
      <c r="K1293" s="9">
        <f>IFERROR(__xludf.DUMMYFUNCTION("GOOGLEFINANCE(A1293, ""low52"")"),281.05)</f>
        <v>281.05</v>
      </c>
      <c r="L1293" s="9">
        <f t="shared" si="1"/>
        <v>0.2245989305</v>
      </c>
      <c r="M1293" s="9">
        <f t="shared" si="2"/>
        <v>1.579612169</v>
      </c>
      <c r="N1293" s="9">
        <f t="shared" si="3"/>
        <v>0.05866477273</v>
      </c>
      <c r="O1293" s="9">
        <f t="shared" si="4"/>
        <v>0.1238183076</v>
      </c>
      <c r="P1293" s="9">
        <f>IFERROR(__xludf.DUMMYFUNCTION("GOOGLEFINANCE(A1293, ""pe"")"),42.08)</f>
        <v>42.08</v>
      </c>
      <c r="Q1293" s="9">
        <f>IFERROR(__xludf.DUMMYFUNCTION("IFERROR(GOOGLEFINANCE(A1293, ""volume"") / GOOGLEFINANCE(A1293, ""volumeavg""), 0)"),0.0)</f>
        <v>0</v>
      </c>
      <c r="R1293" s="9">
        <f>IFERROR(__xludf.DUMMYFUNCTION("AVERAGE(INDEX(GOOGLEFINANCE(A1293, ""price"", TODAY()-30, TODAY()), 0, 2))"),817.0369565217394)</f>
        <v>817.0369565</v>
      </c>
      <c r="S1293" s="9">
        <f>IFERROR(__xludf.DUMMYFUNCTION("AVERAGE(INDEX(GOOGLEFINANCE(A1293, ""price"", TODAY()-75, TODAY()), 0, 2))"),791.2537735849053)</f>
        <v>791.2537736</v>
      </c>
      <c r="T1293" s="9">
        <f>IFERROR(__xludf.DUMMYFUNCTION("AVERAGE(INDEX(GOOGLEFINANCE(A1293, ""price"", TODAY()-300, TODAY()), 0, 2))"),511.1774752475247)</f>
        <v>511.1774752</v>
      </c>
      <c r="U1293" s="9">
        <f t="shared" si="5"/>
        <v>-0.112647238</v>
      </c>
      <c r="V1293" s="15">
        <f>IFERROR(__xludf.DUMMYFUNCTION("LET(hist, GOOGLEFINANCE(A1293,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rs))))))"),11.702674897119337)</f>
        <v>11.7026749</v>
      </c>
      <c r="W1293" s="16" t="str">
        <f>IFERROR(__xludf.DUMMYFUNCTION("IFERROR(GOOGLEFINANCE(A1293, ""volume"") / GOOGLEFINANCE(A1293, ""volumeavg""), )"),"")</f>
        <v/>
      </c>
      <c r="X1293" s="9">
        <f>IFERROR(__xludf.DUMMYFUNCTION("B1293 * GOOGLEFINANCE(A1293, ""volume"")"),2520825.0)</f>
        <v>2520825</v>
      </c>
      <c r="Y1293" s="9">
        <f>IFERROR(__xludf.DUMMYFUNCTION("IFERROR(((B1293 - GOOGLEFINANCE(A1293, ""priceopen"")) / GOOGLEFINANCE(A1293, ""priceopen"")) * GOOGLEFINANCE(A1293, ""volume""), 0)"),-26.887086840484393)</f>
        <v>-26.88708684</v>
      </c>
    </row>
    <row r="1294">
      <c r="A1294" s="4" t="s">
        <v>3087</v>
      </c>
      <c r="B1294" s="7">
        <f>IFERROR(__xludf.DUMMYFUNCTION("GOOGLEFINANCE(A1294, ""price"")"),111.0)</f>
        <v>111</v>
      </c>
      <c r="C1294" s="7">
        <f>IFERROR(__xludf.DUMMYFUNCTION("GOOGLEFINANCE(A1294, ""changepct"")"),-1.1)</f>
        <v>-1.1</v>
      </c>
      <c r="D1294" s="9">
        <f>IFERROR(__xludf.DUMMYFUNCTION("GOOGLEFINANCE(A1294, ""priceopen"")"),112.46)</f>
        <v>112.46</v>
      </c>
      <c r="E1294" s="9">
        <f>IFERROR(__xludf.DUMMYFUNCTION("GOOGLEFINANCE(A1294, ""high"")"),114.0)</f>
        <v>114</v>
      </c>
      <c r="F1294" s="9">
        <f>IFERROR(__xludf.DUMMYFUNCTION("GOOGLEFINANCE(A1294, ""low"")"),110.0)</f>
        <v>110</v>
      </c>
      <c r="G1294" s="9">
        <f>IFERROR(__xludf.DUMMYFUNCTION("GOOGLEFINANCE(A1294, ""price"")"),111.0)</f>
        <v>111</v>
      </c>
      <c r="H1294" s="9">
        <f>IFERROR(__xludf.DUMMYFUNCTION("MAX(INDEX(GOOGLEFINANCE(A1294, ""high"", TODAY()-30, TODAY()), 0, 2))"),115.93)</f>
        <v>115.93</v>
      </c>
      <c r="I1294" s="9">
        <f>IFERROR(__xludf.DUMMYFUNCTION("MIN(INDEX(GOOGLEFINANCE(A1294, ""low"", TODAY()-30, TODAY()), 0, 2))"),108.0)</f>
        <v>108</v>
      </c>
      <c r="J1294" s="9">
        <f>IFERROR(__xludf.DUMMYFUNCTION("GOOGLEFINANCE(A1294, ""high52"")"),118.0)</f>
        <v>118</v>
      </c>
      <c r="K1294" s="9">
        <f>IFERROR(__xludf.DUMMYFUNCTION("GOOGLEFINANCE(A1294, ""low52"")"),82.5)</f>
        <v>82.5</v>
      </c>
      <c r="L1294" s="9">
        <f t="shared" si="1"/>
        <v>0.0593220339</v>
      </c>
      <c r="M1294" s="9">
        <f t="shared" si="2"/>
        <v>0.3454545455</v>
      </c>
      <c r="N1294" s="9">
        <f t="shared" si="3"/>
        <v>0.03636363636</v>
      </c>
      <c r="O1294" s="9">
        <f t="shared" si="4"/>
        <v>0.3783102144</v>
      </c>
      <c r="P1294" s="9">
        <f>IFERROR(__xludf.DUMMYFUNCTION("GOOGLEFINANCE(A1294, ""pe"")"),152.05)</f>
        <v>152.05</v>
      </c>
      <c r="Q1294" s="9">
        <f>IFERROR(__xludf.DUMMYFUNCTION("IFERROR(GOOGLEFINANCE(A1294, ""volume"") / GOOGLEFINANCE(A1294, ""volumeavg""), 0)"),0.0)</f>
        <v>0</v>
      </c>
      <c r="R1294" s="9">
        <f>IFERROR(__xludf.DUMMYFUNCTION("AVERAGE(INDEX(GOOGLEFINANCE(A1294, ""price"", TODAY()-30, TODAY()), 0, 2))"),113.53086956521743)</f>
        <v>113.5308696</v>
      </c>
      <c r="S1294" s="9">
        <f>IFERROR(__xludf.DUMMYFUNCTION("AVERAGE(INDEX(GOOGLEFINANCE(A1294, ""price"", TODAY()-75, TODAY()), 0, 2))"),108.80943396226412)</f>
        <v>108.809434</v>
      </c>
      <c r="T1294" s="9">
        <f>IFERROR(__xludf.DUMMYFUNCTION("AVERAGE(INDEX(GOOGLEFINANCE(A1294, ""price"", TODAY()-300, TODAY()), 0, 2))"),100.85247524752475)</f>
        <v>100.8524752</v>
      </c>
      <c r="U1294" s="9">
        <f t="shared" si="5"/>
        <v>-0.02229234723</v>
      </c>
      <c r="V1294" s="15">
        <f>IFERROR(__xludf.DUMMYFUNCTION("LET(hist, GOOGLEFINANCE(A1294,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rs))))))"),37.44813278008298)</f>
        <v>37.44813278</v>
      </c>
      <c r="W1294" s="16" t="str">
        <f>IFERROR(__xludf.DUMMYFUNCTION("IFERROR(GOOGLEFINANCE(A1294, ""volume"") / GOOGLEFINANCE(A1294, ""volumeavg""), )"),"")</f>
        <v/>
      </c>
      <c r="X1294" s="9">
        <f>IFERROR(__xludf.DUMMYFUNCTION("B1294 * GOOGLEFINANCE(A1294, ""volume"")"),3802860.0)</f>
        <v>3802860</v>
      </c>
      <c r="Y1294" s="9">
        <f>IFERROR(__xludf.DUMMYFUNCTION("IFERROR(((B1294 - GOOGLEFINANCE(A1294, ""priceopen"")) / GOOGLEFINANCE(A1294, ""priceopen"")) * GOOGLEFINANCE(A1294, ""volume""), 0)"),-444.7768095322763)</f>
        <v>-444.7768095</v>
      </c>
    </row>
    <row r="1295">
      <c r="A1295" s="4" t="s">
        <v>3088</v>
      </c>
      <c r="B1295" s="7">
        <f>IFERROR(__xludf.DUMMYFUNCTION("GOOGLEFINANCE(A1295, ""price"")"),464.2)</f>
        <v>464.2</v>
      </c>
      <c r="C1295" s="7">
        <f>IFERROR(__xludf.DUMMYFUNCTION("GOOGLEFINANCE(A1295, ""changepct"")"),-0.47)</f>
        <v>-0.47</v>
      </c>
      <c r="D1295" s="9">
        <f>IFERROR(__xludf.DUMMYFUNCTION("GOOGLEFINANCE(A1295, ""priceopen"")"),472.9)</f>
        <v>472.9</v>
      </c>
      <c r="E1295" s="9">
        <f>IFERROR(__xludf.DUMMYFUNCTION("GOOGLEFINANCE(A1295, ""high"")"),473.7)</f>
        <v>473.7</v>
      </c>
      <c r="F1295" s="9">
        <f>IFERROR(__xludf.DUMMYFUNCTION("GOOGLEFINANCE(A1295, ""low"")"),457.6)</f>
        <v>457.6</v>
      </c>
      <c r="G1295" s="9">
        <f>IFERROR(__xludf.DUMMYFUNCTION("GOOGLEFINANCE(A1295, ""price"")"),464.2)</f>
        <v>464.2</v>
      </c>
      <c r="H1295" s="9">
        <f>IFERROR(__xludf.DUMMYFUNCTION("MAX(INDEX(GOOGLEFINANCE(A1295, ""high"", TODAY()-30, TODAY()), 0, 2))"),532.45)</f>
        <v>532.45</v>
      </c>
      <c r="I1295" s="9">
        <f>IFERROR(__xludf.DUMMYFUNCTION("MIN(INDEX(GOOGLEFINANCE(A1295, ""low"", TODAY()-30, TODAY()), 0, 2))"),420.55)</f>
        <v>420.55</v>
      </c>
      <c r="J1295" s="9">
        <f>IFERROR(__xludf.DUMMYFUNCTION("GOOGLEFINANCE(A1295, ""high52"")"),532.45)</f>
        <v>532.45</v>
      </c>
      <c r="K1295" s="9">
        <f>IFERROR(__xludf.DUMMYFUNCTION("GOOGLEFINANCE(A1295, ""low52"")"),315.0)</f>
        <v>315</v>
      </c>
      <c r="L1295" s="9">
        <f t="shared" si="1"/>
        <v>0.1281810499</v>
      </c>
      <c r="M1295" s="9">
        <f t="shared" si="2"/>
        <v>0.4736507937</v>
      </c>
      <c r="N1295" s="9">
        <f t="shared" si="3"/>
        <v>0.03518356643</v>
      </c>
      <c r="O1295" s="9">
        <f t="shared" si="4"/>
        <v>0.390080429</v>
      </c>
      <c r="P1295" s="9">
        <f>IFERROR(__xludf.DUMMYFUNCTION("GOOGLEFINANCE(A1295, ""pe"")"),17.5)</f>
        <v>17.5</v>
      </c>
      <c r="Q1295" s="9">
        <f>IFERROR(__xludf.DUMMYFUNCTION("IFERROR(GOOGLEFINANCE(A1295, ""volume"") / GOOGLEFINANCE(A1295, ""volumeavg""), 0)"),0.0)</f>
        <v>0</v>
      </c>
      <c r="R1295" s="9">
        <f>IFERROR(__xludf.DUMMYFUNCTION("AVERAGE(INDEX(GOOGLEFINANCE(A1295, ""price"", TODAY()-30, TODAY()), 0, 2))"),462.0521739130434)</f>
        <v>462.0521739</v>
      </c>
      <c r="S1295" s="9">
        <f>IFERROR(__xludf.DUMMYFUNCTION("AVERAGE(INDEX(GOOGLEFINANCE(A1295, ""price"", TODAY()-75, TODAY()), 0, 2))"),449.3547169811321)</f>
        <v>449.354717</v>
      </c>
      <c r="T1295" s="9">
        <f>IFERROR(__xludf.DUMMYFUNCTION("AVERAGE(INDEX(GOOGLEFINANCE(A1295, ""price"", TODAY()-300, TODAY()), 0, 2))"),405.7267326732674)</f>
        <v>405.7267327</v>
      </c>
      <c r="U1295" s="9">
        <f t="shared" si="5"/>
        <v>0.004648449262</v>
      </c>
      <c r="V1295" s="15">
        <f>IFERROR(__xludf.DUMMYFUNCTION("LET(hist, GOOGLEFINANCE(A1295,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rs))))))"),55.72461011791556)</f>
        <v>55.72461012</v>
      </c>
      <c r="W1295" s="16" t="str">
        <f>IFERROR(__xludf.DUMMYFUNCTION("IFERROR(GOOGLEFINANCE(A1295, ""volume"") / GOOGLEFINANCE(A1295, ""volumeavg""), )"),"")</f>
        <v/>
      </c>
      <c r="X1295" s="9">
        <f>IFERROR(__xludf.DUMMYFUNCTION("B1295 * GOOGLEFINANCE(A1295, ""volume"")"),2.48398062E7)</f>
        <v>24839806.2</v>
      </c>
      <c r="Y1295" s="9">
        <f>IFERROR(__xludf.DUMMYFUNCTION("IFERROR(((B1295 - GOOGLEFINANCE(A1295, ""priceopen"")) / GOOGLEFINANCE(A1295, ""priceopen"")) * GOOGLEFINANCE(A1295, ""volume""), 0)"),-984.4485091985607)</f>
        <v>-984.4485092</v>
      </c>
    </row>
    <row r="1296">
      <c r="A1296" s="4" t="s">
        <v>3089</v>
      </c>
      <c r="B1296" s="7">
        <f>IFERROR(__xludf.DUMMYFUNCTION("GOOGLEFINANCE(A1296, ""price"")"),724.7)</f>
        <v>724.7</v>
      </c>
      <c r="C1296" s="7">
        <f>IFERROR(__xludf.DUMMYFUNCTION("GOOGLEFINANCE(A1296, ""changepct"")"),-0.76)</f>
        <v>-0.76</v>
      </c>
      <c r="D1296" s="9">
        <f>IFERROR(__xludf.DUMMYFUNCTION("GOOGLEFINANCE(A1296, ""priceopen"")"),730.25)</f>
        <v>730.25</v>
      </c>
      <c r="E1296" s="9">
        <f>IFERROR(__xludf.DUMMYFUNCTION("GOOGLEFINANCE(A1296, ""high"")"),730.5)</f>
        <v>730.5</v>
      </c>
      <c r="F1296" s="9">
        <f>IFERROR(__xludf.DUMMYFUNCTION("GOOGLEFINANCE(A1296, ""low"")"),719.05)</f>
        <v>719.05</v>
      </c>
      <c r="G1296" s="9">
        <f>IFERROR(__xludf.DUMMYFUNCTION("GOOGLEFINANCE(A1296, ""price"")"),724.7)</f>
        <v>724.7</v>
      </c>
      <c r="H1296" s="9">
        <f>IFERROR(__xludf.DUMMYFUNCTION("MAX(INDEX(GOOGLEFINANCE(A1296, ""high"", TODAY()-30, TODAY()), 0, 2))"),839.85)</f>
        <v>839.85</v>
      </c>
      <c r="I1296" s="9">
        <f>IFERROR(__xludf.DUMMYFUNCTION("MIN(INDEX(GOOGLEFINANCE(A1296, ""low"", TODAY()-30, TODAY()), 0, 2))"),719.05)</f>
        <v>719.05</v>
      </c>
      <c r="J1296" s="9">
        <f>IFERROR(__xludf.DUMMYFUNCTION("GOOGLEFINANCE(A1296, ""high52"")"),1277.0)</f>
        <v>1277</v>
      </c>
      <c r="K1296" s="9">
        <f>IFERROR(__xludf.DUMMYFUNCTION("GOOGLEFINANCE(A1296, ""low52"")"),660.65)</f>
        <v>660.65</v>
      </c>
      <c r="L1296" s="9">
        <f t="shared" si="1"/>
        <v>0.4324980423</v>
      </c>
      <c r="M1296" s="9">
        <f t="shared" si="2"/>
        <v>0.09694997351</v>
      </c>
      <c r="N1296" s="9">
        <f t="shared" si="3"/>
        <v>0.01592378833</v>
      </c>
      <c r="O1296" s="9">
        <f t="shared" si="4"/>
        <v>0.04677152318</v>
      </c>
      <c r="P1296" s="9">
        <f>IFERROR(__xludf.DUMMYFUNCTION("GOOGLEFINANCE(A1296, ""pe"")"),16.98)</f>
        <v>16.98</v>
      </c>
      <c r="Q1296" s="9">
        <f>IFERROR(__xludf.DUMMYFUNCTION("IFERROR(GOOGLEFINANCE(A1296, ""volume"") / GOOGLEFINANCE(A1296, ""volumeavg""), 0)"),0.0)</f>
        <v>0</v>
      </c>
      <c r="R1296" s="9">
        <f>IFERROR(__xludf.DUMMYFUNCTION("AVERAGE(INDEX(GOOGLEFINANCE(A1296, ""price"", TODAY()-30, TODAY()), 0, 2))"),781.1934782608696)</f>
        <v>781.1934783</v>
      </c>
      <c r="S1296" s="9">
        <f>IFERROR(__xludf.DUMMYFUNCTION("AVERAGE(INDEX(GOOGLEFINANCE(A1296, ""price"", TODAY()-75, TODAY()), 0, 2))"),813.9471698113207)</f>
        <v>813.9471698</v>
      </c>
      <c r="T1296" s="9">
        <f>IFERROR(__xludf.DUMMYFUNCTION("AVERAGE(INDEX(GOOGLEFINANCE(A1296, ""price"", TODAY()-300, TODAY()), 0, 2))"),873.712376237624)</f>
        <v>873.7123762</v>
      </c>
      <c r="U1296" s="9">
        <f t="shared" si="5"/>
        <v>-0.07231688414</v>
      </c>
      <c r="V1296" s="15">
        <f>IFERROR(__xludf.DUMMYFUNCTION("LET(hist, GOOGLEFINANCE(A1296,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rs))))))"),29.007238883143756)</f>
        <v>29.00723888</v>
      </c>
      <c r="W1296" s="16" t="str">
        <f>IFERROR(__xludf.DUMMYFUNCTION("IFERROR(GOOGLEFINANCE(A1296, ""volume"") / GOOGLEFINANCE(A1296, ""volumeavg""), )"),"")</f>
        <v/>
      </c>
      <c r="X1296" s="9">
        <f>IFERROR(__xludf.DUMMYFUNCTION("B1296 * GOOGLEFINANCE(A1296, ""volume"")"),2.8427082200000003E7)</f>
        <v>28427082.2</v>
      </c>
      <c r="Y1296" s="9">
        <f>IFERROR(__xludf.DUMMYFUNCTION("IFERROR(((B1296 - GOOGLEFINANCE(A1296, ""priceopen"")) / GOOGLEFINANCE(A1296, ""priceopen"")) * GOOGLEFINANCE(A1296, ""volume""), 0)"),-298.1229715850711)</f>
        <v>-298.1229716</v>
      </c>
    </row>
    <row r="1297">
      <c r="A1297" s="4" t="s">
        <v>3090</v>
      </c>
      <c r="B1297" s="7">
        <f>IFERROR(__xludf.DUMMYFUNCTION("GOOGLEFINANCE(A1297, ""price"")"),218.6)</f>
        <v>218.6</v>
      </c>
      <c r="C1297" s="7">
        <f>IFERROR(__xludf.DUMMYFUNCTION("GOOGLEFINANCE(A1297, ""changepct"")"),0.57)</f>
        <v>0.57</v>
      </c>
      <c r="D1297" s="9">
        <f>IFERROR(__xludf.DUMMYFUNCTION("GOOGLEFINANCE(A1297, ""priceopen"")"),218.82)</f>
        <v>218.82</v>
      </c>
      <c r="E1297" s="9">
        <f>IFERROR(__xludf.DUMMYFUNCTION("GOOGLEFINANCE(A1297, ""high"")"),221.4)</f>
        <v>221.4</v>
      </c>
      <c r="F1297" s="9">
        <f>IFERROR(__xludf.DUMMYFUNCTION("GOOGLEFINANCE(A1297, ""low"")"),212.21)</f>
        <v>212.21</v>
      </c>
      <c r="G1297" s="9">
        <f>IFERROR(__xludf.DUMMYFUNCTION("GOOGLEFINANCE(A1297, ""price"")"),218.6)</f>
        <v>218.6</v>
      </c>
      <c r="H1297" s="9">
        <f>IFERROR(__xludf.DUMMYFUNCTION("MAX(INDEX(GOOGLEFINANCE(A1297, ""high"", TODAY()-30, TODAY()), 0, 2))"),251.0)</f>
        <v>251</v>
      </c>
      <c r="I1297" s="9">
        <f>IFERROR(__xludf.DUMMYFUNCTION("MIN(INDEX(GOOGLEFINANCE(A1297, ""low"", TODAY()-30, TODAY()), 0, 2))"),212.21)</f>
        <v>212.21</v>
      </c>
      <c r="J1297" s="9">
        <f>IFERROR(__xludf.DUMMYFUNCTION("GOOGLEFINANCE(A1297, ""high52"")"),334.9)</f>
        <v>334.9</v>
      </c>
      <c r="K1297" s="9">
        <f>IFERROR(__xludf.DUMMYFUNCTION("GOOGLEFINANCE(A1297, ""low52"")"),186.0)</f>
        <v>186</v>
      </c>
      <c r="L1297" s="9">
        <f t="shared" si="1"/>
        <v>0.3472678411</v>
      </c>
      <c r="M1297" s="9">
        <f t="shared" si="2"/>
        <v>0.1752688172</v>
      </c>
      <c r="N1297" s="9">
        <f t="shared" si="3"/>
        <v>0.04330615899</v>
      </c>
      <c r="O1297" s="9">
        <f t="shared" si="4"/>
        <v>0.1647331787</v>
      </c>
      <c r="P1297" s="9">
        <f>IFERROR(__xludf.DUMMYFUNCTION("GOOGLEFINANCE(A1297, ""pe"")"),39.6)</f>
        <v>39.6</v>
      </c>
      <c r="Q1297" s="9">
        <f>IFERROR(__xludf.DUMMYFUNCTION("IFERROR(GOOGLEFINANCE(A1297, ""volume"") / GOOGLEFINANCE(A1297, ""volumeavg""), 0)"),0.0)</f>
        <v>0</v>
      </c>
      <c r="R1297" s="9">
        <f>IFERROR(__xludf.DUMMYFUNCTION("AVERAGE(INDEX(GOOGLEFINANCE(A1297, ""price"", TODAY()-30, TODAY()), 0, 2))"),227.89217391304345)</f>
        <v>227.8921739</v>
      </c>
      <c r="S1297" s="9">
        <f>IFERROR(__xludf.DUMMYFUNCTION("AVERAGE(INDEX(GOOGLEFINANCE(A1297, ""price"", TODAY()-75, TODAY()), 0, 2))"),232.48754716981142)</f>
        <v>232.4875472</v>
      </c>
      <c r="T1297" s="9">
        <f>IFERROR(__xludf.DUMMYFUNCTION("AVERAGE(INDEX(GOOGLEFINANCE(A1297, ""price"", TODAY()-300, TODAY()), 0, 2))"),245.38881188118813)</f>
        <v>245.3888119</v>
      </c>
      <c r="U1297" s="9">
        <f t="shared" si="5"/>
        <v>-0.04077443184</v>
      </c>
      <c r="V1297" s="15">
        <f>IFERROR(__xludf.DUMMYFUNCTION("LET(hist, GOOGLEFINANCE(A1297,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rs))))))"),42.52349757903732)</f>
        <v>42.52349758</v>
      </c>
      <c r="W1297" s="16" t="str">
        <f>IFERROR(__xludf.DUMMYFUNCTION("IFERROR(GOOGLEFINANCE(A1297, ""volume"") / GOOGLEFINANCE(A1297, ""volumeavg""), )"),"")</f>
        <v/>
      </c>
      <c r="X1297" s="9">
        <f>IFERROR(__xludf.DUMMYFUNCTION("B1297 * GOOGLEFINANCE(A1297, ""volume"")"),3.15710864E7)</f>
        <v>31571086.4</v>
      </c>
      <c r="Y1297" s="9">
        <f>IFERROR(__xludf.DUMMYFUNCTION("IFERROR(((B1297 - GOOGLEFINANCE(A1297, ""priceopen"")) / GOOGLEFINANCE(A1297, ""priceopen"")) * GOOGLEFINANCE(A1297, ""volume""), 0)"),-145.2028150991675)</f>
        <v>-145.2028151</v>
      </c>
    </row>
    <row r="1298">
      <c r="A1298" s="4" t="s">
        <v>3091</v>
      </c>
      <c r="B1298" s="7">
        <f>IFERROR(__xludf.DUMMYFUNCTION("GOOGLEFINANCE(A1298, ""price"")"),1092.0)</f>
        <v>1092</v>
      </c>
      <c r="C1298" s="7">
        <f>IFERROR(__xludf.DUMMYFUNCTION("GOOGLEFINANCE(A1298, ""changepct"")"),0.62)</f>
        <v>0.62</v>
      </c>
      <c r="D1298" s="9">
        <f>IFERROR(__xludf.DUMMYFUNCTION("GOOGLEFINANCE(A1298, ""priceopen"")"),1085.3)</f>
        <v>1085.3</v>
      </c>
      <c r="E1298" s="9">
        <f>IFERROR(__xludf.DUMMYFUNCTION("GOOGLEFINANCE(A1298, ""high"")"),1133.0)</f>
        <v>1133</v>
      </c>
      <c r="F1298" s="9">
        <f>IFERROR(__xludf.DUMMYFUNCTION("GOOGLEFINANCE(A1298, ""low"")"),1075.1)</f>
        <v>1075.1</v>
      </c>
      <c r="G1298" s="9">
        <f>IFERROR(__xludf.DUMMYFUNCTION("GOOGLEFINANCE(A1298, ""price"")"),1092.0)</f>
        <v>1092</v>
      </c>
      <c r="H1298" s="9">
        <f>IFERROR(__xludf.DUMMYFUNCTION("MAX(INDEX(GOOGLEFINANCE(A1298, ""high"", TODAY()-30, TODAY()), 0, 2))"),1210.0)</f>
        <v>1210</v>
      </c>
      <c r="I1298" s="9">
        <f>IFERROR(__xludf.DUMMYFUNCTION("MIN(INDEX(GOOGLEFINANCE(A1298, ""low"", TODAY()-30, TODAY()), 0, 2))"),914.0)</f>
        <v>914</v>
      </c>
      <c r="J1298" s="9">
        <f>IFERROR(__xludf.DUMMYFUNCTION("GOOGLEFINANCE(A1298, ""high52"")"),1216.8)</f>
        <v>1216.8</v>
      </c>
      <c r="K1298" s="9">
        <f>IFERROR(__xludf.DUMMYFUNCTION("GOOGLEFINANCE(A1298, ""low52"")"),735.0)</f>
        <v>735</v>
      </c>
      <c r="L1298" s="9">
        <f t="shared" si="1"/>
        <v>0.1025641026</v>
      </c>
      <c r="M1298" s="9">
        <f t="shared" si="2"/>
        <v>0.4857142857</v>
      </c>
      <c r="N1298" s="9">
        <f t="shared" si="3"/>
        <v>0.05385545531</v>
      </c>
      <c r="O1298" s="9">
        <f t="shared" si="4"/>
        <v>0.6013513514</v>
      </c>
      <c r="P1298" s="9">
        <f>IFERROR(__xludf.DUMMYFUNCTION("GOOGLEFINANCE(A1298, ""pe"")"),20.86)</f>
        <v>20.86</v>
      </c>
      <c r="Q1298" s="9">
        <f>IFERROR(__xludf.DUMMYFUNCTION("IFERROR(GOOGLEFINANCE(A1298, ""volume"") / GOOGLEFINANCE(A1298, ""volumeavg""), 0)"),0.0)</f>
        <v>0</v>
      </c>
      <c r="R1298" s="9">
        <f>IFERROR(__xludf.DUMMYFUNCTION("AVERAGE(INDEX(GOOGLEFINANCE(A1298, ""price"", TODAY()-30, TODAY()), 0, 2))"),1035.8108695652174)</f>
        <v>1035.81087</v>
      </c>
      <c r="S1298" s="9">
        <f>IFERROR(__xludf.DUMMYFUNCTION("AVERAGE(INDEX(GOOGLEFINANCE(A1298, ""price"", TODAY()-75, TODAY()), 0, 2))"),964.866037735849)</f>
        <v>964.8660377</v>
      </c>
      <c r="T1298" s="9">
        <f>IFERROR(__xludf.DUMMYFUNCTION("AVERAGE(INDEX(GOOGLEFINANCE(A1298, ""price"", TODAY()-300, TODAY()), 0, 2))"),974.6524752475249)</f>
        <v>974.6524752</v>
      </c>
      <c r="U1298" s="9">
        <f t="shared" si="5"/>
        <v>0.05424651554</v>
      </c>
      <c r="V1298" s="15">
        <f>IFERROR(__xludf.DUMMYFUNCTION("LET(hist, GOOGLEFINANCE(A1298,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rs))))))"),62.62682418346076)</f>
        <v>62.62682418</v>
      </c>
      <c r="W1298" s="16" t="str">
        <f>IFERROR(__xludf.DUMMYFUNCTION("IFERROR(GOOGLEFINANCE(A1298, ""volume"") / GOOGLEFINANCE(A1298, ""volumeavg""), )"),"")</f>
        <v/>
      </c>
      <c r="X1298" s="9">
        <f>IFERROR(__xludf.DUMMYFUNCTION("B1298 * GOOGLEFINANCE(A1298, ""volume"")"),3.6501192E7)</f>
        <v>36501192</v>
      </c>
      <c r="Y1298" s="9">
        <f>IFERROR(__xludf.DUMMYFUNCTION("IFERROR(((B1298 - GOOGLEFINANCE(A1298, ""priceopen"")) / GOOGLEFINANCE(A1298, ""priceopen"")) * GOOGLEFINANCE(A1298, ""volume""), 0)"),206.35234497374137)</f>
        <v>206.352345</v>
      </c>
    </row>
    <row r="1299">
      <c r="A1299" s="4" t="s">
        <v>3092</v>
      </c>
      <c r="B1299" s="7">
        <f>IFERROR(__xludf.DUMMYFUNCTION("GOOGLEFINANCE(A1299, ""price"")"),584.5)</f>
        <v>584.5</v>
      </c>
      <c r="C1299" s="7">
        <f>IFERROR(__xludf.DUMMYFUNCTION("GOOGLEFINANCE(A1299, ""changepct"")"),3.75)</f>
        <v>3.75</v>
      </c>
      <c r="D1299" s="9">
        <f>IFERROR(__xludf.DUMMYFUNCTION("GOOGLEFINANCE(A1299, ""priceopen"")"),579.0)</f>
        <v>579</v>
      </c>
      <c r="E1299" s="9">
        <f>IFERROR(__xludf.DUMMYFUNCTION("GOOGLEFINANCE(A1299, ""high"")"),585.0)</f>
        <v>585</v>
      </c>
      <c r="F1299" s="9">
        <f>IFERROR(__xludf.DUMMYFUNCTION("GOOGLEFINANCE(A1299, ""low"")"),562.55)</f>
        <v>562.55</v>
      </c>
      <c r="G1299" s="9">
        <f>IFERROR(__xludf.DUMMYFUNCTION("GOOGLEFINANCE(A1299, ""price"")"),584.5)</f>
        <v>584.5</v>
      </c>
      <c r="H1299" s="9">
        <f>IFERROR(__xludf.DUMMYFUNCTION("MAX(INDEX(GOOGLEFINANCE(A1299, ""high"", TODAY()-30, TODAY()), 0, 2))"),600.0)</f>
        <v>600</v>
      </c>
      <c r="I1299" s="9">
        <f>IFERROR(__xludf.DUMMYFUNCTION("MIN(INDEX(GOOGLEFINANCE(A1299, ""low"", TODAY()-30, TODAY()), 0, 2))"),395.0)</f>
        <v>395</v>
      </c>
      <c r="J1299" s="9">
        <f>IFERROR(__xludf.DUMMYFUNCTION("GOOGLEFINANCE(A1299, ""high52"")"),600.0)</f>
        <v>600</v>
      </c>
      <c r="K1299" s="9">
        <f>IFERROR(__xludf.DUMMYFUNCTION("GOOGLEFINANCE(A1299, ""low52"")"),158.13)</f>
        <v>158.13</v>
      </c>
      <c r="L1299" s="9">
        <f t="shared" si="1"/>
        <v>0.02583333333</v>
      </c>
      <c r="M1299" s="9">
        <f t="shared" si="2"/>
        <v>2.696325808</v>
      </c>
      <c r="N1299" s="9">
        <f t="shared" si="3"/>
        <v>0.03990756377</v>
      </c>
      <c r="O1299" s="9">
        <f t="shared" si="4"/>
        <v>0.9243902439</v>
      </c>
      <c r="P1299" s="9">
        <f>IFERROR(__xludf.DUMMYFUNCTION("GOOGLEFINANCE(A1299, ""pe"")"),63.22)</f>
        <v>63.22</v>
      </c>
      <c r="Q1299" s="9">
        <f>IFERROR(__xludf.DUMMYFUNCTION("IFERROR(GOOGLEFINANCE(A1299, ""volume"") / GOOGLEFINANCE(A1299, ""volumeavg""), 0)"),0.0)</f>
        <v>0</v>
      </c>
      <c r="R1299" s="9">
        <f>IFERROR(__xludf.DUMMYFUNCTION("AVERAGE(INDEX(GOOGLEFINANCE(A1299, ""price"", TODAY()-30, TODAY()), 0, 2))"),478.5999999999999)</f>
        <v>478.6</v>
      </c>
      <c r="S1299" s="9">
        <f>IFERROR(__xludf.DUMMYFUNCTION("AVERAGE(INDEX(GOOGLEFINANCE(A1299, ""price"", TODAY()-75, TODAY()), 0, 2))"),408.1603773584907)</f>
        <v>408.1603774</v>
      </c>
      <c r="T1299" s="9">
        <f>IFERROR(__xludf.DUMMYFUNCTION("AVERAGE(INDEX(GOOGLEFINANCE(A1299, ""price"", TODAY()-300, TODAY()), 0, 2))"),294.163910891089)</f>
        <v>294.1639109</v>
      </c>
      <c r="U1299" s="9">
        <f t="shared" si="5"/>
        <v>0.2212703719</v>
      </c>
      <c r="V1299" s="15">
        <f>IFERROR(__xludf.DUMMYFUNCTION("LET(hist, GOOGLEFINANCE(A1299,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rs))))))"),82.49241797628896)</f>
        <v>82.49241798</v>
      </c>
      <c r="W1299" s="16" t="str">
        <f>IFERROR(__xludf.DUMMYFUNCTION("IFERROR(GOOGLEFINANCE(A1299, ""volume"") / GOOGLEFINANCE(A1299, ""volumeavg""), )"),"")</f>
        <v/>
      </c>
      <c r="X1299" s="9">
        <f>IFERROR(__xludf.DUMMYFUNCTION("B1299 * GOOGLEFINANCE(A1299, ""volume"")"),5.19941975E7)</f>
        <v>51994197.5</v>
      </c>
      <c r="Y1299" s="9">
        <f>IFERROR(__xludf.DUMMYFUNCTION("IFERROR(((B1299 - GOOGLEFINANCE(A1299, ""priceopen"")) / GOOGLEFINANCE(A1299, ""priceopen"")) * GOOGLEFINANCE(A1299, ""volume""), 0)"),844.9956822107081)</f>
        <v>844.9956822</v>
      </c>
    </row>
    <row r="1300">
      <c r="A1300" s="4" t="s">
        <v>3093</v>
      </c>
      <c r="B1300" s="7">
        <f>IFERROR(__xludf.DUMMYFUNCTION("GOOGLEFINANCE(A1300, ""price"")"),150.92)</f>
        <v>150.92</v>
      </c>
      <c r="C1300" s="7">
        <f>IFERROR(__xludf.DUMMYFUNCTION("GOOGLEFINANCE(A1300, ""changepct"")"),-0.91)</f>
        <v>-0.91</v>
      </c>
      <c r="D1300" s="9">
        <f>IFERROR(__xludf.DUMMYFUNCTION("GOOGLEFINANCE(A1300, ""priceopen"")"),152.31)</f>
        <v>152.31</v>
      </c>
      <c r="E1300" s="9">
        <f>IFERROR(__xludf.DUMMYFUNCTION("GOOGLEFINANCE(A1300, ""high"")"),153.62)</f>
        <v>153.62</v>
      </c>
      <c r="F1300" s="9">
        <f>IFERROR(__xludf.DUMMYFUNCTION("GOOGLEFINANCE(A1300, ""low"")"),150.25)</f>
        <v>150.25</v>
      </c>
      <c r="G1300" s="9">
        <f>IFERROR(__xludf.DUMMYFUNCTION("GOOGLEFINANCE(A1300, ""price"")"),150.92)</f>
        <v>150.92</v>
      </c>
      <c r="H1300" s="9">
        <f>IFERROR(__xludf.DUMMYFUNCTION("MAX(INDEX(GOOGLEFINANCE(A1300, ""high"", TODAY()-30, TODAY()), 0, 2))"),174.5)</f>
        <v>174.5</v>
      </c>
      <c r="I1300" s="9">
        <f>IFERROR(__xludf.DUMMYFUNCTION("MIN(INDEX(GOOGLEFINANCE(A1300, ""low"", TODAY()-30, TODAY()), 0, 2))"),147.61)</f>
        <v>147.61</v>
      </c>
      <c r="J1300" s="9">
        <f>IFERROR(__xludf.DUMMYFUNCTION("GOOGLEFINANCE(A1300, ""high52"")"),296.8)</f>
        <v>296.8</v>
      </c>
      <c r="K1300" s="9">
        <f>IFERROR(__xludf.DUMMYFUNCTION("GOOGLEFINANCE(A1300, ""low52"")"),138.6)</f>
        <v>138.6</v>
      </c>
      <c r="L1300" s="9">
        <f t="shared" si="1"/>
        <v>0.491509434</v>
      </c>
      <c r="M1300" s="9">
        <f t="shared" si="2"/>
        <v>0.08888888889</v>
      </c>
      <c r="N1300" s="9">
        <f t="shared" si="3"/>
        <v>0.02242928453</v>
      </c>
      <c r="O1300" s="9">
        <f t="shared" si="4"/>
        <v>0.123094087</v>
      </c>
      <c r="P1300" s="9">
        <f>IFERROR(__xludf.DUMMYFUNCTION("GOOGLEFINANCE(A1300, ""pe"")"),51.37)</f>
        <v>51.37</v>
      </c>
      <c r="Q1300" s="9">
        <f>IFERROR(__xludf.DUMMYFUNCTION("IFERROR(GOOGLEFINANCE(A1300, ""volume"") / GOOGLEFINANCE(A1300, ""volumeavg""), 0)"),0.0)</f>
        <v>0</v>
      </c>
      <c r="R1300" s="9">
        <f>IFERROR(__xludf.DUMMYFUNCTION("AVERAGE(INDEX(GOOGLEFINANCE(A1300, ""price"", TODAY()-30, TODAY()), 0, 2))"),156.16913043478263)</f>
        <v>156.1691304</v>
      </c>
      <c r="S1300" s="9">
        <f>IFERROR(__xludf.DUMMYFUNCTION("AVERAGE(INDEX(GOOGLEFINANCE(A1300, ""price"", TODAY()-75, TODAY()), 0, 2))"),155.37075471698117)</f>
        <v>155.3707547</v>
      </c>
      <c r="T1300" s="9">
        <f>IFERROR(__xludf.DUMMYFUNCTION("AVERAGE(INDEX(GOOGLEFINANCE(A1300, ""price"", TODAY()-300, TODAY()), 0, 2))"),185.05356435643563)</f>
        <v>185.0535644</v>
      </c>
      <c r="U1300" s="9">
        <f t="shared" si="5"/>
        <v>-0.0336118311</v>
      </c>
      <c r="V1300" s="15">
        <f>IFERROR(__xludf.DUMMYFUNCTION("LET(hist, GOOGLEFINANCE(A1300,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rs))))))"),51.47267565649397)</f>
        <v>51.47267566</v>
      </c>
      <c r="W1300" s="16" t="str">
        <f>IFERROR(__xludf.DUMMYFUNCTION("IFERROR(GOOGLEFINANCE(A1300, ""volume"") / GOOGLEFINANCE(A1300, ""volumeavg""), )"),"")</f>
        <v/>
      </c>
      <c r="X1300" s="9">
        <f>IFERROR(__xludf.DUMMYFUNCTION("B1300 * GOOGLEFINANCE(A1300, ""volume"")"),5.587918644E7)</f>
        <v>55879186.44</v>
      </c>
      <c r="Y1300" s="9">
        <f>IFERROR(__xludf.DUMMYFUNCTION("IFERROR(((B1300 - GOOGLEFINANCE(A1300, ""priceopen"")) / GOOGLEFINANCE(A1300, ""priceopen"")) * GOOGLEFINANCE(A1300, ""volume""), 0)"),-3379.011424069368)</f>
        <v>-3379.011424</v>
      </c>
    </row>
    <row r="1301">
      <c r="A1301" s="4" t="s">
        <v>3094</v>
      </c>
      <c r="B1301" s="7">
        <f>IFERROR(__xludf.DUMMYFUNCTION("GOOGLEFINANCE(A1301, ""price"")"),363.65)</f>
        <v>363.65</v>
      </c>
      <c r="C1301" s="7">
        <f>IFERROR(__xludf.DUMMYFUNCTION("GOOGLEFINANCE(A1301, ""changepct"")"),-2.47)</f>
        <v>-2.47</v>
      </c>
      <c r="D1301" s="9">
        <f>IFERROR(__xludf.DUMMYFUNCTION("GOOGLEFINANCE(A1301, ""priceopen"")"),384.0)</f>
        <v>384</v>
      </c>
      <c r="E1301" s="9">
        <f>IFERROR(__xludf.DUMMYFUNCTION("GOOGLEFINANCE(A1301, ""high"")"),385.0)</f>
        <v>385</v>
      </c>
      <c r="F1301" s="9">
        <f>IFERROR(__xludf.DUMMYFUNCTION("GOOGLEFINANCE(A1301, ""low"")"),356.75)</f>
        <v>356.75</v>
      </c>
      <c r="G1301" s="9">
        <f>IFERROR(__xludf.DUMMYFUNCTION("GOOGLEFINANCE(A1301, ""price"")"),363.65)</f>
        <v>363.65</v>
      </c>
      <c r="H1301" s="9">
        <f>IFERROR(__xludf.DUMMYFUNCTION("MAX(INDEX(GOOGLEFINANCE(A1301, ""high"", TODAY()-30, TODAY()), 0, 2))"),453.9)</f>
        <v>453.9</v>
      </c>
      <c r="I1301" s="9">
        <f>IFERROR(__xludf.DUMMYFUNCTION("MIN(INDEX(GOOGLEFINANCE(A1301, ""low"", TODAY()-30, TODAY()), 0, 2))"),356.75)</f>
        <v>356.75</v>
      </c>
      <c r="J1301" s="9">
        <f>IFERROR(__xludf.DUMMYFUNCTION("GOOGLEFINANCE(A1301, ""high52"")"),453.9)</f>
        <v>453.9</v>
      </c>
      <c r="K1301" s="9">
        <f>IFERROR(__xludf.DUMMYFUNCTION("GOOGLEFINANCE(A1301, ""low52"")"),216.8)</f>
        <v>216.8</v>
      </c>
      <c r="L1301" s="9">
        <f t="shared" si="1"/>
        <v>0.1988323419</v>
      </c>
      <c r="M1301" s="9">
        <f t="shared" si="2"/>
        <v>0.6773523985</v>
      </c>
      <c r="N1301" s="9">
        <f t="shared" si="3"/>
        <v>0.07918710582</v>
      </c>
      <c r="O1301" s="9">
        <f t="shared" si="4"/>
        <v>0.0710241894</v>
      </c>
      <c r="P1301" s="9">
        <f>IFERROR(__xludf.DUMMYFUNCTION("GOOGLEFINANCE(A1301, ""pe"")"),26.94)</f>
        <v>26.94</v>
      </c>
      <c r="Q1301" s="9">
        <f>IFERROR(__xludf.DUMMYFUNCTION("IFERROR(GOOGLEFINANCE(A1301, ""volume"") / GOOGLEFINANCE(A1301, ""volumeavg""), 0)"),0.0)</f>
        <v>0</v>
      </c>
      <c r="R1301" s="9">
        <f>IFERROR(__xludf.DUMMYFUNCTION("AVERAGE(INDEX(GOOGLEFINANCE(A1301, ""price"", TODAY()-30, TODAY()), 0, 2))"),396.8478260869565)</f>
        <v>396.8478261</v>
      </c>
      <c r="S1301" s="9">
        <f>IFERROR(__xludf.DUMMYFUNCTION("AVERAGE(INDEX(GOOGLEFINANCE(A1301, ""price"", TODAY()-75, TODAY()), 0, 2))"),383.0952830188679)</f>
        <v>383.095283</v>
      </c>
      <c r="T1301" s="9">
        <f>IFERROR(__xludf.DUMMYFUNCTION("AVERAGE(INDEX(GOOGLEFINANCE(A1301, ""price"", TODAY()-300, TODAY()), 0, 2))"),322.385693069307)</f>
        <v>322.3856931</v>
      </c>
      <c r="U1301" s="9">
        <f t="shared" si="5"/>
        <v>-0.08365379348</v>
      </c>
      <c r="V1301" s="15">
        <f>IFERROR(__xludf.DUMMYFUNCTION("LET(hist, GOOGLEFINANCE(A1301,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rs))))))"),43.98717263495457)</f>
        <v>43.98717263</v>
      </c>
      <c r="W1301" s="16" t="str">
        <f>IFERROR(__xludf.DUMMYFUNCTION("IFERROR(GOOGLEFINANCE(A1301, ""volume"") / GOOGLEFINANCE(A1301, ""volumeavg""), )"),"")</f>
        <v/>
      </c>
      <c r="X1301" s="9">
        <f>IFERROR(__xludf.DUMMYFUNCTION("B1301 * GOOGLEFINANCE(A1301, ""volume"")"),1.6199007439999998E8)</f>
        <v>161990074.4</v>
      </c>
      <c r="Y1301" s="9">
        <f>IFERROR(__xludf.DUMMYFUNCTION("IFERROR(((B1301 - GOOGLEFINANCE(A1301, ""priceopen"")) / GOOGLEFINANCE(A1301, ""priceopen"")) * GOOGLEFINANCE(A1301, ""volume""), 0)"),-23606.847916666695)</f>
        <v>-23606.84792</v>
      </c>
    </row>
    <row r="1302">
      <c r="A1302" s="4" t="s">
        <v>3095</v>
      </c>
      <c r="B1302" s="7">
        <f>IFERROR(__xludf.DUMMYFUNCTION("GOOGLEFINANCE(A1302, ""price"")"),82.76)</f>
        <v>82.76</v>
      </c>
      <c r="C1302" s="7">
        <f>IFERROR(__xludf.DUMMYFUNCTION("GOOGLEFINANCE(A1302, ""changepct"")"),-4.06)</f>
        <v>-4.06</v>
      </c>
      <c r="D1302" s="9">
        <f>IFERROR(__xludf.DUMMYFUNCTION("GOOGLEFINANCE(A1302, ""priceopen"")"),86.25)</f>
        <v>86.25</v>
      </c>
      <c r="E1302" s="9">
        <f>IFERROR(__xludf.DUMMYFUNCTION("GOOGLEFINANCE(A1302, ""high"")"),86.52)</f>
        <v>86.52</v>
      </c>
      <c r="F1302" s="9">
        <f>IFERROR(__xludf.DUMMYFUNCTION("GOOGLEFINANCE(A1302, ""low"")"),82.62)</f>
        <v>82.62</v>
      </c>
      <c r="G1302" s="9">
        <f>IFERROR(__xludf.DUMMYFUNCTION("GOOGLEFINANCE(A1302, ""price"")"),82.76)</f>
        <v>82.76</v>
      </c>
      <c r="H1302" s="9">
        <f>IFERROR(__xludf.DUMMYFUNCTION("MAX(INDEX(GOOGLEFINANCE(A1302, ""high"", TODAY()-30, TODAY()), 0, 2))"),92.0)</f>
        <v>92</v>
      </c>
      <c r="I1302" s="9">
        <f>IFERROR(__xludf.DUMMYFUNCTION("MIN(INDEX(GOOGLEFINANCE(A1302, ""low"", TODAY()-30, TODAY()), 0, 2))"),82.05)</f>
        <v>82.05</v>
      </c>
      <c r="J1302" s="9">
        <f>IFERROR(__xludf.DUMMYFUNCTION("GOOGLEFINANCE(A1302, ""high52"")"),99.44)</f>
        <v>99.44</v>
      </c>
      <c r="K1302" s="9">
        <f>IFERROR(__xludf.DUMMYFUNCTION("GOOGLEFINANCE(A1302, ""low52"")"),60.57)</f>
        <v>60.57</v>
      </c>
      <c r="L1302" s="9">
        <f t="shared" si="1"/>
        <v>0.1677393403</v>
      </c>
      <c r="M1302" s="9">
        <f t="shared" si="2"/>
        <v>0.36635298</v>
      </c>
      <c r="N1302" s="9">
        <f t="shared" si="3"/>
        <v>0.04720406681</v>
      </c>
      <c r="O1302" s="9">
        <f t="shared" si="4"/>
        <v>0.07135678392</v>
      </c>
      <c r="P1302" s="9">
        <f>IFERROR(__xludf.DUMMYFUNCTION("GOOGLEFINANCE(A1302, ""pe"")"),14.0)</f>
        <v>14</v>
      </c>
      <c r="Q1302" s="9">
        <f>IFERROR(__xludf.DUMMYFUNCTION("IFERROR(GOOGLEFINANCE(A1302, ""volume"") / GOOGLEFINANCE(A1302, ""volumeavg""), 0)"),0.0)</f>
        <v>0</v>
      </c>
      <c r="R1302" s="9">
        <f>IFERROR(__xludf.DUMMYFUNCTION("AVERAGE(INDEX(GOOGLEFINANCE(A1302, ""price"", TODAY()-30, TODAY()), 0, 2))"),85.99043478260872)</f>
        <v>85.99043478</v>
      </c>
      <c r="S1302" s="9">
        <f>IFERROR(__xludf.DUMMYFUNCTION("AVERAGE(INDEX(GOOGLEFINANCE(A1302, ""price"", TODAY()-75, TODAY()), 0, 2))"),87.35471698113209)</f>
        <v>87.35471698</v>
      </c>
      <c r="T1302" s="9">
        <f>IFERROR(__xludf.DUMMYFUNCTION("AVERAGE(INDEX(GOOGLEFINANCE(A1302, ""price"", TODAY()-300, TODAY()), 0, 2))"),83.70534653465344)</f>
        <v>83.70534653</v>
      </c>
      <c r="U1302" s="9">
        <f t="shared" si="5"/>
        <v>-0.03756737352</v>
      </c>
      <c r="V1302" s="15">
        <f>IFERROR(__xludf.DUMMYFUNCTION("LET(hist, GOOGLEFINANCE(A1302,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rs))))))"),47.556390977443606)</f>
        <v>47.55639098</v>
      </c>
      <c r="W1302" s="16" t="str">
        <f>IFERROR(__xludf.DUMMYFUNCTION("IFERROR(GOOGLEFINANCE(A1302, ""volume"") / GOOGLEFINANCE(A1302, ""volumeavg""), )"),"")</f>
        <v/>
      </c>
      <c r="X1302" s="9">
        <f>IFERROR(__xludf.DUMMYFUNCTION("B1302 * GOOGLEFINANCE(A1302, ""volume"")"),5.961914536000001E7)</f>
        <v>59619145.36</v>
      </c>
      <c r="Y1302" s="9">
        <f>IFERROR(__xludf.DUMMYFUNCTION("IFERROR(((B1302 - GOOGLEFINANCE(A1302, ""priceopen"")) / GOOGLEFINANCE(A1302, ""priceopen"")) * GOOGLEFINANCE(A1302, ""volume""), 0)"),-29149.53205797097)</f>
        <v>-29149.53206</v>
      </c>
    </row>
    <row r="1303">
      <c r="A1303" s="4" t="s">
        <v>3096</v>
      </c>
      <c r="B1303" s="7">
        <f>IFERROR(__xludf.DUMMYFUNCTION("GOOGLEFINANCE(A1303, ""price"")"),114.51)</f>
        <v>114.51</v>
      </c>
      <c r="C1303" s="7">
        <f>IFERROR(__xludf.DUMMYFUNCTION("GOOGLEFINANCE(A1303, ""changepct"")"),4.01)</f>
        <v>4.01</v>
      </c>
      <c r="D1303" s="9">
        <f>IFERROR(__xludf.DUMMYFUNCTION("GOOGLEFINANCE(A1303, ""priceopen"")"),111.94)</f>
        <v>111.94</v>
      </c>
      <c r="E1303" s="9">
        <f>IFERROR(__xludf.DUMMYFUNCTION("GOOGLEFINANCE(A1303, ""high"")"),116.2)</f>
        <v>116.2</v>
      </c>
      <c r="F1303" s="9">
        <f>IFERROR(__xludf.DUMMYFUNCTION("GOOGLEFINANCE(A1303, ""low"")"),111.0)</f>
        <v>111</v>
      </c>
      <c r="G1303" s="9">
        <f>IFERROR(__xludf.DUMMYFUNCTION("GOOGLEFINANCE(A1303, ""price"")"),114.51)</f>
        <v>114.51</v>
      </c>
      <c r="H1303" s="9">
        <f>IFERROR(__xludf.DUMMYFUNCTION("MAX(INDEX(GOOGLEFINANCE(A1303, ""high"", TODAY()-30, TODAY()), 0, 2))"),116.2)</f>
        <v>116.2</v>
      </c>
      <c r="I1303" s="9">
        <f>IFERROR(__xludf.DUMMYFUNCTION("MIN(INDEX(GOOGLEFINANCE(A1303, ""low"", TODAY()-30, TODAY()), 0, 2))"),88.2)</f>
        <v>88.2</v>
      </c>
      <c r="J1303" s="9">
        <f>IFERROR(__xludf.DUMMYFUNCTION("GOOGLEFINANCE(A1303, ""high52"")"),120.9)</f>
        <v>120.9</v>
      </c>
      <c r="K1303" s="9">
        <f>IFERROR(__xludf.DUMMYFUNCTION("GOOGLEFINANCE(A1303, ""low52"")"),83.2)</f>
        <v>83.2</v>
      </c>
      <c r="L1303" s="9">
        <f t="shared" si="1"/>
        <v>0.05285359801</v>
      </c>
      <c r="M1303" s="9">
        <f t="shared" si="2"/>
        <v>0.3763221154</v>
      </c>
      <c r="N1303" s="9">
        <f t="shared" si="3"/>
        <v>0.04684684685</v>
      </c>
      <c r="O1303" s="9">
        <f t="shared" si="4"/>
        <v>0.9396428571</v>
      </c>
      <c r="P1303" s="9">
        <f>IFERROR(__xludf.DUMMYFUNCTION("GOOGLEFINANCE(A1303, ""pe"")"),178.92)</f>
        <v>178.92</v>
      </c>
      <c r="Q1303" s="9">
        <f>IFERROR(__xludf.DUMMYFUNCTION("IFERROR(GOOGLEFINANCE(A1303, ""volume"") / GOOGLEFINANCE(A1303, ""volumeavg""), 0)"),0.0)</f>
        <v>0</v>
      </c>
      <c r="R1303" s="9">
        <f>IFERROR(__xludf.DUMMYFUNCTION("AVERAGE(INDEX(GOOGLEFINANCE(A1303, ""price"", TODAY()-30, TODAY()), 0, 2))"),97.17217391304348)</f>
        <v>97.17217391</v>
      </c>
      <c r="S1303" s="9">
        <f>IFERROR(__xludf.DUMMYFUNCTION("AVERAGE(INDEX(GOOGLEFINANCE(A1303, ""price"", TODAY()-75, TODAY()), 0, 2))"),96.84452830188678)</f>
        <v>96.8445283</v>
      </c>
      <c r="T1303" s="9">
        <f>IFERROR(__xludf.DUMMYFUNCTION("AVERAGE(INDEX(GOOGLEFINANCE(A1303, ""price"", TODAY()-300, TODAY()), 0, 2))"),97.15799999999999)</f>
        <v>97.158</v>
      </c>
      <c r="U1303" s="9">
        <f t="shared" si="5"/>
        <v>0.1784237749</v>
      </c>
      <c r="V1303" s="15">
        <f>IFERROR(__xludf.DUMMYFUNCTION("LET(hist, GOOGLEFINANCE(A1303,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rs))))))"),84.49230769230768)</f>
        <v>84.49230769</v>
      </c>
      <c r="W1303" s="16" t="str">
        <f>IFERROR(__xludf.DUMMYFUNCTION("IFERROR(GOOGLEFINANCE(A1303, ""volume"") / GOOGLEFINANCE(A1303, ""volumeavg""), )"),"")</f>
        <v/>
      </c>
      <c r="X1303" s="9">
        <f>IFERROR(__xludf.DUMMYFUNCTION("B1303 * GOOGLEFINANCE(A1303, ""volume"")"),4.099217529E7)</f>
        <v>40992175.29</v>
      </c>
      <c r="Y1303" s="9">
        <f>IFERROR(__xludf.DUMMYFUNCTION("IFERROR(((B1303 - GOOGLEFINANCE(A1303, ""priceopen"")) / GOOGLEFINANCE(A1303, ""priceopen"")) * GOOGLEFINANCE(A1303, ""volume""), 0)"),8218.742451313226)</f>
        <v>8218.742451</v>
      </c>
    </row>
    <row r="1304">
      <c r="A1304" s="4" t="s">
        <v>3097</v>
      </c>
      <c r="B1304" s="7">
        <f>IFERROR(__xludf.DUMMYFUNCTION("GOOGLEFINANCE(A1304, ""price"")"),10.61)</f>
        <v>10.61</v>
      </c>
      <c r="C1304" s="7">
        <f>IFERROR(__xludf.DUMMYFUNCTION("GOOGLEFINANCE(A1304, ""changepct"")"),-0.93)</f>
        <v>-0.93</v>
      </c>
      <c r="D1304" s="9">
        <f>IFERROR(__xludf.DUMMYFUNCTION("GOOGLEFINANCE(A1304, ""priceopen"")"),10.8)</f>
        <v>10.8</v>
      </c>
      <c r="E1304" s="9">
        <f>IFERROR(__xludf.DUMMYFUNCTION("GOOGLEFINANCE(A1304, ""high"")"),10.88)</f>
        <v>10.88</v>
      </c>
      <c r="F1304" s="9">
        <f>IFERROR(__xludf.DUMMYFUNCTION("GOOGLEFINANCE(A1304, ""low"")"),10.55)</f>
        <v>10.55</v>
      </c>
      <c r="G1304" s="9">
        <f>IFERROR(__xludf.DUMMYFUNCTION("GOOGLEFINANCE(A1304, ""price"")"),10.61)</f>
        <v>10.61</v>
      </c>
      <c r="H1304" s="9">
        <f>IFERROR(__xludf.DUMMYFUNCTION("MAX(INDEX(GOOGLEFINANCE(A1304, ""high"", TODAY()-30, TODAY()), 0, 2))"),12.45)</f>
        <v>12.45</v>
      </c>
      <c r="I1304" s="9">
        <f>IFERROR(__xludf.DUMMYFUNCTION("MIN(INDEX(GOOGLEFINANCE(A1304, ""low"", TODAY()-30, TODAY()), 0, 2))"),10.06)</f>
        <v>10.06</v>
      </c>
      <c r="J1304" s="9">
        <f>IFERROR(__xludf.DUMMYFUNCTION("GOOGLEFINANCE(A1304, ""high52"")"),13.95)</f>
        <v>13.95</v>
      </c>
      <c r="K1304" s="9">
        <f>IFERROR(__xludf.DUMMYFUNCTION("GOOGLEFINANCE(A1304, ""low52"")"),7.0)</f>
        <v>7</v>
      </c>
      <c r="L1304" s="9">
        <f t="shared" si="1"/>
        <v>0.2394265233</v>
      </c>
      <c r="M1304" s="9">
        <f t="shared" si="2"/>
        <v>0.5157142857</v>
      </c>
      <c r="N1304" s="9">
        <f t="shared" si="3"/>
        <v>0.03127962085</v>
      </c>
      <c r="O1304" s="9">
        <f t="shared" si="4"/>
        <v>0.230125523</v>
      </c>
      <c r="P1304" s="9">
        <f>IFERROR(__xludf.DUMMYFUNCTION("GOOGLEFINANCE(A1304, ""pe"")"),41.19)</f>
        <v>41.19</v>
      </c>
      <c r="Q1304" s="9">
        <f>IFERROR(__xludf.DUMMYFUNCTION("IFERROR(GOOGLEFINANCE(A1304, ""volume"") / GOOGLEFINANCE(A1304, ""volumeavg""), 0)"),0.0)</f>
        <v>0</v>
      </c>
      <c r="R1304" s="9">
        <f>IFERROR(__xludf.DUMMYFUNCTION("AVERAGE(INDEX(GOOGLEFINANCE(A1304, ""price"", TODAY()-30, TODAY()), 0, 2))"),11.49608695652174)</f>
        <v>11.49608696</v>
      </c>
      <c r="S1304" s="9">
        <f>IFERROR(__xludf.DUMMYFUNCTION("AVERAGE(INDEX(GOOGLEFINANCE(A1304, ""price"", TODAY()-75, TODAY()), 0, 2))"),12.004150943396224)</f>
        <v>12.00415094</v>
      </c>
      <c r="T1304" s="9">
        <f>IFERROR(__xludf.DUMMYFUNCTION("AVERAGE(INDEX(GOOGLEFINANCE(A1304, ""price"", TODAY()-300, TODAY()), 0, 2))"),9.67584158415842)</f>
        <v>9.675841584</v>
      </c>
      <c r="U1304" s="9">
        <f t="shared" si="5"/>
        <v>-0.07707726637</v>
      </c>
      <c r="V1304" s="15">
        <f>IFERROR(__xludf.DUMMYFUNCTION("LET(hist, GOOGLEFINANCE(A1304,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rs))))))"),33.333333333333385)</f>
        <v>33.33333333</v>
      </c>
      <c r="W1304" s="16" t="str">
        <f>IFERROR(__xludf.DUMMYFUNCTION("IFERROR(GOOGLEFINANCE(A1304, ""volume"") / GOOGLEFINANCE(A1304, ""volumeavg""), )"),"")</f>
        <v/>
      </c>
      <c r="X1304" s="9">
        <f>IFERROR(__xludf.DUMMYFUNCTION("B1304 * GOOGLEFINANCE(A1304, ""volume"")"),8741716.93)</f>
        <v>8741716.93</v>
      </c>
      <c r="Y1304" s="9">
        <f>IFERROR(__xludf.DUMMYFUNCTION("IFERROR(((B1304 - GOOGLEFINANCE(A1304, ""priceopen"")) / GOOGLEFINANCE(A1304, ""priceopen"")) * GOOGLEFINANCE(A1304, ""volume""), 0)"),-14494.765740740835)</f>
        <v>-14494.76574</v>
      </c>
    </row>
    <row r="1305">
      <c r="A1305" s="4" t="s">
        <v>3098</v>
      </c>
      <c r="B1305" s="7">
        <f>IFERROR(__xludf.DUMMYFUNCTION("GOOGLEFINANCE(A1305, ""price"")"),504.8)</f>
        <v>504.8</v>
      </c>
      <c r="C1305" s="7">
        <f>IFERROR(__xludf.DUMMYFUNCTION("GOOGLEFINANCE(A1305, ""changepct"")"),2.17)</f>
        <v>2.17</v>
      </c>
      <c r="D1305" s="9">
        <f>IFERROR(__xludf.DUMMYFUNCTION("GOOGLEFINANCE(A1305, ""priceopen"")"),498.0)</f>
        <v>498</v>
      </c>
      <c r="E1305" s="9">
        <f>IFERROR(__xludf.DUMMYFUNCTION("GOOGLEFINANCE(A1305, ""high"")"),515.0)</f>
        <v>515</v>
      </c>
      <c r="F1305" s="9">
        <f>IFERROR(__xludf.DUMMYFUNCTION("GOOGLEFINANCE(A1305, ""low"")"),496.8)</f>
        <v>496.8</v>
      </c>
      <c r="G1305" s="9">
        <f>IFERROR(__xludf.DUMMYFUNCTION("GOOGLEFINANCE(A1305, ""price"")"),504.8)</f>
        <v>504.8</v>
      </c>
      <c r="H1305" s="9">
        <f>IFERROR(__xludf.DUMMYFUNCTION("MAX(INDEX(GOOGLEFINANCE(A1305, ""high"", TODAY()-30, TODAY()), 0, 2))"),596.55)</f>
        <v>596.55</v>
      </c>
      <c r="I1305" s="9">
        <f>IFERROR(__xludf.DUMMYFUNCTION("MIN(INDEX(GOOGLEFINANCE(A1305, ""low"", TODAY()-30, TODAY()), 0, 2))"),461.95)</f>
        <v>461.95</v>
      </c>
      <c r="J1305" s="9">
        <f>IFERROR(__xludf.DUMMYFUNCTION("GOOGLEFINANCE(A1305, ""high52"")"),596.55)</f>
        <v>596.55</v>
      </c>
      <c r="K1305" s="9">
        <f>IFERROR(__xludf.DUMMYFUNCTION("GOOGLEFINANCE(A1305, ""low52"")"),380.05)</f>
        <v>380.05</v>
      </c>
      <c r="L1305" s="9">
        <f t="shared" si="1"/>
        <v>0.1538010225</v>
      </c>
      <c r="M1305" s="9">
        <f t="shared" si="2"/>
        <v>0.3282462834</v>
      </c>
      <c r="N1305" s="9">
        <f t="shared" si="3"/>
        <v>0.03663446055</v>
      </c>
      <c r="O1305" s="9">
        <f t="shared" si="4"/>
        <v>0.3183506686</v>
      </c>
      <c r="P1305" s="9">
        <f>IFERROR(__xludf.DUMMYFUNCTION("GOOGLEFINANCE(A1305, ""pe"")"),29.68)</f>
        <v>29.68</v>
      </c>
      <c r="Q1305" s="9">
        <f>IFERROR(__xludf.DUMMYFUNCTION("IFERROR(GOOGLEFINANCE(A1305, ""volume"") / GOOGLEFINANCE(A1305, ""volumeavg""), 0)"),0.0)</f>
        <v>0</v>
      </c>
      <c r="R1305" s="9">
        <f>IFERROR(__xludf.DUMMYFUNCTION("AVERAGE(INDEX(GOOGLEFINANCE(A1305, ""price"", TODAY()-30, TODAY()), 0, 2))"),506.645652173913)</f>
        <v>506.6456522</v>
      </c>
      <c r="S1305" s="9">
        <f>IFERROR(__xludf.DUMMYFUNCTION("AVERAGE(INDEX(GOOGLEFINANCE(A1305, ""price"", TODAY()-75, TODAY()), 0, 2))"),487.9075471698114)</f>
        <v>487.9075472</v>
      </c>
      <c r="T1305" s="9">
        <f>IFERROR(__xludf.DUMMYFUNCTION("AVERAGE(INDEX(GOOGLEFINANCE(A1305, ""price"", TODAY()-300, TODAY()), 0, 2))"),464.9086633663368)</f>
        <v>464.9086634</v>
      </c>
      <c r="U1305" s="9">
        <f t="shared" si="5"/>
        <v>-0.003642885646</v>
      </c>
      <c r="V1305" s="15">
        <f>IFERROR(__xludf.DUMMYFUNCTION("LET(hist, GOOGLEFINANCE(A1305,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rs))))))"),56.60130718954248)</f>
        <v>56.60130719</v>
      </c>
      <c r="W1305" s="16" t="str">
        <f>IFERROR(__xludf.DUMMYFUNCTION("IFERROR(GOOGLEFINANCE(A1305, ""volume"") / GOOGLEFINANCE(A1305, ""volumeavg""), )"),"")</f>
        <v/>
      </c>
      <c r="X1305" s="9">
        <f>IFERROR(__xludf.DUMMYFUNCTION("B1305 * GOOGLEFINANCE(A1305, ""volume"")"),1.959891048E8)</f>
        <v>195989104.8</v>
      </c>
      <c r="Y1305" s="9">
        <f>IFERROR(__xludf.DUMMYFUNCTION("IFERROR(((B1305 - GOOGLEFINANCE(A1305, ""priceopen"")) / GOOGLEFINANCE(A1305, ""priceopen"")) * GOOGLEFINANCE(A1305, ""volume""), 0)"),5301.419277108443)</f>
        <v>5301.419277</v>
      </c>
    </row>
    <row r="1306">
      <c r="A1306" s="4" t="s">
        <v>3099</v>
      </c>
      <c r="B1306" s="7">
        <f>IFERROR(__xludf.DUMMYFUNCTION("GOOGLEFINANCE(A1306, ""price"")"),449.5)</f>
        <v>449.5</v>
      </c>
      <c r="C1306" s="7">
        <f>IFERROR(__xludf.DUMMYFUNCTION("GOOGLEFINANCE(A1306, ""changepct"")"),-1.81)</f>
        <v>-1.81</v>
      </c>
      <c r="D1306" s="9">
        <f>IFERROR(__xludf.DUMMYFUNCTION("GOOGLEFINANCE(A1306, ""priceopen"")"),457.7)</f>
        <v>457.7</v>
      </c>
      <c r="E1306" s="9">
        <f>IFERROR(__xludf.DUMMYFUNCTION("GOOGLEFINANCE(A1306, ""high"")"),459.3)</f>
        <v>459.3</v>
      </c>
      <c r="F1306" s="9">
        <f>IFERROR(__xludf.DUMMYFUNCTION("GOOGLEFINANCE(A1306, ""low"")"),445.5)</f>
        <v>445.5</v>
      </c>
      <c r="G1306" s="9">
        <f>IFERROR(__xludf.DUMMYFUNCTION("GOOGLEFINANCE(A1306, ""price"")"),449.5)</f>
        <v>449.5</v>
      </c>
      <c r="H1306" s="9">
        <f>IFERROR(__xludf.DUMMYFUNCTION("MAX(INDEX(GOOGLEFINANCE(A1306, ""high"", TODAY()-30, TODAY()), 0, 2))"),537.9)</f>
        <v>537.9</v>
      </c>
      <c r="I1306" s="9">
        <f>IFERROR(__xludf.DUMMYFUNCTION("MIN(INDEX(GOOGLEFINANCE(A1306, ""low"", TODAY()-30, TODAY()), 0, 2))"),436.0)</f>
        <v>436</v>
      </c>
      <c r="J1306" s="9">
        <f>IFERROR(__xludf.DUMMYFUNCTION("GOOGLEFINANCE(A1306, ""high52"")"),558.0)</f>
        <v>558</v>
      </c>
      <c r="K1306" s="9">
        <f>IFERROR(__xludf.DUMMYFUNCTION("GOOGLEFINANCE(A1306, ""low52"")"),271.05)</f>
        <v>271.05</v>
      </c>
      <c r="L1306" s="9">
        <f t="shared" si="1"/>
        <v>0.1944444444</v>
      </c>
      <c r="M1306" s="9">
        <f t="shared" si="2"/>
        <v>0.6583656152</v>
      </c>
      <c r="N1306" s="9">
        <f t="shared" si="3"/>
        <v>0.03097643098</v>
      </c>
      <c r="O1306" s="9">
        <f t="shared" si="4"/>
        <v>0.1324828263</v>
      </c>
      <c r="P1306" s="9">
        <f>IFERROR(__xludf.DUMMYFUNCTION("GOOGLEFINANCE(A1306, ""pe"")"),86.31)</f>
        <v>86.31</v>
      </c>
      <c r="Q1306" s="9">
        <f>IFERROR(__xludf.DUMMYFUNCTION("IFERROR(GOOGLEFINANCE(A1306, ""volume"") / GOOGLEFINANCE(A1306, ""volumeavg""), 0)"),0.0)</f>
        <v>0</v>
      </c>
      <c r="R1306" s="9">
        <f>IFERROR(__xludf.DUMMYFUNCTION("AVERAGE(INDEX(GOOGLEFINANCE(A1306, ""price"", TODAY()-30, TODAY()), 0, 2))"),458.7934782608695)</f>
        <v>458.7934783</v>
      </c>
      <c r="S1306" s="9">
        <f>IFERROR(__xludf.DUMMYFUNCTION("AVERAGE(INDEX(GOOGLEFINANCE(A1306, ""price"", TODAY()-75, TODAY()), 0, 2))"),439.20849056603765)</f>
        <v>439.2084906</v>
      </c>
      <c r="T1306" s="9">
        <f>IFERROR(__xludf.DUMMYFUNCTION("AVERAGE(INDEX(GOOGLEFINANCE(A1306, ""price"", TODAY()-300, TODAY()), 0, 2))"),411.97673267326746)</f>
        <v>411.9767327</v>
      </c>
      <c r="U1306" s="9">
        <f t="shared" si="5"/>
        <v>-0.02025634343</v>
      </c>
      <c r="V1306" s="15">
        <f>IFERROR(__xludf.DUMMYFUNCTION("LET(hist, GOOGLEFINANCE(A1306,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rs))))))"),51.50115473441109)</f>
        <v>51.50115473</v>
      </c>
      <c r="W1306" s="16" t="str">
        <f>IFERROR(__xludf.DUMMYFUNCTION("IFERROR(GOOGLEFINANCE(A1306, ""volume"") / GOOGLEFINANCE(A1306, ""volumeavg""), )"),"")</f>
        <v/>
      </c>
      <c r="X1306" s="9">
        <f>IFERROR(__xludf.DUMMYFUNCTION("B1306 * GOOGLEFINANCE(A1306, ""volume"")"),3.59928135E7)</f>
        <v>35992813.5</v>
      </c>
      <c r="Y1306" s="9">
        <f>IFERROR(__xludf.DUMMYFUNCTION("IFERROR(((B1306 - GOOGLEFINANCE(A1306, ""priceopen"")) / GOOGLEFINANCE(A1306, ""priceopen"")) * GOOGLEFINANCE(A1306, ""volume""), 0)"),-1434.561066200566)</f>
        <v>-1434.561066</v>
      </c>
    </row>
    <row r="1307">
      <c r="A1307" s="4" t="s">
        <v>3100</v>
      </c>
      <c r="B1307" s="7">
        <f>IFERROR(__xludf.DUMMYFUNCTION("GOOGLEFINANCE(A1307, ""price"")"),283.5)</f>
        <v>283.5</v>
      </c>
      <c r="C1307" s="7">
        <f>IFERROR(__xludf.DUMMYFUNCTION("GOOGLEFINANCE(A1307, ""changepct"")"),2.25)</f>
        <v>2.25</v>
      </c>
      <c r="D1307" s="9">
        <f>IFERROR(__xludf.DUMMYFUNCTION("GOOGLEFINANCE(A1307, ""priceopen"")"),278.0)</f>
        <v>278</v>
      </c>
      <c r="E1307" s="9">
        <f>IFERROR(__xludf.DUMMYFUNCTION("GOOGLEFINANCE(A1307, ""high"")"),286.0)</f>
        <v>286</v>
      </c>
      <c r="F1307" s="9">
        <f>IFERROR(__xludf.DUMMYFUNCTION("GOOGLEFINANCE(A1307, ""low"")"),273.05)</f>
        <v>273.05</v>
      </c>
      <c r="G1307" s="9">
        <f>IFERROR(__xludf.DUMMYFUNCTION("GOOGLEFINANCE(A1307, ""price"")"),283.5)</f>
        <v>283.5</v>
      </c>
      <c r="H1307" s="9">
        <f>IFERROR(__xludf.DUMMYFUNCTION("MAX(INDEX(GOOGLEFINANCE(A1307, ""high"", TODAY()-30, TODAY()), 0, 2))"),303.0)</f>
        <v>303</v>
      </c>
      <c r="I1307" s="9">
        <f>IFERROR(__xludf.DUMMYFUNCTION("MIN(INDEX(GOOGLEFINANCE(A1307, ""low"", TODAY()-30, TODAY()), 0, 2))"),259.05)</f>
        <v>259.05</v>
      </c>
      <c r="J1307" s="9">
        <f>IFERROR(__xludf.DUMMYFUNCTION("GOOGLEFINANCE(A1307, ""high52"")"),321.0)</f>
        <v>321</v>
      </c>
      <c r="K1307" s="9">
        <f>IFERROR(__xludf.DUMMYFUNCTION("GOOGLEFINANCE(A1307, ""low52"")"),203.75)</f>
        <v>203.75</v>
      </c>
      <c r="L1307" s="9">
        <f t="shared" si="1"/>
        <v>0.1168224299</v>
      </c>
      <c r="M1307" s="9">
        <f t="shared" si="2"/>
        <v>0.3914110429</v>
      </c>
      <c r="N1307" s="9">
        <f t="shared" si="3"/>
        <v>0.04742721113</v>
      </c>
      <c r="O1307" s="9">
        <f t="shared" si="4"/>
        <v>0.5563139932</v>
      </c>
      <c r="P1307" s="9">
        <f>IFERROR(__xludf.DUMMYFUNCTION("GOOGLEFINANCE(A1307, ""pe"")"),11.54)</f>
        <v>11.54</v>
      </c>
      <c r="Q1307" s="9">
        <f>IFERROR(__xludf.DUMMYFUNCTION("IFERROR(GOOGLEFINANCE(A1307, ""volume"") / GOOGLEFINANCE(A1307, ""volumeavg""), 0)"),0.0)</f>
        <v>0</v>
      </c>
      <c r="R1307" s="9">
        <f>IFERROR(__xludf.DUMMYFUNCTION("AVERAGE(INDEX(GOOGLEFINANCE(A1307, ""price"", TODAY()-30, TODAY()), 0, 2))"),281.47608695652167)</f>
        <v>281.476087</v>
      </c>
      <c r="S1307" s="9">
        <f>IFERROR(__xludf.DUMMYFUNCTION("AVERAGE(INDEX(GOOGLEFINANCE(A1307, ""price"", TODAY()-75, TODAY()), 0, 2))"),284.41320754716986)</f>
        <v>284.4132075</v>
      </c>
      <c r="T1307" s="9">
        <f>IFERROR(__xludf.DUMMYFUNCTION("AVERAGE(INDEX(GOOGLEFINANCE(A1307, ""price"", TODAY()-300, TODAY()), 0, 2))"),268.41490099009894)</f>
        <v>268.414901</v>
      </c>
      <c r="U1307" s="9">
        <f t="shared" si="5"/>
        <v>0.007190355193</v>
      </c>
      <c r="V1307" s="15">
        <f>IFERROR(__xludf.DUMMYFUNCTION("LET(hist, GOOGLEFINANCE(A1307,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rs))))))"),53.869653767820736)</f>
        <v>53.86965377</v>
      </c>
      <c r="W1307" s="16" t="str">
        <f>IFERROR(__xludf.DUMMYFUNCTION("IFERROR(GOOGLEFINANCE(A1307, ""volume"") / GOOGLEFINANCE(A1307, ""volumeavg""), )"),"")</f>
        <v/>
      </c>
      <c r="X1307" s="9">
        <f>IFERROR(__xludf.DUMMYFUNCTION("B1307 * GOOGLEFINANCE(A1307, ""volume"")"),1.9039293E7)</f>
        <v>19039293</v>
      </c>
      <c r="Y1307" s="9">
        <f>IFERROR(__xludf.DUMMYFUNCTION("IFERROR(((B1307 - GOOGLEFINANCE(A1307, ""priceopen"")) / GOOGLEFINANCE(A1307, ""priceopen"")) * GOOGLEFINANCE(A1307, ""volume""), 0)"),1328.6654676258993)</f>
        <v>1328.665468</v>
      </c>
    </row>
    <row r="1308">
      <c r="A1308" s="4" t="s">
        <v>3101</v>
      </c>
      <c r="B1308" s="7">
        <f>IFERROR(__xludf.DUMMYFUNCTION("GOOGLEFINANCE(A1308, ""price"")"),1090.0)</f>
        <v>1090</v>
      </c>
      <c r="C1308" s="7">
        <f>IFERROR(__xludf.DUMMYFUNCTION("GOOGLEFINANCE(A1308, ""changepct"")"),-1.27)</f>
        <v>-1.27</v>
      </c>
      <c r="D1308" s="9">
        <f>IFERROR(__xludf.DUMMYFUNCTION("GOOGLEFINANCE(A1308, ""priceopen"")"),1102.1)</f>
        <v>1102.1</v>
      </c>
      <c r="E1308" s="9">
        <f>IFERROR(__xludf.DUMMYFUNCTION("GOOGLEFINANCE(A1308, ""high"")"),1105.9)</f>
        <v>1105.9</v>
      </c>
      <c r="F1308" s="9">
        <f>IFERROR(__xludf.DUMMYFUNCTION("GOOGLEFINANCE(A1308, ""low"")"),1090.0)</f>
        <v>1090</v>
      </c>
      <c r="G1308" s="9">
        <f>IFERROR(__xludf.DUMMYFUNCTION("GOOGLEFINANCE(A1308, ""price"")"),1090.0)</f>
        <v>1090</v>
      </c>
      <c r="H1308" s="9">
        <f>IFERROR(__xludf.DUMMYFUNCTION("MAX(INDEX(GOOGLEFINANCE(A1308, ""high"", TODAY()-30, TODAY()), 0, 2))"),1253.3)</f>
        <v>1253.3</v>
      </c>
      <c r="I1308" s="9">
        <f>IFERROR(__xludf.DUMMYFUNCTION("MIN(INDEX(GOOGLEFINANCE(A1308, ""low"", TODAY()-30, TODAY()), 0, 2))"),1052.1)</f>
        <v>1052.1</v>
      </c>
      <c r="J1308" s="9">
        <f>IFERROR(__xludf.DUMMYFUNCTION("GOOGLEFINANCE(A1308, ""high52"")"),1533.9)</f>
        <v>1533.9</v>
      </c>
      <c r="K1308" s="9">
        <f>IFERROR(__xludf.DUMMYFUNCTION("GOOGLEFINANCE(A1308, ""low52"")"),876.6)</f>
        <v>876.6</v>
      </c>
      <c r="L1308" s="9">
        <f t="shared" si="1"/>
        <v>0.2893930504</v>
      </c>
      <c r="M1308" s="9">
        <f t="shared" si="2"/>
        <v>0.2434405658</v>
      </c>
      <c r="N1308" s="9">
        <f t="shared" si="3"/>
        <v>0.01458715596</v>
      </c>
      <c r="O1308" s="9">
        <f t="shared" si="4"/>
        <v>0.1883697813</v>
      </c>
      <c r="P1308" s="9">
        <f>IFERROR(__xludf.DUMMYFUNCTION("GOOGLEFINANCE(A1308, ""pe"")"),20.44)</f>
        <v>20.44</v>
      </c>
      <c r="Q1308" s="9">
        <f>IFERROR(__xludf.DUMMYFUNCTION("IFERROR(GOOGLEFINANCE(A1308, ""volume"") / GOOGLEFINANCE(A1308, ""volumeavg""), 0)"),0.0)</f>
        <v>0</v>
      </c>
      <c r="R1308" s="9">
        <f>IFERROR(__xludf.DUMMYFUNCTION("AVERAGE(INDEX(GOOGLEFINANCE(A1308, ""price"", TODAY()-30, TODAY()), 0, 2))"),1138.3304347826088)</f>
        <v>1138.330435</v>
      </c>
      <c r="S1308" s="9">
        <f>IFERROR(__xludf.DUMMYFUNCTION("AVERAGE(INDEX(GOOGLEFINANCE(A1308, ""price"", TODAY()-75, TODAY()), 0, 2))"),1075.2452830188681)</f>
        <v>1075.245283</v>
      </c>
      <c r="T1308" s="9">
        <f>IFERROR(__xludf.DUMMYFUNCTION("AVERAGE(INDEX(GOOGLEFINANCE(A1308, ""price"", TODAY()-300, TODAY()), 0, 2))"),1135.1339108910893)</f>
        <v>1135.133911</v>
      </c>
      <c r="U1308" s="9">
        <f t="shared" si="5"/>
        <v>-0.04245729826</v>
      </c>
      <c r="V1308" s="15">
        <f>IFERROR(__xludf.DUMMYFUNCTION("LET(hist, GOOGLEFINANCE(A1308,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rs))))))"),41.64179104477615)</f>
        <v>41.64179104</v>
      </c>
      <c r="W1308" s="16" t="str">
        <f>IFERROR(__xludf.DUMMYFUNCTION("IFERROR(GOOGLEFINANCE(A1308, ""volume"") / GOOGLEFINANCE(A1308, ""volumeavg""), )"),"")</f>
        <v/>
      </c>
      <c r="X1308" s="9">
        <f>IFERROR(__xludf.DUMMYFUNCTION("B1308 * GOOGLEFINANCE(A1308, ""volume"")"),6853920.0)</f>
        <v>6853920</v>
      </c>
      <c r="Y1308" s="9">
        <f>IFERROR(__xludf.DUMMYFUNCTION("IFERROR(((B1308 - GOOGLEFINANCE(A1308, ""priceopen"")) / GOOGLEFINANCE(A1308, ""priceopen"")) * GOOGLEFINANCE(A1308, ""volume""), 0)"),-69.03620361128702)</f>
        <v>-69.03620361</v>
      </c>
    </row>
    <row r="1309">
      <c r="A1309" s="4" t="s">
        <v>3102</v>
      </c>
      <c r="B1309" s="7">
        <f>IFERROR(__xludf.DUMMYFUNCTION("GOOGLEFINANCE(A1309, ""price"")"),134.01)</f>
        <v>134.01</v>
      </c>
      <c r="C1309" s="7">
        <f>IFERROR(__xludf.DUMMYFUNCTION("GOOGLEFINANCE(A1309, ""changepct"")"),-1.35)</f>
        <v>-1.35</v>
      </c>
      <c r="D1309" s="9">
        <f>IFERROR(__xludf.DUMMYFUNCTION("GOOGLEFINANCE(A1309, ""priceopen"")"),136.0)</f>
        <v>136</v>
      </c>
      <c r="E1309" s="9">
        <f>IFERROR(__xludf.DUMMYFUNCTION("GOOGLEFINANCE(A1309, ""high"")"),136.63)</f>
        <v>136.63</v>
      </c>
      <c r="F1309" s="9">
        <f>IFERROR(__xludf.DUMMYFUNCTION("GOOGLEFINANCE(A1309, ""low"")"),132.1)</f>
        <v>132.1</v>
      </c>
      <c r="G1309" s="9">
        <f>IFERROR(__xludf.DUMMYFUNCTION("GOOGLEFINANCE(A1309, ""price"")"),134.01)</f>
        <v>134.01</v>
      </c>
      <c r="H1309" s="9">
        <f>IFERROR(__xludf.DUMMYFUNCTION("MAX(INDEX(GOOGLEFINANCE(A1309, ""high"", TODAY()-30, TODAY()), 0, 2))"),167.99)</f>
        <v>167.99</v>
      </c>
      <c r="I1309" s="9">
        <f>IFERROR(__xludf.DUMMYFUNCTION("MIN(INDEX(GOOGLEFINANCE(A1309, ""low"", TODAY()-30, TODAY()), 0, 2))"),132.1)</f>
        <v>132.1</v>
      </c>
      <c r="J1309" s="9">
        <f>IFERROR(__xludf.DUMMYFUNCTION("GOOGLEFINANCE(A1309, ""high52"")"),180.8)</f>
        <v>180.8</v>
      </c>
      <c r="K1309" s="9">
        <f>IFERROR(__xludf.DUMMYFUNCTION("GOOGLEFINANCE(A1309, ""low52"")"),96.64)</f>
        <v>96.64</v>
      </c>
      <c r="L1309" s="9">
        <f t="shared" si="1"/>
        <v>0.2587942478</v>
      </c>
      <c r="M1309" s="9">
        <f t="shared" si="2"/>
        <v>0.3866928808</v>
      </c>
      <c r="N1309" s="9">
        <f t="shared" si="3"/>
        <v>0.03429220288</v>
      </c>
      <c r="O1309" s="9">
        <f t="shared" si="4"/>
        <v>0.05321816662</v>
      </c>
      <c r="P1309" s="9">
        <f>IFERROR(__xludf.DUMMYFUNCTION("GOOGLEFINANCE(A1309, ""pe"")"),27.63)</f>
        <v>27.63</v>
      </c>
      <c r="Q1309" s="9">
        <f>IFERROR(__xludf.DUMMYFUNCTION("IFERROR(GOOGLEFINANCE(A1309, ""volume"") / GOOGLEFINANCE(A1309, ""volumeavg""), 0)"),0.0)</f>
        <v>0</v>
      </c>
      <c r="R1309" s="9">
        <f>IFERROR(__xludf.DUMMYFUNCTION("AVERAGE(INDEX(GOOGLEFINANCE(A1309, ""price"", TODAY()-30, TODAY()), 0, 2))"),152.07695652173913)</f>
        <v>152.0769565</v>
      </c>
      <c r="S1309" s="9">
        <f>IFERROR(__xludf.DUMMYFUNCTION("AVERAGE(INDEX(GOOGLEFINANCE(A1309, ""price"", TODAY()-75, TODAY()), 0, 2))"),154.92716981132077)</f>
        <v>154.9271698</v>
      </c>
      <c r="T1309" s="9">
        <f>IFERROR(__xludf.DUMMYFUNCTION("AVERAGE(INDEX(GOOGLEFINANCE(A1309, ""price"", TODAY()-300, TODAY()), 0, 2))"),127.91940594059417)</f>
        <v>127.9194059</v>
      </c>
      <c r="U1309" s="9">
        <f t="shared" si="5"/>
        <v>-0.1188014078</v>
      </c>
      <c r="V1309" s="15">
        <f>IFERROR(__xludf.DUMMYFUNCTION("LET(hist, GOOGLEFINANCE(A1309,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rs))))))"),26.36926889714995)</f>
        <v>26.3692689</v>
      </c>
      <c r="W1309" s="16" t="str">
        <f>IFERROR(__xludf.DUMMYFUNCTION("IFERROR(GOOGLEFINANCE(A1309, ""volume"") / GOOGLEFINANCE(A1309, ""volumeavg""), )"),"")</f>
        <v/>
      </c>
      <c r="X1309" s="9">
        <f>IFERROR(__xludf.DUMMYFUNCTION("B1309 * GOOGLEFINANCE(A1309, ""volume"")"),1.0834172459999999E7)</f>
        <v>10834172.46</v>
      </c>
      <c r="Y1309" s="9">
        <f>IFERROR(__xludf.DUMMYFUNCTION("IFERROR(((B1309 - GOOGLEFINANCE(A1309, ""priceopen"")) / GOOGLEFINANCE(A1309, ""priceopen"")) * GOOGLEFINANCE(A1309, ""volume""), 0)"),-1182.9672058823583)</f>
        <v>-1182.967206</v>
      </c>
    </row>
    <row r="1310">
      <c r="A1310" s="4" t="s">
        <v>3103</v>
      </c>
      <c r="B1310" s="7">
        <f>IFERROR(__xludf.DUMMYFUNCTION("GOOGLEFINANCE(A1310, ""price"")"),989.3)</f>
        <v>989.3</v>
      </c>
      <c r="C1310" s="7">
        <f>IFERROR(__xludf.DUMMYFUNCTION("GOOGLEFINANCE(A1310, ""changepct"")"),-1.7)</f>
        <v>-1.7</v>
      </c>
      <c r="D1310" s="9">
        <f>IFERROR(__xludf.DUMMYFUNCTION("GOOGLEFINANCE(A1310, ""priceopen"")"),1006.4)</f>
        <v>1006.4</v>
      </c>
      <c r="E1310" s="9">
        <f>IFERROR(__xludf.DUMMYFUNCTION("GOOGLEFINANCE(A1310, ""high"")"),1030.0)</f>
        <v>1030</v>
      </c>
      <c r="F1310" s="9">
        <f>IFERROR(__xludf.DUMMYFUNCTION("GOOGLEFINANCE(A1310, ""low"")"),988.2)</f>
        <v>988.2</v>
      </c>
      <c r="G1310" s="9">
        <f>IFERROR(__xludf.DUMMYFUNCTION("GOOGLEFINANCE(A1310, ""price"")"),989.3)</f>
        <v>989.3</v>
      </c>
      <c r="H1310" s="9">
        <f>IFERROR(__xludf.DUMMYFUNCTION("MAX(INDEX(GOOGLEFINANCE(A1310, ""high"", TODAY()-30, TODAY()), 0, 2))"),1245.9)</f>
        <v>1245.9</v>
      </c>
      <c r="I1310" s="9">
        <f>IFERROR(__xludf.DUMMYFUNCTION("MIN(INDEX(GOOGLEFINANCE(A1310, ""low"", TODAY()-30, TODAY()), 0, 2))"),961.1)</f>
        <v>961.1</v>
      </c>
      <c r="J1310" s="9">
        <f>IFERROR(__xludf.DUMMYFUNCTION("GOOGLEFINANCE(A1310, ""high52"")"),1260.0)</f>
        <v>1260</v>
      </c>
      <c r="K1310" s="9">
        <f>IFERROR(__xludf.DUMMYFUNCTION("GOOGLEFINANCE(A1310, ""low52"")"),671.2)</f>
        <v>671.2</v>
      </c>
      <c r="L1310" s="9">
        <f t="shared" si="1"/>
        <v>0.2148412698</v>
      </c>
      <c r="M1310" s="9">
        <f t="shared" si="2"/>
        <v>0.4739272944</v>
      </c>
      <c r="N1310" s="9">
        <f t="shared" si="3"/>
        <v>0.04229912973</v>
      </c>
      <c r="O1310" s="9">
        <f t="shared" si="4"/>
        <v>0.09901685393</v>
      </c>
      <c r="P1310" s="9">
        <f>IFERROR(__xludf.DUMMYFUNCTION("GOOGLEFINANCE(A1310, ""pe"")"),35.05)</f>
        <v>35.05</v>
      </c>
      <c r="Q1310" s="9">
        <f>IFERROR(__xludf.DUMMYFUNCTION("IFERROR(GOOGLEFINANCE(A1310, ""volume"") / GOOGLEFINANCE(A1310, ""volumeavg""), 0)"),0.0)</f>
        <v>0</v>
      </c>
      <c r="R1310" s="9">
        <f>IFERROR(__xludf.DUMMYFUNCTION("AVERAGE(INDEX(GOOGLEFINANCE(A1310, ""price"", TODAY()-30, TODAY()), 0, 2))"),1118.8652173913047)</f>
        <v>1118.865217</v>
      </c>
      <c r="S1310" s="9">
        <f>IFERROR(__xludf.DUMMYFUNCTION("AVERAGE(INDEX(GOOGLEFINANCE(A1310, ""price"", TODAY()-75, TODAY()), 0, 2))"),1074.9349056603771)</f>
        <v>1074.934906</v>
      </c>
      <c r="T1310" s="9">
        <f>IFERROR(__xludf.DUMMYFUNCTION("AVERAGE(INDEX(GOOGLEFINANCE(A1310, ""price"", TODAY()-300, TODAY()), 0, 2))"),844.8049504950496)</f>
        <v>844.8049505</v>
      </c>
      <c r="U1310" s="9">
        <f t="shared" si="5"/>
        <v>-0.1158005588</v>
      </c>
      <c r="V1310" s="15">
        <f>IFERROR(__xludf.DUMMYFUNCTION("LET(hist, GOOGLEFINANCE(A1310,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rs))))))"),31.388511985526932)</f>
        <v>31.38851199</v>
      </c>
      <c r="W1310" s="16" t="str">
        <f>IFERROR(__xludf.DUMMYFUNCTION("IFERROR(GOOGLEFINANCE(A1310, ""volume"") / GOOGLEFINANCE(A1310, ""volumeavg""), )"),"")</f>
        <v/>
      </c>
      <c r="X1310" s="9">
        <f>IFERROR(__xludf.DUMMYFUNCTION("B1310 * GOOGLEFINANCE(A1310, ""volume"")"),2.7529251099999998E7)</f>
        <v>27529251.1</v>
      </c>
      <c r="Y1310" s="9">
        <f>IFERROR(__xludf.DUMMYFUNCTION("IFERROR(((B1310 - GOOGLEFINANCE(A1310, ""priceopen"")) / GOOGLEFINANCE(A1310, ""priceopen"")) * GOOGLEFINANCE(A1310, ""volume""), 0)"),-472.8156796502391)</f>
        <v>-472.8156797</v>
      </c>
    </row>
    <row r="1311">
      <c r="A1311" s="4" t="s">
        <v>3104</v>
      </c>
      <c r="B1311" s="7">
        <f>IFERROR(__xludf.DUMMYFUNCTION("GOOGLEFINANCE(A1311, ""price"")"),13.64)</f>
        <v>13.64</v>
      </c>
      <c r="C1311" s="7">
        <f>IFERROR(__xludf.DUMMYFUNCTION("GOOGLEFINANCE(A1311, ""changepct"")"),-2.71)</f>
        <v>-2.71</v>
      </c>
      <c r="D1311" s="9">
        <f>IFERROR(__xludf.DUMMYFUNCTION("GOOGLEFINANCE(A1311, ""priceopen"")"),14.09)</f>
        <v>14.09</v>
      </c>
      <c r="E1311" s="9">
        <f>IFERROR(__xludf.DUMMYFUNCTION("GOOGLEFINANCE(A1311, ""high"")"),14.23)</f>
        <v>14.23</v>
      </c>
      <c r="F1311" s="9">
        <f>IFERROR(__xludf.DUMMYFUNCTION("GOOGLEFINANCE(A1311, ""low"")"),13.51)</f>
        <v>13.51</v>
      </c>
      <c r="G1311" s="9">
        <f>IFERROR(__xludf.DUMMYFUNCTION("GOOGLEFINANCE(A1311, ""price"")"),13.64)</f>
        <v>13.64</v>
      </c>
      <c r="H1311" s="9">
        <f>IFERROR(__xludf.DUMMYFUNCTION("MAX(INDEX(GOOGLEFINANCE(A1311, ""high"", TODAY()-30, TODAY()), 0, 2))"),15.08)</f>
        <v>15.08</v>
      </c>
      <c r="I1311" s="9">
        <f>IFERROR(__xludf.DUMMYFUNCTION("MIN(INDEX(GOOGLEFINANCE(A1311, ""low"", TODAY()-30, TODAY()), 0, 2))"),13.21)</f>
        <v>13.21</v>
      </c>
      <c r="J1311" s="9">
        <f>IFERROR(__xludf.DUMMYFUNCTION("GOOGLEFINANCE(A1311, ""high52"")"),20.81)</f>
        <v>20.81</v>
      </c>
      <c r="K1311" s="9">
        <f>IFERROR(__xludf.DUMMYFUNCTION("GOOGLEFINANCE(A1311, ""low52"")"),10.62)</f>
        <v>10.62</v>
      </c>
      <c r="L1311" s="9">
        <f t="shared" si="1"/>
        <v>0.3445458914</v>
      </c>
      <c r="M1311" s="9">
        <f t="shared" si="2"/>
        <v>0.2843691149</v>
      </c>
      <c r="N1311" s="9">
        <f t="shared" si="3"/>
        <v>0.0532938564</v>
      </c>
      <c r="O1311" s="9">
        <f t="shared" si="4"/>
        <v>0.2299465241</v>
      </c>
      <c r="P1311" s="9">
        <f>IFERROR(__xludf.DUMMYFUNCTION("GOOGLEFINANCE(A1311, ""pe"")"),20.98)</f>
        <v>20.98</v>
      </c>
      <c r="Q1311" s="9">
        <f>IFERROR(__xludf.DUMMYFUNCTION("IFERROR(GOOGLEFINANCE(A1311, ""volume"") / GOOGLEFINANCE(A1311, ""volumeavg""), 0)"),0.0)</f>
        <v>0</v>
      </c>
      <c r="R1311" s="9">
        <f>IFERROR(__xludf.DUMMYFUNCTION("AVERAGE(INDEX(GOOGLEFINANCE(A1311, ""price"", TODAY()-30, TODAY()), 0, 2))"),14.059130434782606)</f>
        <v>14.05913043</v>
      </c>
      <c r="S1311" s="9">
        <f>IFERROR(__xludf.DUMMYFUNCTION("AVERAGE(INDEX(GOOGLEFINANCE(A1311, ""price"", TODAY()-75, TODAY()), 0, 2))"),13.755849056603777)</f>
        <v>13.75584906</v>
      </c>
      <c r="T1311" s="9">
        <f>IFERROR(__xludf.DUMMYFUNCTION("AVERAGE(INDEX(GOOGLEFINANCE(A1311, ""price"", TODAY()-300, TODAY()), 0, 2))"),14.244158415841577)</f>
        <v>14.24415842</v>
      </c>
      <c r="U1311" s="9">
        <f t="shared" si="5"/>
        <v>-0.02981197427</v>
      </c>
      <c r="V1311" s="15">
        <f>IFERROR(__xludf.DUMMYFUNCTION("LET(hist, GOOGLEFINANCE(A1311,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rs))))))"),37.815126050420155)</f>
        <v>37.81512605</v>
      </c>
      <c r="W1311" s="16" t="str">
        <f>IFERROR(__xludf.DUMMYFUNCTION("IFERROR(GOOGLEFINANCE(A1311, ""volume"") / GOOGLEFINANCE(A1311, ""volumeavg""), )"),"")</f>
        <v/>
      </c>
      <c r="X1311" s="9">
        <f>IFERROR(__xludf.DUMMYFUNCTION("B1311 * GOOGLEFINANCE(A1311, ""volume"")"),3.8094366244E8)</f>
        <v>380943662.4</v>
      </c>
      <c r="Y1311" s="9">
        <f>IFERROR(__xludf.DUMMYFUNCTION("IFERROR(((B1311 - GOOGLEFINANCE(A1311, ""priceopen"")) / GOOGLEFINANCE(A1311, ""priceopen"")) * GOOGLEFINANCE(A1311, ""volume""), 0)"),-891965.1845280326)</f>
        <v>-891965.1845</v>
      </c>
    </row>
    <row r="1312">
      <c r="A1312" s="4" t="s">
        <v>3105</v>
      </c>
      <c r="B1312" s="7">
        <f>IFERROR(__xludf.DUMMYFUNCTION("GOOGLEFINANCE(A1312, ""price"")"),156.7)</f>
        <v>156.7</v>
      </c>
      <c r="C1312" s="7">
        <f>IFERROR(__xludf.DUMMYFUNCTION("GOOGLEFINANCE(A1312, ""changepct"")"),-2.37)</f>
        <v>-2.37</v>
      </c>
      <c r="D1312" s="9">
        <f>IFERROR(__xludf.DUMMYFUNCTION("GOOGLEFINANCE(A1312, ""priceopen"")"),160.9)</f>
        <v>160.9</v>
      </c>
      <c r="E1312" s="9">
        <f>IFERROR(__xludf.DUMMYFUNCTION("GOOGLEFINANCE(A1312, ""high"")"),160.94)</f>
        <v>160.94</v>
      </c>
      <c r="F1312" s="9">
        <f>IFERROR(__xludf.DUMMYFUNCTION("GOOGLEFINANCE(A1312, ""low"")"),156.09)</f>
        <v>156.09</v>
      </c>
      <c r="G1312" s="9">
        <f>IFERROR(__xludf.DUMMYFUNCTION("GOOGLEFINANCE(A1312, ""price"")"),156.7)</f>
        <v>156.7</v>
      </c>
      <c r="H1312" s="9">
        <f>IFERROR(__xludf.DUMMYFUNCTION("MAX(INDEX(GOOGLEFINANCE(A1312, ""high"", TODAY()-30, TODAY()), 0, 2))"),175.0)</f>
        <v>175</v>
      </c>
      <c r="I1312" s="9">
        <f>IFERROR(__xludf.DUMMYFUNCTION("MIN(INDEX(GOOGLEFINANCE(A1312, ""low"", TODAY()-30, TODAY()), 0, 2))"),147.94)</f>
        <v>147.94</v>
      </c>
      <c r="J1312" s="9">
        <f>IFERROR(__xludf.DUMMYFUNCTION("GOOGLEFINANCE(A1312, ""high52"")"),175.0)</f>
        <v>175</v>
      </c>
      <c r="K1312" s="9">
        <f>IFERROR(__xludf.DUMMYFUNCTION("GOOGLEFINANCE(A1312, ""low52"")"),115.0)</f>
        <v>115</v>
      </c>
      <c r="L1312" s="9">
        <f t="shared" si="1"/>
        <v>0.1045714286</v>
      </c>
      <c r="M1312" s="9">
        <f t="shared" si="2"/>
        <v>0.3626086957</v>
      </c>
      <c r="N1312" s="9">
        <f t="shared" si="3"/>
        <v>0.03107181754</v>
      </c>
      <c r="O1312" s="9">
        <f t="shared" si="4"/>
        <v>0.3237250554</v>
      </c>
      <c r="P1312" s="9">
        <f>IFERROR(__xludf.DUMMYFUNCTION("GOOGLEFINANCE(A1312, ""pe"")"),27.23)</f>
        <v>27.23</v>
      </c>
      <c r="Q1312" s="9">
        <f>IFERROR(__xludf.DUMMYFUNCTION("IFERROR(GOOGLEFINANCE(A1312, ""volume"") / GOOGLEFINANCE(A1312, ""volumeavg""), 0)"),0.0)</f>
        <v>0</v>
      </c>
      <c r="R1312" s="9">
        <f>IFERROR(__xludf.DUMMYFUNCTION("AVERAGE(INDEX(GOOGLEFINANCE(A1312, ""price"", TODAY()-30, TODAY()), 0, 2))"),159.50086956521739)</f>
        <v>159.5008696</v>
      </c>
      <c r="S1312" s="9">
        <f>IFERROR(__xludf.DUMMYFUNCTION("AVERAGE(INDEX(GOOGLEFINANCE(A1312, ""price"", TODAY()-75, TODAY()), 0, 2))"),154.13452830188675)</f>
        <v>154.1345283</v>
      </c>
      <c r="T1312" s="9">
        <f>IFERROR(__xludf.DUMMYFUNCTION("AVERAGE(INDEX(GOOGLEFINANCE(A1312, ""price"", TODAY()-300, TODAY()), 0, 2))"),140.60391089108907)</f>
        <v>140.6039109</v>
      </c>
      <c r="U1312" s="9">
        <f t="shared" si="5"/>
        <v>-0.01756021502</v>
      </c>
      <c r="V1312" s="15">
        <f>IFERROR(__xludf.DUMMYFUNCTION("LET(hist, GOOGLEFINANCE(A1312,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rs))))))"),50.63110264348655)</f>
        <v>50.63110264</v>
      </c>
      <c r="W1312" s="16" t="str">
        <f>IFERROR(__xludf.DUMMYFUNCTION("IFERROR(GOOGLEFINANCE(A1312, ""volume"") / GOOGLEFINANCE(A1312, ""volumeavg""), )"),"")</f>
        <v/>
      </c>
      <c r="X1312" s="9">
        <f>IFERROR(__xludf.DUMMYFUNCTION("B1312 * GOOGLEFINANCE(A1312, ""volume"")"),1.1169576E7)</f>
        <v>11169576</v>
      </c>
      <c r="Y1312" s="9">
        <f>IFERROR(__xludf.DUMMYFUNCTION("IFERROR(((B1312 - GOOGLEFINANCE(A1312, ""priceopen"")) / GOOGLEFINANCE(A1312, ""priceopen"")) * GOOGLEFINANCE(A1312, ""volume""), 0)"),-1860.6339341205794)</f>
        <v>-1860.633934</v>
      </c>
    </row>
    <row r="1313">
      <c r="A1313" s="4" t="s">
        <v>3106</v>
      </c>
      <c r="B1313" s="7">
        <f>IFERROR(__xludf.DUMMYFUNCTION("GOOGLEFINANCE(A1313, ""price"")"),236.37)</f>
        <v>236.37</v>
      </c>
      <c r="C1313" s="7">
        <f>IFERROR(__xludf.DUMMYFUNCTION("GOOGLEFINANCE(A1313, ""changepct"")"),2.07)</f>
        <v>2.07</v>
      </c>
      <c r="D1313" s="9">
        <f>IFERROR(__xludf.DUMMYFUNCTION("GOOGLEFINANCE(A1313, ""priceopen"")"),234.8)</f>
        <v>234.8</v>
      </c>
      <c r="E1313" s="9">
        <f>IFERROR(__xludf.DUMMYFUNCTION("GOOGLEFINANCE(A1313, ""high"")"),247.5)</f>
        <v>247.5</v>
      </c>
      <c r="F1313" s="9">
        <f>IFERROR(__xludf.DUMMYFUNCTION("GOOGLEFINANCE(A1313, ""low"")"),231.17)</f>
        <v>231.17</v>
      </c>
      <c r="G1313" s="9">
        <f>IFERROR(__xludf.DUMMYFUNCTION("GOOGLEFINANCE(A1313, ""price"")"),236.37)</f>
        <v>236.37</v>
      </c>
      <c r="H1313" s="9">
        <f>IFERROR(__xludf.DUMMYFUNCTION("MAX(INDEX(GOOGLEFINANCE(A1313, ""high"", TODAY()-30, TODAY()), 0, 2))"),263.18)</f>
        <v>263.18</v>
      </c>
      <c r="I1313" s="9">
        <f>IFERROR(__xludf.DUMMYFUNCTION("MIN(INDEX(GOOGLEFINANCE(A1313, ""low"", TODAY()-30, TODAY()), 0, 2))"),200.2)</f>
        <v>200.2</v>
      </c>
      <c r="J1313" s="9">
        <f>IFERROR(__xludf.DUMMYFUNCTION("GOOGLEFINANCE(A1313, ""high52"")"),263.18)</f>
        <v>263.18</v>
      </c>
      <c r="K1313" s="9">
        <f>IFERROR(__xludf.DUMMYFUNCTION("GOOGLEFINANCE(A1313, ""low52"")"),114.0)</f>
        <v>114</v>
      </c>
      <c r="L1313" s="9">
        <f t="shared" si="1"/>
        <v>0.101869443</v>
      </c>
      <c r="M1313" s="9">
        <f t="shared" si="2"/>
        <v>1.073421053</v>
      </c>
      <c r="N1313" s="9">
        <f t="shared" si="3"/>
        <v>0.07064065406</v>
      </c>
      <c r="O1313" s="9">
        <f t="shared" si="4"/>
        <v>0.5743093045</v>
      </c>
      <c r="P1313" s="9">
        <f>IFERROR(__xludf.DUMMYFUNCTION("GOOGLEFINANCE(A1313, ""pe"")"),32.04)</f>
        <v>32.04</v>
      </c>
      <c r="Q1313" s="9">
        <f>IFERROR(__xludf.DUMMYFUNCTION("IFERROR(GOOGLEFINANCE(A1313, ""volume"") / GOOGLEFINANCE(A1313, ""volumeavg""), 0)"),0.0)</f>
        <v>0</v>
      </c>
      <c r="R1313" s="9">
        <f>IFERROR(__xludf.DUMMYFUNCTION("AVERAGE(INDEX(GOOGLEFINANCE(A1313, ""price"", TODAY()-30, TODAY()), 0, 2))"),226.42478260869566)</f>
        <v>226.4247826</v>
      </c>
      <c r="S1313" s="9">
        <f>IFERROR(__xludf.DUMMYFUNCTION("AVERAGE(INDEX(GOOGLEFINANCE(A1313, ""price"", TODAY()-75, TODAY()), 0, 2))"),210.63867924528302)</f>
        <v>210.6386792</v>
      </c>
      <c r="T1313" s="9">
        <f>IFERROR(__xludf.DUMMYFUNCTION("AVERAGE(INDEX(GOOGLEFINANCE(A1313, ""price"", TODAY()-300, TODAY()), 0, 2))"),187.1361881188119)</f>
        <v>187.1361881</v>
      </c>
      <c r="U1313" s="9">
        <f t="shared" si="5"/>
        <v>0.04392283069</v>
      </c>
      <c r="V1313" s="15">
        <f>IFERROR(__xludf.DUMMYFUNCTION("LET(hist, GOOGLEFINANCE(A1313,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rs))))))"),63.33826098642656)</f>
        <v>63.33826099</v>
      </c>
      <c r="W1313" s="16" t="str">
        <f>IFERROR(__xludf.DUMMYFUNCTION("IFERROR(GOOGLEFINANCE(A1313, ""volume"") / GOOGLEFINANCE(A1313, ""volumeavg""), )"),"")</f>
        <v/>
      </c>
      <c r="X1313" s="9">
        <f>IFERROR(__xludf.DUMMYFUNCTION("B1313 * GOOGLEFINANCE(A1313, ""volume"")"),1.5016727922E8)</f>
        <v>150167279.2</v>
      </c>
      <c r="Y1313" s="9">
        <f>IFERROR(__xludf.DUMMYFUNCTION("IFERROR(((B1313 - GOOGLEFINANCE(A1313, ""priceopen"")) / GOOGLEFINANCE(A1313, ""priceopen"")) * GOOGLEFINANCE(A1313, ""volume""), 0)"),4248.000085178857)</f>
        <v>4248.000085</v>
      </c>
    </row>
    <row r="1314">
      <c r="A1314" s="4" t="s">
        <v>3107</v>
      </c>
      <c r="B1314" s="7">
        <f>IFERROR(__xludf.DUMMYFUNCTION("GOOGLEFINANCE(A1314, ""price"")"),63.75)</f>
        <v>63.75</v>
      </c>
      <c r="C1314" s="7">
        <f>IFERROR(__xludf.DUMMYFUNCTION("GOOGLEFINANCE(A1314, ""changepct"")"),0.24)</f>
        <v>0.24</v>
      </c>
      <c r="D1314" s="9">
        <f>IFERROR(__xludf.DUMMYFUNCTION("GOOGLEFINANCE(A1314, ""priceopen"")"),63.9)</f>
        <v>63.9</v>
      </c>
      <c r="E1314" s="9">
        <f>IFERROR(__xludf.DUMMYFUNCTION("GOOGLEFINANCE(A1314, ""high"")"),64.2)</f>
        <v>64.2</v>
      </c>
      <c r="F1314" s="9">
        <f>IFERROR(__xludf.DUMMYFUNCTION("GOOGLEFINANCE(A1314, ""low"")"),63.0)</f>
        <v>63</v>
      </c>
      <c r="G1314" s="9">
        <f>IFERROR(__xludf.DUMMYFUNCTION("GOOGLEFINANCE(A1314, ""price"")"),63.75)</f>
        <v>63.75</v>
      </c>
      <c r="H1314" s="9">
        <f>IFERROR(__xludf.DUMMYFUNCTION("MAX(INDEX(GOOGLEFINANCE(A1314, ""high"", TODAY()-30, TODAY()), 0, 2))"),64.56)</f>
        <v>64.56</v>
      </c>
      <c r="I1314" s="9">
        <f>IFERROR(__xludf.DUMMYFUNCTION("MIN(INDEX(GOOGLEFINANCE(A1314, ""low"", TODAY()-30, TODAY()), 0, 2))"),61.81)</f>
        <v>61.81</v>
      </c>
      <c r="J1314" s="9">
        <f>IFERROR(__xludf.DUMMYFUNCTION("GOOGLEFINANCE(A1314, ""high52"")"),78.9)</f>
        <v>78.9</v>
      </c>
      <c r="K1314" s="9">
        <f>IFERROR(__xludf.DUMMYFUNCTION("GOOGLEFINANCE(A1314, ""low52"")"),59.5)</f>
        <v>59.5</v>
      </c>
      <c r="L1314" s="9">
        <f t="shared" si="1"/>
        <v>0.1920152091</v>
      </c>
      <c r="M1314" s="9">
        <f t="shared" si="2"/>
        <v>0.07142857143</v>
      </c>
      <c r="N1314" s="9">
        <f t="shared" si="3"/>
        <v>0.01904761905</v>
      </c>
      <c r="O1314" s="9">
        <f t="shared" si="4"/>
        <v>0.7054545455</v>
      </c>
      <c r="P1314" s="9">
        <f>IFERROR(__xludf.DUMMYFUNCTION("GOOGLEFINANCE(A1314, ""pe"")"),7.04)</f>
        <v>7.04</v>
      </c>
      <c r="Q1314" s="9">
        <f>IFERROR(__xludf.DUMMYFUNCTION("IFERROR(GOOGLEFINANCE(A1314, ""volume"") / GOOGLEFINANCE(A1314, ""volumeavg""), 0)"),0.0)</f>
        <v>0</v>
      </c>
      <c r="R1314" s="9">
        <f>IFERROR(__xludf.DUMMYFUNCTION("AVERAGE(INDEX(GOOGLEFINANCE(A1314, ""price"", TODAY()-30, TODAY()), 0, 2))"),63.06043478260868)</f>
        <v>63.06043478</v>
      </c>
      <c r="S1314" s="9">
        <f>IFERROR(__xludf.DUMMYFUNCTION("AVERAGE(INDEX(GOOGLEFINANCE(A1314, ""price"", TODAY()-75, TODAY()), 0, 2))"),64.99660377358491)</f>
        <v>64.99660377</v>
      </c>
      <c r="T1314" s="9">
        <f>IFERROR(__xludf.DUMMYFUNCTION("AVERAGE(INDEX(GOOGLEFINANCE(A1314, ""price"", TODAY()-300, TODAY()), 0, 2))"),66.86509900990096)</f>
        <v>66.86509901</v>
      </c>
      <c r="U1314" s="9">
        <f t="shared" si="5"/>
        <v>0.0109349899</v>
      </c>
      <c r="V1314" s="15">
        <f>IFERROR(__xludf.DUMMYFUNCTION("LET(hist, GOOGLEFINANCE(A1314,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rs))))))"),62.92682926829263)</f>
        <v>62.92682927</v>
      </c>
      <c r="W1314" s="16" t="str">
        <f>IFERROR(__xludf.DUMMYFUNCTION("IFERROR(GOOGLEFINANCE(A1314, ""volume"") / GOOGLEFINANCE(A1314, ""volumeavg""), )"),"")</f>
        <v/>
      </c>
      <c r="X1314" s="9">
        <f>IFERROR(__xludf.DUMMYFUNCTION("B1314 * GOOGLEFINANCE(A1314, ""volume"")"),9201292.5)</f>
        <v>9201292.5</v>
      </c>
      <c r="Y1314" s="9">
        <f>IFERROR(__xludf.DUMMYFUNCTION("IFERROR(((B1314 - GOOGLEFINANCE(A1314, ""priceopen"")) / GOOGLEFINANCE(A1314, ""priceopen"")) * GOOGLEFINANCE(A1314, ""volume""), 0)"),-338.81220657276674)</f>
        <v>-338.8122066</v>
      </c>
    </row>
    <row r="1315">
      <c r="A1315" s="4" t="s">
        <v>3108</v>
      </c>
      <c r="B1315" s="7">
        <f>IFERROR(__xludf.DUMMYFUNCTION("GOOGLEFINANCE(A1315, ""price"")"),353.2)</f>
        <v>353.2</v>
      </c>
      <c r="C1315" s="7">
        <f>IFERROR(__xludf.DUMMYFUNCTION("GOOGLEFINANCE(A1315, ""changepct"")"),-1.04)</f>
        <v>-1.04</v>
      </c>
      <c r="D1315" s="9">
        <f>IFERROR(__xludf.DUMMYFUNCTION("GOOGLEFINANCE(A1315, ""priceopen"")"),351.2)</f>
        <v>351.2</v>
      </c>
      <c r="E1315" s="9">
        <f>IFERROR(__xludf.DUMMYFUNCTION("GOOGLEFINANCE(A1315, ""high"")"),364.1)</f>
        <v>364.1</v>
      </c>
      <c r="F1315" s="9">
        <f>IFERROR(__xludf.DUMMYFUNCTION("GOOGLEFINANCE(A1315, ""low"")"),348.8)</f>
        <v>348.8</v>
      </c>
      <c r="G1315" s="9">
        <f>IFERROR(__xludf.DUMMYFUNCTION("GOOGLEFINANCE(A1315, ""price"")"),353.2)</f>
        <v>353.2</v>
      </c>
      <c r="H1315" s="9">
        <f>IFERROR(__xludf.DUMMYFUNCTION("MAX(INDEX(GOOGLEFINANCE(A1315, ""high"", TODAY()-30, TODAY()), 0, 2))"),443.2)</f>
        <v>443.2</v>
      </c>
      <c r="I1315" s="9">
        <f>IFERROR(__xludf.DUMMYFUNCTION("MIN(INDEX(GOOGLEFINANCE(A1315, ""low"", TODAY()-30, TODAY()), 0, 2))"),338.8)</f>
        <v>338.8</v>
      </c>
      <c r="J1315" s="9">
        <f>IFERROR(__xludf.DUMMYFUNCTION("GOOGLEFINANCE(A1315, ""high52"")"),502.4)</f>
        <v>502.4</v>
      </c>
      <c r="K1315" s="9">
        <f>IFERROR(__xludf.DUMMYFUNCTION("GOOGLEFINANCE(A1315, ""low52"")"),248.55)</f>
        <v>248.55</v>
      </c>
      <c r="L1315" s="9">
        <f t="shared" si="1"/>
        <v>0.2969745223</v>
      </c>
      <c r="M1315" s="9">
        <f t="shared" si="2"/>
        <v>0.4210420439</v>
      </c>
      <c r="N1315" s="9">
        <f t="shared" si="3"/>
        <v>0.0438646789</v>
      </c>
      <c r="O1315" s="9">
        <f t="shared" si="4"/>
        <v>0.1379310345</v>
      </c>
      <c r="P1315" s="9" t="str">
        <f>IFERROR(__xludf.DUMMYFUNCTION("GOOGLEFINANCE(A1315, ""pe"")"),"#N/A")</f>
        <v>#N/A</v>
      </c>
      <c r="Q1315" s="9">
        <f>IFERROR(__xludf.DUMMYFUNCTION("IFERROR(GOOGLEFINANCE(A1315, ""volume"") / GOOGLEFINANCE(A1315, ""volumeavg""), 0)"),0.0)</f>
        <v>0</v>
      </c>
      <c r="R1315" s="9">
        <f>IFERROR(__xludf.DUMMYFUNCTION("AVERAGE(INDEX(GOOGLEFINANCE(A1315, ""price"", TODAY()-30, TODAY()), 0, 2))"),377.0630434782608)</f>
        <v>377.0630435</v>
      </c>
      <c r="S1315" s="9">
        <f>IFERROR(__xludf.DUMMYFUNCTION("AVERAGE(INDEX(GOOGLEFINANCE(A1315, ""price"", TODAY()-75, TODAY()), 0, 2))"),386.4377358490567)</f>
        <v>386.4377358</v>
      </c>
      <c r="T1315" s="9">
        <f>IFERROR(__xludf.DUMMYFUNCTION("AVERAGE(INDEX(GOOGLEFINANCE(A1315, ""price"", TODAY()-300, TODAY()), 0, 2))"),327.860396039604)</f>
        <v>327.860396</v>
      </c>
      <c r="U1315" s="9">
        <f t="shared" si="5"/>
        <v>-0.06328661451</v>
      </c>
      <c r="V1315" s="15">
        <f>IFERROR(__xludf.DUMMYFUNCTION("LET(hist, GOOGLEFINANCE(A1315,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rs))))))"),40.899280575539564)</f>
        <v>40.89928058</v>
      </c>
      <c r="W1315" s="16" t="str">
        <f>IFERROR(__xludf.DUMMYFUNCTION("IFERROR(GOOGLEFINANCE(A1315, ""volume"") / GOOGLEFINANCE(A1315, ""volumeavg""), )"),"")</f>
        <v/>
      </c>
      <c r="X1315" s="9">
        <f>IFERROR(__xludf.DUMMYFUNCTION("B1315 * GOOGLEFINANCE(A1315, ""volume"")"),1.121371148E8)</f>
        <v>112137114.8</v>
      </c>
      <c r="Y1315" s="9">
        <f>IFERROR(__xludf.DUMMYFUNCTION("IFERROR(((B1315 - GOOGLEFINANCE(A1315, ""priceopen"")) / GOOGLEFINANCE(A1315, ""priceopen"")) * GOOGLEFINANCE(A1315, ""volume""), 0)"),1808.0239179954442)</f>
        <v>1808.023918</v>
      </c>
    </row>
    <row r="1316">
      <c r="A1316" s="4" t="s">
        <v>3109</v>
      </c>
      <c r="B1316" s="7">
        <f>IFERROR(__xludf.DUMMYFUNCTION("GOOGLEFINANCE(A1316, ""price"")"),494.8)</f>
        <v>494.8</v>
      </c>
      <c r="C1316" s="7">
        <f>IFERROR(__xludf.DUMMYFUNCTION("GOOGLEFINANCE(A1316, ""changepct"")"),-2.73)</f>
        <v>-2.73</v>
      </c>
      <c r="D1316" s="9">
        <f>IFERROR(__xludf.DUMMYFUNCTION("GOOGLEFINANCE(A1316, ""priceopen"")"),505.0)</f>
        <v>505</v>
      </c>
      <c r="E1316" s="9">
        <f>IFERROR(__xludf.DUMMYFUNCTION("GOOGLEFINANCE(A1316, ""high"")"),516.85)</f>
        <v>516.85</v>
      </c>
      <c r="F1316" s="9">
        <f>IFERROR(__xludf.DUMMYFUNCTION("GOOGLEFINANCE(A1316, ""low"")"),488.8)</f>
        <v>488.8</v>
      </c>
      <c r="G1316" s="9">
        <f>IFERROR(__xludf.DUMMYFUNCTION("GOOGLEFINANCE(A1316, ""price"")"),494.8)</f>
        <v>494.8</v>
      </c>
      <c r="H1316" s="9">
        <f>IFERROR(__xludf.DUMMYFUNCTION("MAX(INDEX(GOOGLEFINANCE(A1316, ""high"", TODAY()-30, TODAY()), 0, 2))"),523.8)</f>
        <v>523.8</v>
      </c>
      <c r="I1316" s="9">
        <f>IFERROR(__xludf.DUMMYFUNCTION("MIN(INDEX(GOOGLEFINANCE(A1316, ""low"", TODAY()-30, TODAY()), 0, 2))"),285.0)</f>
        <v>285</v>
      </c>
      <c r="J1316" s="9">
        <f>IFERROR(__xludf.DUMMYFUNCTION("GOOGLEFINANCE(A1316, ""high52"")"),523.8)</f>
        <v>523.8</v>
      </c>
      <c r="K1316" s="9">
        <f>IFERROR(__xludf.DUMMYFUNCTION("GOOGLEFINANCE(A1316, ""low52"")"),180.0)</f>
        <v>180</v>
      </c>
      <c r="L1316" s="9">
        <f t="shared" si="1"/>
        <v>0.05536464299</v>
      </c>
      <c r="M1316" s="9">
        <f t="shared" si="2"/>
        <v>1.748888889</v>
      </c>
      <c r="N1316" s="9">
        <f t="shared" si="3"/>
        <v>0.05738543372</v>
      </c>
      <c r="O1316" s="9">
        <f t="shared" si="4"/>
        <v>0.878559464</v>
      </c>
      <c r="P1316" s="9">
        <f>IFERROR(__xludf.DUMMYFUNCTION("GOOGLEFINANCE(A1316, ""pe"")"),3677.44)</f>
        <v>3677.44</v>
      </c>
      <c r="Q1316" s="9">
        <f>IFERROR(__xludf.DUMMYFUNCTION("IFERROR(GOOGLEFINANCE(A1316, ""volume"") / GOOGLEFINANCE(A1316, ""volumeavg""), 0)"),0.0)</f>
        <v>0</v>
      </c>
      <c r="R1316" s="9">
        <f>IFERROR(__xludf.DUMMYFUNCTION("AVERAGE(INDEX(GOOGLEFINANCE(A1316, ""price"", TODAY()-30, TODAY()), 0, 2))"),394.7217391304348)</f>
        <v>394.7217391</v>
      </c>
      <c r="S1316" s="9">
        <f>IFERROR(__xludf.DUMMYFUNCTION("AVERAGE(INDEX(GOOGLEFINANCE(A1316, ""price"", TODAY()-75, TODAY()), 0, 2))"),313.3509433962264)</f>
        <v>313.3509434</v>
      </c>
      <c r="T1316" s="9">
        <f>IFERROR(__xludf.DUMMYFUNCTION("AVERAGE(INDEX(GOOGLEFINANCE(A1316, ""price"", TODAY()-300, TODAY()), 0, 2))"),252.2448019801981)</f>
        <v>252.244802</v>
      </c>
      <c r="U1316" s="9">
        <f t="shared" si="5"/>
        <v>0.2535412949</v>
      </c>
      <c r="V1316" s="15">
        <f>IFERROR(__xludf.DUMMYFUNCTION("LET(hist, GOOGLEFINANCE(A1316,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rs))))))"),72.12736502076602)</f>
        <v>72.12736502</v>
      </c>
      <c r="W1316" s="16" t="str">
        <f>IFERROR(__xludf.DUMMYFUNCTION("IFERROR(GOOGLEFINANCE(A1316, ""volume"") / GOOGLEFINANCE(A1316, ""volumeavg""), )"),"")</f>
        <v/>
      </c>
      <c r="X1316" s="9">
        <f>IFERROR(__xludf.DUMMYFUNCTION("B1316 * GOOGLEFINANCE(A1316, ""volume"")"),8.44465264E7)</f>
        <v>84446526.4</v>
      </c>
      <c r="Y1316" s="9">
        <f>IFERROR(__xludf.DUMMYFUNCTION("IFERROR(((B1316 - GOOGLEFINANCE(A1316, ""priceopen"")) / GOOGLEFINANCE(A1316, ""priceopen"")) * GOOGLEFINANCE(A1316, ""volume""), 0)"),-3447.1556435643524)</f>
        <v>-3447.155644</v>
      </c>
    </row>
    <row r="1317">
      <c r="A1317" s="4" t="s">
        <v>3110</v>
      </c>
      <c r="B1317" s="7">
        <f>IFERROR(__xludf.DUMMYFUNCTION("GOOGLEFINANCE(A1317, ""price"")"),251.65)</f>
        <v>251.65</v>
      </c>
      <c r="C1317" s="7">
        <f>IFERROR(__xludf.DUMMYFUNCTION("GOOGLEFINANCE(A1317, ""changepct"")"),-5.66)</f>
        <v>-5.66</v>
      </c>
      <c r="D1317" s="9">
        <f>IFERROR(__xludf.DUMMYFUNCTION("GOOGLEFINANCE(A1317, ""priceopen"")"),267.9)</f>
        <v>267.9</v>
      </c>
      <c r="E1317" s="9">
        <f>IFERROR(__xludf.DUMMYFUNCTION("GOOGLEFINANCE(A1317, ""high"")"),268.95)</f>
        <v>268.95</v>
      </c>
      <c r="F1317" s="9">
        <f>IFERROR(__xludf.DUMMYFUNCTION("GOOGLEFINANCE(A1317, ""low"")"),250.0)</f>
        <v>250</v>
      </c>
      <c r="G1317" s="9">
        <f>IFERROR(__xludf.DUMMYFUNCTION("GOOGLEFINANCE(A1317, ""price"")"),251.65)</f>
        <v>251.65</v>
      </c>
      <c r="H1317" s="9">
        <f>IFERROR(__xludf.DUMMYFUNCTION("MAX(INDEX(GOOGLEFINANCE(A1317, ""high"", TODAY()-30, TODAY()), 0, 2))"),340.0)</f>
        <v>340</v>
      </c>
      <c r="I1317" s="9">
        <f>IFERROR(__xludf.DUMMYFUNCTION("MIN(INDEX(GOOGLEFINANCE(A1317, ""low"", TODAY()-30, TODAY()), 0, 2))"),250.0)</f>
        <v>250</v>
      </c>
      <c r="J1317" s="9">
        <f>IFERROR(__xludf.DUMMYFUNCTION("GOOGLEFINANCE(A1317, ""high52"")"),526.4)</f>
        <v>526.4</v>
      </c>
      <c r="K1317" s="9">
        <f>IFERROR(__xludf.DUMMYFUNCTION("GOOGLEFINANCE(A1317, ""low52"")"),250.0)</f>
        <v>250</v>
      </c>
      <c r="L1317" s="9">
        <f t="shared" si="1"/>
        <v>0.5219414894</v>
      </c>
      <c r="M1317" s="9">
        <f t="shared" si="2"/>
        <v>0.0066</v>
      </c>
      <c r="N1317" s="9">
        <f t="shared" si="3"/>
        <v>0.0758</v>
      </c>
      <c r="O1317" s="9">
        <f t="shared" si="4"/>
        <v>0.01833333333</v>
      </c>
      <c r="P1317" s="9">
        <f>IFERROR(__xludf.DUMMYFUNCTION("GOOGLEFINANCE(A1317, ""pe"")"),17.99)</f>
        <v>17.99</v>
      </c>
      <c r="Q1317" s="9">
        <f>IFERROR(__xludf.DUMMYFUNCTION("IFERROR(GOOGLEFINANCE(A1317, ""volume"") / GOOGLEFINANCE(A1317, ""volumeavg""), 0)"),0.0)</f>
        <v>0</v>
      </c>
      <c r="R1317" s="9">
        <f>IFERROR(__xludf.DUMMYFUNCTION("AVERAGE(INDEX(GOOGLEFINANCE(A1317, ""price"", TODAY()-30, TODAY()), 0, 2))"),284.0934782608695)</f>
        <v>284.0934783</v>
      </c>
      <c r="S1317" s="9">
        <f>IFERROR(__xludf.DUMMYFUNCTION("AVERAGE(INDEX(GOOGLEFINANCE(A1317, ""price"", TODAY()-75, TODAY()), 0, 2))"),318.9009433962264)</f>
        <v>318.9009434</v>
      </c>
      <c r="T1317" s="9">
        <f>IFERROR(__xludf.DUMMYFUNCTION("AVERAGE(INDEX(GOOGLEFINANCE(A1317, ""price"", TODAY()-300, TODAY()), 0, 2))"),352.2840707964602)</f>
        <v>352.2840708</v>
      </c>
      <c r="U1317" s="9">
        <f t="shared" si="5"/>
        <v>-0.1142000107</v>
      </c>
      <c r="V1317" s="15">
        <f>IFERROR(__xludf.DUMMYFUNCTION("LET(hist, GOOGLEFINANCE(A1317,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rs))))))"),35.20140105078809)</f>
        <v>35.20140105</v>
      </c>
      <c r="W1317" s="16" t="str">
        <f>IFERROR(__xludf.DUMMYFUNCTION("IFERROR(GOOGLEFINANCE(A1317, ""volume"") / GOOGLEFINANCE(A1317, ""volumeavg""), )"),"")</f>
        <v/>
      </c>
      <c r="X1317" s="9">
        <f>IFERROR(__xludf.DUMMYFUNCTION("B1317 * GOOGLEFINANCE(A1317, ""volume"")"),1.17455121E7)</f>
        <v>11745512.1</v>
      </c>
      <c r="Y1317" s="9">
        <f>IFERROR(__xludf.DUMMYFUNCTION("IFERROR(((B1317 - GOOGLEFINANCE(A1317, ""priceopen"")) / GOOGLEFINANCE(A1317, ""priceopen"")) * GOOGLEFINANCE(A1317, ""volume""), 0)"),-2831.1030235162325)</f>
        <v>-2831.103024</v>
      </c>
    </row>
    <row r="1318">
      <c r="A1318" s="4" t="s">
        <v>3111</v>
      </c>
      <c r="B1318" s="7">
        <f>IFERROR(__xludf.DUMMYFUNCTION("GOOGLEFINANCE(A1318, ""price"")"),57.45)</f>
        <v>57.45</v>
      </c>
      <c r="C1318" s="7">
        <f>IFERROR(__xludf.DUMMYFUNCTION("GOOGLEFINANCE(A1318, ""changepct"")"),0.52)</f>
        <v>0.52</v>
      </c>
      <c r="D1318" s="9">
        <f>IFERROR(__xludf.DUMMYFUNCTION("GOOGLEFINANCE(A1318, ""priceopen"")"),56.88)</f>
        <v>56.88</v>
      </c>
      <c r="E1318" s="9">
        <f>IFERROR(__xludf.DUMMYFUNCTION("GOOGLEFINANCE(A1318, ""high"")"),59.65)</f>
        <v>59.65</v>
      </c>
      <c r="F1318" s="9">
        <f>IFERROR(__xludf.DUMMYFUNCTION("GOOGLEFINANCE(A1318, ""low"")"),56.0)</f>
        <v>56</v>
      </c>
      <c r="G1318" s="9">
        <f>IFERROR(__xludf.DUMMYFUNCTION("GOOGLEFINANCE(A1318, ""price"")"),57.45)</f>
        <v>57.45</v>
      </c>
      <c r="H1318" s="9">
        <f>IFERROR(__xludf.DUMMYFUNCTION("MAX(INDEX(GOOGLEFINANCE(A1318, ""high"", TODAY()-30, TODAY()), 0, 2))"),60.3)</f>
        <v>60.3</v>
      </c>
      <c r="I1318" s="9">
        <f>IFERROR(__xludf.DUMMYFUNCTION("MIN(INDEX(GOOGLEFINANCE(A1318, ""low"", TODAY()-30, TODAY()), 0, 2))"),46.13)</f>
        <v>46.13</v>
      </c>
      <c r="J1318" s="9">
        <f>IFERROR(__xludf.DUMMYFUNCTION("GOOGLEFINANCE(A1318, ""high52"")"),88.88)</f>
        <v>88.88</v>
      </c>
      <c r="K1318" s="9">
        <f>IFERROR(__xludf.DUMMYFUNCTION("GOOGLEFINANCE(A1318, ""low52"")"),36.5)</f>
        <v>36.5</v>
      </c>
      <c r="L1318" s="9">
        <f t="shared" si="1"/>
        <v>0.3536228623</v>
      </c>
      <c r="M1318" s="9">
        <f t="shared" si="2"/>
        <v>0.5739726027</v>
      </c>
      <c r="N1318" s="9">
        <f t="shared" si="3"/>
        <v>0.06517857143</v>
      </c>
      <c r="O1318" s="9">
        <f t="shared" si="4"/>
        <v>0.7988708539</v>
      </c>
      <c r="P1318" s="9">
        <f>IFERROR(__xludf.DUMMYFUNCTION("GOOGLEFINANCE(A1318, ""pe"")"),22.67)</f>
        <v>22.67</v>
      </c>
      <c r="Q1318" s="9">
        <f>IFERROR(__xludf.DUMMYFUNCTION("IFERROR(GOOGLEFINANCE(A1318, ""volume"") / GOOGLEFINANCE(A1318, ""volumeavg""), 0)"),0.0)</f>
        <v>0</v>
      </c>
      <c r="R1318" s="9">
        <f>IFERROR(__xludf.DUMMYFUNCTION("AVERAGE(INDEX(GOOGLEFINANCE(A1318, ""price"", TODAY()-30, TODAY()), 0, 2))"),53.20826086956522)</f>
        <v>53.20826087</v>
      </c>
      <c r="S1318" s="9">
        <f>IFERROR(__xludf.DUMMYFUNCTION("AVERAGE(INDEX(GOOGLEFINANCE(A1318, ""price"", TODAY()-75, TODAY()), 0, 2))"),50.494716981132086)</f>
        <v>50.49471698</v>
      </c>
      <c r="T1318" s="9">
        <f>IFERROR(__xludf.DUMMYFUNCTION("AVERAGE(INDEX(GOOGLEFINANCE(A1318, ""price"", TODAY()-300, TODAY()), 0, 2))"),56.51400990099012)</f>
        <v>56.5140099</v>
      </c>
      <c r="U1318" s="9">
        <f t="shared" si="5"/>
        <v>0.07971955973</v>
      </c>
      <c r="V1318" s="15">
        <f>IFERROR(__xludf.DUMMYFUNCTION("LET(hist, GOOGLEFINANCE(A1318,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rs))))))"),54.958413307741516)</f>
        <v>54.95841331</v>
      </c>
      <c r="W1318" s="16" t="str">
        <f>IFERROR(__xludf.DUMMYFUNCTION("IFERROR(GOOGLEFINANCE(A1318, ""volume"") / GOOGLEFINANCE(A1318, ""volumeavg""), )"),"")</f>
        <v/>
      </c>
      <c r="X1318" s="9">
        <f>IFERROR(__xludf.DUMMYFUNCTION("B1318 * GOOGLEFINANCE(A1318, ""volume"")"),1.3030964115E8)</f>
        <v>130309641.2</v>
      </c>
      <c r="Y1318" s="9">
        <f>IFERROR(__xludf.DUMMYFUNCTION("IFERROR(((B1318 - GOOGLEFINANCE(A1318, ""priceopen"")) / GOOGLEFINANCE(A1318, ""priceopen"")) * GOOGLEFINANCE(A1318, ""volume""), 0)"),22730.12289029537)</f>
        <v>22730.12289</v>
      </c>
    </row>
    <row r="1319">
      <c r="A1319" s="4" t="s">
        <v>3112</v>
      </c>
      <c r="B1319" s="7">
        <f>IFERROR(__xludf.DUMMYFUNCTION("GOOGLEFINANCE(A1319, ""price"")"),85.19)</f>
        <v>85.19</v>
      </c>
      <c r="C1319" s="7">
        <f>IFERROR(__xludf.DUMMYFUNCTION("GOOGLEFINANCE(A1319, ""changepct"")"),-1.62)</f>
        <v>-1.62</v>
      </c>
      <c r="D1319" s="9">
        <f>IFERROR(__xludf.DUMMYFUNCTION("GOOGLEFINANCE(A1319, ""priceopen"")"),86.59)</f>
        <v>86.59</v>
      </c>
      <c r="E1319" s="9">
        <f>IFERROR(__xludf.DUMMYFUNCTION("GOOGLEFINANCE(A1319, ""high"")"),87.07)</f>
        <v>87.07</v>
      </c>
      <c r="F1319" s="9">
        <f>IFERROR(__xludf.DUMMYFUNCTION("GOOGLEFINANCE(A1319, ""low"")"),84.82)</f>
        <v>84.82</v>
      </c>
      <c r="G1319" s="9">
        <f>IFERROR(__xludf.DUMMYFUNCTION("GOOGLEFINANCE(A1319, ""price"")"),85.19)</f>
        <v>85.19</v>
      </c>
      <c r="H1319" s="9">
        <f>IFERROR(__xludf.DUMMYFUNCTION("MAX(INDEX(GOOGLEFINANCE(A1319, ""high"", TODAY()-30, TODAY()), 0, 2))"),102.5)</f>
        <v>102.5</v>
      </c>
      <c r="I1319" s="9">
        <f>IFERROR(__xludf.DUMMYFUNCTION("MIN(INDEX(GOOGLEFINANCE(A1319, ""low"", TODAY()-30, TODAY()), 0, 2))"),84.82)</f>
        <v>84.82</v>
      </c>
      <c r="J1319" s="9">
        <f>IFERROR(__xludf.DUMMYFUNCTION("GOOGLEFINANCE(A1319, ""high52"")"),223.03)</f>
        <v>223.03</v>
      </c>
      <c r="K1319" s="9">
        <f>IFERROR(__xludf.DUMMYFUNCTION("GOOGLEFINANCE(A1319, ""low52"")"),84.82)</f>
        <v>84.82</v>
      </c>
      <c r="L1319" s="9">
        <f t="shared" si="1"/>
        <v>0.6180334484</v>
      </c>
      <c r="M1319" s="9">
        <f t="shared" si="2"/>
        <v>0.004362178731</v>
      </c>
      <c r="N1319" s="9">
        <f t="shared" si="3"/>
        <v>0.02652676256</v>
      </c>
      <c r="O1319" s="9">
        <f t="shared" si="4"/>
        <v>0.02092760181</v>
      </c>
      <c r="P1319" s="9">
        <f>IFERROR(__xludf.DUMMYFUNCTION("GOOGLEFINANCE(A1319, ""pe"")"),9.2)</f>
        <v>9.2</v>
      </c>
      <c r="Q1319" s="9">
        <f>IFERROR(__xludf.DUMMYFUNCTION("IFERROR(GOOGLEFINANCE(A1319, ""volume"") / GOOGLEFINANCE(A1319, ""volumeavg""), 0)"),0.0)</f>
        <v>0</v>
      </c>
      <c r="R1319" s="9">
        <f>IFERROR(__xludf.DUMMYFUNCTION("AVERAGE(INDEX(GOOGLEFINANCE(A1319, ""price"", TODAY()-30, TODAY()), 0, 2))"),90.15695652173913)</f>
        <v>90.15695652</v>
      </c>
      <c r="S1319" s="9">
        <f>IFERROR(__xludf.DUMMYFUNCTION("AVERAGE(INDEX(GOOGLEFINANCE(A1319, ""price"", TODAY()-75, TODAY()), 0, 2))"),99.31830188679245)</f>
        <v>99.31830189</v>
      </c>
      <c r="T1319" s="9">
        <f>IFERROR(__xludf.DUMMYFUNCTION("AVERAGE(INDEX(GOOGLEFINANCE(A1319, ""price"", TODAY()-300, TODAY()), 0, 2))"),121.77442786069648)</f>
        <v>121.7744279</v>
      </c>
      <c r="U1319" s="9">
        <f t="shared" si="5"/>
        <v>-0.05509232691</v>
      </c>
      <c r="V1319" s="15">
        <f>IFERROR(__xludf.DUMMYFUNCTION("LET(hist, GOOGLEFINANCE(A1319,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rs))))))"),35.368043087971216)</f>
        <v>35.36804309</v>
      </c>
      <c r="W1319" s="16" t="str">
        <f>IFERROR(__xludf.DUMMYFUNCTION("IFERROR(GOOGLEFINANCE(A1319, ""volume"") / GOOGLEFINANCE(A1319, ""volumeavg""), )"),"")</f>
        <v/>
      </c>
      <c r="X1319" s="9">
        <f>IFERROR(__xludf.DUMMYFUNCTION("B1319 * GOOGLEFINANCE(A1319, ""volume"")"),5.426185569E7)</f>
        <v>54261855.69</v>
      </c>
      <c r="Y1319" s="9">
        <f>IFERROR(__xludf.DUMMYFUNCTION("IFERROR(((B1319 - GOOGLEFINANCE(A1319, ""priceopen"")) / GOOGLEFINANCE(A1319, ""priceopen"")) * GOOGLEFINANCE(A1319, ""volume""), 0)"),-10298.318512530355)</f>
        <v>-10298.31851</v>
      </c>
    </row>
    <row r="1320">
      <c r="A1320" s="4" t="s">
        <v>3113</v>
      </c>
      <c r="B1320" s="7">
        <f>IFERROR(__xludf.DUMMYFUNCTION("GOOGLEFINANCE(A1320, ""price"")"),45.92)</f>
        <v>45.92</v>
      </c>
      <c r="C1320" s="7">
        <f>IFERROR(__xludf.DUMMYFUNCTION("GOOGLEFINANCE(A1320, ""changepct"")"),-1.5)</f>
        <v>-1.5</v>
      </c>
      <c r="D1320" s="9">
        <f>IFERROR(__xludf.DUMMYFUNCTION("GOOGLEFINANCE(A1320, ""priceopen"")"),46.7)</f>
        <v>46.7</v>
      </c>
      <c r="E1320" s="9">
        <f>IFERROR(__xludf.DUMMYFUNCTION("GOOGLEFINANCE(A1320, ""high"")"),46.8)</f>
        <v>46.8</v>
      </c>
      <c r="F1320" s="9">
        <f>IFERROR(__xludf.DUMMYFUNCTION("GOOGLEFINANCE(A1320, ""low"")"),45.88)</f>
        <v>45.88</v>
      </c>
      <c r="G1320" s="9">
        <f>IFERROR(__xludf.DUMMYFUNCTION("GOOGLEFINANCE(A1320, ""price"")"),45.92)</f>
        <v>45.92</v>
      </c>
      <c r="H1320" s="9">
        <f>IFERROR(__xludf.DUMMYFUNCTION("MAX(INDEX(GOOGLEFINANCE(A1320, ""high"", TODAY()-30, TODAY()), 0, 2))"),49.64)</f>
        <v>49.64</v>
      </c>
      <c r="I1320" s="9">
        <f>IFERROR(__xludf.DUMMYFUNCTION("MIN(INDEX(GOOGLEFINANCE(A1320, ""low"", TODAY()-30, TODAY()), 0, 2))"),44.7)</f>
        <v>44.7</v>
      </c>
      <c r="J1320" s="9">
        <f>IFERROR(__xludf.DUMMYFUNCTION("GOOGLEFINANCE(A1320, ""high52"")"),81.31)</f>
        <v>81.31</v>
      </c>
      <c r="K1320" s="9">
        <f>IFERROR(__xludf.DUMMYFUNCTION("GOOGLEFINANCE(A1320, ""low52"")"),37.11)</f>
        <v>37.11</v>
      </c>
      <c r="L1320" s="9">
        <f t="shared" si="1"/>
        <v>0.435247817</v>
      </c>
      <c r="M1320" s="9">
        <f t="shared" si="2"/>
        <v>0.2374023174</v>
      </c>
      <c r="N1320" s="9">
        <f t="shared" si="3"/>
        <v>0.02005231037</v>
      </c>
      <c r="O1320" s="9">
        <f t="shared" si="4"/>
        <v>0.2469635628</v>
      </c>
      <c r="P1320" s="9">
        <f>IFERROR(__xludf.DUMMYFUNCTION("GOOGLEFINANCE(A1320, ""pe"")"),28.17)</f>
        <v>28.17</v>
      </c>
      <c r="Q1320" s="9">
        <f>IFERROR(__xludf.DUMMYFUNCTION("IFERROR(GOOGLEFINANCE(A1320, ""volume"") / GOOGLEFINANCE(A1320, ""volumeavg""), 0)"),0.0)</f>
        <v>0</v>
      </c>
      <c r="R1320" s="9">
        <f>IFERROR(__xludf.DUMMYFUNCTION("AVERAGE(INDEX(GOOGLEFINANCE(A1320, ""price"", TODAY()-30, TODAY()), 0, 2))"),46.681739130434785)</f>
        <v>46.68173913</v>
      </c>
      <c r="S1320" s="9">
        <f>IFERROR(__xludf.DUMMYFUNCTION("AVERAGE(INDEX(GOOGLEFINANCE(A1320, ""price"", TODAY()-75, TODAY()), 0, 2))"),47.46245283018868)</f>
        <v>47.46245283</v>
      </c>
      <c r="T1320" s="9">
        <f>IFERROR(__xludf.DUMMYFUNCTION("AVERAGE(INDEX(GOOGLEFINANCE(A1320, ""price"", TODAY()-300, TODAY()), 0, 2))"),51.28198019801981)</f>
        <v>51.2819802</v>
      </c>
      <c r="U1320" s="9">
        <f t="shared" si="5"/>
        <v>-0.01631771105</v>
      </c>
      <c r="V1320" s="15">
        <f>IFERROR(__xludf.DUMMYFUNCTION("LET(hist, GOOGLEFINANCE(A1320,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rs))))))"),52.04216073781293)</f>
        <v>52.04216074</v>
      </c>
      <c r="W1320" s="16" t="str">
        <f>IFERROR(__xludf.DUMMYFUNCTION("IFERROR(GOOGLEFINANCE(A1320, ""volume"") / GOOGLEFINANCE(A1320, ""volumeavg""), )"),"")</f>
        <v/>
      </c>
      <c r="X1320" s="9">
        <f>IFERROR(__xludf.DUMMYFUNCTION("B1320 * GOOGLEFINANCE(A1320, ""volume"")"),2.9572434080000002E7)</f>
        <v>29572434.08</v>
      </c>
      <c r="Y1320" s="9">
        <f>IFERROR(__xludf.DUMMYFUNCTION("IFERROR(((B1320 - GOOGLEFINANCE(A1320, ""priceopen"")) / GOOGLEFINANCE(A1320, ""priceopen"")) * GOOGLEFINANCE(A1320, ""volume""), 0)"),-10756.300214132776)</f>
        <v>-10756.30021</v>
      </c>
    </row>
    <row r="1321">
      <c r="A1321" s="4" t="s">
        <v>3114</v>
      </c>
      <c r="B1321" s="7">
        <f>IFERROR(__xludf.DUMMYFUNCTION("GOOGLEFINANCE(A1321, ""price"")"),209.8)</f>
        <v>209.8</v>
      </c>
      <c r="C1321" s="7">
        <f>IFERROR(__xludf.DUMMYFUNCTION("GOOGLEFINANCE(A1321, ""changepct"")"),0.73)</f>
        <v>0.73</v>
      </c>
      <c r="D1321" s="9">
        <f>IFERROR(__xludf.DUMMYFUNCTION("GOOGLEFINANCE(A1321, ""priceopen"")"),208.0)</f>
        <v>208</v>
      </c>
      <c r="E1321" s="9">
        <f>IFERROR(__xludf.DUMMYFUNCTION("GOOGLEFINANCE(A1321, ""high"")"),211.0)</f>
        <v>211</v>
      </c>
      <c r="F1321" s="9">
        <f>IFERROR(__xludf.DUMMYFUNCTION("GOOGLEFINANCE(A1321, ""low"")"),201.61)</f>
        <v>201.61</v>
      </c>
      <c r="G1321" s="9">
        <f>IFERROR(__xludf.DUMMYFUNCTION("GOOGLEFINANCE(A1321, ""price"")"),209.8)</f>
        <v>209.8</v>
      </c>
      <c r="H1321" s="9">
        <f>IFERROR(__xludf.DUMMYFUNCTION("MAX(INDEX(GOOGLEFINANCE(A1321, ""high"", TODAY()-30, TODAY()), 0, 2))"),213.9)</f>
        <v>213.9</v>
      </c>
      <c r="I1321" s="9">
        <f>IFERROR(__xludf.DUMMYFUNCTION("MIN(INDEX(GOOGLEFINANCE(A1321, ""low"", TODAY()-30, TODAY()), 0, 2))"),190.0)</f>
        <v>190</v>
      </c>
      <c r="J1321" s="9">
        <f>IFERROR(__xludf.DUMMYFUNCTION("GOOGLEFINANCE(A1321, ""high52"")"),266.2)</f>
        <v>266.2</v>
      </c>
      <c r="K1321" s="9">
        <f>IFERROR(__xludf.DUMMYFUNCTION("GOOGLEFINANCE(A1321, ""low52"")"),125.1)</f>
        <v>125.1</v>
      </c>
      <c r="L1321" s="9">
        <f t="shared" si="1"/>
        <v>0.2118707739</v>
      </c>
      <c r="M1321" s="9">
        <f t="shared" si="2"/>
        <v>0.6770583533</v>
      </c>
      <c r="N1321" s="9">
        <f t="shared" si="3"/>
        <v>0.04657507068</v>
      </c>
      <c r="O1321" s="9">
        <f t="shared" si="4"/>
        <v>0.8284518828</v>
      </c>
      <c r="P1321" s="9">
        <f>IFERROR(__xludf.DUMMYFUNCTION("GOOGLEFINANCE(A1321, ""pe"")"),16.19)</f>
        <v>16.19</v>
      </c>
      <c r="Q1321" s="9">
        <f>IFERROR(__xludf.DUMMYFUNCTION("IFERROR(GOOGLEFINANCE(A1321, ""volume"") / GOOGLEFINANCE(A1321, ""volumeavg""), 0)"),0.0)</f>
        <v>0</v>
      </c>
      <c r="R1321" s="9">
        <f>IFERROR(__xludf.DUMMYFUNCTION("AVERAGE(INDEX(GOOGLEFINANCE(A1321, ""price"", TODAY()-30, TODAY()), 0, 2))"),202.11000000000004)</f>
        <v>202.11</v>
      </c>
      <c r="S1321" s="9">
        <f>IFERROR(__xludf.DUMMYFUNCTION("AVERAGE(INDEX(GOOGLEFINANCE(A1321, ""price"", TODAY()-75, TODAY()), 0, 2))"),192.02188679245282)</f>
        <v>192.0218868</v>
      </c>
      <c r="T1321" s="9">
        <f>IFERROR(__xludf.DUMMYFUNCTION("AVERAGE(INDEX(GOOGLEFINANCE(A1321, ""price"", TODAY()-300, TODAY()), 0, 2))"),177.80881188118806)</f>
        <v>177.8088119</v>
      </c>
      <c r="U1321" s="9">
        <f t="shared" si="5"/>
        <v>0.0380485874</v>
      </c>
      <c r="V1321" s="15">
        <f>IFERROR(__xludf.DUMMYFUNCTION("LET(hist, GOOGLEFINANCE(A1321,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rs))))))"),51.94647201946474)</f>
        <v>51.94647202</v>
      </c>
      <c r="W1321" s="16" t="str">
        <f>IFERROR(__xludf.DUMMYFUNCTION("IFERROR(GOOGLEFINANCE(A1321, ""volume"") / GOOGLEFINANCE(A1321, ""volumeavg""), )"),"")</f>
        <v/>
      </c>
      <c r="X1321" s="9">
        <f>IFERROR(__xludf.DUMMYFUNCTION("B1321 * GOOGLEFINANCE(A1321, ""volume"")"),1.065152502E8)</f>
        <v>106515250.2</v>
      </c>
      <c r="Y1321" s="9">
        <f>IFERROR(__xludf.DUMMYFUNCTION("IFERROR(((B1321 - GOOGLEFINANCE(A1321, ""priceopen"")) / GOOGLEFINANCE(A1321, ""priceopen"")) * GOOGLEFINANCE(A1321, ""volume""), 0)"),4393.549038461566)</f>
        <v>4393.549038</v>
      </c>
    </row>
    <row r="1322">
      <c r="A1322" s="4" t="s">
        <v>3115</v>
      </c>
      <c r="B1322" s="7">
        <f>IFERROR(__xludf.DUMMYFUNCTION("GOOGLEFINANCE(A1322, ""price"")"),629.5)</f>
        <v>629.5</v>
      </c>
      <c r="C1322" s="7">
        <f>IFERROR(__xludf.DUMMYFUNCTION("GOOGLEFINANCE(A1322, ""changepct"")"),12.33)</f>
        <v>12.33</v>
      </c>
      <c r="D1322" s="9">
        <f>IFERROR(__xludf.DUMMYFUNCTION("GOOGLEFINANCE(A1322, ""priceopen"")"),558.0)</f>
        <v>558</v>
      </c>
      <c r="E1322" s="9">
        <f>IFERROR(__xludf.DUMMYFUNCTION("GOOGLEFINANCE(A1322, ""high"")"),644.0)</f>
        <v>644</v>
      </c>
      <c r="F1322" s="9">
        <f>IFERROR(__xludf.DUMMYFUNCTION("GOOGLEFINANCE(A1322, ""low"")"),548.25)</f>
        <v>548.25</v>
      </c>
      <c r="G1322" s="9">
        <f>IFERROR(__xludf.DUMMYFUNCTION("GOOGLEFINANCE(A1322, ""price"")"),629.5)</f>
        <v>629.5</v>
      </c>
      <c r="H1322" s="9">
        <f>IFERROR(__xludf.DUMMYFUNCTION("MAX(INDEX(GOOGLEFINANCE(A1322, ""high"", TODAY()-30, TODAY()), 0, 2))"),644.0)</f>
        <v>644</v>
      </c>
      <c r="I1322" s="9">
        <f>IFERROR(__xludf.DUMMYFUNCTION("MIN(INDEX(GOOGLEFINANCE(A1322, ""low"", TODAY()-30, TODAY()), 0, 2))"),391.85)</f>
        <v>391.85</v>
      </c>
      <c r="J1322" s="9">
        <f>IFERROR(__xludf.DUMMYFUNCTION("GOOGLEFINANCE(A1322, ""high52"")"),644.0)</f>
        <v>644</v>
      </c>
      <c r="K1322" s="9">
        <f>IFERROR(__xludf.DUMMYFUNCTION("GOOGLEFINANCE(A1322, ""low52"")"),324.25)</f>
        <v>324.25</v>
      </c>
      <c r="L1322" s="9">
        <f t="shared" si="1"/>
        <v>0.02251552795</v>
      </c>
      <c r="M1322" s="9">
        <f t="shared" si="2"/>
        <v>0.9414032382</v>
      </c>
      <c r="N1322" s="9">
        <f t="shared" si="3"/>
        <v>0.1746466028</v>
      </c>
      <c r="O1322" s="9">
        <f t="shared" si="4"/>
        <v>0.9424945469</v>
      </c>
      <c r="P1322" s="9">
        <f>IFERROR(__xludf.DUMMYFUNCTION("GOOGLEFINANCE(A1322, ""pe"")"),18.87)</f>
        <v>18.87</v>
      </c>
      <c r="Q1322" s="9">
        <f>IFERROR(__xludf.DUMMYFUNCTION("IFERROR(GOOGLEFINANCE(A1322, ""volume"") / GOOGLEFINANCE(A1322, ""volumeavg""), 0)"),0.0)</f>
        <v>0</v>
      </c>
      <c r="R1322" s="9">
        <f>IFERROR(__xludf.DUMMYFUNCTION("AVERAGE(INDEX(GOOGLEFINANCE(A1322, ""price"", TODAY()-30, TODAY()), 0, 2))"),451.38260869565215)</f>
        <v>451.3826087</v>
      </c>
      <c r="S1322" s="9">
        <f>IFERROR(__xludf.DUMMYFUNCTION("AVERAGE(INDEX(GOOGLEFINANCE(A1322, ""price"", TODAY()-75, TODAY()), 0, 2))"),418.01037735849053)</f>
        <v>418.0103774</v>
      </c>
      <c r="T1322" s="9">
        <f>IFERROR(__xludf.DUMMYFUNCTION("AVERAGE(INDEX(GOOGLEFINANCE(A1322, ""price"", TODAY()-300, TODAY()), 0, 2))"),401.6229357798165)</f>
        <v>401.6229358</v>
      </c>
      <c r="U1322" s="9">
        <f t="shared" si="5"/>
        <v>0.3946040186</v>
      </c>
      <c r="V1322" s="15">
        <f>IFERROR(__xludf.DUMMYFUNCTION("LET(hist, GOOGLEFINANCE(A1322,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rs))))))"),87.41333333333334)</f>
        <v>87.41333333</v>
      </c>
      <c r="W1322" s="16" t="str">
        <f>IFERROR(__xludf.DUMMYFUNCTION("IFERROR(GOOGLEFINANCE(A1322, ""volume"") / GOOGLEFINANCE(A1322, ""volumeavg""), )"),"")</f>
        <v/>
      </c>
      <c r="X1322" s="9">
        <f>IFERROR(__xludf.DUMMYFUNCTION("B1322 * GOOGLEFINANCE(A1322, ""volume"")"),1.344871354E9)</f>
        <v>1344871354</v>
      </c>
      <c r="Y1322" s="9">
        <f>IFERROR(__xludf.DUMMYFUNCTION("IFERROR(((B1322 - GOOGLEFINANCE(A1322, ""priceopen"")) / GOOGLEFINANCE(A1322, ""priceopen"")) * GOOGLEFINANCE(A1322, ""volume""), 0)"),273751.7168458781)</f>
        <v>273751.7168</v>
      </c>
    </row>
    <row r="1323">
      <c r="A1323" s="4" t="s">
        <v>3116</v>
      </c>
      <c r="B1323" s="7">
        <f>IFERROR(__xludf.DUMMYFUNCTION("GOOGLEFINANCE(A1323, ""price"")"),67.13)</f>
        <v>67.13</v>
      </c>
      <c r="C1323" s="7">
        <f>IFERROR(__xludf.DUMMYFUNCTION("GOOGLEFINANCE(A1323, ""changepct"")"),0.39)</f>
        <v>0.39</v>
      </c>
      <c r="D1323" s="9">
        <f>IFERROR(__xludf.DUMMYFUNCTION("GOOGLEFINANCE(A1323, ""priceopen"")"),66.87)</f>
        <v>66.87</v>
      </c>
      <c r="E1323" s="9">
        <f>IFERROR(__xludf.DUMMYFUNCTION("GOOGLEFINANCE(A1323, ""high"")"),67.64)</f>
        <v>67.64</v>
      </c>
      <c r="F1323" s="9">
        <f>IFERROR(__xludf.DUMMYFUNCTION("GOOGLEFINANCE(A1323, ""low"")"),66.71)</f>
        <v>66.71</v>
      </c>
      <c r="G1323" s="9">
        <f>IFERROR(__xludf.DUMMYFUNCTION("GOOGLEFINANCE(A1323, ""price"")"),67.13)</f>
        <v>67.13</v>
      </c>
      <c r="H1323" s="9">
        <f>IFERROR(__xludf.DUMMYFUNCTION("MAX(INDEX(GOOGLEFINANCE(A1323, ""high"", TODAY()-30, TODAY()), 0, 2))"),69.0)</f>
        <v>69</v>
      </c>
      <c r="I1323" s="9">
        <f>IFERROR(__xludf.DUMMYFUNCTION("MIN(INDEX(GOOGLEFINANCE(A1323, ""low"", TODAY()-30, TODAY()), 0, 2))"),63.8)</f>
        <v>63.8</v>
      </c>
      <c r="J1323" s="9">
        <f>IFERROR(__xludf.DUMMYFUNCTION("GOOGLEFINANCE(A1323, ""high52"")"),128.2)</f>
        <v>128.2</v>
      </c>
      <c r="K1323" s="9">
        <f>IFERROR(__xludf.DUMMYFUNCTION("GOOGLEFINANCE(A1323, ""low52"")"),55.1)</f>
        <v>55.1</v>
      </c>
      <c r="L1323" s="9">
        <f t="shared" si="1"/>
        <v>0.4763650546</v>
      </c>
      <c r="M1323" s="9">
        <f t="shared" si="2"/>
        <v>0.2183303085</v>
      </c>
      <c r="N1323" s="9">
        <f t="shared" si="3"/>
        <v>0.01394093839</v>
      </c>
      <c r="O1323" s="9">
        <f t="shared" si="4"/>
        <v>0.6403846154</v>
      </c>
      <c r="P1323" s="9">
        <f>IFERROR(__xludf.DUMMYFUNCTION("GOOGLEFINANCE(A1323, ""pe"")"),6.46)</f>
        <v>6.46</v>
      </c>
      <c r="Q1323" s="9">
        <f>IFERROR(__xludf.DUMMYFUNCTION("IFERROR(GOOGLEFINANCE(A1323, ""volume"") / GOOGLEFINANCE(A1323, ""volumeavg""), 0)"),0.0)</f>
        <v>0</v>
      </c>
      <c r="R1323" s="9">
        <f>IFERROR(__xludf.DUMMYFUNCTION("AVERAGE(INDEX(GOOGLEFINANCE(A1323, ""price"", TODAY()-30, TODAY()), 0, 2))"),66.80999999999999)</f>
        <v>66.81</v>
      </c>
      <c r="S1323" s="9">
        <f>IFERROR(__xludf.DUMMYFUNCTION("AVERAGE(INDEX(GOOGLEFINANCE(A1323, ""price"", TODAY()-75, TODAY()), 0, 2))"),68.02433962264152)</f>
        <v>68.02433962</v>
      </c>
      <c r="T1323" s="9">
        <f>IFERROR(__xludf.DUMMYFUNCTION("AVERAGE(INDEX(GOOGLEFINANCE(A1323, ""price"", TODAY()-300, TODAY()), 0, 2))"),73.35306930693078)</f>
        <v>73.35306931</v>
      </c>
      <c r="U1323" s="9">
        <f t="shared" si="5"/>
        <v>0.00478970214</v>
      </c>
      <c r="V1323" s="15">
        <f>IFERROR(__xludf.DUMMYFUNCTION("LET(hist, GOOGLEFINANCE(A1323,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rs))))))"),66.35135135135133)</f>
        <v>66.35135135</v>
      </c>
      <c r="W1323" s="16" t="str">
        <f>IFERROR(__xludf.DUMMYFUNCTION("IFERROR(GOOGLEFINANCE(A1323, ""volume"") / GOOGLEFINANCE(A1323, ""volumeavg""), )"),"")</f>
        <v/>
      </c>
      <c r="X1323" s="9">
        <f>IFERROR(__xludf.DUMMYFUNCTION("B1323 * GOOGLEFINANCE(A1323, ""volume"")"),1.201855242E7)</f>
        <v>12018552.42</v>
      </c>
      <c r="Y1323" s="9">
        <f>IFERROR(__xludf.DUMMYFUNCTION("IFERROR(((B1323 - GOOGLEFINANCE(A1323, ""priceopen"")) / GOOGLEFINANCE(A1323, ""priceopen"")) * GOOGLEFINANCE(A1323, ""volume""), 0)"),696.1094661282842)</f>
        <v>696.1094661</v>
      </c>
    </row>
    <row r="1324">
      <c r="A1324" s="4" t="s">
        <v>3117</v>
      </c>
      <c r="B1324" s="7">
        <f>IFERROR(__xludf.DUMMYFUNCTION("GOOGLEFINANCE(A1324, ""price"")"),1066.0)</f>
        <v>1066</v>
      </c>
      <c r="C1324" s="7">
        <f>IFERROR(__xludf.DUMMYFUNCTION("GOOGLEFINANCE(A1324, ""changepct"")"),-2.51)</f>
        <v>-2.51</v>
      </c>
      <c r="D1324" s="9">
        <f>IFERROR(__xludf.DUMMYFUNCTION("GOOGLEFINANCE(A1324, ""priceopen"")"),1093.0)</f>
        <v>1093</v>
      </c>
      <c r="E1324" s="9">
        <f>IFERROR(__xludf.DUMMYFUNCTION("GOOGLEFINANCE(A1324, ""high"")"),1093.0)</f>
        <v>1093</v>
      </c>
      <c r="F1324" s="9">
        <f>IFERROR(__xludf.DUMMYFUNCTION("GOOGLEFINANCE(A1324, ""low"")"),1061.0)</f>
        <v>1061</v>
      </c>
      <c r="G1324" s="9">
        <f>IFERROR(__xludf.DUMMYFUNCTION("GOOGLEFINANCE(A1324, ""price"")"),1066.0)</f>
        <v>1066</v>
      </c>
      <c r="H1324" s="9">
        <f>IFERROR(__xludf.DUMMYFUNCTION("MAX(INDEX(GOOGLEFINANCE(A1324, ""high"", TODAY()-30, TODAY()), 0, 2))"),1168.0)</f>
        <v>1168</v>
      </c>
      <c r="I1324" s="9">
        <f>IFERROR(__xludf.DUMMYFUNCTION("MIN(INDEX(GOOGLEFINANCE(A1324, ""low"", TODAY()-30, TODAY()), 0, 2))"),1055.0)</f>
        <v>1055</v>
      </c>
      <c r="J1324" s="9">
        <f>IFERROR(__xludf.DUMMYFUNCTION("GOOGLEFINANCE(A1324, ""high52"")"),1238.9)</f>
        <v>1238.9</v>
      </c>
      <c r="K1324" s="9">
        <f>IFERROR(__xludf.DUMMYFUNCTION("GOOGLEFINANCE(A1324, ""low52"")"),928.0)</f>
        <v>928</v>
      </c>
      <c r="L1324" s="9">
        <f t="shared" si="1"/>
        <v>0.1395592865</v>
      </c>
      <c r="M1324" s="9">
        <f t="shared" si="2"/>
        <v>0.1487068966</v>
      </c>
      <c r="N1324" s="9">
        <f t="shared" si="3"/>
        <v>0.0301602262</v>
      </c>
      <c r="O1324" s="9">
        <f t="shared" si="4"/>
        <v>0.09734513274</v>
      </c>
      <c r="P1324" s="9">
        <f>IFERROR(__xludf.DUMMYFUNCTION("GOOGLEFINANCE(A1324, ""pe"")"),13.6)</f>
        <v>13.6</v>
      </c>
      <c r="Q1324" s="9">
        <f>IFERROR(__xludf.DUMMYFUNCTION("IFERROR(GOOGLEFINANCE(A1324, ""volume"") / GOOGLEFINANCE(A1324, ""volumeavg""), 0)"),0.0)</f>
        <v>0</v>
      </c>
      <c r="R1324" s="9">
        <f>IFERROR(__xludf.DUMMYFUNCTION("AVERAGE(INDEX(GOOGLEFINANCE(A1324, ""price"", TODAY()-30, TODAY()), 0, 2))"),1102.9217391304348)</f>
        <v>1102.921739</v>
      </c>
      <c r="S1324" s="9">
        <f>IFERROR(__xludf.DUMMYFUNCTION("AVERAGE(INDEX(GOOGLEFINANCE(A1324, ""price"", TODAY()-75, TODAY()), 0, 2))"),1098.5622641509433)</f>
        <v>1098.562264</v>
      </c>
      <c r="T1324" s="9">
        <f>IFERROR(__xludf.DUMMYFUNCTION("AVERAGE(INDEX(GOOGLEFINANCE(A1324, ""price"", TODAY()-300, TODAY()), 0, 2))"),1052.3432835820895)</f>
        <v>1052.343284</v>
      </c>
      <c r="U1324" s="9">
        <f t="shared" si="5"/>
        <v>-0.0334763001</v>
      </c>
      <c r="V1324" s="15">
        <f>IFERROR(__xludf.DUMMYFUNCTION("LET(hist, GOOGLEFINANCE(A1324,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rs))))))"),50.10010010010013)</f>
        <v>50.1001001</v>
      </c>
      <c r="W1324" s="16" t="str">
        <f>IFERROR(__xludf.DUMMYFUNCTION("IFERROR(GOOGLEFINANCE(A1324, ""volume"") / GOOGLEFINANCE(A1324, ""volumeavg""), )"),"")</f>
        <v/>
      </c>
      <c r="X1324" s="9">
        <f>IFERROR(__xludf.DUMMYFUNCTION("B1324 * GOOGLEFINANCE(A1324, ""volume"")"),620412.0)</f>
        <v>620412</v>
      </c>
      <c r="Y1324" s="9">
        <f>IFERROR(__xludf.DUMMYFUNCTION("IFERROR(((B1324 - GOOGLEFINANCE(A1324, ""priceopen"")) / GOOGLEFINANCE(A1324, ""priceopen"")) * GOOGLEFINANCE(A1324, ""volume""), 0)"),-14.376944190301922)</f>
        <v>-14.37694419</v>
      </c>
    </row>
    <row r="1325">
      <c r="A1325" s="4" t="s">
        <v>3118</v>
      </c>
      <c r="B1325" s="7">
        <f>IFERROR(__xludf.DUMMYFUNCTION("GOOGLEFINANCE(A1325, ""price"")"),129.89)</f>
        <v>129.89</v>
      </c>
      <c r="C1325" s="7">
        <f>IFERROR(__xludf.DUMMYFUNCTION("GOOGLEFINANCE(A1325, ""changepct"")"),0.37)</f>
        <v>0.37</v>
      </c>
      <c r="D1325" s="9">
        <f>IFERROR(__xludf.DUMMYFUNCTION("GOOGLEFINANCE(A1325, ""priceopen"")"),135.0)</f>
        <v>135</v>
      </c>
      <c r="E1325" s="9">
        <f>IFERROR(__xludf.DUMMYFUNCTION("GOOGLEFINANCE(A1325, ""high"")"),135.0)</f>
        <v>135</v>
      </c>
      <c r="F1325" s="9">
        <f>IFERROR(__xludf.DUMMYFUNCTION("GOOGLEFINANCE(A1325, ""low"")"),126.0)</f>
        <v>126</v>
      </c>
      <c r="G1325" s="9">
        <f>IFERROR(__xludf.DUMMYFUNCTION("GOOGLEFINANCE(A1325, ""price"")"),129.89)</f>
        <v>129.89</v>
      </c>
      <c r="H1325" s="9">
        <f>IFERROR(__xludf.DUMMYFUNCTION("MAX(INDEX(GOOGLEFINANCE(A1325, ""high"", TODAY()-30, TODAY()), 0, 2))"),135.97)</f>
        <v>135.97</v>
      </c>
      <c r="I1325" s="9">
        <f>IFERROR(__xludf.DUMMYFUNCTION("MIN(INDEX(GOOGLEFINANCE(A1325, ""low"", TODAY()-30, TODAY()), 0, 2))"),115.3)</f>
        <v>115.3</v>
      </c>
      <c r="J1325" s="9">
        <f>IFERROR(__xludf.DUMMYFUNCTION("GOOGLEFINANCE(A1325, ""high52"")"),149.55)</f>
        <v>149.55</v>
      </c>
      <c r="K1325" s="9">
        <f>IFERROR(__xludf.DUMMYFUNCTION("GOOGLEFINANCE(A1325, ""low52"")"),62.2)</f>
        <v>62.2</v>
      </c>
      <c r="L1325" s="9">
        <f t="shared" si="1"/>
        <v>0.1314610498</v>
      </c>
      <c r="M1325" s="9">
        <f t="shared" si="2"/>
        <v>1.088263666</v>
      </c>
      <c r="N1325" s="9">
        <f t="shared" si="3"/>
        <v>0.07142857143</v>
      </c>
      <c r="O1325" s="9">
        <f t="shared" si="4"/>
        <v>0.7058538945</v>
      </c>
      <c r="P1325" s="9">
        <f>IFERROR(__xludf.DUMMYFUNCTION("GOOGLEFINANCE(A1325, ""pe"")"),22.87)</f>
        <v>22.87</v>
      </c>
      <c r="Q1325" s="9">
        <f>IFERROR(__xludf.DUMMYFUNCTION("IFERROR(GOOGLEFINANCE(A1325, ""volume"") / GOOGLEFINANCE(A1325, ""volumeavg""), 0)"),0.0)</f>
        <v>0</v>
      </c>
      <c r="R1325" s="9">
        <f>IFERROR(__xludf.DUMMYFUNCTION("AVERAGE(INDEX(GOOGLEFINANCE(A1325, ""price"", TODAY()-30, TODAY()), 0, 2))"),123.53304347826086)</f>
        <v>123.5330435</v>
      </c>
      <c r="S1325" s="9">
        <f>IFERROR(__xludf.DUMMYFUNCTION("AVERAGE(INDEX(GOOGLEFINANCE(A1325, ""price"", TODAY()-75, TODAY()), 0, 2))"),120.95132075471702)</f>
        <v>120.9513208</v>
      </c>
      <c r="T1325" s="9">
        <f>IFERROR(__xludf.DUMMYFUNCTION("AVERAGE(INDEX(GOOGLEFINANCE(A1325, ""price"", TODAY()-300, TODAY()), 0, 2))"),93.63702970297022)</f>
        <v>93.6370297</v>
      </c>
      <c r="U1325" s="9">
        <f t="shared" si="5"/>
        <v>0.05145956371</v>
      </c>
      <c r="V1325" s="15">
        <f>IFERROR(__xludf.DUMMYFUNCTION("LET(hist, GOOGLEFINANCE(A1325,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rs))))))"),57.59679572763685)</f>
        <v>57.59679573</v>
      </c>
      <c r="W1325" s="16" t="str">
        <f>IFERROR(__xludf.DUMMYFUNCTION("IFERROR(GOOGLEFINANCE(A1325, ""volume"") / GOOGLEFINANCE(A1325, ""volumeavg""), )"),"")</f>
        <v/>
      </c>
      <c r="X1325" s="9">
        <f>IFERROR(__xludf.DUMMYFUNCTION("B1325 * GOOGLEFINANCE(A1325, ""volume"")"),1.3248624132E8)</f>
        <v>132486241.3</v>
      </c>
      <c r="Y1325" s="9">
        <f>IFERROR(__xludf.DUMMYFUNCTION("IFERROR(((B1325 - GOOGLEFINANCE(A1325, ""priceopen"")) / GOOGLEFINANCE(A1325, ""priceopen"")) * GOOGLEFINANCE(A1325, ""volume""), 0)"),-38608.43466666677)</f>
        <v>-38608.43467</v>
      </c>
    </row>
    <row r="1326">
      <c r="A1326" s="4" t="s">
        <v>3119</v>
      </c>
      <c r="B1326" s="7">
        <f>IFERROR(__xludf.DUMMYFUNCTION("GOOGLEFINANCE(A1326, ""price"")"),187.8)</f>
        <v>187.8</v>
      </c>
      <c r="C1326" s="7">
        <f>IFERROR(__xludf.DUMMYFUNCTION("GOOGLEFINANCE(A1326, ""changepct"")"),-1.46)</f>
        <v>-1.46</v>
      </c>
      <c r="D1326" s="9">
        <f>IFERROR(__xludf.DUMMYFUNCTION("GOOGLEFINANCE(A1326, ""priceopen"")"),190.6)</f>
        <v>190.6</v>
      </c>
      <c r="E1326" s="9">
        <f>IFERROR(__xludf.DUMMYFUNCTION("GOOGLEFINANCE(A1326, ""high"")"),192.62)</f>
        <v>192.62</v>
      </c>
      <c r="F1326" s="9">
        <f>IFERROR(__xludf.DUMMYFUNCTION("GOOGLEFINANCE(A1326, ""low"")"),186.11)</f>
        <v>186.11</v>
      </c>
      <c r="G1326" s="9">
        <f>IFERROR(__xludf.DUMMYFUNCTION("GOOGLEFINANCE(A1326, ""price"")"),187.8)</f>
        <v>187.8</v>
      </c>
      <c r="H1326" s="9">
        <f>IFERROR(__xludf.DUMMYFUNCTION("MAX(INDEX(GOOGLEFINANCE(A1326, ""high"", TODAY()-30, TODAY()), 0, 2))"),221.62)</f>
        <v>221.62</v>
      </c>
      <c r="I1326" s="9">
        <f>IFERROR(__xludf.DUMMYFUNCTION("MIN(INDEX(GOOGLEFINANCE(A1326, ""low"", TODAY()-30, TODAY()), 0, 2))"),186.11)</f>
        <v>186.11</v>
      </c>
      <c r="J1326" s="9">
        <f>IFERROR(__xludf.DUMMYFUNCTION("GOOGLEFINANCE(A1326, ""high52"")"),262.0)</f>
        <v>262</v>
      </c>
      <c r="K1326" s="9">
        <f>IFERROR(__xludf.DUMMYFUNCTION("GOOGLEFINANCE(A1326, ""low52"")"),148.01)</f>
        <v>148.01</v>
      </c>
      <c r="L1326" s="9">
        <f t="shared" si="1"/>
        <v>0.2832061069</v>
      </c>
      <c r="M1326" s="9">
        <f t="shared" si="2"/>
        <v>0.2688331869</v>
      </c>
      <c r="N1326" s="9">
        <f t="shared" si="3"/>
        <v>0.03497931331</v>
      </c>
      <c r="O1326" s="9">
        <f t="shared" si="4"/>
        <v>0.04759222754</v>
      </c>
      <c r="P1326" s="9">
        <f>IFERROR(__xludf.DUMMYFUNCTION("GOOGLEFINANCE(A1326, ""pe"")"),20.84)</f>
        <v>20.84</v>
      </c>
      <c r="Q1326" s="9">
        <f>IFERROR(__xludf.DUMMYFUNCTION("IFERROR(GOOGLEFINANCE(A1326, ""volume"") / GOOGLEFINANCE(A1326, ""volumeavg""), 0)"),0.0)</f>
        <v>0</v>
      </c>
      <c r="R1326" s="9">
        <f>IFERROR(__xludf.DUMMYFUNCTION("AVERAGE(INDEX(GOOGLEFINANCE(A1326, ""price"", TODAY()-30, TODAY()), 0, 2))"),199.9352173913044)</f>
        <v>199.9352174</v>
      </c>
      <c r="S1326" s="9">
        <f>IFERROR(__xludf.DUMMYFUNCTION("AVERAGE(INDEX(GOOGLEFINANCE(A1326, ""price"", TODAY()-75, TODAY()), 0, 2))"),206.54188679245289)</f>
        <v>206.5418868</v>
      </c>
      <c r="T1326" s="9">
        <f>IFERROR(__xludf.DUMMYFUNCTION("AVERAGE(INDEX(GOOGLEFINANCE(A1326, ""price"", TODAY()-300, TODAY()), 0, 2))"),191.85801980198008)</f>
        <v>191.8580198</v>
      </c>
      <c r="U1326" s="9">
        <f t="shared" si="5"/>
        <v>-0.0606957471</v>
      </c>
      <c r="V1326" s="15">
        <f>IFERROR(__xludf.DUMMYFUNCTION("LET(hist, GOOGLEFINANCE(A1326,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rs))))))"),43.812357780500605)</f>
        <v>43.81235778</v>
      </c>
      <c r="W1326" s="16" t="str">
        <f>IFERROR(__xludf.DUMMYFUNCTION("IFERROR(GOOGLEFINANCE(A1326, ""volume"") / GOOGLEFINANCE(A1326, ""volumeavg""), )"),"")</f>
        <v/>
      </c>
      <c r="X1326" s="9">
        <f>IFERROR(__xludf.DUMMYFUNCTION("B1326 * GOOGLEFINANCE(A1326, ""volume"")"),3.2703116400000002E7)</f>
        <v>32703116.4</v>
      </c>
      <c r="Y1326" s="9">
        <f>IFERROR(__xludf.DUMMYFUNCTION("IFERROR(((B1326 - GOOGLEFINANCE(A1326, ""priceopen"")) / GOOGLEFINANCE(A1326, ""priceopen"")) * GOOGLEFINANCE(A1326, ""volume""), 0)"),-2558.165792235032)</f>
        <v>-2558.165792</v>
      </c>
    </row>
    <row r="1327">
      <c r="A1327" s="4" t="s">
        <v>3120</v>
      </c>
      <c r="B1327" s="7">
        <f>IFERROR(__xludf.DUMMYFUNCTION("GOOGLEFINANCE(A1327, ""price"")"),84.1)</f>
        <v>84.1</v>
      </c>
      <c r="C1327" s="7">
        <f>IFERROR(__xludf.DUMMYFUNCTION("GOOGLEFINANCE(A1327, ""changepct"")"),-0.06)</f>
        <v>-0.06</v>
      </c>
      <c r="D1327" s="9">
        <f>IFERROR(__xludf.DUMMYFUNCTION("GOOGLEFINANCE(A1327, ""priceopen"")"),84.62)</f>
        <v>84.62</v>
      </c>
      <c r="E1327" s="9">
        <f>IFERROR(__xludf.DUMMYFUNCTION("GOOGLEFINANCE(A1327, ""high"")"),84.8)</f>
        <v>84.8</v>
      </c>
      <c r="F1327" s="9">
        <f>IFERROR(__xludf.DUMMYFUNCTION("GOOGLEFINANCE(A1327, ""low"")"),83.5)</f>
        <v>83.5</v>
      </c>
      <c r="G1327" s="9">
        <f>IFERROR(__xludf.DUMMYFUNCTION("GOOGLEFINANCE(A1327, ""price"")"),84.1)</f>
        <v>84.1</v>
      </c>
      <c r="H1327" s="9">
        <f>IFERROR(__xludf.DUMMYFUNCTION("MAX(INDEX(GOOGLEFINANCE(A1327, ""high"", TODAY()-30, TODAY()), 0, 2))"),90.0)</f>
        <v>90</v>
      </c>
      <c r="I1327" s="9">
        <f>IFERROR(__xludf.DUMMYFUNCTION("MIN(INDEX(GOOGLEFINANCE(A1327, ""low"", TODAY()-30, TODAY()), 0, 2))"),83.2)</f>
        <v>83.2</v>
      </c>
      <c r="J1327" s="9">
        <f>IFERROR(__xludf.DUMMYFUNCTION("GOOGLEFINANCE(A1327, ""high52"")"),118.35)</f>
        <v>118.35</v>
      </c>
      <c r="K1327" s="9">
        <f>IFERROR(__xludf.DUMMYFUNCTION("GOOGLEFINANCE(A1327, ""low52"")"),66.4)</f>
        <v>66.4</v>
      </c>
      <c r="L1327" s="9">
        <f t="shared" si="1"/>
        <v>0.2893958597</v>
      </c>
      <c r="M1327" s="9">
        <f t="shared" si="2"/>
        <v>0.2665662651</v>
      </c>
      <c r="N1327" s="9">
        <f t="shared" si="3"/>
        <v>0.01556886228</v>
      </c>
      <c r="O1327" s="9">
        <f t="shared" si="4"/>
        <v>0.1323529412</v>
      </c>
      <c r="P1327" s="9">
        <f>IFERROR(__xludf.DUMMYFUNCTION("GOOGLEFINANCE(A1327, ""pe"")"),173.76)</f>
        <v>173.76</v>
      </c>
      <c r="Q1327" s="9">
        <f>IFERROR(__xludf.DUMMYFUNCTION("IFERROR(GOOGLEFINANCE(A1327, ""volume"") / GOOGLEFINANCE(A1327, ""volumeavg""), 0)"),0.0)</f>
        <v>0</v>
      </c>
      <c r="R1327" s="9">
        <f>IFERROR(__xludf.DUMMYFUNCTION("AVERAGE(INDEX(GOOGLEFINANCE(A1327, ""price"", TODAY()-30, TODAY()), 0, 2))"),86.02608695652172)</f>
        <v>86.02608696</v>
      </c>
      <c r="S1327" s="9">
        <f>IFERROR(__xludf.DUMMYFUNCTION("AVERAGE(INDEX(GOOGLEFINANCE(A1327, ""price"", TODAY()-75, TODAY()), 0, 2))"),87.56905660377359)</f>
        <v>87.5690566</v>
      </c>
      <c r="T1327" s="9">
        <f>IFERROR(__xludf.DUMMYFUNCTION("AVERAGE(INDEX(GOOGLEFINANCE(A1327, ""price"", TODAY()-300, TODAY()), 0, 2))"),87.345198019802)</f>
        <v>87.34519802</v>
      </c>
      <c r="U1327" s="9">
        <f t="shared" si="5"/>
        <v>-0.02238956838</v>
      </c>
      <c r="V1327" s="15">
        <f>IFERROR(__xludf.DUMMYFUNCTION("LET(hist, GOOGLEFINANCE(A1327,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rs))))))"),19.646365422396897)</f>
        <v>19.64636542</v>
      </c>
      <c r="W1327" s="16" t="str">
        <f>IFERROR(__xludf.DUMMYFUNCTION("IFERROR(GOOGLEFINANCE(A1327, ""volume"") / GOOGLEFINANCE(A1327, ""volumeavg""), )"),"")</f>
        <v/>
      </c>
      <c r="X1327" s="9">
        <f>IFERROR(__xludf.DUMMYFUNCTION("B1327 * GOOGLEFINANCE(A1327, ""volume"")"),654970.7999999999)</f>
        <v>654970.8</v>
      </c>
      <c r="Y1327" s="9">
        <f>IFERROR(__xludf.DUMMYFUNCTION("IFERROR(((B1327 - GOOGLEFINANCE(A1327, ""priceopen"")) / GOOGLEFINANCE(A1327, ""priceopen"")) * GOOGLEFINANCE(A1327, ""volume""), 0)"),-47.85818955329803)</f>
        <v>-47.85818955</v>
      </c>
    </row>
    <row r="1328">
      <c r="A1328" s="4" t="s">
        <v>3121</v>
      </c>
      <c r="B1328" s="7">
        <f>IFERROR(__xludf.DUMMYFUNCTION("GOOGLEFINANCE(A1328, ""price"")"),11550.0)</f>
        <v>11550</v>
      </c>
      <c r="C1328" s="7">
        <f>IFERROR(__xludf.DUMMYFUNCTION("GOOGLEFINANCE(A1328, ""changepct"")"),2.45)</f>
        <v>2.45</v>
      </c>
      <c r="D1328" s="9">
        <f>IFERROR(__xludf.DUMMYFUNCTION("GOOGLEFINANCE(A1328, ""priceopen"")"),11600.0)</f>
        <v>11600</v>
      </c>
      <c r="E1328" s="9">
        <f>IFERROR(__xludf.DUMMYFUNCTION("GOOGLEFINANCE(A1328, ""high"")"),11695.0)</f>
        <v>11695</v>
      </c>
      <c r="F1328" s="9">
        <f>IFERROR(__xludf.DUMMYFUNCTION("GOOGLEFINANCE(A1328, ""low"")"),11204.0)</f>
        <v>11204</v>
      </c>
      <c r="G1328" s="9">
        <f>IFERROR(__xludf.DUMMYFUNCTION("GOOGLEFINANCE(A1328, ""price"")"),11550.0)</f>
        <v>11550</v>
      </c>
      <c r="H1328" s="9">
        <f>IFERROR(__xludf.DUMMYFUNCTION("MAX(INDEX(GOOGLEFINANCE(A1328, ""high"", TODAY()-30, TODAY()), 0, 2))"),13499.5)</f>
        <v>13499.5</v>
      </c>
      <c r="I1328" s="9">
        <f>IFERROR(__xludf.DUMMYFUNCTION("MIN(INDEX(GOOGLEFINANCE(A1328, ""low"", TODAY()-30, TODAY()), 0, 2))"),11001.0)</f>
        <v>11001</v>
      </c>
      <c r="J1328" s="9">
        <f>IFERROR(__xludf.DUMMYFUNCTION("GOOGLEFINANCE(A1328, ""high52"")"),14400.0)</f>
        <v>14400</v>
      </c>
      <c r="K1328" s="9">
        <f>IFERROR(__xludf.DUMMYFUNCTION("GOOGLEFINANCE(A1328, ""low52"")"),9000.0)</f>
        <v>9000</v>
      </c>
      <c r="L1328" s="9">
        <f t="shared" si="1"/>
        <v>0.1979166667</v>
      </c>
      <c r="M1328" s="9">
        <f t="shared" si="2"/>
        <v>0.2833333333</v>
      </c>
      <c r="N1328" s="9">
        <f t="shared" si="3"/>
        <v>0.04382363442</v>
      </c>
      <c r="O1328" s="9">
        <f t="shared" si="4"/>
        <v>0.2197318391</v>
      </c>
      <c r="P1328" s="9">
        <f>IFERROR(__xludf.DUMMYFUNCTION("GOOGLEFINANCE(A1328, ""pe"")"),13.71)</f>
        <v>13.71</v>
      </c>
      <c r="Q1328" s="9">
        <f>IFERROR(__xludf.DUMMYFUNCTION("IFERROR(GOOGLEFINANCE(A1328, ""volume"") / GOOGLEFINANCE(A1328, ""volumeavg""), 0)"),0.0)</f>
        <v>0</v>
      </c>
      <c r="R1328" s="9">
        <f>IFERROR(__xludf.DUMMYFUNCTION("AVERAGE(INDEX(GOOGLEFINANCE(A1328, ""price"", TODAY()-30, TODAY()), 0, 2))"),12315.181818181818)</f>
        <v>12315.18182</v>
      </c>
      <c r="S1328" s="9">
        <f>IFERROR(__xludf.DUMMYFUNCTION("AVERAGE(INDEX(GOOGLEFINANCE(A1328, ""price"", TODAY()-75, TODAY()), 0, 2))"),10946.067307692309)</f>
        <v>10946.06731</v>
      </c>
      <c r="T1328" s="9">
        <f>IFERROR(__xludf.DUMMYFUNCTION("AVERAGE(INDEX(GOOGLEFINANCE(A1328, ""price"", TODAY()-300, TODAY()), 0, 2))"),10555.620253164558)</f>
        <v>10555.62025</v>
      </c>
      <c r="U1328" s="9">
        <f t="shared" si="5"/>
        <v>-0.06213321325</v>
      </c>
      <c r="V1328" s="15">
        <f>IFERROR(__xludf.DUMMYFUNCTION("LET(hist, GOOGLEFINANCE(A1328,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rs))))))"),35.049269452939185)</f>
        <v>35.04926945</v>
      </c>
      <c r="W1328" s="16" t="str">
        <f>IFERROR(__xludf.DUMMYFUNCTION("IFERROR(GOOGLEFINANCE(A1328, ""volume"") / GOOGLEFINANCE(A1328, ""volumeavg""), )"),"")</f>
        <v/>
      </c>
      <c r="X1328" s="9">
        <f>IFERROR(__xludf.DUMMYFUNCTION("B1328 * GOOGLEFINANCE(A1328, ""volume"")"),231000.0)</f>
        <v>231000</v>
      </c>
      <c r="Y1328" s="9">
        <f>IFERROR(__xludf.DUMMYFUNCTION("IFERROR(((B1328 - GOOGLEFINANCE(A1328, ""priceopen"")) / GOOGLEFINANCE(A1328, ""priceopen"")) * GOOGLEFINANCE(A1328, ""volume""), 0)"),-0.08620689655172414)</f>
        <v>-0.08620689655</v>
      </c>
    </row>
    <row r="1329">
      <c r="A1329" s="4" t="s">
        <v>3122</v>
      </c>
      <c r="B1329" s="7">
        <f>IFERROR(__xludf.DUMMYFUNCTION("GOOGLEFINANCE(A1329, ""price"")"),262.7)</f>
        <v>262.7</v>
      </c>
      <c r="C1329" s="7">
        <f>IFERROR(__xludf.DUMMYFUNCTION("GOOGLEFINANCE(A1329, ""changepct"")"),-3.98)</f>
        <v>-3.98</v>
      </c>
      <c r="D1329" s="9">
        <f>IFERROR(__xludf.DUMMYFUNCTION("GOOGLEFINANCE(A1329, ""priceopen"")"),270.95)</f>
        <v>270.95</v>
      </c>
      <c r="E1329" s="9">
        <f>IFERROR(__xludf.DUMMYFUNCTION("GOOGLEFINANCE(A1329, ""high"")"),272.75)</f>
        <v>272.75</v>
      </c>
      <c r="F1329" s="9">
        <f>IFERROR(__xludf.DUMMYFUNCTION("GOOGLEFINANCE(A1329, ""low"")"),260.0)</f>
        <v>260</v>
      </c>
      <c r="G1329" s="9">
        <f>IFERROR(__xludf.DUMMYFUNCTION("GOOGLEFINANCE(A1329, ""price"")"),262.7)</f>
        <v>262.7</v>
      </c>
      <c r="H1329" s="9">
        <f>IFERROR(__xludf.DUMMYFUNCTION("MAX(INDEX(GOOGLEFINANCE(A1329, ""high"", TODAY()-30, TODAY()), 0, 2))"),283.85)</f>
        <v>283.85</v>
      </c>
      <c r="I1329" s="9">
        <f>IFERROR(__xludf.DUMMYFUNCTION("MIN(INDEX(GOOGLEFINANCE(A1329, ""low"", TODAY()-30, TODAY()), 0, 2))"),239.0)</f>
        <v>239</v>
      </c>
      <c r="J1329" s="9">
        <f>IFERROR(__xludf.DUMMYFUNCTION("GOOGLEFINANCE(A1329, ""high52"")"),353.0)</f>
        <v>353</v>
      </c>
      <c r="K1329" s="9">
        <f>IFERROR(__xludf.DUMMYFUNCTION("GOOGLEFINANCE(A1329, ""low52"")"),227.42)</f>
        <v>227.42</v>
      </c>
      <c r="L1329" s="9">
        <f t="shared" si="1"/>
        <v>0.2558073654</v>
      </c>
      <c r="M1329" s="9">
        <f t="shared" si="2"/>
        <v>0.1551314748</v>
      </c>
      <c r="N1329" s="9">
        <f t="shared" si="3"/>
        <v>0.04903846154</v>
      </c>
      <c r="O1329" s="9">
        <f t="shared" si="4"/>
        <v>0.5284280936</v>
      </c>
      <c r="P1329" s="9">
        <f>IFERROR(__xludf.DUMMYFUNCTION("GOOGLEFINANCE(A1329, ""pe"")"),8756.67)</f>
        <v>8756.67</v>
      </c>
      <c r="Q1329" s="9">
        <f>IFERROR(__xludf.DUMMYFUNCTION("IFERROR(GOOGLEFINANCE(A1329, ""volume"") / GOOGLEFINANCE(A1329, ""volumeavg""), 0)"),0.0)</f>
        <v>0</v>
      </c>
      <c r="R1329" s="9">
        <f>IFERROR(__xludf.DUMMYFUNCTION("AVERAGE(INDEX(GOOGLEFINANCE(A1329, ""price"", TODAY()-30, TODAY()), 0, 2))"),264.73260869565223)</f>
        <v>264.7326087</v>
      </c>
      <c r="S1329" s="9">
        <f>IFERROR(__xludf.DUMMYFUNCTION("AVERAGE(INDEX(GOOGLEFINANCE(A1329, ""price"", TODAY()-75, TODAY()), 0, 2))"),273.3820754716981)</f>
        <v>273.3820755</v>
      </c>
      <c r="T1329" s="9">
        <f>IFERROR(__xludf.DUMMYFUNCTION("AVERAGE(INDEX(GOOGLEFINANCE(A1329, ""price"", TODAY()-300, TODAY()), 0, 2))"),279.80391089108923)</f>
        <v>279.8039109</v>
      </c>
      <c r="U1329" s="9">
        <f t="shared" si="5"/>
        <v>-0.007677968746</v>
      </c>
      <c r="V1329" s="15">
        <f>IFERROR(__xludf.DUMMYFUNCTION("LET(hist, GOOGLEFINANCE(A1329,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rs))))))"),42.90674603174605)</f>
        <v>42.90674603</v>
      </c>
      <c r="W1329" s="16" t="str">
        <f>IFERROR(__xludf.DUMMYFUNCTION("IFERROR(GOOGLEFINANCE(A1329, ""volume"") / GOOGLEFINANCE(A1329, ""volumeavg""), )"),"")</f>
        <v/>
      </c>
      <c r="X1329" s="9">
        <f>IFERROR(__xludf.DUMMYFUNCTION("B1329 * GOOGLEFINANCE(A1329, ""volume"")"),1.0941875319999999E8)</f>
        <v>109418753.2</v>
      </c>
      <c r="Y1329" s="9">
        <f>IFERROR(__xludf.DUMMYFUNCTION("IFERROR(((B1329 - GOOGLEFINANCE(A1329, ""priceopen"")) / GOOGLEFINANCE(A1329, ""priceopen"")) * GOOGLEFINANCE(A1329, ""volume""), 0)"),-12682.255028603064)</f>
        <v>-12682.25503</v>
      </c>
    </row>
    <row r="1330">
      <c r="A1330" s="4" t="s">
        <v>3123</v>
      </c>
      <c r="B1330" s="7">
        <f>IFERROR(__xludf.DUMMYFUNCTION("GOOGLEFINANCE(A1330, ""price"")"),602.1)</f>
        <v>602.1</v>
      </c>
      <c r="C1330" s="7">
        <f>IFERROR(__xludf.DUMMYFUNCTION("GOOGLEFINANCE(A1330, ""changepct"")"),-0.33)</f>
        <v>-0.33</v>
      </c>
      <c r="D1330" s="9">
        <f>IFERROR(__xludf.DUMMYFUNCTION("GOOGLEFINANCE(A1330, ""priceopen"")"),605.0)</f>
        <v>605</v>
      </c>
      <c r="E1330" s="9">
        <f>IFERROR(__xludf.DUMMYFUNCTION("GOOGLEFINANCE(A1330, ""high"")"),612.4)</f>
        <v>612.4</v>
      </c>
      <c r="F1330" s="9">
        <f>IFERROR(__xludf.DUMMYFUNCTION("GOOGLEFINANCE(A1330, ""low"")"),602.0)</f>
        <v>602</v>
      </c>
      <c r="G1330" s="9">
        <f>IFERROR(__xludf.DUMMYFUNCTION("GOOGLEFINANCE(A1330, ""price"")"),602.1)</f>
        <v>602.1</v>
      </c>
      <c r="H1330" s="9">
        <f>IFERROR(__xludf.DUMMYFUNCTION("MAX(INDEX(GOOGLEFINANCE(A1330, ""high"", TODAY()-30, TODAY()), 0, 2))"),671.65)</f>
        <v>671.65</v>
      </c>
      <c r="I1330" s="9">
        <f>IFERROR(__xludf.DUMMYFUNCTION("MIN(INDEX(GOOGLEFINANCE(A1330, ""low"", TODAY()-30, TODAY()), 0, 2))"),515.0)</f>
        <v>515</v>
      </c>
      <c r="J1330" s="9">
        <f>IFERROR(__xludf.DUMMYFUNCTION("GOOGLEFINANCE(A1330, ""high52"")"),671.65)</f>
        <v>671.65</v>
      </c>
      <c r="K1330" s="9">
        <f>IFERROR(__xludf.DUMMYFUNCTION("GOOGLEFINANCE(A1330, ""low52"")"),371.2)</f>
        <v>371.2</v>
      </c>
      <c r="L1330" s="9">
        <f t="shared" si="1"/>
        <v>0.1035509566</v>
      </c>
      <c r="M1330" s="9">
        <f t="shared" si="2"/>
        <v>0.6220366379</v>
      </c>
      <c r="N1330" s="9">
        <f t="shared" si="3"/>
        <v>0.01727574751</v>
      </c>
      <c r="O1330" s="9">
        <f t="shared" si="4"/>
        <v>0.5560165975</v>
      </c>
      <c r="P1330" s="9">
        <f>IFERROR(__xludf.DUMMYFUNCTION("GOOGLEFINANCE(A1330, ""pe"")"),8.94)</f>
        <v>8.94</v>
      </c>
      <c r="Q1330" s="9">
        <f>IFERROR(__xludf.DUMMYFUNCTION("IFERROR(GOOGLEFINANCE(A1330, ""volume"") / GOOGLEFINANCE(A1330, ""volumeavg""), 0)"),0.0)</f>
        <v>0</v>
      </c>
      <c r="R1330" s="9">
        <f>IFERROR(__xludf.DUMMYFUNCTION("AVERAGE(INDEX(GOOGLEFINANCE(A1330, ""price"", TODAY()-30, TODAY()), 0, 2))"),581.6782608695654)</f>
        <v>581.6782609</v>
      </c>
      <c r="S1330" s="9">
        <f>IFERROR(__xludf.DUMMYFUNCTION("AVERAGE(INDEX(GOOGLEFINANCE(A1330, ""price"", TODAY()-75, TODAY()), 0, 2))"),542.4075471698112)</f>
        <v>542.4075472</v>
      </c>
      <c r="T1330" s="9">
        <f>IFERROR(__xludf.DUMMYFUNCTION("AVERAGE(INDEX(GOOGLEFINANCE(A1330, ""price"", TODAY()-300, TODAY()), 0, 2))"),467.3920792079205)</f>
        <v>467.3920792</v>
      </c>
      <c r="U1330" s="9">
        <f t="shared" si="5"/>
        <v>0.0351083073</v>
      </c>
      <c r="V1330" s="15">
        <f>IFERROR(__xludf.DUMMYFUNCTION("LET(hist, GOOGLEFINANCE(A1330,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rs))))))"),69.45418127190787)</f>
        <v>69.45418127</v>
      </c>
      <c r="W1330" s="16" t="str">
        <f>IFERROR(__xludf.DUMMYFUNCTION("IFERROR(GOOGLEFINANCE(A1330, ""volume"") / GOOGLEFINANCE(A1330, ""volumeavg""), )"),"")</f>
        <v/>
      </c>
      <c r="X1330" s="9">
        <f>IFERROR(__xludf.DUMMYFUNCTION("B1330 * GOOGLEFINANCE(A1330, ""volume"")"),5.2960716E7)</f>
        <v>52960716</v>
      </c>
      <c r="Y1330" s="9">
        <f>IFERROR(__xludf.DUMMYFUNCTION("IFERROR(((B1330 - GOOGLEFINANCE(A1330, ""priceopen"")) / GOOGLEFINANCE(A1330, ""priceopen"")) * GOOGLEFINANCE(A1330, ""volume""), 0)"),-421.6264462809884)</f>
        <v>-421.6264463</v>
      </c>
    </row>
    <row r="1331">
      <c r="A1331" s="4" t="s">
        <v>3124</v>
      </c>
      <c r="B1331" s="7">
        <f>IFERROR(__xludf.DUMMYFUNCTION("GOOGLEFINANCE(A1331, ""price"")"),134.7)</f>
        <v>134.7</v>
      </c>
      <c r="C1331" s="7">
        <f>IFERROR(__xludf.DUMMYFUNCTION("GOOGLEFINANCE(A1331, ""changepct"")"),-4.18)</f>
        <v>-4.18</v>
      </c>
      <c r="D1331" s="9">
        <f>IFERROR(__xludf.DUMMYFUNCTION("GOOGLEFINANCE(A1331, ""priceopen"")"),136.22)</f>
        <v>136.22</v>
      </c>
      <c r="E1331" s="9">
        <f>IFERROR(__xludf.DUMMYFUNCTION("GOOGLEFINANCE(A1331, ""high"")"),137.9)</f>
        <v>137.9</v>
      </c>
      <c r="F1331" s="9">
        <f>IFERROR(__xludf.DUMMYFUNCTION("GOOGLEFINANCE(A1331, ""low"")"),133.0)</f>
        <v>133</v>
      </c>
      <c r="G1331" s="9">
        <f>IFERROR(__xludf.DUMMYFUNCTION("GOOGLEFINANCE(A1331, ""price"")"),134.7)</f>
        <v>134.7</v>
      </c>
      <c r="H1331" s="9">
        <f>IFERROR(__xludf.DUMMYFUNCTION("MAX(INDEX(GOOGLEFINANCE(A1331, ""high"", TODAY()-30, TODAY()), 0, 2))"),149.09)</f>
        <v>149.09</v>
      </c>
      <c r="I1331" s="9">
        <f>IFERROR(__xludf.DUMMYFUNCTION("MIN(INDEX(GOOGLEFINANCE(A1331, ""low"", TODAY()-30, TODAY()), 0, 2))"),133.0)</f>
        <v>133</v>
      </c>
      <c r="J1331" s="9">
        <f>IFERROR(__xludf.DUMMYFUNCTION("GOOGLEFINANCE(A1331, ""high52"")"),262.0)</f>
        <v>262</v>
      </c>
      <c r="K1331" s="9">
        <f>IFERROR(__xludf.DUMMYFUNCTION("GOOGLEFINANCE(A1331, ""low52"")"),103.98)</f>
        <v>103.98</v>
      </c>
      <c r="L1331" s="9">
        <f t="shared" si="1"/>
        <v>0.4858778626</v>
      </c>
      <c r="M1331" s="9">
        <f t="shared" si="2"/>
        <v>0.295441431</v>
      </c>
      <c r="N1331" s="9">
        <f t="shared" si="3"/>
        <v>0.03684210526</v>
      </c>
      <c r="O1331" s="9">
        <f t="shared" si="4"/>
        <v>0.1056556868</v>
      </c>
      <c r="P1331" s="9">
        <f>IFERROR(__xludf.DUMMYFUNCTION("GOOGLEFINANCE(A1331, ""pe"")"),24.97)</f>
        <v>24.97</v>
      </c>
      <c r="Q1331" s="9">
        <f>IFERROR(__xludf.DUMMYFUNCTION("IFERROR(GOOGLEFINANCE(A1331, ""volume"") / GOOGLEFINANCE(A1331, ""volumeavg""), 0)"),0.0)</f>
        <v>0</v>
      </c>
      <c r="R1331" s="9">
        <f>IFERROR(__xludf.DUMMYFUNCTION("AVERAGE(INDEX(GOOGLEFINANCE(A1331, ""price"", TODAY()-30, TODAY()), 0, 2))"),141.63478260869562)</f>
        <v>141.6347826</v>
      </c>
      <c r="S1331" s="9">
        <f>IFERROR(__xludf.DUMMYFUNCTION("AVERAGE(INDEX(GOOGLEFINANCE(A1331, ""price"", TODAY()-75, TODAY()), 0, 2))"),145.67075471698112)</f>
        <v>145.6707547</v>
      </c>
      <c r="T1331" s="9">
        <f>IFERROR(__xludf.DUMMYFUNCTION("AVERAGE(INDEX(GOOGLEFINANCE(A1331, ""price"", TODAY()-300, TODAY()), 0, 2))"),152.72851485148507)</f>
        <v>152.7285149</v>
      </c>
      <c r="U1331" s="9">
        <f t="shared" si="5"/>
        <v>-0.04896242633</v>
      </c>
      <c r="V1331" s="15">
        <f>IFERROR(__xludf.DUMMYFUNCTION("LET(hist, GOOGLEFINANCE(A1331,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rs))))))"),42.71844660194177)</f>
        <v>42.7184466</v>
      </c>
      <c r="W1331" s="16" t="str">
        <f>IFERROR(__xludf.DUMMYFUNCTION("IFERROR(GOOGLEFINANCE(A1331, ""volume"") / GOOGLEFINANCE(A1331, ""volumeavg""), )"),"")</f>
        <v/>
      </c>
      <c r="X1331" s="9">
        <f>IFERROR(__xludf.DUMMYFUNCTION("B1331 * GOOGLEFINANCE(A1331, ""volume"")"),2.40145854E7)</f>
        <v>24014585.4</v>
      </c>
      <c r="Y1331" s="9">
        <f>IFERROR(__xludf.DUMMYFUNCTION("IFERROR(((B1331 - GOOGLEFINANCE(A1331, ""priceopen"")) / GOOGLEFINANCE(A1331, ""priceopen"")) * GOOGLEFINANCE(A1331, ""volume""), 0)"),-1989.345470562339)</f>
        <v>-1989.345471</v>
      </c>
    </row>
    <row r="1332">
      <c r="A1332" s="4" t="s">
        <v>3125</v>
      </c>
      <c r="B1332" s="7">
        <f>IFERROR(__xludf.DUMMYFUNCTION("GOOGLEFINANCE(A1332, ""price"")"),291.5)</f>
        <v>291.5</v>
      </c>
      <c r="C1332" s="7">
        <f>IFERROR(__xludf.DUMMYFUNCTION("GOOGLEFINANCE(A1332, ""changepct"")"),-1.25)</f>
        <v>-1.25</v>
      </c>
      <c r="D1332" s="9">
        <f>IFERROR(__xludf.DUMMYFUNCTION("GOOGLEFINANCE(A1332, ""priceopen"")"),296.9)</f>
        <v>296.9</v>
      </c>
      <c r="E1332" s="9">
        <f>IFERROR(__xludf.DUMMYFUNCTION("GOOGLEFINANCE(A1332, ""high"")"),296.9)</f>
        <v>296.9</v>
      </c>
      <c r="F1332" s="9">
        <f>IFERROR(__xludf.DUMMYFUNCTION("GOOGLEFINANCE(A1332, ""low"")"),291.0)</f>
        <v>291</v>
      </c>
      <c r="G1332" s="9">
        <f>IFERROR(__xludf.DUMMYFUNCTION("GOOGLEFINANCE(A1332, ""price"")"),291.5)</f>
        <v>291.5</v>
      </c>
      <c r="H1332" s="9">
        <f>IFERROR(__xludf.DUMMYFUNCTION("MAX(INDEX(GOOGLEFINANCE(A1332, ""high"", TODAY()-30, TODAY()), 0, 2))"),307.0)</f>
        <v>307</v>
      </c>
      <c r="I1332" s="9">
        <f>IFERROR(__xludf.DUMMYFUNCTION("MIN(INDEX(GOOGLEFINANCE(A1332, ""low"", TODAY()-30, TODAY()), 0, 2))"),285.5)</f>
        <v>285.5</v>
      </c>
      <c r="J1332" s="9">
        <f>IFERROR(__xludf.DUMMYFUNCTION("GOOGLEFINANCE(A1332, ""high52"")"),323.7)</f>
        <v>323.7</v>
      </c>
      <c r="K1332" s="9">
        <f>IFERROR(__xludf.DUMMYFUNCTION("GOOGLEFINANCE(A1332, ""low52"")"),206.55)</f>
        <v>206.55</v>
      </c>
      <c r="L1332" s="9">
        <f t="shared" si="1"/>
        <v>0.09947482237</v>
      </c>
      <c r="M1332" s="9">
        <f t="shared" si="2"/>
        <v>0.4112805616</v>
      </c>
      <c r="N1332" s="9">
        <f t="shared" si="3"/>
        <v>0.02027491409</v>
      </c>
      <c r="O1332" s="9">
        <f t="shared" si="4"/>
        <v>0.2790697674</v>
      </c>
      <c r="P1332" s="9">
        <f>IFERROR(__xludf.DUMMYFUNCTION("GOOGLEFINANCE(A1332, ""pe"")"),8.81)</f>
        <v>8.81</v>
      </c>
      <c r="Q1332" s="9">
        <f>IFERROR(__xludf.DUMMYFUNCTION("IFERROR(GOOGLEFINANCE(A1332, ""volume"") / GOOGLEFINANCE(A1332, ""volumeavg""), 0)"),0.0)</f>
        <v>0</v>
      </c>
      <c r="R1332" s="9">
        <f>IFERROR(__xludf.DUMMYFUNCTION("AVERAGE(INDEX(GOOGLEFINANCE(A1332, ""price"", TODAY()-30, TODAY()), 0, 2))"),297.204347826087)</f>
        <v>297.2043478</v>
      </c>
      <c r="S1332" s="9">
        <f>IFERROR(__xludf.DUMMYFUNCTION("AVERAGE(INDEX(GOOGLEFINANCE(A1332, ""price"", TODAY()-75, TODAY()), 0, 2))"),288.30377358490557)</f>
        <v>288.3037736</v>
      </c>
      <c r="T1332" s="9">
        <f>IFERROR(__xludf.DUMMYFUNCTION("AVERAGE(INDEX(GOOGLEFINANCE(A1332, ""price"", TODAY()-300, TODAY()), 0, 2))"),270.79099009900983)</f>
        <v>270.7909901</v>
      </c>
      <c r="U1332" s="9">
        <f t="shared" si="5"/>
        <v>-0.01919335255</v>
      </c>
      <c r="V1332" s="15">
        <f>IFERROR(__xludf.DUMMYFUNCTION("LET(hist, GOOGLEFINANCE(A1332,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rs))))))"),42.16380182002021)</f>
        <v>42.16380182</v>
      </c>
      <c r="W1332" s="16" t="str">
        <f>IFERROR(__xludf.DUMMYFUNCTION("IFERROR(GOOGLEFINANCE(A1332, ""volume"") / GOOGLEFINANCE(A1332, ""volumeavg""), )"),"")</f>
        <v/>
      </c>
      <c r="X1332" s="9">
        <f>IFERROR(__xludf.DUMMYFUNCTION("B1332 * GOOGLEFINANCE(A1332, ""volume"")"),2207529.5)</f>
        <v>2207529.5</v>
      </c>
      <c r="Y1332" s="9">
        <f>IFERROR(__xludf.DUMMYFUNCTION("IFERROR(((B1332 - GOOGLEFINANCE(A1332, ""priceopen"")) / GOOGLEFINANCE(A1332, ""priceopen"")) * GOOGLEFINANCE(A1332, ""volume""), 0)"),-137.7372852812389)</f>
        <v>-137.7372853</v>
      </c>
    </row>
    <row r="1333">
      <c r="A1333" s="4" t="s">
        <v>3126</v>
      </c>
      <c r="B1333" s="7">
        <f>IFERROR(__xludf.DUMMYFUNCTION("GOOGLEFINANCE(A1333, ""price"")"),159.5)</f>
        <v>159.5</v>
      </c>
      <c r="C1333" s="7">
        <f>IFERROR(__xludf.DUMMYFUNCTION("GOOGLEFINANCE(A1333, ""changepct"")"),-1.83)</f>
        <v>-1.83</v>
      </c>
      <c r="D1333" s="9">
        <f>IFERROR(__xludf.DUMMYFUNCTION("GOOGLEFINANCE(A1333, ""priceopen"")"),163.65)</f>
        <v>163.65</v>
      </c>
      <c r="E1333" s="9">
        <f>IFERROR(__xludf.DUMMYFUNCTION("GOOGLEFINANCE(A1333, ""high"")"),164.65)</f>
        <v>164.65</v>
      </c>
      <c r="F1333" s="9">
        <f>IFERROR(__xludf.DUMMYFUNCTION("GOOGLEFINANCE(A1333, ""low"")"),159.1)</f>
        <v>159.1</v>
      </c>
      <c r="G1333" s="9">
        <f>IFERROR(__xludf.DUMMYFUNCTION("GOOGLEFINANCE(A1333, ""price"")"),159.5)</f>
        <v>159.5</v>
      </c>
      <c r="H1333" s="9">
        <f>IFERROR(__xludf.DUMMYFUNCTION("MAX(INDEX(GOOGLEFINANCE(A1333, ""high"", TODAY()-30, TODAY()), 0, 2))"),189.47)</f>
        <v>189.47</v>
      </c>
      <c r="I1333" s="9">
        <f>IFERROR(__xludf.DUMMYFUNCTION("MIN(INDEX(GOOGLEFINANCE(A1333, ""low"", TODAY()-30, TODAY()), 0, 2))"),142.22)</f>
        <v>142.22</v>
      </c>
      <c r="J1333" s="9">
        <f>IFERROR(__xludf.DUMMYFUNCTION("GOOGLEFINANCE(A1333, ""high52"")"),339.0)</f>
        <v>339</v>
      </c>
      <c r="K1333" s="9">
        <f>IFERROR(__xludf.DUMMYFUNCTION("GOOGLEFINANCE(A1333, ""low52"")"),110.03)</f>
        <v>110.03</v>
      </c>
      <c r="L1333" s="9">
        <f t="shared" si="1"/>
        <v>0.5294985251</v>
      </c>
      <c r="M1333" s="9">
        <f t="shared" si="2"/>
        <v>0.4496046533</v>
      </c>
      <c r="N1333" s="9">
        <f t="shared" si="3"/>
        <v>0.03488372093</v>
      </c>
      <c r="O1333" s="9">
        <f t="shared" si="4"/>
        <v>0.3657142857</v>
      </c>
      <c r="P1333" s="9">
        <f>IFERROR(__xludf.DUMMYFUNCTION("GOOGLEFINANCE(A1333, ""pe"")"),25.36)</f>
        <v>25.36</v>
      </c>
      <c r="Q1333" s="9">
        <f>IFERROR(__xludf.DUMMYFUNCTION("IFERROR(GOOGLEFINANCE(A1333, ""volume"") / GOOGLEFINANCE(A1333, ""volumeavg""), 0)"),0.0)</f>
        <v>0</v>
      </c>
      <c r="R1333" s="9">
        <f>IFERROR(__xludf.DUMMYFUNCTION("AVERAGE(INDEX(GOOGLEFINANCE(A1333, ""price"", TODAY()-30, TODAY()), 0, 2))"),164.46260869565216)</f>
        <v>164.4626087</v>
      </c>
      <c r="S1333" s="9">
        <f>IFERROR(__xludf.DUMMYFUNCTION("AVERAGE(INDEX(GOOGLEFINANCE(A1333, ""price"", TODAY()-75, TODAY()), 0, 2))"),149.66377358490567)</f>
        <v>149.6637736</v>
      </c>
      <c r="T1333" s="9">
        <f>IFERROR(__xludf.DUMMYFUNCTION("AVERAGE(INDEX(GOOGLEFINANCE(A1333, ""price"", TODAY()-300, TODAY()), 0, 2))"),196.65445544554464)</f>
        <v>196.6544554</v>
      </c>
      <c r="U1333" s="9">
        <f t="shared" si="5"/>
        <v>-0.03017469281</v>
      </c>
      <c r="V1333" s="15">
        <f>IFERROR(__xludf.DUMMYFUNCTION("LET(hist, GOOGLEFINANCE(A1333,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rs))))))"),34.937106918238996)</f>
        <v>34.93710692</v>
      </c>
      <c r="W1333" s="16" t="str">
        <f>IFERROR(__xludf.DUMMYFUNCTION("IFERROR(GOOGLEFINANCE(A1333, ""volume"") / GOOGLEFINANCE(A1333, ""volumeavg""), )"),"")</f>
        <v/>
      </c>
      <c r="X1333" s="9">
        <f>IFERROR(__xludf.DUMMYFUNCTION("B1333 * GOOGLEFINANCE(A1333, ""volume"")"),5.97096225E7)</f>
        <v>59709622.5</v>
      </c>
      <c r="Y1333" s="9">
        <f>IFERROR(__xludf.DUMMYFUNCTION("IFERROR(((B1333 - GOOGLEFINANCE(A1333, ""priceopen"")) / GOOGLEFINANCE(A1333, ""priceopen"")) * GOOGLEFINANCE(A1333, ""volume""), 0)"),-9493.267644362983)</f>
        <v>-9493.267644</v>
      </c>
    </row>
    <row r="1334">
      <c r="A1334" s="4" t="s">
        <v>3127</v>
      </c>
      <c r="B1334" s="7">
        <f>IFERROR(__xludf.DUMMYFUNCTION("GOOGLEFINANCE(A1334, ""price"")"),256.0)</f>
        <v>256</v>
      </c>
      <c r="C1334" s="7">
        <f>IFERROR(__xludf.DUMMYFUNCTION("GOOGLEFINANCE(A1334, ""changepct"")"),-2.5)</f>
        <v>-2.5</v>
      </c>
      <c r="D1334" s="9">
        <f>IFERROR(__xludf.DUMMYFUNCTION("GOOGLEFINANCE(A1334, ""priceopen"")"),263.0)</f>
        <v>263</v>
      </c>
      <c r="E1334" s="9">
        <f>IFERROR(__xludf.DUMMYFUNCTION("GOOGLEFINANCE(A1334, ""high"")"),265.99)</f>
        <v>265.99</v>
      </c>
      <c r="F1334" s="9">
        <f>IFERROR(__xludf.DUMMYFUNCTION("GOOGLEFINANCE(A1334, ""low"")"),254.77)</f>
        <v>254.77</v>
      </c>
      <c r="G1334" s="9">
        <f>IFERROR(__xludf.DUMMYFUNCTION("GOOGLEFINANCE(A1334, ""price"")"),256.0)</f>
        <v>256</v>
      </c>
      <c r="H1334" s="9">
        <f>IFERROR(__xludf.DUMMYFUNCTION("MAX(INDEX(GOOGLEFINANCE(A1334, ""high"", TODAY()-30, TODAY()), 0, 2))"),372.0)</f>
        <v>372</v>
      </c>
      <c r="I1334" s="9">
        <f>IFERROR(__xludf.DUMMYFUNCTION("MIN(INDEX(GOOGLEFINANCE(A1334, ""low"", TODAY()-30, TODAY()), 0, 2))"),229.5)</f>
        <v>229.5</v>
      </c>
      <c r="J1334" s="9">
        <f>IFERROR(__xludf.DUMMYFUNCTION("GOOGLEFINANCE(A1334, ""high52"")"),372.0)</f>
        <v>372</v>
      </c>
      <c r="K1334" s="9">
        <f>IFERROR(__xludf.DUMMYFUNCTION("GOOGLEFINANCE(A1334, ""low52"")"),143.1)</f>
        <v>143.1</v>
      </c>
      <c r="L1334" s="9">
        <f t="shared" si="1"/>
        <v>0.311827957</v>
      </c>
      <c r="M1334" s="9">
        <f t="shared" si="2"/>
        <v>0.7889587701</v>
      </c>
      <c r="N1334" s="9">
        <f t="shared" si="3"/>
        <v>0.0440397221</v>
      </c>
      <c r="O1334" s="9">
        <f t="shared" si="4"/>
        <v>0.1859649123</v>
      </c>
      <c r="P1334" s="9">
        <f>IFERROR(__xludf.DUMMYFUNCTION("GOOGLEFINANCE(A1334, ""pe"")"),12.11)</f>
        <v>12.11</v>
      </c>
      <c r="Q1334" s="9">
        <f>IFERROR(__xludf.DUMMYFUNCTION("IFERROR(GOOGLEFINANCE(A1334, ""volume"") / GOOGLEFINANCE(A1334, ""volumeavg""), 0)"),0.0)</f>
        <v>0</v>
      </c>
      <c r="R1334" s="9">
        <f>IFERROR(__xludf.DUMMYFUNCTION("AVERAGE(INDEX(GOOGLEFINANCE(A1334, ""price"", TODAY()-30, TODAY()), 0, 2))"),287.3508695652174)</f>
        <v>287.3508696</v>
      </c>
      <c r="S1334" s="9">
        <f>IFERROR(__xludf.DUMMYFUNCTION("AVERAGE(INDEX(GOOGLEFINANCE(A1334, ""price"", TODAY()-75, TODAY()), 0, 2))"),274.0867924528302)</f>
        <v>274.0867925</v>
      </c>
      <c r="T1334" s="9">
        <f>IFERROR(__xludf.DUMMYFUNCTION("AVERAGE(INDEX(GOOGLEFINANCE(A1334, ""price"", TODAY()-300, TODAY()), 0, 2))"),208.58316831683166)</f>
        <v>208.5831683</v>
      </c>
      <c r="U1334" s="9">
        <f t="shared" si="5"/>
        <v>-0.1091030962</v>
      </c>
      <c r="V1334" s="15">
        <f>IFERROR(__xludf.DUMMYFUNCTION("LET(hist, GOOGLEFINANCE(A1334,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rs))))))"),27.587402885682565)</f>
        <v>27.58740289</v>
      </c>
      <c r="W1334" s="16" t="str">
        <f>IFERROR(__xludf.DUMMYFUNCTION("IFERROR(GOOGLEFINANCE(A1334, ""volume"") / GOOGLEFINANCE(A1334, ""volumeavg""), )"),"")</f>
        <v/>
      </c>
      <c r="X1334" s="9">
        <f>IFERROR(__xludf.DUMMYFUNCTION("B1334 * GOOGLEFINANCE(A1334, ""volume"")"),1.15606272E8)</f>
        <v>115606272</v>
      </c>
      <c r="Y1334" s="9">
        <f>IFERROR(__xludf.DUMMYFUNCTION("IFERROR(((B1334 - GOOGLEFINANCE(A1334, ""priceopen"")) / GOOGLEFINANCE(A1334, ""priceopen"")) * GOOGLEFINANCE(A1334, ""volume""), 0)"),-12019.425855513307)</f>
        <v>-12019.42586</v>
      </c>
    </row>
    <row r="1335">
      <c r="A1335" s="4" t="s">
        <v>3128</v>
      </c>
      <c r="B1335" s="7">
        <f>IFERROR(__xludf.DUMMYFUNCTION("GOOGLEFINANCE(A1335, ""price"")"),269.7)</f>
        <v>269.7</v>
      </c>
      <c r="C1335" s="7">
        <f>IFERROR(__xludf.DUMMYFUNCTION("GOOGLEFINANCE(A1335, ""changepct"")"),4.43)</f>
        <v>4.43</v>
      </c>
      <c r="D1335" s="9">
        <f>IFERROR(__xludf.DUMMYFUNCTION("GOOGLEFINANCE(A1335, ""priceopen"")"),259.9)</f>
        <v>259.9</v>
      </c>
      <c r="E1335" s="9">
        <f>IFERROR(__xludf.DUMMYFUNCTION("GOOGLEFINANCE(A1335, ""high"")"),272.0)</f>
        <v>272</v>
      </c>
      <c r="F1335" s="9">
        <f>IFERROR(__xludf.DUMMYFUNCTION("GOOGLEFINANCE(A1335, ""low"")"),259.85)</f>
        <v>259.85</v>
      </c>
      <c r="G1335" s="9">
        <f>IFERROR(__xludf.DUMMYFUNCTION("GOOGLEFINANCE(A1335, ""price"")"),269.7)</f>
        <v>269.7</v>
      </c>
      <c r="H1335" s="9">
        <f>IFERROR(__xludf.DUMMYFUNCTION("MAX(INDEX(GOOGLEFINANCE(A1335, ""high"", TODAY()-30, TODAY()), 0, 2))"),281.85)</f>
        <v>281.85</v>
      </c>
      <c r="I1335" s="9">
        <f>IFERROR(__xludf.DUMMYFUNCTION("MIN(INDEX(GOOGLEFINANCE(A1335, ""low"", TODAY()-30, TODAY()), 0, 2))"),240.4)</f>
        <v>240.4</v>
      </c>
      <c r="J1335" s="9">
        <f>IFERROR(__xludf.DUMMYFUNCTION("GOOGLEFINANCE(A1335, ""high52"")"),333.0)</f>
        <v>333</v>
      </c>
      <c r="K1335" s="9">
        <f>IFERROR(__xludf.DUMMYFUNCTION("GOOGLEFINANCE(A1335, ""low52"")"),224.1)</f>
        <v>224.1</v>
      </c>
      <c r="L1335" s="9">
        <f t="shared" si="1"/>
        <v>0.1900900901</v>
      </c>
      <c r="M1335" s="9">
        <f t="shared" si="2"/>
        <v>0.203480589</v>
      </c>
      <c r="N1335" s="9">
        <f t="shared" si="3"/>
        <v>0.04675774485</v>
      </c>
      <c r="O1335" s="9">
        <f t="shared" si="4"/>
        <v>0.7068757539</v>
      </c>
      <c r="P1335" s="9">
        <f>IFERROR(__xludf.DUMMYFUNCTION("GOOGLEFINANCE(A1335, ""pe"")"),43.64)</f>
        <v>43.64</v>
      </c>
      <c r="Q1335" s="9">
        <f>IFERROR(__xludf.DUMMYFUNCTION("IFERROR(GOOGLEFINANCE(A1335, ""volume"") / GOOGLEFINANCE(A1335, ""volumeavg""), 0)"),0.0)</f>
        <v>0</v>
      </c>
      <c r="R1335" s="9">
        <f>IFERROR(__xludf.DUMMYFUNCTION("AVERAGE(INDEX(GOOGLEFINANCE(A1335, ""price"", TODAY()-30, TODAY()), 0, 2))"),256.0413043478261)</f>
        <v>256.0413043</v>
      </c>
      <c r="S1335" s="9">
        <f>IFERROR(__xludf.DUMMYFUNCTION("AVERAGE(INDEX(GOOGLEFINANCE(A1335, ""price"", TODAY()-75, TODAY()), 0, 2))"),265.30754716981136)</f>
        <v>265.3075472</v>
      </c>
      <c r="T1335" s="9">
        <f>IFERROR(__xludf.DUMMYFUNCTION("AVERAGE(INDEX(GOOGLEFINANCE(A1335, ""price"", TODAY()-300, TODAY()), 0, 2))"),277.79623762376247)</f>
        <v>277.7962376</v>
      </c>
      <c r="U1335" s="9">
        <f t="shared" si="5"/>
        <v>0.05334567283</v>
      </c>
      <c r="V1335" s="15">
        <f>IFERROR(__xludf.DUMMYFUNCTION("LET(hist, GOOGLEFINANCE(A1335,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rs))))))"),59.24006908462871)</f>
        <v>59.24006908</v>
      </c>
      <c r="W1335" s="16" t="str">
        <f>IFERROR(__xludf.DUMMYFUNCTION("IFERROR(GOOGLEFINANCE(A1335, ""volume"") / GOOGLEFINANCE(A1335, ""volumeavg""), )"),"")</f>
        <v/>
      </c>
      <c r="X1335" s="9">
        <f>IFERROR(__xludf.DUMMYFUNCTION("B1335 * GOOGLEFINANCE(A1335, ""volume"")"),5.4905526E7)</f>
        <v>54905526</v>
      </c>
      <c r="Y1335" s="9">
        <f>IFERROR(__xludf.DUMMYFUNCTION("IFERROR(((B1335 - GOOGLEFINANCE(A1335, ""priceopen"")) / GOOGLEFINANCE(A1335, ""priceopen"")) * GOOGLEFINANCE(A1335, ""volume""), 0)"),7676.352443247413)</f>
        <v>7676.352443</v>
      </c>
    </row>
    <row r="1336">
      <c r="A1336" s="4" t="s">
        <v>3129</v>
      </c>
      <c r="B1336" s="7">
        <f>IFERROR(__xludf.DUMMYFUNCTION("GOOGLEFINANCE(A1336, ""price"")"),830.0)</f>
        <v>830</v>
      </c>
      <c r="C1336" s="7">
        <f>IFERROR(__xludf.DUMMYFUNCTION("GOOGLEFINANCE(A1336, ""changepct"")"),2.29)</f>
        <v>2.29</v>
      </c>
      <c r="D1336" s="9">
        <f>IFERROR(__xludf.DUMMYFUNCTION("GOOGLEFINANCE(A1336, ""priceopen"")"),816.5)</f>
        <v>816.5</v>
      </c>
      <c r="E1336" s="9">
        <f>IFERROR(__xludf.DUMMYFUNCTION("GOOGLEFINANCE(A1336, ""high"")"),834.9)</f>
        <v>834.9</v>
      </c>
      <c r="F1336" s="9">
        <f>IFERROR(__xludf.DUMMYFUNCTION("GOOGLEFINANCE(A1336, ""low"")"),811.45)</f>
        <v>811.45</v>
      </c>
      <c r="G1336" s="9">
        <f>IFERROR(__xludf.DUMMYFUNCTION("GOOGLEFINANCE(A1336, ""price"")"),830.0)</f>
        <v>830</v>
      </c>
      <c r="H1336" s="9">
        <f>IFERROR(__xludf.DUMMYFUNCTION("MAX(INDEX(GOOGLEFINANCE(A1336, ""high"", TODAY()-30, TODAY()), 0, 2))"),903.5)</f>
        <v>903.5</v>
      </c>
      <c r="I1336" s="9">
        <f>IFERROR(__xludf.DUMMYFUNCTION("MIN(INDEX(GOOGLEFINANCE(A1336, ""low"", TODAY()-30, TODAY()), 0, 2))"),756.05)</f>
        <v>756.05</v>
      </c>
      <c r="J1336" s="9">
        <f>IFERROR(__xludf.DUMMYFUNCTION("GOOGLEFINANCE(A1336, ""high52"")"),920.0)</f>
        <v>920</v>
      </c>
      <c r="K1336" s="9">
        <f>IFERROR(__xludf.DUMMYFUNCTION("GOOGLEFINANCE(A1336, ""low52"")"),660.3)</f>
        <v>660.3</v>
      </c>
      <c r="L1336" s="9">
        <f t="shared" si="1"/>
        <v>0.09782608696</v>
      </c>
      <c r="M1336" s="9">
        <f t="shared" si="2"/>
        <v>0.2570043919</v>
      </c>
      <c r="N1336" s="9">
        <f t="shared" si="3"/>
        <v>0.02889888471</v>
      </c>
      <c r="O1336" s="9">
        <f t="shared" si="4"/>
        <v>0.501525941</v>
      </c>
      <c r="P1336" s="9">
        <f>IFERROR(__xludf.DUMMYFUNCTION("GOOGLEFINANCE(A1336, ""pe"")"),107.37)</f>
        <v>107.37</v>
      </c>
      <c r="Q1336" s="9">
        <f>IFERROR(__xludf.DUMMYFUNCTION("IFERROR(GOOGLEFINANCE(A1336, ""volume"") / GOOGLEFINANCE(A1336, ""volumeavg""), 0)"),0.0)</f>
        <v>0</v>
      </c>
      <c r="R1336" s="9">
        <f>IFERROR(__xludf.DUMMYFUNCTION("AVERAGE(INDEX(GOOGLEFINANCE(A1336, ""price"", TODAY()-30, TODAY()), 0, 2))"),824.3978260869566)</f>
        <v>824.3978261</v>
      </c>
      <c r="S1336" s="9">
        <f>IFERROR(__xludf.DUMMYFUNCTION("AVERAGE(INDEX(GOOGLEFINANCE(A1336, ""price"", TODAY()-75, TODAY()), 0, 2))"),794.1226415094337)</f>
        <v>794.1226415</v>
      </c>
      <c r="T1336" s="9">
        <f>IFERROR(__xludf.DUMMYFUNCTION("AVERAGE(INDEX(GOOGLEFINANCE(A1336, ""price"", TODAY()-300, TODAY()), 0, 2))"),767.6233830845772)</f>
        <v>767.6233831</v>
      </c>
      <c r="U1336" s="9">
        <f t="shared" si="5"/>
        <v>0.006795473903</v>
      </c>
      <c r="V1336" s="15">
        <f>IFERROR(__xludf.DUMMYFUNCTION("LET(hist, GOOGLEFINANCE(A1336,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rs))))))"),41.575274177467584)</f>
        <v>41.57527418</v>
      </c>
      <c r="W1336" s="16" t="str">
        <f>IFERROR(__xludf.DUMMYFUNCTION("IFERROR(GOOGLEFINANCE(A1336, ""volume"") / GOOGLEFINANCE(A1336, ""volumeavg""), )"),"")</f>
        <v/>
      </c>
      <c r="X1336" s="9">
        <f>IFERROR(__xludf.DUMMYFUNCTION("B1336 * GOOGLEFINANCE(A1336, ""volume"")"),2.010011E7)</f>
        <v>20100110</v>
      </c>
      <c r="Y1336" s="9">
        <f>IFERROR(__xludf.DUMMYFUNCTION("IFERROR(((B1336 - GOOGLEFINANCE(A1336, ""priceopen"")) / GOOGLEFINANCE(A1336, ""priceopen"")) * GOOGLEFINANCE(A1336, ""volume""), 0)"),400.40355174525416)</f>
        <v>400.4035517</v>
      </c>
    </row>
    <row r="1337">
      <c r="A1337" s="4" t="s">
        <v>3130</v>
      </c>
      <c r="B1337" s="7">
        <f>IFERROR(__xludf.DUMMYFUNCTION("GOOGLEFINANCE(A1337, ""price"")"),93.67)</f>
        <v>93.67</v>
      </c>
      <c r="C1337" s="7">
        <f>IFERROR(__xludf.DUMMYFUNCTION("GOOGLEFINANCE(A1337, ""changepct"")"),-1.85)</f>
        <v>-1.85</v>
      </c>
      <c r="D1337" s="9">
        <f>IFERROR(__xludf.DUMMYFUNCTION("GOOGLEFINANCE(A1337, ""priceopen"")"),95.31)</f>
        <v>95.31</v>
      </c>
      <c r="E1337" s="9">
        <f>IFERROR(__xludf.DUMMYFUNCTION("GOOGLEFINANCE(A1337, ""high"")"),95.54)</f>
        <v>95.54</v>
      </c>
      <c r="F1337" s="9">
        <f>IFERROR(__xludf.DUMMYFUNCTION("GOOGLEFINANCE(A1337, ""low"")"),93.21)</f>
        <v>93.21</v>
      </c>
      <c r="G1337" s="9">
        <f>IFERROR(__xludf.DUMMYFUNCTION("GOOGLEFINANCE(A1337, ""price"")"),93.67)</f>
        <v>93.67</v>
      </c>
      <c r="H1337" s="9">
        <f>IFERROR(__xludf.DUMMYFUNCTION("MAX(INDEX(GOOGLEFINANCE(A1337, ""high"", TODAY()-30, TODAY()), 0, 2))"),101.8)</f>
        <v>101.8</v>
      </c>
      <c r="I1337" s="9">
        <f>IFERROR(__xludf.DUMMYFUNCTION("MIN(INDEX(GOOGLEFINANCE(A1337, ""low"", TODAY()-30, TODAY()), 0, 2))"),89.81)</f>
        <v>89.81</v>
      </c>
      <c r="J1337" s="9">
        <f>IFERROR(__xludf.DUMMYFUNCTION("GOOGLEFINANCE(A1337, ""high52"")"),117.75)</f>
        <v>117.75</v>
      </c>
      <c r="K1337" s="9">
        <f>IFERROR(__xludf.DUMMYFUNCTION("GOOGLEFINANCE(A1337, ""low52"")"),49.0)</f>
        <v>49</v>
      </c>
      <c r="L1337" s="9">
        <f t="shared" si="1"/>
        <v>0.2045010616</v>
      </c>
      <c r="M1337" s="9">
        <f t="shared" si="2"/>
        <v>0.9116326531</v>
      </c>
      <c r="N1337" s="9">
        <f t="shared" si="3"/>
        <v>0.02499731788</v>
      </c>
      <c r="O1337" s="9">
        <f t="shared" si="4"/>
        <v>0.3219349458</v>
      </c>
      <c r="P1337" s="9">
        <f>IFERROR(__xludf.DUMMYFUNCTION("GOOGLEFINANCE(A1337, ""pe"")"),144.11)</f>
        <v>144.11</v>
      </c>
      <c r="Q1337" s="9">
        <f>IFERROR(__xludf.DUMMYFUNCTION("IFERROR(GOOGLEFINANCE(A1337, ""volume"") / GOOGLEFINANCE(A1337, ""volumeavg""), 0)"),0.0)</f>
        <v>0</v>
      </c>
      <c r="R1337" s="9">
        <f>IFERROR(__xludf.DUMMYFUNCTION("AVERAGE(INDEX(GOOGLEFINANCE(A1337, ""price"", TODAY()-30, TODAY()), 0, 2))"),96.46869565217388)</f>
        <v>96.46869565</v>
      </c>
      <c r="S1337" s="9">
        <f>IFERROR(__xludf.DUMMYFUNCTION("AVERAGE(INDEX(GOOGLEFINANCE(A1337, ""price"", TODAY()-75, TODAY()), 0, 2))"),96.32830188679245)</f>
        <v>96.32830189</v>
      </c>
      <c r="T1337" s="9">
        <f>IFERROR(__xludf.DUMMYFUNCTION("AVERAGE(INDEX(GOOGLEFINANCE(A1337, ""price"", TODAY()-300, TODAY()), 0, 2))"),84.42495049504949)</f>
        <v>84.4249505</v>
      </c>
      <c r="U1337" s="9">
        <f t="shared" si="5"/>
        <v>-0.02901143872</v>
      </c>
      <c r="V1337" s="15">
        <f>IFERROR(__xludf.DUMMYFUNCTION("LET(hist, GOOGLEFINANCE(A1337,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rs))))))"),52.892561983471076)</f>
        <v>52.89256198</v>
      </c>
      <c r="W1337" s="16" t="str">
        <f>IFERROR(__xludf.DUMMYFUNCTION("IFERROR(GOOGLEFINANCE(A1337, ""volume"") / GOOGLEFINANCE(A1337, ""volumeavg""), )"),"")</f>
        <v/>
      </c>
      <c r="X1337" s="9">
        <f>IFERROR(__xludf.DUMMYFUNCTION("B1337 * GOOGLEFINANCE(A1337, ""volume"")"),1.7860433580000002E7)</f>
        <v>17860433.58</v>
      </c>
      <c r="Y1337" s="9">
        <f>IFERROR(__xludf.DUMMYFUNCTION("IFERROR(((B1337 - GOOGLEFINANCE(A1337, ""priceopen"")) / GOOGLEFINANCE(A1337, ""priceopen"")) * GOOGLEFINANCE(A1337, ""volume""), 0)"),-3280.929178470256)</f>
        <v>-3280.929178</v>
      </c>
    </row>
    <row r="1338">
      <c r="A1338" s="4" t="s">
        <v>3131</v>
      </c>
      <c r="B1338" s="7">
        <f>IFERROR(__xludf.DUMMYFUNCTION("GOOGLEFINANCE(A1338, ""price"")"),26.96)</f>
        <v>26.96</v>
      </c>
      <c r="C1338" s="7">
        <f>IFERROR(__xludf.DUMMYFUNCTION("GOOGLEFINANCE(A1338, ""changepct"")"),-0.92)</f>
        <v>-0.92</v>
      </c>
      <c r="D1338" s="9">
        <f>IFERROR(__xludf.DUMMYFUNCTION("GOOGLEFINANCE(A1338, ""priceopen"")"),27.3)</f>
        <v>27.3</v>
      </c>
      <c r="E1338" s="9">
        <f>IFERROR(__xludf.DUMMYFUNCTION("GOOGLEFINANCE(A1338, ""high"")"),27.3)</f>
        <v>27.3</v>
      </c>
      <c r="F1338" s="9">
        <f>IFERROR(__xludf.DUMMYFUNCTION("GOOGLEFINANCE(A1338, ""low"")"),26.74)</f>
        <v>26.74</v>
      </c>
      <c r="G1338" s="9">
        <f>IFERROR(__xludf.DUMMYFUNCTION("GOOGLEFINANCE(A1338, ""price"")"),26.96)</f>
        <v>26.96</v>
      </c>
      <c r="H1338" s="9">
        <f>IFERROR(__xludf.DUMMYFUNCTION("MAX(INDEX(GOOGLEFINANCE(A1338, ""high"", TODAY()-30, TODAY()), 0, 2))"),30.99)</f>
        <v>30.99</v>
      </c>
      <c r="I1338" s="9">
        <f>IFERROR(__xludf.DUMMYFUNCTION("MIN(INDEX(GOOGLEFINANCE(A1338, ""low"", TODAY()-30, TODAY()), 0, 2))"),26.62)</f>
        <v>26.62</v>
      </c>
      <c r="J1338" s="9">
        <f>IFERROR(__xludf.DUMMYFUNCTION("GOOGLEFINANCE(A1338, ""high52"")"),37.93)</f>
        <v>37.93</v>
      </c>
      <c r="K1338" s="9">
        <f>IFERROR(__xludf.DUMMYFUNCTION("GOOGLEFINANCE(A1338, ""low52"")"),22.52)</f>
        <v>22.52</v>
      </c>
      <c r="L1338" s="9">
        <f t="shared" si="1"/>
        <v>0.2892169786</v>
      </c>
      <c r="M1338" s="9">
        <f t="shared" si="2"/>
        <v>0.1971580817</v>
      </c>
      <c r="N1338" s="9">
        <f t="shared" si="3"/>
        <v>0.02094240838</v>
      </c>
      <c r="O1338" s="9">
        <f t="shared" si="4"/>
        <v>0.07780320366</v>
      </c>
      <c r="P1338" s="9">
        <f>IFERROR(__xludf.DUMMYFUNCTION("GOOGLEFINANCE(A1338, ""pe"")"),8.67)</f>
        <v>8.67</v>
      </c>
      <c r="Q1338" s="9">
        <f>IFERROR(__xludf.DUMMYFUNCTION("IFERROR(GOOGLEFINANCE(A1338, ""volume"") / GOOGLEFINANCE(A1338, ""volumeavg""), 0)"),0.0)</f>
        <v>0</v>
      </c>
      <c r="R1338" s="9">
        <f>IFERROR(__xludf.DUMMYFUNCTION("AVERAGE(INDEX(GOOGLEFINANCE(A1338, ""price"", TODAY()-30, TODAY()), 0, 2))"),27.665217391304356)</f>
        <v>27.66521739</v>
      </c>
      <c r="S1338" s="9">
        <f>IFERROR(__xludf.DUMMYFUNCTION("AVERAGE(INDEX(GOOGLEFINANCE(A1338, ""price"", TODAY()-75, TODAY()), 0, 2))"),28.36622641509435)</f>
        <v>28.36622642</v>
      </c>
      <c r="T1338" s="9">
        <f>IFERROR(__xludf.DUMMYFUNCTION("AVERAGE(INDEX(GOOGLEFINANCE(A1338, ""price"", TODAY()-300, TODAY()), 0, 2))"),29.093283582089537)</f>
        <v>29.09328358</v>
      </c>
      <c r="U1338" s="9">
        <f t="shared" si="5"/>
        <v>-0.02549112054</v>
      </c>
      <c r="V1338" s="15">
        <f>IFERROR(__xludf.DUMMYFUNCTION("LET(hist, GOOGLEFINANCE(A1338,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rs))))))"),50.467289719626166)</f>
        <v>50.46728972</v>
      </c>
      <c r="W1338" s="16" t="str">
        <f>IFERROR(__xludf.DUMMYFUNCTION("IFERROR(GOOGLEFINANCE(A1338, ""volume"") / GOOGLEFINANCE(A1338, ""volumeavg""), )"),"")</f>
        <v/>
      </c>
      <c r="X1338" s="9">
        <f>IFERROR(__xludf.DUMMYFUNCTION("B1338 * GOOGLEFINANCE(A1338, ""volume"")"),1.070778408E7)</f>
        <v>10707784.08</v>
      </c>
      <c r="Y1338" s="9">
        <f>IFERROR(__xludf.DUMMYFUNCTION("IFERROR(((B1338 - GOOGLEFINANCE(A1338, ""priceopen"")) / GOOGLEFINANCE(A1338, ""priceopen"")) * GOOGLEFINANCE(A1338, ""volume""), 0)"),-4946.476923076921)</f>
        <v>-4946.476923</v>
      </c>
    </row>
    <row r="1339">
      <c r="A1339" s="4" t="s">
        <v>3132</v>
      </c>
      <c r="B1339" s="7">
        <f>IFERROR(__xludf.DUMMYFUNCTION("GOOGLEFINANCE(A1339, ""price"")"),543.05)</f>
        <v>543.05</v>
      </c>
      <c r="C1339" s="7">
        <f>IFERROR(__xludf.DUMMYFUNCTION("GOOGLEFINANCE(A1339, ""changepct"")"),-9.99)</f>
        <v>-9.99</v>
      </c>
      <c r="D1339" s="9">
        <f>IFERROR(__xludf.DUMMYFUNCTION("GOOGLEFINANCE(A1339, ""priceopen"")"),543.05)</f>
        <v>543.05</v>
      </c>
      <c r="E1339" s="9">
        <f>IFERROR(__xludf.DUMMYFUNCTION("GOOGLEFINANCE(A1339, ""high"")"),564.0)</f>
        <v>564</v>
      </c>
      <c r="F1339" s="9">
        <f>IFERROR(__xludf.DUMMYFUNCTION("GOOGLEFINANCE(A1339, ""low"")"),543.05)</f>
        <v>543.05</v>
      </c>
      <c r="G1339" s="9">
        <f>IFERROR(__xludf.DUMMYFUNCTION("GOOGLEFINANCE(A1339, ""price"")"),543.05)</f>
        <v>543.05</v>
      </c>
      <c r="H1339" s="9">
        <f>IFERROR(__xludf.DUMMYFUNCTION("MAX(INDEX(GOOGLEFINANCE(A1339, ""high"", TODAY()-30, TODAY()), 0, 2))"),615.0)</f>
        <v>615</v>
      </c>
      <c r="I1339" s="9">
        <f>IFERROR(__xludf.DUMMYFUNCTION("MIN(INDEX(GOOGLEFINANCE(A1339, ""low"", TODAY()-30, TODAY()), 0, 2))"),532.65)</f>
        <v>532.65</v>
      </c>
      <c r="J1339" s="9">
        <f>IFERROR(__xludf.DUMMYFUNCTION("GOOGLEFINANCE(A1339, ""high52"")"),650.05)</f>
        <v>650.05</v>
      </c>
      <c r="K1339" s="9">
        <f>IFERROR(__xludf.DUMMYFUNCTION("GOOGLEFINANCE(A1339, ""low52"")"),322.1)</f>
        <v>322.1</v>
      </c>
      <c r="L1339" s="9">
        <f t="shared" si="1"/>
        <v>0.1646027229</v>
      </c>
      <c r="M1339" s="9">
        <f t="shared" si="2"/>
        <v>0.685967091</v>
      </c>
      <c r="N1339" s="9">
        <f t="shared" si="3"/>
        <v>0.03857839978</v>
      </c>
      <c r="O1339" s="9">
        <f t="shared" si="4"/>
        <v>0.1262902247</v>
      </c>
      <c r="P1339" s="9">
        <f>IFERROR(__xludf.DUMMYFUNCTION("GOOGLEFINANCE(A1339, ""pe"")"),39.35)</f>
        <v>39.35</v>
      </c>
      <c r="Q1339" s="9">
        <f>IFERROR(__xludf.DUMMYFUNCTION("IFERROR(GOOGLEFINANCE(A1339, ""volume"") / GOOGLEFINANCE(A1339, ""volumeavg""), 0)"),0.0)</f>
        <v>0</v>
      </c>
      <c r="R1339" s="9">
        <f>IFERROR(__xludf.DUMMYFUNCTION("AVERAGE(INDEX(GOOGLEFINANCE(A1339, ""price"", TODAY()-30, TODAY()), 0, 2))"),557.3260869565219)</f>
        <v>557.326087</v>
      </c>
      <c r="S1339" s="9">
        <f>IFERROR(__xludf.DUMMYFUNCTION("AVERAGE(INDEX(GOOGLEFINANCE(A1339, ""price"", TODAY()-75, TODAY()), 0, 2))"),567.0207547169811)</f>
        <v>567.0207547</v>
      </c>
      <c r="T1339" s="9">
        <f>IFERROR(__xludf.DUMMYFUNCTION("AVERAGE(INDEX(GOOGLEFINANCE(A1339, ""price"", TODAY()-300, TODAY()), 0, 2))"),490.008415841584)</f>
        <v>490.0084158</v>
      </c>
      <c r="U1339" s="9">
        <f t="shared" si="5"/>
        <v>-0.02561532161</v>
      </c>
      <c r="V1339" s="15">
        <f>IFERROR(__xludf.DUMMYFUNCTION("LET(hist, GOOGLEFINANCE(A1339,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rs))))))"),49.521237417137236)</f>
        <v>49.52123742</v>
      </c>
      <c r="W1339" s="16" t="str">
        <f>IFERROR(__xludf.DUMMYFUNCTION("IFERROR(GOOGLEFINANCE(A1339, ""volume"") / GOOGLEFINANCE(A1339, ""volumeavg""), )"),"")</f>
        <v/>
      </c>
      <c r="X1339" s="9">
        <f>IFERROR(__xludf.DUMMYFUNCTION("B1339 * GOOGLEFINANCE(A1339, ""volume"")"),6.2732592949999996E7)</f>
        <v>62732592.95</v>
      </c>
      <c r="Y1339" s="9">
        <f>IFERROR(__xludf.DUMMYFUNCTION("IFERROR(((B1339 - GOOGLEFINANCE(A1339, ""priceopen"")) / GOOGLEFINANCE(A1339, ""priceopen"")) * GOOGLEFINANCE(A1339, ""volume""), 0)"),0.0)</f>
        <v>0</v>
      </c>
    </row>
    <row r="1340">
      <c r="A1340" s="4" t="s">
        <v>3133</v>
      </c>
      <c r="B1340" s="7">
        <f>IFERROR(__xludf.DUMMYFUNCTION("GOOGLEFINANCE(A1340, ""price"")"),210.35)</f>
        <v>210.35</v>
      </c>
      <c r="C1340" s="7">
        <f>IFERROR(__xludf.DUMMYFUNCTION("GOOGLEFINANCE(A1340, ""changepct"")"),2.03)</f>
        <v>2.03</v>
      </c>
      <c r="D1340" s="9">
        <f>IFERROR(__xludf.DUMMYFUNCTION("GOOGLEFINANCE(A1340, ""priceopen"")"),207.0)</f>
        <v>207</v>
      </c>
      <c r="E1340" s="9">
        <f>IFERROR(__xludf.DUMMYFUNCTION("GOOGLEFINANCE(A1340, ""high"")"),216.5)</f>
        <v>216.5</v>
      </c>
      <c r="F1340" s="9">
        <f>IFERROR(__xludf.DUMMYFUNCTION("GOOGLEFINANCE(A1340, ""low"")"),206.01)</f>
        <v>206.01</v>
      </c>
      <c r="G1340" s="9">
        <f>IFERROR(__xludf.DUMMYFUNCTION("GOOGLEFINANCE(A1340, ""price"")"),210.35)</f>
        <v>210.35</v>
      </c>
      <c r="H1340" s="9">
        <f>IFERROR(__xludf.DUMMYFUNCTION("MAX(INDEX(GOOGLEFINANCE(A1340, ""high"", TODAY()-30, TODAY()), 0, 2))"),218.49)</f>
        <v>218.49</v>
      </c>
      <c r="I1340" s="9">
        <f>IFERROR(__xludf.DUMMYFUNCTION("MIN(INDEX(GOOGLEFINANCE(A1340, ""low"", TODAY()-30, TODAY()), 0, 2))"),173.01)</f>
        <v>173.01</v>
      </c>
      <c r="J1340" s="9">
        <f>IFERROR(__xludf.DUMMYFUNCTION("GOOGLEFINANCE(A1340, ""high52"")"),218.49)</f>
        <v>218.49</v>
      </c>
      <c r="K1340" s="9">
        <f>IFERROR(__xludf.DUMMYFUNCTION("GOOGLEFINANCE(A1340, ""low52"")"),130.5)</f>
        <v>130.5</v>
      </c>
      <c r="L1340" s="9">
        <f t="shared" si="1"/>
        <v>0.03725570964</v>
      </c>
      <c r="M1340" s="9">
        <f t="shared" si="2"/>
        <v>0.6118773946</v>
      </c>
      <c r="N1340" s="9">
        <f t="shared" si="3"/>
        <v>0.05091985826</v>
      </c>
      <c r="O1340" s="9">
        <f t="shared" si="4"/>
        <v>0.8210202287</v>
      </c>
      <c r="P1340" s="9">
        <f>IFERROR(__xludf.DUMMYFUNCTION("GOOGLEFINANCE(A1340, ""pe"")"),10.8)</f>
        <v>10.8</v>
      </c>
      <c r="Q1340" s="9">
        <f>IFERROR(__xludf.DUMMYFUNCTION("IFERROR(GOOGLEFINANCE(A1340, ""volume"") / GOOGLEFINANCE(A1340, ""volumeavg""), 0)"),0.0)</f>
        <v>0</v>
      </c>
      <c r="R1340" s="9">
        <f>IFERROR(__xludf.DUMMYFUNCTION("AVERAGE(INDEX(GOOGLEFINANCE(A1340, ""price"", TODAY()-30, TODAY()), 0, 2))"),189.89130434782612)</f>
        <v>189.8913043</v>
      </c>
      <c r="S1340" s="9">
        <f>IFERROR(__xludf.DUMMYFUNCTION("AVERAGE(INDEX(GOOGLEFINANCE(A1340, ""price"", TODAY()-75, TODAY()), 0, 2))"),181.20905660377358)</f>
        <v>181.2090566</v>
      </c>
      <c r="T1340" s="9">
        <f>IFERROR(__xludf.DUMMYFUNCTION("AVERAGE(INDEX(GOOGLEFINANCE(A1340, ""price"", TODAY()-300, TODAY()), 0, 2))"),161.0828217821783)</f>
        <v>161.0828218</v>
      </c>
      <c r="U1340" s="9">
        <f t="shared" si="5"/>
        <v>0.1077389811</v>
      </c>
      <c r="V1340" s="15">
        <f>IFERROR(__xludf.DUMMYFUNCTION("LET(hist, GOOGLEFINANCE(A1340,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rs))))))"),69.22713306546915)</f>
        <v>69.22713307</v>
      </c>
      <c r="W1340" s="16" t="str">
        <f>IFERROR(__xludf.DUMMYFUNCTION("IFERROR(GOOGLEFINANCE(A1340, ""volume"") / GOOGLEFINANCE(A1340, ""volumeavg""), )"),"")</f>
        <v/>
      </c>
      <c r="X1340" s="9">
        <f>IFERROR(__xludf.DUMMYFUNCTION("B1340 * GOOGLEFINANCE(A1340, ""volume"")"),8.854212066E8)</f>
        <v>885421206.6</v>
      </c>
      <c r="Y1340" s="9">
        <f>IFERROR(__xludf.DUMMYFUNCTION("IFERROR(((B1340 - GOOGLEFINANCE(A1340, ""priceopen"")) / GOOGLEFINANCE(A1340, ""priceopen"")) * GOOGLEFINANCE(A1340, ""volume""), 0)"),68121.13333333323)</f>
        <v>68121.13333</v>
      </c>
    </row>
    <row r="1341">
      <c r="A1341" s="4" t="s">
        <v>3134</v>
      </c>
      <c r="B1341" s="7">
        <f>IFERROR(__xludf.DUMMYFUNCTION("GOOGLEFINANCE(A1341, ""price"")"),680.0)</f>
        <v>680</v>
      </c>
      <c r="C1341" s="7">
        <f>IFERROR(__xludf.DUMMYFUNCTION("GOOGLEFINANCE(A1341, ""changepct"")"),1.52)</f>
        <v>1.52</v>
      </c>
      <c r="D1341" s="9">
        <f>IFERROR(__xludf.DUMMYFUNCTION("GOOGLEFINANCE(A1341, ""priceopen"")"),672.7)</f>
        <v>672.7</v>
      </c>
      <c r="E1341" s="9">
        <f>IFERROR(__xludf.DUMMYFUNCTION("GOOGLEFINANCE(A1341, ""high"")"),680.0)</f>
        <v>680</v>
      </c>
      <c r="F1341" s="9">
        <f>IFERROR(__xludf.DUMMYFUNCTION("GOOGLEFINANCE(A1341, ""low"")"),664.7)</f>
        <v>664.7</v>
      </c>
      <c r="G1341" s="9">
        <f>IFERROR(__xludf.DUMMYFUNCTION("GOOGLEFINANCE(A1341, ""price"")"),680.0)</f>
        <v>680</v>
      </c>
      <c r="H1341" s="9">
        <f>IFERROR(__xludf.DUMMYFUNCTION("MAX(INDEX(GOOGLEFINANCE(A1341, ""high"", TODAY()-30, TODAY()), 0, 2))"),788.95)</f>
        <v>788.95</v>
      </c>
      <c r="I1341" s="9">
        <f>IFERROR(__xludf.DUMMYFUNCTION("MIN(INDEX(GOOGLEFINANCE(A1341, ""low"", TODAY()-30, TODAY()), 0, 2))"),658.1)</f>
        <v>658.1</v>
      </c>
      <c r="J1341" s="9">
        <f>IFERROR(__xludf.DUMMYFUNCTION("GOOGLEFINANCE(A1341, ""high52"")"),823.85)</f>
        <v>823.85</v>
      </c>
      <c r="K1341" s="9">
        <f>IFERROR(__xludf.DUMMYFUNCTION("GOOGLEFINANCE(A1341, ""low52"")"),565.8)</f>
        <v>565.8</v>
      </c>
      <c r="L1341" s="9">
        <f t="shared" si="1"/>
        <v>0.174607028</v>
      </c>
      <c r="M1341" s="9">
        <f t="shared" si="2"/>
        <v>0.2018381053</v>
      </c>
      <c r="N1341" s="9">
        <f t="shared" si="3"/>
        <v>0.02301790281</v>
      </c>
      <c r="O1341" s="9">
        <f t="shared" si="4"/>
        <v>0.1673672144</v>
      </c>
      <c r="P1341" s="9">
        <f>IFERROR(__xludf.DUMMYFUNCTION("GOOGLEFINANCE(A1341, ""pe"")"),25.28)</f>
        <v>25.28</v>
      </c>
      <c r="Q1341" s="9">
        <f>IFERROR(__xludf.DUMMYFUNCTION("IFERROR(GOOGLEFINANCE(A1341, ""volume"") / GOOGLEFINANCE(A1341, ""volumeavg""), 0)"),0.0)</f>
        <v>0</v>
      </c>
      <c r="R1341" s="9">
        <f>IFERROR(__xludf.DUMMYFUNCTION("AVERAGE(INDEX(GOOGLEFINANCE(A1341, ""price"", TODAY()-30, TODAY()), 0, 2))"),730.5478260869564)</f>
        <v>730.5478261</v>
      </c>
      <c r="S1341" s="9">
        <f>IFERROR(__xludf.DUMMYFUNCTION("AVERAGE(INDEX(GOOGLEFINANCE(A1341, ""price"", TODAY()-75, TODAY()), 0, 2))"),692.8754716981134)</f>
        <v>692.8754717</v>
      </c>
      <c r="T1341" s="9">
        <f>IFERROR(__xludf.DUMMYFUNCTION("AVERAGE(INDEX(GOOGLEFINANCE(A1341, ""price"", TODAY()-300, TODAY()), 0, 2))"),661.4601485148515)</f>
        <v>661.4601485</v>
      </c>
      <c r="U1341" s="9">
        <f t="shared" si="5"/>
        <v>-0.06919167272</v>
      </c>
      <c r="V1341" s="15">
        <f>IFERROR(__xludf.DUMMYFUNCTION("LET(hist, GOOGLEFINANCE(A1341,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rs))))))"),28.513513513513516)</f>
        <v>28.51351351</v>
      </c>
      <c r="W1341" s="16" t="str">
        <f>IFERROR(__xludf.DUMMYFUNCTION("IFERROR(GOOGLEFINANCE(A1341, ""volume"") / GOOGLEFINANCE(A1341, ""volumeavg""), )"),"")</f>
        <v/>
      </c>
      <c r="X1341" s="9">
        <f>IFERROR(__xludf.DUMMYFUNCTION("B1341 * GOOGLEFINANCE(A1341, ""volume"")"),6606880.0)</f>
        <v>6606880</v>
      </c>
      <c r="Y1341" s="9">
        <f>IFERROR(__xludf.DUMMYFUNCTION("IFERROR(((B1341 - GOOGLEFINANCE(A1341, ""priceopen"")) / GOOGLEFINANCE(A1341, ""priceopen"")) * GOOGLEFINANCE(A1341, ""volume""), 0)"),105.43600416233024)</f>
        <v>105.4360042</v>
      </c>
    </row>
    <row r="1342">
      <c r="A1342" s="4" t="s">
        <v>3135</v>
      </c>
      <c r="B1342" s="7">
        <f>IFERROR(__xludf.DUMMYFUNCTION("GOOGLEFINANCE(A1342, ""price"")"),1014.9)</f>
        <v>1014.9</v>
      </c>
      <c r="C1342" s="7">
        <f>IFERROR(__xludf.DUMMYFUNCTION("GOOGLEFINANCE(A1342, ""changepct"")"),-0.35)</f>
        <v>-0.35</v>
      </c>
      <c r="D1342" s="9">
        <f>IFERROR(__xludf.DUMMYFUNCTION("GOOGLEFINANCE(A1342, ""priceopen"")"),1016.2)</f>
        <v>1016.2</v>
      </c>
      <c r="E1342" s="9">
        <f>IFERROR(__xludf.DUMMYFUNCTION("GOOGLEFINANCE(A1342, ""high"")"),1045.0)</f>
        <v>1045</v>
      </c>
      <c r="F1342" s="9">
        <f>IFERROR(__xludf.DUMMYFUNCTION("GOOGLEFINANCE(A1342, ""low"")"),1001.4)</f>
        <v>1001.4</v>
      </c>
      <c r="G1342" s="9">
        <f>IFERROR(__xludf.DUMMYFUNCTION("GOOGLEFINANCE(A1342, ""price"")"),1014.9)</f>
        <v>1014.9</v>
      </c>
      <c r="H1342" s="9">
        <f>IFERROR(__xludf.DUMMYFUNCTION("MAX(INDEX(GOOGLEFINANCE(A1342, ""high"", TODAY()-30, TODAY()), 0, 2))"),1150.4)</f>
        <v>1150.4</v>
      </c>
      <c r="I1342" s="9">
        <f>IFERROR(__xludf.DUMMYFUNCTION("MIN(INDEX(GOOGLEFINANCE(A1342, ""low"", TODAY()-30, TODAY()), 0, 2))"),961.4)</f>
        <v>961.4</v>
      </c>
      <c r="J1342" s="9">
        <f>IFERROR(__xludf.DUMMYFUNCTION("GOOGLEFINANCE(A1342, ""high52"")"),1277.0)</f>
        <v>1277</v>
      </c>
      <c r="K1342" s="9">
        <f>IFERROR(__xludf.DUMMYFUNCTION("GOOGLEFINANCE(A1342, ""low52"")"),551.0)</f>
        <v>551</v>
      </c>
      <c r="L1342" s="9">
        <f t="shared" si="1"/>
        <v>0.2052466719</v>
      </c>
      <c r="M1342" s="9">
        <f t="shared" si="2"/>
        <v>0.841923775</v>
      </c>
      <c r="N1342" s="9">
        <f t="shared" si="3"/>
        <v>0.04353904534</v>
      </c>
      <c r="O1342" s="9">
        <f t="shared" si="4"/>
        <v>0.2830687831</v>
      </c>
      <c r="P1342" s="9" t="str">
        <f>IFERROR(__xludf.DUMMYFUNCTION("GOOGLEFINANCE(A1342, ""pe"")"),"#N/A")</f>
        <v>#N/A</v>
      </c>
      <c r="Q1342" s="9">
        <f>IFERROR(__xludf.DUMMYFUNCTION("IFERROR(GOOGLEFINANCE(A1342, ""volume"") / GOOGLEFINANCE(A1342, ""volumeavg""), 0)"),0.0)</f>
        <v>0</v>
      </c>
      <c r="R1342" s="9">
        <f>IFERROR(__xludf.DUMMYFUNCTION("AVERAGE(INDEX(GOOGLEFINANCE(A1342, ""price"", TODAY()-30, TODAY()), 0, 2))"),1029.4608695652175)</f>
        <v>1029.46087</v>
      </c>
      <c r="S1342" s="9">
        <f>IFERROR(__xludf.DUMMYFUNCTION("AVERAGE(INDEX(GOOGLEFINANCE(A1342, ""price"", TODAY()-75, TODAY()), 0, 2))"),1060.9707547169812)</f>
        <v>1060.970755</v>
      </c>
      <c r="T1342" s="9">
        <f>IFERROR(__xludf.DUMMYFUNCTION("AVERAGE(INDEX(GOOGLEFINANCE(A1342, ""price"", TODAY()-300, TODAY()), 0, 2))"),869.2997512437815)</f>
        <v>869.2997512</v>
      </c>
      <c r="U1342" s="9">
        <f t="shared" si="5"/>
        <v>-0.01414417002</v>
      </c>
      <c r="V1342" s="15">
        <f>IFERROR(__xludf.DUMMYFUNCTION("LET(hist, GOOGLEFINANCE(A1342,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rs))))))"),56.97026022304833)</f>
        <v>56.97026022</v>
      </c>
      <c r="W1342" s="16" t="str">
        <f>IFERROR(__xludf.DUMMYFUNCTION("IFERROR(GOOGLEFINANCE(A1342, ""volume"") / GOOGLEFINANCE(A1342, ""volumeavg""), )"),"")</f>
        <v/>
      </c>
      <c r="X1342" s="9">
        <f>IFERROR(__xludf.DUMMYFUNCTION("B1342 * GOOGLEFINANCE(A1342, ""volume"")"),7102270.2)</f>
        <v>7102270.2</v>
      </c>
      <c r="Y1342" s="9">
        <f>IFERROR(__xludf.DUMMYFUNCTION("IFERROR(((B1342 - GOOGLEFINANCE(A1342, ""priceopen"")) / GOOGLEFINANCE(A1342, ""priceopen"")) * GOOGLEFINANCE(A1342, ""volume""), 0)"),-8.95237158039803)</f>
        <v>-8.95237158</v>
      </c>
    </row>
    <row r="1343">
      <c r="A1343" s="4" t="s">
        <v>3136</v>
      </c>
      <c r="B1343" s="7">
        <f>IFERROR(__xludf.DUMMYFUNCTION("GOOGLEFINANCE(A1343, ""price"")"),11.1)</f>
        <v>11.1</v>
      </c>
      <c r="C1343" s="7">
        <f>IFERROR(__xludf.DUMMYFUNCTION("GOOGLEFINANCE(A1343, ""changepct"")"),-1.51)</f>
        <v>-1.51</v>
      </c>
      <c r="D1343" s="9">
        <f>IFERROR(__xludf.DUMMYFUNCTION("GOOGLEFINANCE(A1343, ""priceopen"")"),11.25)</f>
        <v>11.25</v>
      </c>
      <c r="E1343" s="9">
        <f>IFERROR(__xludf.DUMMYFUNCTION("GOOGLEFINANCE(A1343, ""high"")"),11.29)</f>
        <v>11.29</v>
      </c>
      <c r="F1343" s="9">
        <f>IFERROR(__xludf.DUMMYFUNCTION("GOOGLEFINANCE(A1343, ""low"")"),10.97)</f>
        <v>10.97</v>
      </c>
      <c r="G1343" s="9">
        <f>IFERROR(__xludf.DUMMYFUNCTION("GOOGLEFINANCE(A1343, ""price"")"),11.1)</f>
        <v>11.1</v>
      </c>
      <c r="H1343" s="9">
        <f>IFERROR(__xludf.DUMMYFUNCTION("MAX(INDEX(GOOGLEFINANCE(A1343, ""high"", TODAY()-30, TODAY()), 0, 2))"),12.45)</f>
        <v>12.45</v>
      </c>
      <c r="I1343" s="9">
        <f>IFERROR(__xludf.DUMMYFUNCTION("MIN(INDEX(GOOGLEFINANCE(A1343, ""low"", TODAY()-30, TODAY()), 0, 2))"),10.51)</f>
        <v>10.51</v>
      </c>
      <c r="J1343" s="9">
        <f>IFERROR(__xludf.DUMMYFUNCTION("GOOGLEFINANCE(A1343, ""high52"")"),17.42)</f>
        <v>17.42</v>
      </c>
      <c r="K1343" s="9">
        <f>IFERROR(__xludf.DUMMYFUNCTION("GOOGLEFINANCE(A1343, ""low52"")"),7.94)</f>
        <v>7.94</v>
      </c>
      <c r="L1343" s="9">
        <f t="shared" si="1"/>
        <v>0.3628013777</v>
      </c>
      <c r="M1343" s="9">
        <f t="shared" si="2"/>
        <v>0.3979848866</v>
      </c>
      <c r="N1343" s="9">
        <f t="shared" si="3"/>
        <v>0.0291704649</v>
      </c>
      <c r="O1343" s="9">
        <f t="shared" si="4"/>
        <v>0.3041237113</v>
      </c>
      <c r="P1343" s="9">
        <f>IFERROR(__xludf.DUMMYFUNCTION("GOOGLEFINANCE(A1343, ""pe"")"),20.6)</f>
        <v>20.6</v>
      </c>
      <c r="Q1343" s="9">
        <f>IFERROR(__xludf.DUMMYFUNCTION("IFERROR(GOOGLEFINANCE(A1343, ""volume"") / GOOGLEFINANCE(A1343, ""volumeavg""), 0)"),0.0)</f>
        <v>0</v>
      </c>
      <c r="R1343" s="9">
        <f>IFERROR(__xludf.DUMMYFUNCTION("AVERAGE(INDEX(GOOGLEFINANCE(A1343, ""price"", TODAY()-30, TODAY()), 0, 2))"),11.225652173913044)</f>
        <v>11.22565217</v>
      </c>
      <c r="S1343" s="9">
        <f>IFERROR(__xludf.DUMMYFUNCTION("AVERAGE(INDEX(GOOGLEFINANCE(A1343, ""price"", TODAY()-75, TODAY()), 0, 2))"),11.748113207547174)</f>
        <v>11.74811321</v>
      </c>
      <c r="T1343" s="9">
        <f>IFERROR(__xludf.DUMMYFUNCTION("AVERAGE(INDEX(GOOGLEFINANCE(A1343, ""price"", TODAY()-300, TODAY()), 0, 2))"),11.439702970297029)</f>
        <v>11.43970297</v>
      </c>
      <c r="U1343" s="9">
        <f t="shared" si="5"/>
        <v>-0.01119330725</v>
      </c>
      <c r="V1343" s="15">
        <f>IFERROR(__xludf.DUMMYFUNCTION("LET(hist, GOOGLEFINANCE(A1343,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rs))))))"),52.777777777777786)</f>
        <v>52.77777778</v>
      </c>
      <c r="W1343" s="16" t="str">
        <f>IFERROR(__xludf.DUMMYFUNCTION("IFERROR(GOOGLEFINANCE(A1343, ""volume"") / GOOGLEFINANCE(A1343, ""volumeavg""), )"),"")</f>
        <v/>
      </c>
      <c r="X1343" s="9">
        <f>IFERROR(__xludf.DUMMYFUNCTION("B1343 * GOOGLEFINANCE(A1343, ""volume"")"),3.80435295E7)</f>
        <v>38043529.5</v>
      </c>
      <c r="Y1343" s="9">
        <f>IFERROR(__xludf.DUMMYFUNCTION("IFERROR(((B1343 - GOOGLEFINANCE(A1343, ""priceopen"")) / GOOGLEFINANCE(A1343, ""priceopen"")) * GOOGLEFINANCE(A1343, ""volume""), 0)"),-45697.93333333344)</f>
        <v>-45697.93333</v>
      </c>
    </row>
    <row r="1344">
      <c r="A1344" s="4" t="s">
        <v>3137</v>
      </c>
      <c r="B1344" s="7">
        <f>IFERROR(__xludf.DUMMYFUNCTION("GOOGLEFINANCE(A1344, ""price"")"),403.0)</f>
        <v>403</v>
      </c>
      <c r="C1344" s="7">
        <f>IFERROR(__xludf.DUMMYFUNCTION("GOOGLEFINANCE(A1344, ""changepct"")"),-2.56)</f>
        <v>-2.56</v>
      </c>
      <c r="D1344" s="9">
        <f>IFERROR(__xludf.DUMMYFUNCTION("GOOGLEFINANCE(A1344, ""priceopen"")"),415.4)</f>
        <v>415.4</v>
      </c>
      <c r="E1344" s="9">
        <f>IFERROR(__xludf.DUMMYFUNCTION("GOOGLEFINANCE(A1344, ""high"")"),417.7)</f>
        <v>417.7</v>
      </c>
      <c r="F1344" s="9">
        <f>IFERROR(__xludf.DUMMYFUNCTION("GOOGLEFINANCE(A1344, ""low"")"),398.0)</f>
        <v>398</v>
      </c>
      <c r="G1344" s="9">
        <f>IFERROR(__xludf.DUMMYFUNCTION("GOOGLEFINANCE(A1344, ""price"")"),403.0)</f>
        <v>403</v>
      </c>
      <c r="H1344" s="9">
        <f>IFERROR(__xludf.DUMMYFUNCTION("MAX(INDEX(GOOGLEFINANCE(A1344, ""high"", TODAY()-30, TODAY()), 0, 2))"),430.0)</f>
        <v>430</v>
      </c>
      <c r="I1344" s="9">
        <f>IFERROR(__xludf.DUMMYFUNCTION("MIN(INDEX(GOOGLEFINANCE(A1344, ""low"", TODAY()-30, TODAY()), 0, 2))"),381.75)</f>
        <v>381.75</v>
      </c>
      <c r="J1344" s="9">
        <f>IFERROR(__xludf.DUMMYFUNCTION("GOOGLEFINANCE(A1344, ""high52"")"),476.0)</f>
        <v>476</v>
      </c>
      <c r="K1344" s="9">
        <f>IFERROR(__xludf.DUMMYFUNCTION("GOOGLEFINANCE(A1344, ""low52"")"),272.45)</f>
        <v>272.45</v>
      </c>
      <c r="L1344" s="9">
        <f t="shared" si="1"/>
        <v>0.1533613445</v>
      </c>
      <c r="M1344" s="9">
        <f t="shared" si="2"/>
        <v>0.47917049</v>
      </c>
      <c r="N1344" s="9">
        <f t="shared" si="3"/>
        <v>0.04949748744</v>
      </c>
      <c r="O1344" s="9">
        <f t="shared" si="4"/>
        <v>0.4404145078</v>
      </c>
      <c r="P1344" s="9">
        <f>IFERROR(__xludf.DUMMYFUNCTION("GOOGLEFINANCE(A1344, ""pe"")"),18.7)</f>
        <v>18.7</v>
      </c>
      <c r="Q1344" s="9">
        <f>IFERROR(__xludf.DUMMYFUNCTION("IFERROR(GOOGLEFINANCE(A1344, ""volume"") / GOOGLEFINANCE(A1344, ""volumeavg""), 0)"),0.0)</f>
        <v>0</v>
      </c>
      <c r="R1344" s="9">
        <f>IFERROR(__xludf.DUMMYFUNCTION("AVERAGE(INDEX(GOOGLEFINANCE(A1344, ""price"", TODAY()-30, TODAY()), 0, 2))"),402.98043478260865)</f>
        <v>402.9804348</v>
      </c>
      <c r="S1344" s="9">
        <f>IFERROR(__xludf.DUMMYFUNCTION("AVERAGE(INDEX(GOOGLEFINANCE(A1344, ""price"", TODAY()-75, TODAY()), 0, 2))"),393.9924528301887)</f>
        <v>393.9924528</v>
      </c>
      <c r="T1344" s="9">
        <f>IFERROR(__xludf.DUMMYFUNCTION("AVERAGE(INDEX(GOOGLEFINANCE(A1344, ""price"", TODAY()-300, TODAY()), 0, 2))"),369.66930693069304)</f>
        <v>369.6693069</v>
      </c>
      <c r="U1344" s="9">
        <f t="shared" si="5"/>
        <v>0.00004855128364</v>
      </c>
      <c r="V1344" s="15">
        <f>IFERROR(__xludf.DUMMYFUNCTION("LET(hist, GOOGLEFINANCE(A1344,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rs))))))"),55.319148936170215)</f>
        <v>55.31914894</v>
      </c>
      <c r="W1344" s="16" t="str">
        <f>IFERROR(__xludf.DUMMYFUNCTION("IFERROR(GOOGLEFINANCE(A1344, ""volume"") / GOOGLEFINANCE(A1344, ""volumeavg""), )"),"")</f>
        <v/>
      </c>
      <c r="X1344" s="9">
        <f>IFERROR(__xludf.DUMMYFUNCTION("B1344 * GOOGLEFINANCE(A1344, ""volume"")"),1.4163435E7)</f>
        <v>14163435</v>
      </c>
      <c r="Y1344" s="9">
        <f>IFERROR(__xludf.DUMMYFUNCTION("IFERROR(((B1344 - GOOGLEFINANCE(A1344, ""priceopen"")) / GOOGLEFINANCE(A1344, ""priceopen"")) * GOOGLEFINANCE(A1344, ""volume""), 0)"),-1049.1044776119384)</f>
        <v>-1049.104478</v>
      </c>
    </row>
    <row r="1345">
      <c r="A1345" s="4" t="s">
        <v>3138</v>
      </c>
      <c r="B1345" s="7">
        <f>IFERROR(__xludf.DUMMYFUNCTION("GOOGLEFINANCE(A1345, ""price"")"),155.89)</f>
        <v>155.89</v>
      </c>
      <c r="C1345" s="7">
        <f>IFERROR(__xludf.DUMMYFUNCTION("GOOGLEFINANCE(A1345, ""changepct"")"),-1.81)</f>
        <v>-1.81</v>
      </c>
      <c r="D1345" s="9">
        <f>IFERROR(__xludf.DUMMYFUNCTION("GOOGLEFINANCE(A1345, ""priceopen"")"),159.92)</f>
        <v>159.92</v>
      </c>
      <c r="E1345" s="9">
        <f>IFERROR(__xludf.DUMMYFUNCTION("GOOGLEFINANCE(A1345, ""high"")"),160.59)</f>
        <v>160.59</v>
      </c>
      <c r="F1345" s="9">
        <f>IFERROR(__xludf.DUMMYFUNCTION("GOOGLEFINANCE(A1345, ""low"")"),154.31)</f>
        <v>154.31</v>
      </c>
      <c r="G1345" s="9">
        <f>IFERROR(__xludf.DUMMYFUNCTION("GOOGLEFINANCE(A1345, ""price"")"),155.89)</f>
        <v>155.89</v>
      </c>
      <c r="H1345" s="9">
        <f>IFERROR(__xludf.DUMMYFUNCTION("MAX(INDEX(GOOGLEFINANCE(A1345, ""high"", TODAY()-30, TODAY()), 0, 2))"),173.25)</f>
        <v>173.25</v>
      </c>
      <c r="I1345" s="9">
        <f>IFERROR(__xludf.DUMMYFUNCTION("MIN(INDEX(GOOGLEFINANCE(A1345, ""low"", TODAY()-30, TODAY()), 0, 2))"),154.31)</f>
        <v>154.31</v>
      </c>
      <c r="J1345" s="9">
        <f>IFERROR(__xludf.DUMMYFUNCTION("GOOGLEFINANCE(A1345, ""high52"")"),218.0)</f>
        <v>218</v>
      </c>
      <c r="K1345" s="9">
        <f>IFERROR(__xludf.DUMMYFUNCTION("GOOGLEFINANCE(A1345, ""low52"")"),109.21)</f>
        <v>109.21</v>
      </c>
      <c r="L1345" s="9">
        <f t="shared" si="1"/>
        <v>0.2849082569</v>
      </c>
      <c r="M1345" s="9">
        <f t="shared" si="2"/>
        <v>0.4274333852</v>
      </c>
      <c r="N1345" s="9">
        <f t="shared" si="3"/>
        <v>0.04069729765</v>
      </c>
      <c r="O1345" s="9">
        <f t="shared" si="4"/>
        <v>0.08342133052</v>
      </c>
      <c r="P1345" s="9">
        <f>IFERROR(__xludf.DUMMYFUNCTION("GOOGLEFINANCE(A1345, ""pe"")"),17.09)</f>
        <v>17.09</v>
      </c>
      <c r="Q1345" s="9">
        <f>IFERROR(__xludf.DUMMYFUNCTION("IFERROR(GOOGLEFINANCE(A1345, ""volume"") / GOOGLEFINANCE(A1345, ""volumeavg""), 0)"),0.0)</f>
        <v>0</v>
      </c>
      <c r="R1345" s="9">
        <f>IFERROR(__xludf.DUMMYFUNCTION("AVERAGE(INDEX(GOOGLEFINANCE(A1345, ""price"", TODAY()-30, TODAY()), 0, 2))"),164.01782608695652)</f>
        <v>164.0178261</v>
      </c>
      <c r="S1345" s="9">
        <f>IFERROR(__xludf.DUMMYFUNCTION("AVERAGE(INDEX(GOOGLEFINANCE(A1345, ""price"", TODAY()-75, TODAY()), 0, 2))"),162.012641509434)</f>
        <v>162.0126415</v>
      </c>
      <c r="T1345" s="9">
        <f>IFERROR(__xludf.DUMMYFUNCTION("AVERAGE(INDEX(GOOGLEFINANCE(A1345, ""price"", TODAY()-300, TODAY()), 0, 2))"),157.6211881188119)</f>
        <v>157.6211881</v>
      </c>
      <c r="U1345" s="9">
        <f t="shared" si="5"/>
        <v>-0.0495545288</v>
      </c>
      <c r="V1345" s="15">
        <f>IFERROR(__xludf.DUMMYFUNCTION("LET(hist, GOOGLEFINANCE(A1345,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rs))))))"),37.4012921751615)</f>
        <v>37.40129218</v>
      </c>
      <c r="W1345" s="16" t="str">
        <f>IFERROR(__xludf.DUMMYFUNCTION("IFERROR(GOOGLEFINANCE(A1345, ""volume"") / GOOGLEFINANCE(A1345, ""volumeavg""), )"),"")</f>
        <v/>
      </c>
      <c r="X1345" s="9">
        <f>IFERROR(__xludf.DUMMYFUNCTION("B1345 * GOOGLEFINANCE(A1345, ""volume"")"),1.5635766999999998E7)</f>
        <v>15635767</v>
      </c>
      <c r="Y1345" s="9">
        <f>IFERROR(__xludf.DUMMYFUNCTION("IFERROR(((B1345 - GOOGLEFINANCE(A1345, ""priceopen"")) / GOOGLEFINANCE(A1345, ""priceopen"")) * GOOGLEFINANCE(A1345, ""volume""), 0)"),-2527.57003501751)</f>
        <v>-2527.570035</v>
      </c>
    </row>
    <row r="1346">
      <c r="A1346" s="4" t="s">
        <v>3139</v>
      </c>
      <c r="B1346" s="7">
        <f>IFERROR(__xludf.DUMMYFUNCTION("GOOGLEFINANCE(A1346, ""price"")"),302.15)</f>
        <v>302.15</v>
      </c>
      <c r="C1346" s="7">
        <f>IFERROR(__xludf.DUMMYFUNCTION("GOOGLEFINANCE(A1346, ""changepct"")"),-3.34)</f>
        <v>-3.34</v>
      </c>
      <c r="D1346" s="9">
        <f>IFERROR(__xludf.DUMMYFUNCTION("GOOGLEFINANCE(A1346, ""priceopen"")"),310.0)</f>
        <v>310</v>
      </c>
      <c r="E1346" s="9">
        <f>IFERROR(__xludf.DUMMYFUNCTION("GOOGLEFINANCE(A1346, ""high"")"),316.7)</f>
        <v>316.7</v>
      </c>
      <c r="F1346" s="9">
        <f>IFERROR(__xludf.DUMMYFUNCTION("GOOGLEFINANCE(A1346, ""low"")"),302.1)</f>
        <v>302.1</v>
      </c>
      <c r="G1346" s="9">
        <f>IFERROR(__xludf.DUMMYFUNCTION("GOOGLEFINANCE(A1346, ""price"")"),302.15)</f>
        <v>302.15</v>
      </c>
      <c r="H1346" s="9">
        <f>IFERROR(__xludf.DUMMYFUNCTION("MAX(INDEX(GOOGLEFINANCE(A1346, ""high"", TODAY()-30, TODAY()), 0, 2))"),354.0)</f>
        <v>354</v>
      </c>
      <c r="I1346" s="9">
        <f>IFERROR(__xludf.DUMMYFUNCTION("MIN(INDEX(GOOGLEFINANCE(A1346, ""low"", TODAY()-30, TODAY()), 0, 2))"),280.2)</f>
        <v>280.2</v>
      </c>
      <c r="J1346" s="9">
        <f>IFERROR(__xludf.DUMMYFUNCTION("GOOGLEFINANCE(A1346, ""high52"")"),402.55)</f>
        <v>402.55</v>
      </c>
      <c r="K1346" s="9">
        <f>IFERROR(__xludf.DUMMYFUNCTION("GOOGLEFINANCE(A1346, ""low52"")"),247.5)</f>
        <v>247.5</v>
      </c>
      <c r="L1346" s="9">
        <f t="shared" si="1"/>
        <v>0.2494100112</v>
      </c>
      <c r="M1346" s="9">
        <f t="shared" si="2"/>
        <v>0.2208080808</v>
      </c>
      <c r="N1346" s="9">
        <f t="shared" si="3"/>
        <v>0.04832836809</v>
      </c>
      <c r="O1346" s="9">
        <f t="shared" si="4"/>
        <v>0.2974254743</v>
      </c>
      <c r="P1346" s="9" t="str">
        <f>IFERROR(__xludf.DUMMYFUNCTION("GOOGLEFINANCE(A1346, ""pe"")"),"#N/A")</f>
        <v>#N/A</v>
      </c>
      <c r="Q1346" s="9">
        <f>IFERROR(__xludf.DUMMYFUNCTION("IFERROR(GOOGLEFINANCE(A1346, ""volume"") / GOOGLEFINANCE(A1346, ""volumeavg""), 0)"),0.0)</f>
        <v>0</v>
      </c>
      <c r="R1346" s="9">
        <f>IFERROR(__xludf.DUMMYFUNCTION("AVERAGE(INDEX(GOOGLEFINANCE(A1346, ""price"", TODAY()-30, TODAY()), 0, 2))"),306.0782608695653)</f>
        <v>306.0782609</v>
      </c>
      <c r="S1346" s="9">
        <f>IFERROR(__xludf.DUMMYFUNCTION("AVERAGE(INDEX(GOOGLEFINANCE(A1346, ""price"", TODAY()-75, TODAY()), 0, 2))"),305.66132075471694)</f>
        <v>305.6613208</v>
      </c>
      <c r="T1346" s="9">
        <f>IFERROR(__xludf.DUMMYFUNCTION("AVERAGE(INDEX(GOOGLEFINANCE(A1346, ""price"", TODAY()-300, TODAY()), 0, 2))"),308.1262376237623)</f>
        <v>308.1262376</v>
      </c>
      <c r="U1346" s="9">
        <f t="shared" si="5"/>
        <v>-0.01283417143</v>
      </c>
      <c r="V1346" s="15">
        <f>IFERROR(__xludf.DUMMYFUNCTION("LET(hist, GOOGLEFINANCE(A1346,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rs))))))"),58.48445595854923)</f>
        <v>58.48445596</v>
      </c>
      <c r="W1346" s="16" t="str">
        <f>IFERROR(__xludf.DUMMYFUNCTION("IFERROR(GOOGLEFINANCE(A1346, ""volume"") / GOOGLEFINANCE(A1346, ""volumeavg""), )"),"")</f>
        <v/>
      </c>
      <c r="X1346" s="9">
        <f>IFERROR(__xludf.DUMMYFUNCTION("B1346 * GOOGLEFINANCE(A1346, ""volume"")"),3911633.9)</f>
        <v>3911633.9</v>
      </c>
      <c r="Y1346" s="9">
        <f>IFERROR(__xludf.DUMMYFUNCTION("IFERROR(((B1346 - GOOGLEFINANCE(A1346, ""priceopen"")) / GOOGLEFINANCE(A1346, ""priceopen"")) * GOOGLEFINANCE(A1346, ""volume""), 0)"),-327.826129032259)</f>
        <v>-327.826129</v>
      </c>
    </row>
    <row r="1347">
      <c r="A1347" s="4" t="s">
        <v>3140</v>
      </c>
      <c r="B1347" s="7">
        <f>IFERROR(__xludf.DUMMYFUNCTION("GOOGLEFINANCE(A1347, ""price"")"),118.2)</f>
        <v>118.2</v>
      </c>
      <c r="C1347" s="7">
        <f>IFERROR(__xludf.DUMMYFUNCTION("GOOGLEFINANCE(A1347, ""changepct"")"),0.59)</f>
        <v>0.59</v>
      </c>
      <c r="D1347" s="9">
        <f>IFERROR(__xludf.DUMMYFUNCTION("GOOGLEFINANCE(A1347, ""priceopen"")"),117.51)</f>
        <v>117.51</v>
      </c>
      <c r="E1347" s="9">
        <f>IFERROR(__xludf.DUMMYFUNCTION("GOOGLEFINANCE(A1347, ""high"")"),118.2)</f>
        <v>118.2</v>
      </c>
      <c r="F1347" s="9">
        <f>IFERROR(__xludf.DUMMYFUNCTION("GOOGLEFINANCE(A1347, ""low"")"),112.06)</f>
        <v>112.06</v>
      </c>
      <c r="G1347" s="9">
        <f>IFERROR(__xludf.DUMMYFUNCTION("GOOGLEFINANCE(A1347, ""price"")"),118.2)</f>
        <v>118.2</v>
      </c>
      <c r="H1347" s="9">
        <f>IFERROR(__xludf.DUMMYFUNCTION("MAX(INDEX(GOOGLEFINANCE(A1347, ""high"", TODAY()-30, TODAY()), 0, 2))"),130.96)</f>
        <v>130.96</v>
      </c>
      <c r="I1347" s="9">
        <f>IFERROR(__xludf.DUMMYFUNCTION("MIN(INDEX(GOOGLEFINANCE(A1347, ""low"", TODAY()-30, TODAY()), 0, 2))"),112.02)</f>
        <v>112.02</v>
      </c>
      <c r="J1347" s="9">
        <f>IFERROR(__xludf.DUMMYFUNCTION("GOOGLEFINANCE(A1347, ""high52"")"),182.82)</f>
        <v>182.82</v>
      </c>
      <c r="K1347" s="9">
        <f>IFERROR(__xludf.DUMMYFUNCTION("GOOGLEFINANCE(A1347, ""low52"")"),94.2)</f>
        <v>94.2</v>
      </c>
      <c r="L1347" s="9">
        <f t="shared" si="1"/>
        <v>0.3534624221</v>
      </c>
      <c r="M1347" s="9">
        <f t="shared" si="2"/>
        <v>0.2547770701</v>
      </c>
      <c r="N1347" s="9">
        <f t="shared" si="3"/>
        <v>0.05479207567</v>
      </c>
      <c r="O1347" s="9">
        <f t="shared" si="4"/>
        <v>0.3262935586</v>
      </c>
      <c r="P1347" s="9">
        <f>IFERROR(__xludf.DUMMYFUNCTION("GOOGLEFINANCE(A1347, ""pe"")"),28.48)</f>
        <v>28.48</v>
      </c>
      <c r="Q1347" s="9">
        <f>IFERROR(__xludf.DUMMYFUNCTION("IFERROR(GOOGLEFINANCE(A1347, ""volume"") / GOOGLEFINANCE(A1347, ""volumeavg""), 0)"),0.0)</f>
        <v>0</v>
      </c>
      <c r="R1347" s="9">
        <f>IFERROR(__xludf.DUMMYFUNCTION("AVERAGE(INDEX(GOOGLEFINANCE(A1347, ""price"", TODAY()-30, TODAY()), 0, 2))"),121.9417391304348)</f>
        <v>121.9417391</v>
      </c>
      <c r="S1347" s="9">
        <f>IFERROR(__xludf.DUMMYFUNCTION("AVERAGE(INDEX(GOOGLEFINANCE(A1347, ""price"", TODAY()-75, TODAY()), 0, 2))"),115.37792452830188)</f>
        <v>115.3779245</v>
      </c>
      <c r="T1347" s="9">
        <f>IFERROR(__xludf.DUMMYFUNCTION("AVERAGE(INDEX(GOOGLEFINANCE(A1347, ""price"", TODAY()-300, TODAY()), 0, 2))"),122.31633663366337)</f>
        <v>122.3163366</v>
      </c>
      <c r="U1347" s="9">
        <f t="shared" si="5"/>
        <v>-0.03068464627</v>
      </c>
      <c r="V1347" s="15">
        <f>IFERROR(__xludf.DUMMYFUNCTION("LET(hist, GOOGLEFINANCE(A1347,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rs))))))"),26.78571428571432)</f>
        <v>26.78571429</v>
      </c>
      <c r="W1347" s="16" t="str">
        <f>IFERROR(__xludf.DUMMYFUNCTION("IFERROR(GOOGLEFINANCE(A1347, ""volume"") / GOOGLEFINANCE(A1347, ""volumeavg""), )"),"")</f>
        <v/>
      </c>
      <c r="X1347" s="9">
        <f>IFERROR(__xludf.DUMMYFUNCTION("B1347 * GOOGLEFINANCE(A1347, ""volume"")"),9.51946158E7)</f>
        <v>95194615.8</v>
      </c>
      <c r="Y1347" s="9">
        <f>IFERROR(__xludf.DUMMYFUNCTION("IFERROR(((B1347 - GOOGLEFINANCE(A1347, ""priceopen"")) / GOOGLEFINANCE(A1347, ""priceopen"")) * GOOGLEFINANCE(A1347, ""volume""), 0)"),4728.998468215455)</f>
        <v>4728.998468</v>
      </c>
    </row>
    <row r="1348">
      <c r="A1348" s="4" t="s">
        <v>3141</v>
      </c>
      <c r="B1348" s="7">
        <f>IFERROR(__xludf.DUMMYFUNCTION("GOOGLEFINANCE(A1348, ""price"")"),299.0)</f>
        <v>299</v>
      </c>
      <c r="C1348" s="7">
        <f>IFERROR(__xludf.DUMMYFUNCTION("GOOGLEFINANCE(A1348, ""changepct"")"),-2.53)</f>
        <v>-2.53</v>
      </c>
      <c r="D1348" s="9">
        <f>IFERROR(__xludf.DUMMYFUNCTION("GOOGLEFINANCE(A1348, ""priceopen"")"),307.35)</f>
        <v>307.35</v>
      </c>
      <c r="E1348" s="9">
        <f>IFERROR(__xludf.DUMMYFUNCTION("GOOGLEFINANCE(A1348, ""high"")"),309.9)</f>
        <v>309.9</v>
      </c>
      <c r="F1348" s="9">
        <f>IFERROR(__xludf.DUMMYFUNCTION("GOOGLEFINANCE(A1348, ""low"")"),297.1)</f>
        <v>297.1</v>
      </c>
      <c r="G1348" s="9">
        <f>IFERROR(__xludf.DUMMYFUNCTION("GOOGLEFINANCE(A1348, ""price"")"),299.0)</f>
        <v>299</v>
      </c>
      <c r="H1348" s="9">
        <f>IFERROR(__xludf.DUMMYFUNCTION("MAX(INDEX(GOOGLEFINANCE(A1348, ""high"", TODAY()-30, TODAY()), 0, 2))"),406.0)</f>
        <v>406</v>
      </c>
      <c r="I1348" s="9">
        <f>IFERROR(__xludf.DUMMYFUNCTION("MIN(INDEX(GOOGLEFINANCE(A1348, ""low"", TODAY()-30, TODAY()), 0, 2))"),282.8)</f>
        <v>282.8</v>
      </c>
      <c r="J1348" s="9">
        <f>IFERROR(__xludf.DUMMYFUNCTION("GOOGLEFINANCE(A1348, ""high52"")"),725.0)</f>
        <v>725</v>
      </c>
      <c r="K1348" s="9">
        <f>IFERROR(__xludf.DUMMYFUNCTION("GOOGLEFINANCE(A1348, ""low52"")"),282.8)</f>
        <v>282.8</v>
      </c>
      <c r="L1348" s="9">
        <f t="shared" si="1"/>
        <v>0.5875862069</v>
      </c>
      <c r="M1348" s="9">
        <f t="shared" si="2"/>
        <v>0.05728429986</v>
      </c>
      <c r="N1348" s="9">
        <f t="shared" si="3"/>
        <v>0.04308313699</v>
      </c>
      <c r="O1348" s="9">
        <f t="shared" si="4"/>
        <v>0.1314935065</v>
      </c>
      <c r="P1348" s="9" t="str">
        <f>IFERROR(__xludf.DUMMYFUNCTION("GOOGLEFINANCE(A1348, ""pe"")"),"#N/A")</f>
        <v>#N/A</v>
      </c>
      <c r="Q1348" s="9">
        <f>IFERROR(__xludf.DUMMYFUNCTION("IFERROR(GOOGLEFINANCE(A1348, ""volume"") / GOOGLEFINANCE(A1348, ""volumeavg""), 0)"),0.0)</f>
        <v>0</v>
      </c>
      <c r="R1348" s="9">
        <f>IFERROR(__xludf.DUMMYFUNCTION("AVERAGE(INDEX(GOOGLEFINANCE(A1348, ""price"", TODAY()-30, TODAY()), 0, 2))"),344.5086956521739)</f>
        <v>344.5086957</v>
      </c>
      <c r="S1348" s="9">
        <f>IFERROR(__xludf.DUMMYFUNCTION("AVERAGE(INDEX(GOOGLEFINANCE(A1348, ""price"", TODAY()-75, TODAY()), 0, 2))"),373.58962264150944)</f>
        <v>373.5896226</v>
      </c>
      <c r="T1348" s="9">
        <f>IFERROR(__xludf.DUMMYFUNCTION("AVERAGE(INDEX(GOOGLEFINANCE(A1348, ""price"", TODAY()-300, TODAY()), 0, 2))"),415.503409090909)</f>
        <v>415.5034091</v>
      </c>
      <c r="U1348" s="9">
        <f t="shared" si="5"/>
        <v>-0.1320973787</v>
      </c>
      <c r="V1348" s="15">
        <f>IFERROR(__xludf.DUMMYFUNCTION("LET(hist, GOOGLEFINANCE(A1348,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rs))))))"),30.83466241360979)</f>
        <v>30.83466241</v>
      </c>
      <c r="W1348" s="16" t="str">
        <f>IFERROR(__xludf.DUMMYFUNCTION("IFERROR(GOOGLEFINANCE(A1348, ""volume"") / GOOGLEFINANCE(A1348, ""volumeavg""), )"),"")</f>
        <v/>
      </c>
      <c r="X1348" s="9">
        <f>IFERROR(__xludf.DUMMYFUNCTION("B1348 * GOOGLEFINANCE(A1348, ""volume"")"),2.3618608E7)</f>
        <v>23618608</v>
      </c>
      <c r="Y1348" s="9">
        <f>IFERROR(__xludf.DUMMYFUNCTION("IFERROR(((B1348 - GOOGLEFINANCE(A1348, ""priceopen"")) / GOOGLEFINANCE(A1348, ""priceopen"")) * GOOGLEFINANCE(A1348, ""volume""), 0)"),-2146.0328615584895)</f>
        <v>-2146.032862</v>
      </c>
    </row>
    <row r="1349">
      <c r="A1349" s="4" t="s">
        <v>3142</v>
      </c>
      <c r="B1349" s="7">
        <f>IFERROR(__xludf.DUMMYFUNCTION("GOOGLEFINANCE(A1349, ""price"")"),67.09)</f>
        <v>67.09</v>
      </c>
      <c r="C1349" s="7">
        <f>IFERROR(__xludf.DUMMYFUNCTION("GOOGLEFINANCE(A1349, ""changepct"")"),-2.63)</f>
        <v>-2.63</v>
      </c>
      <c r="D1349" s="9">
        <f>IFERROR(__xludf.DUMMYFUNCTION("GOOGLEFINANCE(A1349, ""priceopen"")"),69.4)</f>
        <v>69.4</v>
      </c>
      <c r="E1349" s="9">
        <f>IFERROR(__xludf.DUMMYFUNCTION("GOOGLEFINANCE(A1349, ""high"")"),69.4)</f>
        <v>69.4</v>
      </c>
      <c r="F1349" s="9">
        <f>IFERROR(__xludf.DUMMYFUNCTION("GOOGLEFINANCE(A1349, ""low"")"),66.75)</f>
        <v>66.75</v>
      </c>
      <c r="G1349" s="9">
        <f>IFERROR(__xludf.DUMMYFUNCTION("GOOGLEFINANCE(A1349, ""price"")"),67.09)</f>
        <v>67.09</v>
      </c>
      <c r="H1349" s="9">
        <f>IFERROR(__xludf.DUMMYFUNCTION("MAX(INDEX(GOOGLEFINANCE(A1349, ""high"", TODAY()-30, TODAY()), 0, 2))"),72.08)</f>
        <v>72.08</v>
      </c>
      <c r="I1349" s="9">
        <f>IFERROR(__xludf.DUMMYFUNCTION("MIN(INDEX(GOOGLEFINANCE(A1349, ""low"", TODAY()-30, TODAY()), 0, 2))"),64.6)</f>
        <v>64.6</v>
      </c>
      <c r="J1349" s="9">
        <f>IFERROR(__xludf.DUMMYFUNCTION("GOOGLEFINANCE(A1349, ""high52"")"),90.6)</f>
        <v>90.6</v>
      </c>
      <c r="K1349" s="9">
        <f>IFERROR(__xludf.DUMMYFUNCTION("GOOGLEFINANCE(A1349, ""low52"")"),47.5)</f>
        <v>47.5</v>
      </c>
      <c r="L1349" s="9">
        <f t="shared" si="1"/>
        <v>0.2594922737</v>
      </c>
      <c r="M1349" s="9">
        <f t="shared" si="2"/>
        <v>0.4124210526</v>
      </c>
      <c r="N1349" s="9">
        <f t="shared" si="3"/>
        <v>0.03970037453</v>
      </c>
      <c r="O1349" s="9">
        <f t="shared" si="4"/>
        <v>0.3328877005</v>
      </c>
      <c r="P1349" s="9">
        <f>IFERROR(__xludf.DUMMYFUNCTION("GOOGLEFINANCE(A1349, ""pe"")"),49.33)</f>
        <v>49.33</v>
      </c>
      <c r="Q1349" s="9">
        <f>IFERROR(__xludf.DUMMYFUNCTION("IFERROR(GOOGLEFINANCE(A1349, ""volume"") / GOOGLEFINANCE(A1349, ""volumeavg""), 0)"),0.0)</f>
        <v>0</v>
      </c>
      <c r="R1349" s="9">
        <f>IFERROR(__xludf.DUMMYFUNCTION("AVERAGE(INDEX(GOOGLEFINANCE(A1349, ""price"", TODAY()-30, TODAY()), 0, 2))"),67.62434782608695)</f>
        <v>67.62434783</v>
      </c>
      <c r="S1349" s="9">
        <f>IFERROR(__xludf.DUMMYFUNCTION("AVERAGE(INDEX(GOOGLEFINANCE(A1349, ""price"", TODAY()-75, TODAY()), 0, 2))"),66.51905660377359)</f>
        <v>66.5190566</v>
      </c>
      <c r="T1349" s="9">
        <f>IFERROR(__xludf.DUMMYFUNCTION("AVERAGE(INDEX(GOOGLEFINANCE(A1349, ""price"", TODAY()-300, TODAY()), 0, 2))"),62.5616336633663)</f>
        <v>62.56163366</v>
      </c>
      <c r="U1349" s="9">
        <f t="shared" si="5"/>
        <v>-0.007901707643</v>
      </c>
      <c r="V1349" s="15">
        <f>IFERROR(__xludf.DUMMYFUNCTION("LET(hist, GOOGLEFINANCE(A1349,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rs))))))"),49.31437277805994)</f>
        <v>49.31437278</v>
      </c>
      <c r="W1349" s="16" t="str">
        <f>IFERROR(__xludf.DUMMYFUNCTION("IFERROR(GOOGLEFINANCE(A1349, ""volume"") / GOOGLEFINANCE(A1349, ""volumeavg""), )"),"")</f>
        <v/>
      </c>
      <c r="X1349" s="9">
        <f>IFERROR(__xludf.DUMMYFUNCTION("B1349 * GOOGLEFINANCE(A1349, ""volume"")"),2.4532129400000002E7)</f>
        <v>24532129.4</v>
      </c>
      <c r="Y1349" s="9">
        <f>IFERROR(__xludf.DUMMYFUNCTION("IFERROR(((B1349 - GOOGLEFINANCE(A1349, ""priceopen"")) / GOOGLEFINANCE(A1349, ""priceopen"")) * GOOGLEFINANCE(A1349, ""volume""), 0)"),-12171.103746397705)</f>
        <v>-12171.10375</v>
      </c>
    </row>
    <row r="1350">
      <c r="A1350" s="4" t="s">
        <v>3143</v>
      </c>
      <c r="B1350" s="7">
        <f>IFERROR(__xludf.DUMMYFUNCTION("GOOGLEFINANCE(A1350, ""price"")"),32.6)</f>
        <v>32.6</v>
      </c>
      <c r="C1350" s="7">
        <f>IFERROR(__xludf.DUMMYFUNCTION("GOOGLEFINANCE(A1350, ""changepct"")"),-0.4)</f>
        <v>-0.4</v>
      </c>
      <c r="D1350" s="9">
        <f>IFERROR(__xludf.DUMMYFUNCTION("GOOGLEFINANCE(A1350, ""priceopen"")"),32.73)</f>
        <v>32.73</v>
      </c>
      <c r="E1350" s="9">
        <f>IFERROR(__xludf.DUMMYFUNCTION("GOOGLEFINANCE(A1350, ""high"")"),32.93)</f>
        <v>32.93</v>
      </c>
      <c r="F1350" s="9">
        <f>IFERROR(__xludf.DUMMYFUNCTION("GOOGLEFINANCE(A1350, ""low"")"),32.41)</f>
        <v>32.41</v>
      </c>
      <c r="G1350" s="9">
        <f>IFERROR(__xludf.DUMMYFUNCTION("GOOGLEFINANCE(A1350, ""price"")"),32.6)</f>
        <v>32.6</v>
      </c>
      <c r="H1350" s="9">
        <f>IFERROR(__xludf.DUMMYFUNCTION("MAX(INDEX(GOOGLEFINANCE(A1350, ""high"", TODAY()-30, TODAY()), 0, 2))"),36.8)</f>
        <v>36.8</v>
      </c>
      <c r="I1350" s="9">
        <f>IFERROR(__xludf.DUMMYFUNCTION("MIN(INDEX(GOOGLEFINANCE(A1350, ""low"", TODAY()-30, TODAY()), 0, 2))"),31.11)</f>
        <v>31.11</v>
      </c>
      <c r="J1350" s="9">
        <f>IFERROR(__xludf.DUMMYFUNCTION("GOOGLEFINANCE(A1350, ""high52"")"),36.85)</f>
        <v>36.85</v>
      </c>
      <c r="K1350" s="9">
        <f>IFERROR(__xludf.DUMMYFUNCTION("GOOGLEFINANCE(A1350, ""low52"")"),19.45)</f>
        <v>19.45</v>
      </c>
      <c r="L1350" s="9">
        <f t="shared" si="1"/>
        <v>0.1153324288</v>
      </c>
      <c r="M1350" s="9">
        <f t="shared" si="2"/>
        <v>0.676092545</v>
      </c>
      <c r="N1350" s="9">
        <f t="shared" si="3"/>
        <v>0.01604443073</v>
      </c>
      <c r="O1350" s="9">
        <f t="shared" si="4"/>
        <v>0.2618629174</v>
      </c>
      <c r="P1350" s="9">
        <f>IFERROR(__xludf.DUMMYFUNCTION("GOOGLEFINANCE(A1350, ""pe"")"),11.13)</f>
        <v>11.13</v>
      </c>
      <c r="Q1350" s="9">
        <f>IFERROR(__xludf.DUMMYFUNCTION("IFERROR(GOOGLEFINANCE(A1350, ""volume"") / GOOGLEFINANCE(A1350, ""volumeavg""), 0)"),0.0)</f>
        <v>0</v>
      </c>
      <c r="R1350" s="9">
        <f>IFERROR(__xludf.DUMMYFUNCTION("AVERAGE(INDEX(GOOGLEFINANCE(A1350, ""price"", TODAY()-30, TODAY()), 0, 2))"),33.431739130434785)</f>
        <v>33.43173913</v>
      </c>
      <c r="S1350" s="9">
        <f>IFERROR(__xludf.DUMMYFUNCTION("AVERAGE(INDEX(GOOGLEFINANCE(A1350, ""price"", TODAY()-75, TODAY()), 0, 2))"),33.329433962264154)</f>
        <v>33.32943396</v>
      </c>
      <c r="T1350" s="9">
        <f>IFERROR(__xludf.DUMMYFUNCTION("AVERAGE(INDEX(GOOGLEFINANCE(A1350, ""price"", TODAY()-300, TODAY()), 0, 2))"),27.989651741293525)</f>
        <v>27.98965174</v>
      </c>
      <c r="U1350" s="9">
        <f t="shared" si="5"/>
        <v>-0.02487872758</v>
      </c>
      <c r="V1350" s="15">
        <f>IFERROR(__xludf.DUMMYFUNCTION("LET(hist, GOOGLEFINANCE(A1350,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rs))))))"),38.7409200968523)</f>
        <v>38.7409201</v>
      </c>
      <c r="W1350" s="16" t="str">
        <f>IFERROR(__xludf.DUMMYFUNCTION("IFERROR(GOOGLEFINANCE(A1350, ""volume"") / GOOGLEFINANCE(A1350, ""volumeavg""), )"),"")</f>
        <v/>
      </c>
      <c r="X1350" s="9">
        <f>IFERROR(__xludf.DUMMYFUNCTION("B1350 * GOOGLEFINANCE(A1350, ""volume"")"),8861755.8)</f>
        <v>8861755.8</v>
      </c>
      <c r="Y1350" s="9">
        <f>IFERROR(__xludf.DUMMYFUNCTION("IFERROR(((B1350 - GOOGLEFINANCE(A1350, ""priceopen"")) / GOOGLEFINANCE(A1350, ""priceopen"")) * GOOGLEFINANCE(A1350, ""volume""), 0)"),-1079.691109074206)</f>
        <v>-1079.691109</v>
      </c>
    </row>
    <row r="1351">
      <c r="A1351" s="4" t="s">
        <v>3144</v>
      </c>
      <c r="B1351" s="7">
        <f>IFERROR(__xludf.DUMMYFUNCTION("GOOGLEFINANCE(A1351, ""price"")"),204.5)</f>
        <v>204.5</v>
      </c>
      <c r="C1351" s="7">
        <f>IFERROR(__xludf.DUMMYFUNCTION("GOOGLEFINANCE(A1351, ""changepct"")"),1.15)</f>
        <v>1.15</v>
      </c>
      <c r="D1351" s="9">
        <f>IFERROR(__xludf.DUMMYFUNCTION("GOOGLEFINANCE(A1351, ""priceopen"")"),201.99)</f>
        <v>201.99</v>
      </c>
      <c r="E1351" s="9">
        <f>IFERROR(__xludf.DUMMYFUNCTION("GOOGLEFINANCE(A1351, ""high"")"),211.5)</f>
        <v>211.5</v>
      </c>
      <c r="F1351" s="9">
        <f>IFERROR(__xludf.DUMMYFUNCTION("GOOGLEFINANCE(A1351, ""low"")"),200.58)</f>
        <v>200.58</v>
      </c>
      <c r="G1351" s="9">
        <f>IFERROR(__xludf.DUMMYFUNCTION("GOOGLEFINANCE(A1351, ""price"")"),204.5)</f>
        <v>204.5</v>
      </c>
      <c r="H1351" s="9">
        <f>IFERROR(__xludf.DUMMYFUNCTION("MAX(INDEX(GOOGLEFINANCE(A1351, ""high"", TODAY()-30, TODAY()), 0, 2))"),224.0)</f>
        <v>224</v>
      </c>
      <c r="I1351" s="9">
        <f>IFERROR(__xludf.DUMMYFUNCTION("MIN(INDEX(GOOGLEFINANCE(A1351, ""low"", TODAY()-30, TODAY()), 0, 2))"),183.5)</f>
        <v>183.5</v>
      </c>
      <c r="J1351" s="9">
        <f>IFERROR(__xludf.DUMMYFUNCTION("GOOGLEFINANCE(A1351, ""high52"")"),237.6)</f>
        <v>237.6</v>
      </c>
      <c r="K1351" s="9">
        <f>IFERROR(__xludf.DUMMYFUNCTION("GOOGLEFINANCE(A1351, ""low52"")"),150.52)</f>
        <v>150.52</v>
      </c>
      <c r="L1351" s="9">
        <f t="shared" si="1"/>
        <v>0.1393097643</v>
      </c>
      <c r="M1351" s="9">
        <f t="shared" si="2"/>
        <v>0.3586234387</v>
      </c>
      <c r="N1351" s="9">
        <f t="shared" si="3"/>
        <v>0.05444211786</v>
      </c>
      <c r="O1351" s="9">
        <f t="shared" si="4"/>
        <v>0.5185185185</v>
      </c>
      <c r="P1351" s="9">
        <f>IFERROR(__xludf.DUMMYFUNCTION("GOOGLEFINANCE(A1351, ""pe"")"),22.82)</f>
        <v>22.82</v>
      </c>
      <c r="Q1351" s="9">
        <f>IFERROR(__xludf.DUMMYFUNCTION("IFERROR(GOOGLEFINANCE(A1351, ""volume"") / GOOGLEFINANCE(A1351, ""volumeavg""), 0)"),0.0)</f>
        <v>0</v>
      </c>
      <c r="R1351" s="9">
        <f>IFERROR(__xludf.DUMMYFUNCTION("AVERAGE(INDEX(GOOGLEFINANCE(A1351, ""price"", TODAY()-30, TODAY()), 0, 2))"),199.22347826086957)</f>
        <v>199.2234783</v>
      </c>
      <c r="S1351" s="9">
        <f>IFERROR(__xludf.DUMMYFUNCTION("AVERAGE(INDEX(GOOGLEFINANCE(A1351, ""price"", TODAY()-75, TODAY()), 0, 2))"),191.49452830188682)</f>
        <v>191.4945283</v>
      </c>
      <c r="T1351" s="9">
        <f>IFERROR(__xludf.DUMMYFUNCTION("AVERAGE(INDEX(GOOGLEFINANCE(A1351, ""price"", TODAY()-300, TODAY()), 0, 2))"),188.88861386138603)</f>
        <v>188.8886139</v>
      </c>
      <c r="U1351" s="9">
        <f t="shared" si="5"/>
        <v>0.0264854413</v>
      </c>
      <c r="V1351" s="15">
        <f>IFERROR(__xludf.DUMMYFUNCTION("LET(hist, GOOGLEFINANCE(A1351,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rs))))))"),49.670901576611065)</f>
        <v>49.67090158</v>
      </c>
      <c r="W1351" s="16" t="str">
        <f>IFERROR(__xludf.DUMMYFUNCTION("IFERROR(GOOGLEFINANCE(A1351, ""volume"") / GOOGLEFINANCE(A1351, ""volumeavg""), )"),"")</f>
        <v/>
      </c>
      <c r="X1351" s="9">
        <f>IFERROR(__xludf.DUMMYFUNCTION("B1351 * GOOGLEFINANCE(A1351, ""volume"")"),1.939414605E8)</f>
        <v>193941460.5</v>
      </c>
      <c r="Y1351" s="9">
        <f>IFERROR(__xludf.DUMMYFUNCTION("IFERROR(((B1351 - GOOGLEFINANCE(A1351, ""priceopen"")) / GOOGLEFINANCE(A1351, ""priceopen"")) * GOOGLEFINANCE(A1351, ""volume""), 0)"),11784.772463983323)</f>
        <v>11784.77246</v>
      </c>
    </row>
    <row r="1352">
      <c r="A1352" s="4" t="s">
        <v>3145</v>
      </c>
      <c r="B1352" s="7">
        <f>IFERROR(__xludf.DUMMYFUNCTION("GOOGLEFINANCE(A1352, ""price"")"),109.79)</f>
        <v>109.79</v>
      </c>
      <c r="C1352" s="7">
        <f>IFERROR(__xludf.DUMMYFUNCTION("GOOGLEFINANCE(A1352, ""changepct"")"),-4.7)</f>
        <v>-4.7</v>
      </c>
      <c r="D1352" s="9">
        <f>IFERROR(__xludf.DUMMYFUNCTION("GOOGLEFINANCE(A1352, ""priceopen"")"),116.05)</f>
        <v>116.05</v>
      </c>
      <c r="E1352" s="9">
        <f>IFERROR(__xludf.DUMMYFUNCTION("GOOGLEFINANCE(A1352, ""high"")"),116.05)</f>
        <v>116.05</v>
      </c>
      <c r="F1352" s="9">
        <f>IFERROR(__xludf.DUMMYFUNCTION("GOOGLEFINANCE(A1352, ""low"")"),107.82)</f>
        <v>107.82</v>
      </c>
      <c r="G1352" s="9">
        <f>IFERROR(__xludf.DUMMYFUNCTION("GOOGLEFINANCE(A1352, ""price"")"),109.79)</f>
        <v>109.79</v>
      </c>
      <c r="H1352" s="9">
        <f>IFERROR(__xludf.DUMMYFUNCTION("MAX(INDEX(GOOGLEFINANCE(A1352, ""high"", TODAY()-30, TODAY()), 0, 2))"),127.8)</f>
        <v>127.8</v>
      </c>
      <c r="I1352" s="9">
        <f>IFERROR(__xludf.DUMMYFUNCTION("MIN(INDEX(GOOGLEFINANCE(A1352, ""low"", TODAY()-30, TODAY()), 0, 2))"),107.82)</f>
        <v>107.82</v>
      </c>
      <c r="J1352" s="9">
        <f>IFERROR(__xludf.DUMMYFUNCTION("GOOGLEFINANCE(A1352, ""high52"")"),147.9)</f>
        <v>147.9</v>
      </c>
      <c r="K1352" s="9">
        <f>IFERROR(__xludf.DUMMYFUNCTION("GOOGLEFINANCE(A1352, ""low52"")"),85.0)</f>
        <v>85</v>
      </c>
      <c r="L1352" s="9">
        <f t="shared" si="1"/>
        <v>0.2576741041</v>
      </c>
      <c r="M1352" s="9">
        <f t="shared" si="2"/>
        <v>0.2916470588</v>
      </c>
      <c r="N1352" s="9">
        <f t="shared" si="3"/>
        <v>0.07633092191</v>
      </c>
      <c r="O1352" s="9">
        <f t="shared" si="4"/>
        <v>0.0985985986</v>
      </c>
      <c r="P1352" s="9">
        <f>IFERROR(__xludf.DUMMYFUNCTION("GOOGLEFINANCE(A1352, ""pe"")"),11.54)</f>
        <v>11.54</v>
      </c>
      <c r="Q1352" s="9">
        <f>IFERROR(__xludf.DUMMYFUNCTION("IFERROR(GOOGLEFINANCE(A1352, ""volume"") / GOOGLEFINANCE(A1352, ""volumeavg""), 0)"),0.0)</f>
        <v>0</v>
      </c>
      <c r="R1352" s="9">
        <f>IFERROR(__xludf.DUMMYFUNCTION("AVERAGE(INDEX(GOOGLEFINANCE(A1352, ""price"", TODAY()-30, TODAY()), 0, 2))"),118.7965217391304)</f>
        <v>118.7965217</v>
      </c>
      <c r="S1352" s="9">
        <f>IFERROR(__xludf.DUMMYFUNCTION("AVERAGE(INDEX(GOOGLEFINANCE(A1352, ""price"", TODAY()-75, TODAY()), 0, 2))"),114.12188679245284)</f>
        <v>114.1218868</v>
      </c>
      <c r="T1352" s="9">
        <f>IFERROR(__xludf.DUMMYFUNCTION("AVERAGE(INDEX(GOOGLEFINANCE(A1352, ""price"", TODAY()-300, TODAY()), 0, 2))"),115.97158415841584)</f>
        <v>115.9715842</v>
      </c>
      <c r="U1352" s="9">
        <f t="shared" si="5"/>
        <v>-0.07581469228</v>
      </c>
      <c r="V1352" s="15">
        <f>IFERROR(__xludf.DUMMYFUNCTION("LET(hist, GOOGLEFINANCE(A1352,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rs))))))"),39.50421940928271)</f>
        <v>39.50421941</v>
      </c>
      <c r="W1352" s="16" t="str">
        <f>IFERROR(__xludf.DUMMYFUNCTION("IFERROR(GOOGLEFINANCE(A1352, ""volume"") / GOOGLEFINANCE(A1352, ""volumeavg""), )"),"")</f>
        <v/>
      </c>
      <c r="X1352" s="9">
        <f>IFERROR(__xludf.DUMMYFUNCTION("B1352 * GOOGLEFINANCE(A1352, ""volume"")"),1.0081686330000001E8)</f>
        <v>100816863.3</v>
      </c>
      <c r="Y1352" s="9">
        <f>IFERROR(__xludf.DUMMYFUNCTION("IFERROR(((B1352 - GOOGLEFINANCE(A1352, ""priceopen"")) / GOOGLEFINANCE(A1352, ""priceopen"")) * GOOGLEFINANCE(A1352, ""volume""), 0)"),-49533.56484274013)</f>
        <v>-49533.56484</v>
      </c>
    </row>
    <row r="1353">
      <c r="A1353" s="4" t="s">
        <v>3146</v>
      </c>
      <c r="B1353" s="7">
        <f>IFERROR(__xludf.DUMMYFUNCTION("GOOGLEFINANCE(A1353, ""price"")"),373.0)</f>
        <v>373</v>
      </c>
      <c r="C1353" s="7">
        <f>IFERROR(__xludf.DUMMYFUNCTION("GOOGLEFINANCE(A1353, ""changepct"")"),1.54)</f>
        <v>1.54</v>
      </c>
      <c r="D1353" s="9">
        <f>IFERROR(__xludf.DUMMYFUNCTION("GOOGLEFINANCE(A1353, ""priceopen"")"),368.9)</f>
        <v>368.9</v>
      </c>
      <c r="E1353" s="9">
        <f>IFERROR(__xludf.DUMMYFUNCTION("GOOGLEFINANCE(A1353, ""high"")"),380.0)</f>
        <v>380</v>
      </c>
      <c r="F1353" s="9">
        <f>IFERROR(__xludf.DUMMYFUNCTION("GOOGLEFINANCE(A1353, ""low"")"),357.25)</f>
        <v>357.25</v>
      </c>
      <c r="G1353" s="9">
        <f>IFERROR(__xludf.DUMMYFUNCTION("GOOGLEFINANCE(A1353, ""price"")"),373.0)</f>
        <v>373</v>
      </c>
      <c r="H1353" s="9">
        <f>IFERROR(__xludf.DUMMYFUNCTION("MAX(INDEX(GOOGLEFINANCE(A1353, ""high"", TODAY()-30, TODAY()), 0, 2))"),424.9)</f>
        <v>424.9</v>
      </c>
      <c r="I1353" s="9">
        <f>IFERROR(__xludf.DUMMYFUNCTION("MIN(INDEX(GOOGLEFINANCE(A1353, ""low"", TODAY()-30, TODAY()), 0, 2))"),339.0)</f>
        <v>339</v>
      </c>
      <c r="J1353" s="9">
        <f>IFERROR(__xludf.DUMMYFUNCTION("GOOGLEFINANCE(A1353, ""high52"")"),424.9)</f>
        <v>424.9</v>
      </c>
      <c r="K1353" s="9">
        <f>IFERROR(__xludf.DUMMYFUNCTION("GOOGLEFINANCE(A1353, ""low52"")"),169.02)</f>
        <v>169.02</v>
      </c>
      <c r="L1353" s="9">
        <f t="shared" si="1"/>
        <v>0.1221463874</v>
      </c>
      <c r="M1353" s="9">
        <f t="shared" si="2"/>
        <v>1.206839427</v>
      </c>
      <c r="N1353" s="9">
        <f t="shared" si="3"/>
        <v>0.06368089573</v>
      </c>
      <c r="O1353" s="9">
        <f t="shared" si="4"/>
        <v>0.3958090803</v>
      </c>
      <c r="P1353" s="9">
        <f>IFERROR(__xludf.DUMMYFUNCTION("GOOGLEFINANCE(A1353, ""pe"")"),28.63)</f>
        <v>28.63</v>
      </c>
      <c r="Q1353" s="9">
        <f>IFERROR(__xludf.DUMMYFUNCTION("IFERROR(GOOGLEFINANCE(A1353, ""volume"") / GOOGLEFINANCE(A1353, ""volumeavg""), 0)"),0.0)</f>
        <v>0</v>
      </c>
      <c r="R1353" s="9">
        <f>IFERROR(__xludf.DUMMYFUNCTION("AVERAGE(INDEX(GOOGLEFINANCE(A1353, ""price"", TODAY()-30, TODAY()), 0, 2))"),386.2739130434782)</f>
        <v>386.273913</v>
      </c>
      <c r="S1353" s="9">
        <f>IFERROR(__xludf.DUMMYFUNCTION("AVERAGE(INDEX(GOOGLEFINANCE(A1353, ""price"", TODAY()-75, TODAY()), 0, 2))"),353.64018867924534)</f>
        <v>353.6401887</v>
      </c>
      <c r="T1353" s="9">
        <f>IFERROR(__xludf.DUMMYFUNCTION("AVERAGE(INDEX(GOOGLEFINANCE(A1353, ""price"", TODAY()-300, TODAY()), 0, 2))"),253.03841584158405)</f>
        <v>253.0384158</v>
      </c>
      <c r="U1353" s="9">
        <f t="shared" si="5"/>
        <v>-0.03436399041</v>
      </c>
      <c r="V1353" s="15">
        <f>IFERROR(__xludf.DUMMYFUNCTION("LET(hist, GOOGLEFINANCE(A1353,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rs))))))"),32.09417596034693)</f>
        <v>32.09417596</v>
      </c>
      <c r="W1353" s="16" t="str">
        <f>IFERROR(__xludf.DUMMYFUNCTION("IFERROR(GOOGLEFINANCE(A1353, ""volume"") / GOOGLEFINANCE(A1353, ""volumeavg""), )"),"")</f>
        <v/>
      </c>
      <c r="X1353" s="9">
        <f>IFERROR(__xludf.DUMMYFUNCTION("B1353 * GOOGLEFINANCE(A1353, ""volume"")"),2792651.0)</f>
        <v>2792651</v>
      </c>
      <c r="Y1353" s="9">
        <f>IFERROR(__xludf.DUMMYFUNCTION("IFERROR(((B1353 - GOOGLEFINANCE(A1353, ""priceopen"")) / GOOGLEFINANCE(A1353, ""priceopen"")) * GOOGLEFINANCE(A1353, ""volume""), 0)"),83.21143941447593)</f>
        <v>83.21143941</v>
      </c>
    </row>
    <row r="1354">
      <c r="A1354" s="4" t="s">
        <v>3147</v>
      </c>
      <c r="B1354" s="7">
        <f>IFERROR(__xludf.DUMMYFUNCTION("GOOGLEFINANCE(A1354, ""price"")"),820.8)</f>
        <v>820.8</v>
      </c>
      <c r="C1354" s="7">
        <f>IFERROR(__xludf.DUMMYFUNCTION("GOOGLEFINANCE(A1354, ""changepct"")"),-0.04)</f>
        <v>-0.04</v>
      </c>
      <c r="D1354" s="9">
        <f>IFERROR(__xludf.DUMMYFUNCTION("GOOGLEFINANCE(A1354, ""priceopen"")"),819.05)</f>
        <v>819.05</v>
      </c>
      <c r="E1354" s="9">
        <f>IFERROR(__xludf.DUMMYFUNCTION("GOOGLEFINANCE(A1354, ""high"")"),825.0)</f>
        <v>825</v>
      </c>
      <c r="F1354" s="9">
        <f>IFERROR(__xludf.DUMMYFUNCTION("GOOGLEFINANCE(A1354, ""low"")"),810.25)</f>
        <v>810.25</v>
      </c>
      <c r="G1354" s="9">
        <f>IFERROR(__xludf.DUMMYFUNCTION("GOOGLEFINANCE(A1354, ""price"")"),820.8)</f>
        <v>820.8</v>
      </c>
      <c r="H1354" s="9">
        <f>IFERROR(__xludf.DUMMYFUNCTION("MAX(INDEX(GOOGLEFINANCE(A1354, ""high"", TODAY()-30, TODAY()), 0, 2))"),971.15)</f>
        <v>971.15</v>
      </c>
      <c r="I1354" s="9">
        <f>IFERROR(__xludf.DUMMYFUNCTION("MIN(INDEX(GOOGLEFINANCE(A1354, ""low"", TODAY()-30, TODAY()), 0, 2))"),787.0)</f>
        <v>787</v>
      </c>
      <c r="J1354" s="9">
        <f>IFERROR(__xludf.DUMMYFUNCTION("GOOGLEFINANCE(A1354, ""high52"")"),1175.1)</f>
        <v>1175.1</v>
      </c>
      <c r="K1354" s="9">
        <f>IFERROR(__xludf.DUMMYFUNCTION("GOOGLEFINANCE(A1354, ""low52"")"),640.0)</f>
        <v>640</v>
      </c>
      <c r="L1354" s="9">
        <f t="shared" si="1"/>
        <v>0.3015062548</v>
      </c>
      <c r="M1354" s="9">
        <f t="shared" si="2"/>
        <v>0.2825</v>
      </c>
      <c r="N1354" s="9">
        <f t="shared" si="3"/>
        <v>0.01820425795</v>
      </c>
      <c r="O1354" s="9">
        <f t="shared" si="4"/>
        <v>0.1835460223</v>
      </c>
      <c r="P1354" s="9">
        <f>IFERROR(__xludf.DUMMYFUNCTION("GOOGLEFINANCE(A1354, ""pe"")"),10.27)</f>
        <v>10.27</v>
      </c>
      <c r="Q1354" s="9">
        <f>IFERROR(__xludf.DUMMYFUNCTION("IFERROR(GOOGLEFINANCE(A1354, ""volume"") / GOOGLEFINANCE(A1354, ""volumeavg""), 0)"),0.0)</f>
        <v>0</v>
      </c>
      <c r="R1354" s="9">
        <f>IFERROR(__xludf.DUMMYFUNCTION("AVERAGE(INDEX(GOOGLEFINANCE(A1354, ""price"", TODAY()-30, TODAY()), 0, 2))"),821.4630434782608)</f>
        <v>821.4630435</v>
      </c>
      <c r="S1354" s="9">
        <f>IFERROR(__xludf.DUMMYFUNCTION("AVERAGE(INDEX(GOOGLEFINANCE(A1354, ""price"", TODAY()-75, TODAY()), 0, 2))"),823.9301886792455)</f>
        <v>823.9301887</v>
      </c>
      <c r="T1354" s="9">
        <f>IFERROR(__xludf.DUMMYFUNCTION("AVERAGE(INDEX(GOOGLEFINANCE(A1354, ""price"", TODAY()-300, TODAY()), 0, 2))"),883.3246268656717)</f>
        <v>883.3246269</v>
      </c>
      <c r="U1354" s="9">
        <f t="shared" si="5"/>
        <v>-0.000807149492</v>
      </c>
      <c r="V1354" s="15">
        <f>IFERROR(__xludf.DUMMYFUNCTION("LET(hist, GOOGLEFINANCE(A1354,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rs))))))"),51.396909630092075)</f>
        <v>51.39690963</v>
      </c>
      <c r="W1354" s="16" t="str">
        <f>IFERROR(__xludf.DUMMYFUNCTION("IFERROR(GOOGLEFINANCE(A1354, ""volume"") / GOOGLEFINANCE(A1354, ""volumeavg""), )"),"")</f>
        <v/>
      </c>
      <c r="X1354" s="9">
        <f>IFERROR(__xludf.DUMMYFUNCTION("B1354 * GOOGLEFINANCE(A1354, ""volume"")"),1.3484102399999999E7)</f>
        <v>13484102.4</v>
      </c>
      <c r="Y1354" s="9">
        <f>IFERROR(__xludf.DUMMYFUNCTION("IFERROR(((B1354 - GOOGLEFINANCE(A1354, ""priceopen"")) / GOOGLEFINANCE(A1354, ""priceopen"")) * GOOGLEFINANCE(A1354, ""volume""), 0)"),35.10042121970576)</f>
        <v>35.10042122</v>
      </c>
    </row>
    <row r="1355">
      <c r="A1355" s="4" t="s">
        <v>3148</v>
      </c>
      <c r="B1355" s="7">
        <f>IFERROR(__xludf.DUMMYFUNCTION("GOOGLEFINANCE(A1355, ""price"")"),221.5)</f>
        <v>221.5</v>
      </c>
      <c r="C1355" s="7">
        <f>IFERROR(__xludf.DUMMYFUNCTION("GOOGLEFINANCE(A1355, ""changepct"")"),2.79)</f>
        <v>2.79</v>
      </c>
      <c r="D1355" s="9">
        <f>IFERROR(__xludf.DUMMYFUNCTION("GOOGLEFINANCE(A1355, ""priceopen"")"),216.5)</f>
        <v>216.5</v>
      </c>
      <c r="E1355" s="9">
        <f>IFERROR(__xludf.DUMMYFUNCTION("GOOGLEFINANCE(A1355, ""high"")"),221.7)</f>
        <v>221.7</v>
      </c>
      <c r="F1355" s="9">
        <f>IFERROR(__xludf.DUMMYFUNCTION("GOOGLEFINANCE(A1355, ""low"")"),215.73)</f>
        <v>215.73</v>
      </c>
      <c r="G1355" s="9">
        <f>IFERROR(__xludf.DUMMYFUNCTION("GOOGLEFINANCE(A1355, ""price"")"),221.5)</f>
        <v>221.5</v>
      </c>
      <c r="H1355" s="9">
        <f>IFERROR(__xludf.DUMMYFUNCTION("MAX(INDEX(GOOGLEFINANCE(A1355, ""high"", TODAY()-30, TODAY()), 0, 2))"),247.0)</f>
        <v>247</v>
      </c>
      <c r="I1355" s="9">
        <f>IFERROR(__xludf.DUMMYFUNCTION("MIN(INDEX(GOOGLEFINANCE(A1355, ""low"", TODAY()-30, TODAY()), 0, 2))"),214.45)</f>
        <v>214.45</v>
      </c>
      <c r="J1355" s="9">
        <f>IFERROR(__xludf.DUMMYFUNCTION("GOOGLEFINANCE(A1355, ""high52"")"),342.4)</f>
        <v>342.4</v>
      </c>
      <c r="K1355" s="9">
        <f>IFERROR(__xludf.DUMMYFUNCTION("GOOGLEFINANCE(A1355, ""low52"")"),183.5)</f>
        <v>183.5</v>
      </c>
      <c r="L1355" s="9">
        <f t="shared" si="1"/>
        <v>0.3530957944</v>
      </c>
      <c r="M1355" s="9">
        <f t="shared" si="2"/>
        <v>0.2070844687</v>
      </c>
      <c r="N1355" s="9">
        <f t="shared" si="3"/>
        <v>0.02767348074</v>
      </c>
      <c r="O1355" s="9">
        <f t="shared" si="4"/>
        <v>0.2165898618</v>
      </c>
      <c r="P1355" s="9">
        <f>IFERROR(__xludf.DUMMYFUNCTION("GOOGLEFINANCE(A1355, ""pe"")"),276.37)</f>
        <v>276.37</v>
      </c>
      <c r="Q1355" s="9">
        <f>IFERROR(__xludf.DUMMYFUNCTION("IFERROR(GOOGLEFINANCE(A1355, ""volume"") / GOOGLEFINANCE(A1355, ""volumeavg""), 0)"),0.0)</f>
        <v>0</v>
      </c>
      <c r="R1355" s="9">
        <f>IFERROR(__xludf.DUMMYFUNCTION("AVERAGE(INDEX(GOOGLEFINANCE(A1355, ""price"", TODAY()-30, TODAY()), 0, 2))"),228.5804347826087)</f>
        <v>228.5804348</v>
      </c>
      <c r="S1355" s="9">
        <f>IFERROR(__xludf.DUMMYFUNCTION("AVERAGE(INDEX(GOOGLEFINANCE(A1355, ""price"", TODAY()-75, TODAY()), 0, 2))"),226.38037735849056)</f>
        <v>226.3803774</v>
      </c>
      <c r="T1355" s="9">
        <f>IFERROR(__xludf.DUMMYFUNCTION("AVERAGE(INDEX(GOOGLEFINANCE(A1355, ""price"", TODAY()-300, TODAY()), 0, 2))"),235.57975247524737)</f>
        <v>235.5797525</v>
      </c>
      <c r="U1355" s="9">
        <f t="shared" si="5"/>
        <v>-0.03097568166</v>
      </c>
      <c r="V1355" s="15">
        <f>IFERROR(__xludf.DUMMYFUNCTION("LET(hist, GOOGLEFINANCE(A1355,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rs))))))"),43.26044386422977)</f>
        <v>43.26044386</v>
      </c>
      <c r="W1355" s="16" t="str">
        <f>IFERROR(__xludf.DUMMYFUNCTION("IFERROR(GOOGLEFINANCE(A1355, ""volume"") / GOOGLEFINANCE(A1355, ""volumeavg""), )"),"")</f>
        <v/>
      </c>
      <c r="X1355" s="9">
        <f>IFERROR(__xludf.DUMMYFUNCTION("B1355 * GOOGLEFINANCE(A1355, ""volume"")"),2.24634225E7)</f>
        <v>22463422.5</v>
      </c>
      <c r="Y1355" s="9">
        <f>IFERROR(__xludf.DUMMYFUNCTION("IFERROR(((B1355 - GOOGLEFINANCE(A1355, ""priceopen"")) / GOOGLEFINANCE(A1355, ""priceopen"")) * GOOGLEFINANCE(A1355, ""volume""), 0)"),2342.147806004619)</f>
        <v>2342.147806</v>
      </c>
    </row>
    <row r="1356">
      <c r="A1356" s="4" t="s">
        <v>3149</v>
      </c>
      <c r="B1356" s="7">
        <f>IFERROR(__xludf.DUMMYFUNCTION("GOOGLEFINANCE(A1356, ""price"")"),1045.5)</f>
        <v>1045.5</v>
      </c>
      <c r="C1356" s="7">
        <f>IFERROR(__xludf.DUMMYFUNCTION("GOOGLEFINANCE(A1356, ""changepct"")"),1.07)</f>
        <v>1.07</v>
      </c>
      <c r="D1356" s="9">
        <f>IFERROR(__xludf.DUMMYFUNCTION("GOOGLEFINANCE(A1356, ""priceopen"")"),1034.4)</f>
        <v>1034.4</v>
      </c>
      <c r="E1356" s="9">
        <f>IFERROR(__xludf.DUMMYFUNCTION("GOOGLEFINANCE(A1356, ""high"")"),1060.0)</f>
        <v>1060</v>
      </c>
      <c r="F1356" s="9">
        <f>IFERROR(__xludf.DUMMYFUNCTION("GOOGLEFINANCE(A1356, ""low"")"),1022.65)</f>
        <v>1022.65</v>
      </c>
      <c r="G1356" s="9">
        <f>IFERROR(__xludf.DUMMYFUNCTION("GOOGLEFINANCE(A1356, ""price"")"),1045.5)</f>
        <v>1045.5</v>
      </c>
      <c r="H1356" s="9">
        <f>IFERROR(__xludf.DUMMYFUNCTION("MAX(INDEX(GOOGLEFINANCE(A1356, ""high"", TODAY()-30, TODAY()), 0, 2))"),1060.0)</f>
        <v>1060</v>
      </c>
      <c r="I1356" s="9">
        <f>IFERROR(__xludf.DUMMYFUNCTION("MIN(INDEX(GOOGLEFINANCE(A1356, ""low"", TODAY()-30, TODAY()), 0, 2))"),885.2)</f>
        <v>885.2</v>
      </c>
      <c r="J1356" s="9">
        <f>IFERROR(__xludf.DUMMYFUNCTION("GOOGLEFINANCE(A1356, ""high52"")"),1348.8)</f>
        <v>1348.8</v>
      </c>
      <c r="K1356" s="9">
        <f>IFERROR(__xludf.DUMMYFUNCTION("GOOGLEFINANCE(A1356, ""low52"")"),800.05)</f>
        <v>800.05</v>
      </c>
      <c r="L1356" s="9">
        <f t="shared" si="1"/>
        <v>0.224866548</v>
      </c>
      <c r="M1356" s="9">
        <f t="shared" si="2"/>
        <v>0.3067933254</v>
      </c>
      <c r="N1356" s="9">
        <f t="shared" si="3"/>
        <v>0.0365227595</v>
      </c>
      <c r="O1356" s="9">
        <f t="shared" si="4"/>
        <v>0.9170480549</v>
      </c>
      <c r="P1356" s="9">
        <f>IFERROR(__xludf.DUMMYFUNCTION("GOOGLEFINANCE(A1356, ""pe"")"),17.37)</f>
        <v>17.37</v>
      </c>
      <c r="Q1356" s="9">
        <f>IFERROR(__xludf.DUMMYFUNCTION("IFERROR(GOOGLEFINANCE(A1356, ""volume"") / GOOGLEFINANCE(A1356, ""volumeavg""), 0)"),0.0)</f>
        <v>0</v>
      </c>
      <c r="R1356" s="9">
        <f>IFERROR(__xludf.DUMMYFUNCTION("AVERAGE(INDEX(GOOGLEFINANCE(A1356, ""price"", TODAY()-30, TODAY()), 0, 2))"),971.4065217391305)</f>
        <v>971.4065217</v>
      </c>
      <c r="S1356" s="9">
        <f>IFERROR(__xludf.DUMMYFUNCTION("AVERAGE(INDEX(GOOGLEFINANCE(A1356, ""price"", TODAY()-75, TODAY()), 0, 2))"),939.3943396226415)</f>
        <v>939.3943396</v>
      </c>
      <c r="T1356" s="9">
        <f>IFERROR(__xludf.DUMMYFUNCTION("AVERAGE(INDEX(GOOGLEFINANCE(A1356, ""price"", TODAY()-300, TODAY()), 0, 2))"),952.1447761194029)</f>
        <v>952.1447761</v>
      </c>
      <c r="U1356" s="9">
        <f t="shared" si="5"/>
        <v>0.0762744295</v>
      </c>
      <c r="V1356" s="15">
        <f>IFERROR(__xludf.DUMMYFUNCTION("LET(hist, GOOGLEFINANCE(A1356,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rs))))))"),79.6613848491426)</f>
        <v>79.66138485</v>
      </c>
      <c r="W1356" s="16" t="str">
        <f>IFERROR(__xludf.DUMMYFUNCTION("IFERROR(GOOGLEFINANCE(A1356, ""volume"") / GOOGLEFINANCE(A1356, ""volumeavg""), )"),"")</f>
        <v/>
      </c>
      <c r="X1356" s="9">
        <f>IFERROR(__xludf.DUMMYFUNCTION("B1356 * GOOGLEFINANCE(A1356, ""volume"")"),6751839.0)</f>
        <v>6751839</v>
      </c>
      <c r="Y1356" s="9">
        <f>IFERROR(__xludf.DUMMYFUNCTION("IFERROR(((B1356 - GOOGLEFINANCE(A1356, ""priceopen"")) / GOOGLEFINANCE(A1356, ""priceopen"")) * GOOGLEFINANCE(A1356, ""volume""), 0)"),69.29988399071868)</f>
        <v>69.29988399</v>
      </c>
    </row>
    <row r="1357">
      <c r="A1357" s="4" t="s">
        <v>3150</v>
      </c>
      <c r="B1357" s="7">
        <f>IFERROR(__xludf.DUMMYFUNCTION("GOOGLEFINANCE(A1357, ""price"")"),804.4)</f>
        <v>804.4</v>
      </c>
      <c r="C1357" s="7">
        <f>IFERROR(__xludf.DUMMYFUNCTION("GOOGLEFINANCE(A1357, ""changepct"")"),-0.67)</f>
        <v>-0.67</v>
      </c>
      <c r="D1357" s="9">
        <f>IFERROR(__xludf.DUMMYFUNCTION("GOOGLEFINANCE(A1357, ""priceopen"")"),810.15)</f>
        <v>810.15</v>
      </c>
      <c r="E1357" s="9">
        <f>IFERROR(__xludf.DUMMYFUNCTION("GOOGLEFINANCE(A1357, ""high"")"),810.15)</f>
        <v>810.15</v>
      </c>
      <c r="F1357" s="9">
        <f>IFERROR(__xludf.DUMMYFUNCTION("GOOGLEFINANCE(A1357, ""low"")"),800.0)</f>
        <v>800</v>
      </c>
      <c r="G1357" s="9">
        <f>IFERROR(__xludf.DUMMYFUNCTION("GOOGLEFINANCE(A1357, ""price"")"),804.4)</f>
        <v>804.4</v>
      </c>
      <c r="H1357" s="9">
        <f>IFERROR(__xludf.DUMMYFUNCTION("MAX(INDEX(GOOGLEFINANCE(A1357, ""high"", TODAY()-30, TODAY()), 0, 2))"),893.9)</f>
        <v>893.9</v>
      </c>
      <c r="I1357" s="9">
        <f>IFERROR(__xludf.DUMMYFUNCTION("MIN(INDEX(GOOGLEFINANCE(A1357, ""low"", TODAY()-30, TODAY()), 0, 2))"),750.0)</f>
        <v>750</v>
      </c>
      <c r="J1357" s="9">
        <f>IFERROR(__xludf.DUMMYFUNCTION("GOOGLEFINANCE(A1357, ""high52"")"),1051.0)</f>
        <v>1051</v>
      </c>
      <c r="K1357" s="9">
        <f>IFERROR(__xludf.DUMMYFUNCTION("GOOGLEFINANCE(A1357, ""low52"")"),700.0)</f>
        <v>700</v>
      </c>
      <c r="L1357" s="9">
        <f t="shared" si="1"/>
        <v>0.2346336822</v>
      </c>
      <c r="M1357" s="9">
        <f t="shared" si="2"/>
        <v>0.1491428571</v>
      </c>
      <c r="N1357" s="9">
        <f t="shared" si="3"/>
        <v>0.0126875</v>
      </c>
      <c r="O1357" s="9">
        <f t="shared" si="4"/>
        <v>0.3780403058</v>
      </c>
      <c r="P1357" s="9">
        <f>IFERROR(__xludf.DUMMYFUNCTION("GOOGLEFINANCE(A1357, ""pe"")"),14.34)</f>
        <v>14.34</v>
      </c>
      <c r="Q1357" s="9">
        <f>IFERROR(__xludf.DUMMYFUNCTION("IFERROR(GOOGLEFINANCE(A1357, ""volume"") / GOOGLEFINANCE(A1357, ""volumeavg""), 0)"),0.0)</f>
        <v>0</v>
      </c>
      <c r="R1357" s="9">
        <f>IFERROR(__xludf.DUMMYFUNCTION("AVERAGE(INDEX(GOOGLEFINANCE(A1357, ""price"", TODAY()-30, TODAY()), 0, 2))"),827.9739130434782)</f>
        <v>827.973913</v>
      </c>
      <c r="S1357" s="9">
        <f>IFERROR(__xludf.DUMMYFUNCTION("AVERAGE(INDEX(GOOGLEFINANCE(A1357, ""price"", TODAY()-75, TODAY()), 0, 2))"),820.0235849056604)</f>
        <v>820.0235849</v>
      </c>
      <c r="T1357" s="9">
        <f>IFERROR(__xludf.DUMMYFUNCTION("AVERAGE(INDEX(GOOGLEFINANCE(A1357, ""price"", TODAY()-300, TODAY()), 0, 2))"),828.7883663366335)</f>
        <v>828.7883663</v>
      </c>
      <c r="U1357" s="9">
        <f t="shared" si="5"/>
        <v>-0.02847180651</v>
      </c>
      <c r="V1357" s="15">
        <f>IFERROR(__xludf.DUMMYFUNCTION("LET(hist, GOOGLEFINANCE(A1357,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rs))))))"),39.00487125956856)</f>
        <v>39.00487126</v>
      </c>
      <c r="W1357" s="16" t="str">
        <f>IFERROR(__xludf.DUMMYFUNCTION("IFERROR(GOOGLEFINANCE(A1357, ""volume"") / GOOGLEFINANCE(A1357, ""volumeavg""), )"),"")</f>
        <v/>
      </c>
      <c r="X1357" s="9">
        <f>IFERROR(__xludf.DUMMYFUNCTION("B1357 * GOOGLEFINANCE(A1357, ""volume"")"),1.12784924E7)</f>
        <v>11278492.4</v>
      </c>
      <c r="Y1357" s="9">
        <f>IFERROR(__xludf.DUMMYFUNCTION("IFERROR(((B1357 - GOOGLEFINANCE(A1357, ""priceopen"")) / GOOGLEFINANCE(A1357, ""priceopen"")) * GOOGLEFINANCE(A1357, ""volume""), 0)"),-99.5133617231377)</f>
        <v>-99.51336172</v>
      </c>
    </row>
    <row r="1358">
      <c r="A1358" s="4" t="s">
        <v>3151</v>
      </c>
      <c r="B1358" s="7">
        <f>IFERROR(__xludf.DUMMYFUNCTION("GOOGLEFINANCE(A1358, ""price"")"),15.94)</f>
        <v>15.94</v>
      </c>
      <c r="C1358" s="7">
        <f>IFERROR(__xludf.DUMMYFUNCTION("GOOGLEFINANCE(A1358, ""changepct"")"),9.7)</f>
        <v>9.7</v>
      </c>
      <c r="D1358" s="9">
        <f>IFERROR(__xludf.DUMMYFUNCTION("GOOGLEFINANCE(A1358, ""priceopen"")"),15.5)</f>
        <v>15.5</v>
      </c>
      <c r="E1358" s="9">
        <f>IFERROR(__xludf.DUMMYFUNCTION("GOOGLEFINANCE(A1358, ""high"")"),17.2)</f>
        <v>17.2</v>
      </c>
      <c r="F1358" s="9">
        <f>IFERROR(__xludf.DUMMYFUNCTION("GOOGLEFINANCE(A1358, ""low"")"),15.21)</f>
        <v>15.21</v>
      </c>
      <c r="G1358" s="9">
        <f>IFERROR(__xludf.DUMMYFUNCTION("GOOGLEFINANCE(A1358, ""price"")"),15.94)</f>
        <v>15.94</v>
      </c>
      <c r="H1358" s="9">
        <f>IFERROR(__xludf.DUMMYFUNCTION("MAX(INDEX(GOOGLEFINANCE(A1358, ""high"", TODAY()-30, TODAY()), 0, 2))"),17.2)</f>
        <v>17.2</v>
      </c>
      <c r="I1358" s="9">
        <f>IFERROR(__xludf.DUMMYFUNCTION("MIN(INDEX(GOOGLEFINANCE(A1358, ""low"", TODAY()-30, TODAY()), 0, 2))"),12.79)</f>
        <v>12.79</v>
      </c>
      <c r="J1358" s="9">
        <f>IFERROR(__xludf.DUMMYFUNCTION("GOOGLEFINANCE(A1358, ""high52"")"),18.7)</f>
        <v>18.7</v>
      </c>
      <c r="K1358" s="9">
        <f>IFERROR(__xludf.DUMMYFUNCTION("GOOGLEFINANCE(A1358, ""low52"")"),10.21)</f>
        <v>10.21</v>
      </c>
      <c r="L1358" s="9">
        <f t="shared" si="1"/>
        <v>0.1475935829</v>
      </c>
      <c r="M1358" s="9">
        <f t="shared" si="2"/>
        <v>0.5612144956</v>
      </c>
      <c r="N1358" s="9">
        <f t="shared" si="3"/>
        <v>0.130834977</v>
      </c>
      <c r="O1358" s="9">
        <f t="shared" si="4"/>
        <v>0.7142857143</v>
      </c>
      <c r="P1358" s="9">
        <f>IFERROR(__xludf.DUMMYFUNCTION("GOOGLEFINANCE(A1358, ""pe"")"),19.68)</f>
        <v>19.68</v>
      </c>
      <c r="Q1358" s="9">
        <f>IFERROR(__xludf.DUMMYFUNCTION("IFERROR(GOOGLEFINANCE(A1358, ""volume"") / GOOGLEFINANCE(A1358, ""volumeavg""), 0)"),0.0)</f>
        <v>0</v>
      </c>
      <c r="R1358" s="9">
        <f>IFERROR(__xludf.DUMMYFUNCTION("AVERAGE(INDEX(GOOGLEFINANCE(A1358, ""price"", TODAY()-30, TODAY()), 0, 2))"),13.56086956521739)</f>
        <v>13.56086957</v>
      </c>
      <c r="S1358" s="9">
        <f>IFERROR(__xludf.DUMMYFUNCTION("AVERAGE(INDEX(GOOGLEFINANCE(A1358, ""price"", TODAY()-75, TODAY()), 0, 2))"),13.939056603773588)</f>
        <v>13.9390566</v>
      </c>
      <c r="T1358" s="9">
        <f>IFERROR(__xludf.DUMMYFUNCTION("AVERAGE(INDEX(GOOGLEFINANCE(A1358, ""price"", TODAY()-300, TODAY()), 0, 2))"),14.019950495049494)</f>
        <v>14.0199505</v>
      </c>
      <c r="U1358" s="9">
        <f t="shared" si="5"/>
        <v>0.1754408464</v>
      </c>
      <c r="V1358" s="15">
        <f>IFERROR(__xludf.DUMMYFUNCTION("LET(hist, GOOGLEFINANCE(A1358,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rs))))))"),84.03990024937652)</f>
        <v>84.03990025</v>
      </c>
      <c r="W1358" s="16" t="str">
        <f>IFERROR(__xludf.DUMMYFUNCTION("IFERROR(GOOGLEFINANCE(A1358, ""volume"") / GOOGLEFINANCE(A1358, ""volumeavg""), )"),"")</f>
        <v/>
      </c>
      <c r="X1358" s="9">
        <f>IFERROR(__xludf.DUMMYFUNCTION("B1358 * GOOGLEFINANCE(A1358, ""volume"")"),9.3537902936E8)</f>
        <v>935379029.4</v>
      </c>
      <c r="Y1358" s="9">
        <f>IFERROR(__xludf.DUMMYFUNCTION("IFERROR(((B1358 - GOOGLEFINANCE(A1358, ""priceopen"")) / GOOGLEFINANCE(A1358, ""priceopen"")) * GOOGLEFINANCE(A1358, ""volume""), 0)"),1665790.1522580625)</f>
        <v>1665790.152</v>
      </c>
    </row>
    <row r="1359">
      <c r="A1359" s="4" t="s">
        <v>3152</v>
      </c>
      <c r="B1359" s="7">
        <f>IFERROR(__xludf.DUMMYFUNCTION("GOOGLEFINANCE(A1359, ""price"")"),191.0)</f>
        <v>191</v>
      </c>
      <c r="C1359" s="7">
        <f>IFERROR(__xludf.DUMMYFUNCTION("GOOGLEFINANCE(A1359, ""changepct"")"),-3.62)</f>
        <v>-3.62</v>
      </c>
      <c r="D1359" s="9">
        <f>IFERROR(__xludf.DUMMYFUNCTION("GOOGLEFINANCE(A1359, ""priceopen"")"),198.89)</f>
        <v>198.89</v>
      </c>
      <c r="E1359" s="9">
        <f>IFERROR(__xludf.DUMMYFUNCTION("GOOGLEFINANCE(A1359, ""high"")"),199.96)</f>
        <v>199.96</v>
      </c>
      <c r="F1359" s="9">
        <f>IFERROR(__xludf.DUMMYFUNCTION("GOOGLEFINANCE(A1359, ""low"")"),188.04)</f>
        <v>188.04</v>
      </c>
      <c r="G1359" s="9">
        <f>IFERROR(__xludf.DUMMYFUNCTION("GOOGLEFINANCE(A1359, ""price"")"),191.0)</f>
        <v>191</v>
      </c>
      <c r="H1359" s="9">
        <f>IFERROR(__xludf.DUMMYFUNCTION("MAX(INDEX(GOOGLEFINANCE(A1359, ""high"", TODAY()-30, TODAY()), 0, 2))"),227.63)</f>
        <v>227.63</v>
      </c>
      <c r="I1359" s="9">
        <f>IFERROR(__xludf.DUMMYFUNCTION("MIN(INDEX(GOOGLEFINANCE(A1359, ""low"", TODAY()-30, TODAY()), 0, 2))"),174.5)</f>
        <v>174.5</v>
      </c>
      <c r="J1359" s="9">
        <f>IFERROR(__xludf.DUMMYFUNCTION("GOOGLEFINANCE(A1359, ""high52"")"),227.63)</f>
        <v>227.63</v>
      </c>
      <c r="K1359" s="9">
        <f>IFERROR(__xludf.DUMMYFUNCTION("GOOGLEFINANCE(A1359, ""low52"")"),121.5)</f>
        <v>121.5</v>
      </c>
      <c r="L1359" s="9">
        <f t="shared" si="1"/>
        <v>0.1609190353</v>
      </c>
      <c r="M1359" s="9">
        <f t="shared" si="2"/>
        <v>0.5720164609</v>
      </c>
      <c r="N1359" s="9">
        <f t="shared" si="3"/>
        <v>0.06339076792</v>
      </c>
      <c r="O1359" s="9">
        <f t="shared" si="4"/>
        <v>0.3105590062</v>
      </c>
      <c r="P1359" s="9">
        <f>IFERROR(__xludf.DUMMYFUNCTION("GOOGLEFINANCE(A1359, ""pe"")"),8.06)</f>
        <v>8.06</v>
      </c>
      <c r="Q1359" s="9">
        <f>IFERROR(__xludf.DUMMYFUNCTION("IFERROR(GOOGLEFINANCE(A1359, ""volume"") / GOOGLEFINANCE(A1359, ""volumeavg""), 0)"),0.0)</f>
        <v>0</v>
      </c>
      <c r="R1359" s="9">
        <f>IFERROR(__xludf.DUMMYFUNCTION("AVERAGE(INDEX(GOOGLEFINANCE(A1359, ""price"", TODAY()-30, TODAY()), 0, 2))"),192.8217391304348)</f>
        <v>192.8217391</v>
      </c>
      <c r="S1359" s="9">
        <f>IFERROR(__xludf.DUMMYFUNCTION("AVERAGE(INDEX(GOOGLEFINANCE(A1359, ""price"", TODAY()-75, TODAY()), 0, 2))"),195.1832075471698)</f>
        <v>195.1832075</v>
      </c>
      <c r="T1359" s="9">
        <f>IFERROR(__xludf.DUMMYFUNCTION("AVERAGE(INDEX(GOOGLEFINANCE(A1359, ""price"", TODAY()-300, TODAY()), 0, 2))"),164.9237128712872)</f>
        <v>164.9237129</v>
      </c>
      <c r="U1359" s="9">
        <f t="shared" si="5"/>
        <v>-0.009447789127</v>
      </c>
      <c r="V1359" s="15">
        <f>IFERROR(__xludf.DUMMYFUNCTION("LET(hist, GOOGLEFINANCE(A1359,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rs))))))"),52.482057416267935)</f>
        <v>52.48205742</v>
      </c>
      <c r="W1359" s="16" t="str">
        <f>IFERROR(__xludf.DUMMYFUNCTION("IFERROR(GOOGLEFINANCE(A1359, ""volume"") / GOOGLEFINANCE(A1359, ""volumeavg""), )"),"")</f>
        <v/>
      </c>
      <c r="X1359" s="9">
        <f>IFERROR(__xludf.DUMMYFUNCTION("B1359 * GOOGLEFINANCE(A1359, ""volume"")"),7.2110713E7)</f>
        <v>72110713</v>
      </c>
      <c r="Y1359" s="9">
        <f>IFERROR(__xludf.DUMMYFUNCTION("IFERROR(((B1359 - GOOGLEFINANCE(A1359, ""priceopen"")) / GOOGLEFINANCE(A1359, ""priceopen"")) * GOOGLEFINANCE(A1359, ""volume""), 0)"),-14977.194781034717)</f>
        <v>-14977.19478</v>
      </c>
    </row>
    <row r="1360">
      <c r="A1360" s="4" t="s">
        <v>3153</v>
      </c>
      <c r="B1360" s="7">
        <f>IFERROR(__xludf.DUMMYFUNCTION("GOOGLEFINANCE(A1360, ""price"")"),52.17)</f>
        <v>52.17</v>
      </c>
      <c r="C1360" s="7">
        <f>IFERROR(__xludf.DUMMYFUNCTION("GOOGLEFINANCE(A1360, ""changepct"")"),-3.37)</f>
        <v>-3.37</v>
      </c>
      <c r="D1360" s="9">
        <f>IFERROR(__xludf.DUMMYFUNCTION("GOOGLEFINANCE(A1360, ""priceopen"")"),54.2)</f>
        <v>54.2</v>
      </c>
      <c r="E1360" s="9">
        <f>IFERROR(__xludf.DUMMYFUNCTION("GOOGLEFINANCE(A1360, ""high"")"),55.0)</f>
        <v>55</v>
      </c>
      <c r="F1360" s="9">
        <f>IFERROR(__xludf.DUMMYFUNCTION("GOOGLEFINANCE(A1360, ""low"")"),51.15)</f>
        <v>51.15</v>
      </c>
      <c r="G1360" s="9">
        <f>IFERROR(__xludf.DUMMYFUNCTION("GOOGLEFINANCE(A1360, ""price"")"),52.17)</f>
        <v>52.17</v>
      </c>
      <c r="H1360" s="9">
        <f>IFERROR(__xludf.DUMMYFUNCTION("MAX(INDEX(GOOGLEFINANCE(A1360, ""high"", TODAY()-30, TODAY()), 0, 2))"),62.4)</f>
        <v>62.4</v>
      </c>
      <c r="I1360" s="9">
        <f>IFERROR(__xludf.DUMMYFUNCTION("MIN(INDEX(GOOGLEFINANCE(A1360, ""low"", TODAY()-30, TODAY()), 0, 2))"),51.15)</f>
        <v>51.15</v>
      </c>
      <c r="J1360" s="9">
        <f>IFERROR(__xludf.DUMMYFUNCTION("GOOGLEFINANCE(A1360, ""high52"")"),75.4)</f>
        <v>75.4</v>
      </c>
      <c r="K1360" s="9">
        <f>IFERROR(__xludf.DUMMYFUNCTION("GOOGLEFINANCE(A1360, ""low52"")"),40.32)</f>
        <v>40.32</v>
      </c>
      <c r="L1360" s="9">
        <f t="shared" si="1"/>
        <v>0.3080901857</v>
      </c>
      <c r="M1360" s="9">
        <f t="shared" si="2"/>
        <v>0.2938988095</v>
      </c>
      <c r="N1360" s="9">
        <f t="shared" si="3"/>
        <v>0.0752688172</v>
      </c>
      <c r="O1360" s="9">
        <f t="shared" si="4"/>
        <v>0.09066666667</v>
      </c>
      <c r="P1360" s="9">
        <f>IFERROR(__xludf.DUMMYFUNCTION("GOOGLEFINANCE(A1360, ""pe"")"),745.29)</f>
        <v>745.29</v>
      </c>
      <c r="Q1360" s="9">
        <f>IFERROR(__xludf.DUMMYFUNCTION("IFERROR(GOOGLEFINANCE(A1360, ""volume"") / GOOGLEFINANCE(A1360, ""volumeavg""), 0)"),0.0)</f>
        <v>0</v>
      </c>
      <c r="R1360" s="9">
        <f>IFERROR(__xludf.DUMMYFUNCTION("AVERAGE(INDEX(GOOGLEFINANCE(A1360, ""price"", TODAY()-30, TODAY()), 0, 2))"),55.710869565217386)</f>
        <v>55.71086957</v>
      </c>
      <c r="S1360" s="9">
        <f>IFERROR(__xludf.DUMMYFUNCTION("AVERAGE(INDEX(GOOGLEFINANCE(A1360, ""price"", TODAY()-75, TODAY()), 0, 2))"),54.90528301886793)</f>
        <v>54.90528302</v>
      </c>
      <c r="T1360" s="9">
        <f>IFERROR(__xludf.DUMMYFUNCTION("AVERAGE(INDEX(GOOGLEFINANCE(A1360, ""price"", TODAY()-300, TODAY()), 0, 2))"),52.77163366336633)</f>
        <v>52.77163366</v>
      </c>
      <c r="U1360" s="9">
        <f t="shared" si="5"/>
        <v>-0.06355796621</v>
      </c>
      <c r="V1360" s="15">
        <f>IFERROR(__xludf.DUMMYFUNCTION("LET(hist, GOOGLEFINANCE(A1360,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rs))))))"),37.63919821826282)</f>
        <v>37.63919822</v>
      </c>
      <c r="W1360" s="16" t="str">
        <f>IFERROR(__xludf.DUMMYFUNCTION("IFERROR(GOOGLEFINANCE(A1360, ""volume"") / GOOGLEFINANCE(A1360, ""volumeavg""), )"),"")</f>
        <v/>
      </c>
      <c r="X1360" s="9">
        <f>IFERROR(__xludf.DUMMYFUNCTION("B1360 * GOOGLEFINANCE(A1360, ""volume"")"),5.417358885E7)</f>
        <v>54173588.85</v>
      </c>
      <c r="Y1360" s="9">
        <f>IFERROR(__xludf.DUMMYFUNCTION("IFERROR(((B1360 - GOOGLEFINANCE(A1360, ""priceopen"")) / GOOGLEFINANCE(A1360, ""priceopen"")) * GOOGLEFINANCE(A1360, ""volume""), 0)"),-38892.29059040592)</f>
        <v>-38892.29059</v>
      </c>
    </row>
    <row r="1361">
      <c r="A1361" s="4" t="s">
        <v>3154</v>
      </c>
      <c r="B1361" s="7">
        <f>IFERROR(__xludf.DUMMYFUNCTION("GOOGLEFINANCE(A1361, ""price"")"),365.0)</f>
        <v>365</v>
      </c>
      <c r="C1361" s="7">
        <f>IFERROR(__xludf.DUMMYFUNCTION("GOOGLEFINANCE(A1361, ""changepct"")"),-3.6)</f>
        <v>-3.6</v>
      </c>
      <c r="D1361" s="9">
        <f>IFERROR(__xludf.DUMMYFUNCTION("GOOGLEFINANCE(A1361, ""priceopen"")"),379.0)</f>
        <v>379</v>
      </c>
      <c r="E1361" s="9">
        <f>IFERROR(__xludf.DUMMYFUNCTION("GOOGLEFINANCE(A1361, ""high"")"),379.0)</f>
        <v>379</v>
      </c>
      <c r="F1361" s="9">
        <f>IFERROR(__xludf.DUMMYFUNCTION("GOOGLEFINANCE(A1361, ""low"")"),361.35)</f>
        <v>361.35</v>
      </c>
      <c r="G1361" s="9">
        <f>IFERROR(__xludf.DUMMYFUNCTION("GOOGLEFINANCE(A1361, ""price"")"),365.0)</f>
        <v>365</v>
      </c>
      <c r="H1361" s="9">
        <f>IFERROR(__xludf.DUMMYFUNCTION("MAX(INDEX(GOOGLEFINANCE(A1361, ""high"", TODAY()-30, TODAY()), 0, 2))"),400.0)</f>
        <v>400</v>
      </c>
      <c r="I1361" s="9">
        <f>IFERROR(__xludf.DUMMYFUNCTION("MIN(INDEX(GOOGLEFINANCE(A1361, ""low"", TODAY()-30, TODAY()), 0, 2))"),336.55)</f>
        <v>336.55</v>
      </c>
      <c r="J1361" s="9">
        <f>IFERROR(__xludf.DUMMYFUNCTION("GOOGLEFINANCE(A1361, ""high52"")"),400.0)</f>
        <v>400</v>
      </c>
      <c r="K1361" s="9">
        <f>IFERROR(__xludf.DUMMYFUNCTION("GOOGLEFINANCE(A1361, ""low52"")"),228.0)</f>
        <v>228</v>
      </c>
      <c r="L1361" s="9">
        <f t="shared" si="1"/>
        <v>0.0875</v>
      </c>
      <c r="M1361" s="9">
        <f t="shared" si="2"/>
        <v>0.600877193</v>
      </c>
      <c r="N1361" s="9">
        <f t="shared" si="3"/>
        <v>0.04884461049</v>
      </c>
      <c r="O1361" s="9">
        <f t="shared" si="4"/>
        <v>0.4483845548</v>
      </c>
      <c r="P1361" s="9">
        <f>IFERROR(__xludf.DUMMYFUNCTION("GOOGLEFINANCE(A1361, ""pe"")"),228.35)</f>
        <v>228.35</v>
      </c>
      <c r="Q1361" s="9">
        <f>IFERROR(__xludf.DUMMYFUNCTION("IFERROR(GOOGLEFINANCE(A1361, ""volume"") / GOOGLEFINANCE(A1361, ""volumeavg""), 0)"),0.0)</f>
        <v>0</v>
      </c>
      <c r="R1361" s="9">
        <f>IFERROR(__xludf.DUMMYFUNCTION("AVERAGE(INDEX(GOOGLEFINANCE(A1361, ""price"", TODAY()-30, TODAY()), 0, 2))"),369.00869565217397)</f>
        <v>369.0086957</v>
      </c>
      <c r="S1361" s="9">
        <f>IFERROR(__xludf.DUMMYFUNCTION("AVERAGE(INDEX(GOOGLEFINANCE(A1361, ""price"", TODAY()-75, TODAY()), 0, 2))"),344.6594339622642)</f>
        <v>344.659434</v>
      </c>
      <c r="T1361" s="9">
        <f>IFERROR(__xludf.DUMMYFUNCTION("AVERAGE(INDEX(GOOGLEFINANCE(A1361, ""price"", TODAY()-300, TODAY()), 0, 2))"),308.4869801980198)</f>
        <v>308.4869802</v>
      </c>
      <c r="U1361" s="9">
        <f t="shared" si="5"/>
        <v>-0.01086341785</v>
      </c>
      <c r="V1361" s="15">
        <f>IFERROR(__xludf.DUMMYFUNCTION("LET(hist, GOOGLEFINANCE(A1361,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rs))))))"),53.741290518024854)</f>
        <v>53.74129052</v>
      </c>
      <c r="W1361" s="16" t="str">
        <f>IFERROR(__xludf.DUMMYFUNCTION("IFERROR(GOOGLEFINANCE(A1361, ""volume"") / GOOGLEFINANCE(A1361, ""volumeavg""), )"),"")</f>
        <v/>
      </c>
      <c r="X1361" s="9">
        <f>IFERROR(__xludf.DUMMYFUNCTION("B1361 * GOOGLEFINANCE(A1361, ""volume"")"),3872650.0)</f>
        <v>3872650</v>
      </c>
      <c r="Y1361" s="9">
        <f>IFERROR(__xludf.DUMMYFUNCTION("IFERROR(((B1361 - GOOGLEFINANCE(A1361, ""priceopen"")) / GOOGLEFINANCE(A1361, ""priceopen"")) * GOOGLEFINANCE(A1361, ""volume""), 0)"),-391.9261213720317)</f>
        <v>-391.9261214</v>
      </c>
    </row>
    <row r="1362">
      <c r="A1362" s="4" t="s">
        <v>3155</v>
      </c>
      <c r="B1362" s="7">
        <f>IFERROR(__xludf.DUMMYFUNCTION("GOOGLEFINANCE(A1362, ""price"")"),158.8)</f>
        <v>158.8</v>
      </c>
      <c r="C1362" s="7">
        <f>IFERROR(__xludf.DUMMYFUNCTION("GOOGLEFINANCE(A1362, ""changepct"")"),-0.95)</f>
        <v>-0.95</v>
      </c>
      <c r="D1362" s="9">
        <f>IFERROR(__xludf.DUMMYFUNCTION("GOOGLEFINANCE(A1362, ""priceopen"")"),161.35)</f>
        <v>161.35</v>
      </c>
      <c r="E1362" s="9">
        <f>IFERROR(__xludf.DUMMYFUNCTION("GOOGLEFINANCE(A1362, ""high"")"),162.0)</f>
        <v>162</v>
      </c>
      <c r="F1362" s="9">
        <f>IFERROR(__xludf.DUMMYFUNCTION("GOOGLEFINANCE(A1362, ""low"")"),156.99)</f>
        <v>156.99</v>
      </c>
      <c r="G1362" s="9">
        <f>IFERROR(__xludf.DUMMYFUNCTION("GOOGLEFINANCE(A1362, ""price"")"),158.8)</f>
        <v>158.8</v>
      </c>
      <c r="H1362" s="9">
        <f>IFERROR(__xludf.DUMMYFUNCTION("MAX(INDEX(GOOGLEFINANCE(A1362, ""high"", TODAY()-30, TODAY()), 0, 2))"),173.7)</f>
        <v>173.7</v>
      </c>
      <c r="I1362" s="9">
        <f>IFERROR(__xludf.DUMMYFUNCTION("MIN(INDEX(GOOGLEFINANCE(A1362, ""low"", TODAY()-30, TODAY()), 0, 2))"),139.69)</f>
        <v>139.69</v>
      </c>
      <c r="J1362" s="9">
        <f>IFERROR(__xludf.DUMMYFUNCTION("GOOGLEFINANCE(A1362, ""high52"")"),174.9)</f>
        <v>174.9</v>
      </c>
      <c r="K1362" s="9">
        <f>IFERROR(__xludf.DUMMYFUNCTION("GOOGLEFINANCE(A1362, ""low52"")"),139.69)</f>
        <v>139.69</v>
      </c>
      <c r="L1362" s="9">
        <f t="shared" si="1"/>
        <v>0.09205260149</v>
      </c>
      <c r="M1362" s="9">
        <f t="shared" si="2"/>
        <v>0.1368029208</v>
      </c>
      <c r="N1362" s="9">
        <f t="shared" si="3"/>
        <v>0.03191286069</v>
      </c>
      <c r="O1362" s="9">
        <f t="shared" si="4"/>
        <v>0.5618935607</v>
      </c>
      <c r="P1362" s="9">
        <f>IFERROR(__xludf.DUMMYFUNCTION("GOOGLEFINANCE(A1362, ""pe"")"),50.25)</f>
        <v>50.25</v>
      </c>
      <c r="Q1362" s="9">
        <f>IFERROR(__xludf.DUMMYFUNCTION("IFERROR(GOOGLEFINANCE(A1362, ""volume"") / GOOGLEFINANCE(A1362, ""volumeavg""), 0)"),0.0)</f>
        <v>0</v>
      </c>
      <c r="R1362" s="9">
        <f>IFERROR(__xludf.DUMMYFUNCTION("AVERAGE(INDEX(GOOGLEFINANCE(A1362, ""price"", TODAY()-30, TODAY()), 0, 2))"),157.44521739130434)</f>
        <v>157.4452174</v>
      </c>
      <c r="S1362" s="9">
        <f>IFERROR(__xludf.DUMMYFUNCTION("AVERAGE(INDEX(GOOGLEFINANCE(A1362, ""price"", TODAY()-75, TODAY()), 0, 2))"),157.93541666666667)</f>
        <v>157.9354167</v>
      </c>
      <c r="T1362" s="9">
        <f>IFERROR(__xludf.DUMMYFUNCTION("AVERAGE(INDEX(GOOGLEFINANCE(A1362, ""price"", TODAY()-300, TODAY()), 0, 2))"),157.93541666666667)</f>
        <v>157.9354167</v>
      </c>
      <c r="U1362" s="9">
        <f t="shared" si="5"/>
        <v>0.00860478731</v>
      </c>
      <c r="V1362" s="15">
        <f>IFERROR(__xludf.DUMMYFUNCTION("LET(hist, GOOGLEFINANCE(A1362,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rs))))))"),63.70882040382569)</f>
        <v>63.7088204</v>
      </c>
      <c r="W1362" s="16" t="str">
        <f>IFERROR(__xludf.DUMMYFUNCTION("IFERROR(GOOGLEFINANCE(A1362, ""volume"") / GOOGLEFINANCE(A1362, ""volumeavg""), )"),"")</f>
        <v/>
      </c>
      <c r="X1362" s="9">
        <f>IFERROR(__xludf.DUMMYFUNCTION("B1362 * GOOGLEFINANCE(A1362, ""volume"")"),5736332.4)</f>
        <v>5736332.4</v>
      </c>
      <c r="Y1362" s="9">
        <f>IFERROR(__xludf.DUMMYFUNCTION("IFERROR(((B1362 - GOOGLEFINANCE(A1362, ""priceopen"")) / GOOGLEFINANCE(A1362, ""priceopen"")) * GOOGLEFINANCE(A1362, ""volume""), 0)"),-570.8933994422026)</f>
        <v>-570.8933994</v>
      </c>
    </row>
    <row r="1363">
      <c r="A1363" s="4" t="s">
        <v>3156</v>
      </c>
      <c r="B1363" s="7">
        <f>IFERROR(__xludf.DUMMYFUNCTION("GOOGLEFINANCE(A1363, ""price"")"),4250.0)</f>
        <v>4250</v>
      </c>
      <c r="C1363" s="7">
        <f>IFERROR(__xludf.DUMMYFUNCTION("GOOGLEFINANCE(A1363, ""changepct"")"),-1.96)</f>
        <v>-1.96</v>
      </c>
      <c r="D1363" s="9">
        <f>IFERROR(__xludf.DUMMYFUNCTION("GOOGLEFINANCE(A1363, ""priceopen"")"),4400.0)</f>
        <v>4400</v>
      </c>
      <c r="E1363" s="9">
        <f>IFERROR(__xludf.DUMMYFUNCTION("GOOGLEFINANCE(A1363, ""high"")"),4484.9)</f>
        <v>4484.9</v>
      </c>
      <c r="F1363" s="9">
        <f>IFERROR(__xludf.DUMMYFUNCTION("GOOGLEFINANCE(A1363, ""low"")"),4132.0)</f>
        <v>4132</v>
      </c>
      <c r="G1363" s="9">
        <f>IFERROR(__xludf.DUMMYFUNCTION("GOOGLEFINANCE(A1363, ""price"")"),4250.0)</f>
        <v>4250</v>
      </c>
      <c r="H1363" s="9">
        <f>IFERROR(__xludf.DUMMYFUNCTION("MAX(INDEX(GOOGLEFINANCE(A1363, ""high"", TODAY()-30, TODAY()), 0, 2))"),4696.0)</f>
        <v>4696</v>
      </c>
      <c r="I1363" s="9">
        <f>IFERROR(__xludf.DUMMYFUNCTION("MIN(INDEX(GOOGLEFINANCE(A1363, ""low"", TODAY()-30, TODAY()), 0, 2))"),3794.2)</f>
        <v>3794.2</v>
      </c>
      <c r="J1363" s="9">
        <f>IFERROR(__xludf.DUMMYFUNCTION("GOOGLEFINANCE(A1363, ""high52"")"),4696.0)</f>
        <v>4696</v>
      </c>
      <c r="K1363" s="9">
        <f>IFERROR(__xludf.DUMMYFUNCTION("GOOGLEFINANCE(A1363, ""low52"")"),2616.1)</f>
        <v>2616.1</v>
      </c>
      <c r="L1363" s="9">
        <f t="shared" si="1"/>
        <v>0.09497444634</v>
      </c>
      <c r="M1363" s="9">
        <f t="shared" si="2"/>
        <v>0.6245556363</v>
      </c>
      <c r="N1363" s="9">
        <f t="shared" si="3"/>
        <v>0.08540658277</v>
      </c>
      <c r="O1363" s="9">
        <f t="shared" si="4"/>
        <v>0.5054335773</v>
      </c>
      <c r="P1363" s="9">
        <f>IFERROR(__xludf.DUMMYFUNCTION("GOOGLEFINANCE(A1363, ""pe"")"),21.21)</f>
        <v>21.21</v>
      </c>
      <c r="Q1363" s="9">
        <f>IFERROR(__xludf.DUMMYFUNCTION("IFERROR(GOOGLEFINANCE(A1363, ""volume"") / GOOGLEFINANCE(A1363, ""volumeavg""), 0)"),0.0)</f>
        <v>0</v>
      </c>
      <c r="R1363" s="9">
        <f>IFERROR(__xludf.DUMMYFUNCTION("AVERAGE(INDEX(GOOGLEFINANCE(A1363, ""price"", TODAY()-30, TODAY()), 0, 2))"),4028.1869565217394)</f>
        <v>4028.186957</v>
      </c>
      <c r="S1363" s="9">
        <f>IFERROR(__xludf.DUMMYFUNCTION("AVERAGE(INDEX(GOOGLEFINANCE(A1363, ""price"", TODAY()-75, TODAY()), 0, 2))"),3734.0886792452825)</f>
        <v>3734.088679</v>
      </c>
      <c r="T1363" s="9">
        <f>IFERROR(__xludf.DUMMYFUNCTION("AVERAGE(INDEX(GOOGLEFINANCE(A1363, ""price"", TODAY()-300, TODAY()), 0, 2))"),3458.00875)</f>
        <v>3458.00875</v>
      </c>
      <c r="U1363" s="9">
        <f t="shared" si="5"/>
        <v>0.05506523055</v>
      </c>
      <c r="V1363" s="15">
        <f>IFERROR(__xludf.DUMMYFUNCTION("LET(hist, GOOGLEFINANCE(A1363,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rs))))))"),59.99303621169916)</f>
        <v>59.99303621</v>
      </c>
      <c r="W1363" s="16" t="str">
        <f>IFERROR(__xludf.DUMMYFUNCTION("IFERROR(GOOGLEFINANCE(A1363, ""volume"") / GOOGLEFINANCE(A1363, ""volumeavg""), )"),"")</f>
        <v/>
      </c>
      <c r="X1363" s="9">
        <f>IFERROR(__xludf.DUMMYFUNCTION("B1363 * GOOGLEFINANCE(A1363, ""volume"")"),3.226175E7)</f>
        <v>32261750</v>
      </c>
      <c r="Y1363" s="9">
        <f>IFERROR(__xludf.DUMMYFUNCTION("IFERROR(((B1363 - GOOGLEFINANCE(A1363, ""priceopen"")) / GOOGLEFINANCE(A1363, ""priceopen"")) * GOOGLEFINANCE(A1363, ""volume""), 0)"),-258.7840909090909)</f>
        <v>-258.7840909</v>
      </c>
    </row>
    <row r="1364">
      <c r="A1364" s="4" t="s">
        <v>1361</v>
      </c>
      <c r="B1364" s="7" t="str">
        <f>IFERROR(__xludf.DUMMYFUNCTION("GOOGLEFINANCE(A1364, ""price"")"),"#N/A")</f>
        <v>#N/A</v>
      </c>
      <c r="C1364" s="7" t="str">
        <f>IFERROR(__xludf.DUMMYFUNCTION("GOOGLEFINANCE(A1364, ""changepct"")"),"#N/A")</f>
        <v>#N/A</v>
      </c>
      <c r="D1364" s="9" t="str">
        <f>IFERROR(__xludf.DUMMYFUNCTION("GOOGLEFINANCE(A1364, ""priceopen"")"),"#N/A")</f>
        <v>#N/A</v>
      </c>
      <c r="E1364" s="9" t="str">
        <f>IFERROR(__xludf.DUMMYFUNCTION("GOOGLEFINANCE(A1364, ""high"")"),"#N/A")</f>
        <v>#N/A</v>
      </c>
      <c r="F1364" s="9" t="str">
        <f>IFERROR(__xludf.DUMMYFUNCTION("GOOGLEFINANCE(A1364, ""low"")"),"#N/A")</f>
        <v>#N/A</v>
      </c>
      <c r="G1364" s="9" t="str">
        <f>IFERROR(__xludf.DUMMYFUNCTION("GOOGLEFINANCE(A1364, ""price"")"),"#N/A")</f>
        <v>#N/A</v>
      </c>
      <c r="H1364" s="9">
        <f>IFERROR(__xludf.DUMMYFUNCTION("MAX(INDEX(GOOGLEFINANCE(A1364, ""high"", TODAY()-30, TODAY()), 0, 2))"),185.99)</f>
        <v>185.99</v>
      </c>
      <c r="I1364" s="9">
        <f>IFERROR(__xludf.DUMMYFUNCTION("MIN(INDEX(GOOGLEFINANCE(A1364, ""low"", TODAY()-30, TODAY()), 0, 2))"),154.3)</f>
        <v>154.3</v>
      </c>
      <c r="J1364" s="9" t="str">
        <f>IFERROR(__xludf.DUMMYFUNCTION("GOOGLEFINANCE(A1364, ""high52"")"),"#N/A")</f>
        <v>#N/A</v>
      </c>
      <c r="K1364" s="9" t="str">
        <f>IFERROR(__xludf.DUMMYFUNCTION("GOOGLEFINANCE(A1364, ""low52"")"),"#N/A")</f>
        <v>#N/A</v>
      </c>
      <c r="L1364" s="9" t="str">
        <f t="shared" si="1"/>
        <v>#N/A</v>
      </c>
      <c r="M1364" s="9" t="str">
        <f t="shared" si="2"/>
        <v>#N/A</v>
      </c>
      <c r="N1364" s="9" t="str">
        <f t="shared" si="3"/>
        <v>#N/A</v>
      </c>
      <c r="O1364" s="9">
        <f t="shared" si="4"/>
        <v>0</v>
      </c>
      <c r="P1364" s="9" t="str">
        <f>IFERROR(__xludf.DUMMYFUNCTION("GOOGLEFINANCE(A1364, ""pe"")"),"#N/A")</f>
        <v>#N/A</v>
      </c>
      <c r="Q1364" s="9">
        <f>IFERROR(__xludf.DUMMYFUNCTION("IFERROR(GOOGLEFINANCE(A1364, ""volume"") / GOOGLEFINANCE(A1364, ""volumeavg""), 0)"),0.0)</f>
        <v>0</v>
      </c>
      <c r="R1364" s="9">
        <f>IFERROR(__xludf.DUMMYFUNCTION("AVERAGE(INDEX(GOOGLEFINANCE(A1364, ""price"", TODAY()-30, TODAY()), 0, 2))"),160.92900000000003)</f>
        <v>160.929</v>
      </c>
      <c r="S1364" s="9">
        <f>IFERROR(__xludf.DUMMYFUNCTION("AVERAGE(INDEX(GOOGLEFINANCE(A1364, ""price"", TODAY()-75, TODAY()), 0, 2))"),160.92900000000003)</f>
        <v>160.929</v>
      </c>
      <c r="T1364" s="9">
        <f>IFERROR(__xludf.DUMMYFUNCTION("AVERAGE(INDEX(GOOGLEFINANCE(A1364, ""price"", TODAY()-300, TODAY()), 0, 2))"),160.92900000000003)</f>
        <v>160.929</v>
      </c>
      <c r="U1364" s="9" t="str">
        <f t="shared" si="5"/>
        <v>#N/A</v>
      </c>
      <c r="V1364" s="15">
        <f>IFERROR(__xludf.DUMMYFUNCTION("LET(hist, GOOGLEFINANCE(A1364,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rs))))))"),76.83679192372409)</f>
        <v>76.83679192</v>
      </c>
      <c r="W1364" s="16" t="str">
        <f>IFERROR(__xludf.DUMMYFUNCTION("IFERROR(GOOGLEFINANCE(A1364, ""volume"") / GOOGLEFINANCE(A1364, ""volumeavg""), )"),"")</f>
        <v/>
      </c>
      <c r="X1364" s="9" t="str">
        <f>IFERROR(__xludf.DUMMYFUNCTION("B1364 * GOOGLEFINANCE(A1364, ""volume"")"),"#N/A")</f>
        <v>#N/A</v>
      </c>
      <c r="Y1364" s="9">
        <f>IFERROR(__xludf.DUMMYFUNCTION("IFERROR(((B1364 - GOOGLEFINANCE(A1364, ""priceopen"")) / GOOGLEFINANCE(A1364, ""priceopen"")) * GOOGLEFINANCE(A1364, ""volume""), 0)"),0.0)</f>
        <v>0</v>
      </c>
    </row>
    <row r="1365">
      <c r="A1365" s="4" t="s">
        <v>3157</v>
      </c>
      <c r="B1365" s="7">
        <f>IFERROR(__xludf.DUMMYFUNCTION("GOOGLEFINANCE(A1365, ""price"")"),378.0)</f>
        <v>378</v>
      </c>
      <c r="C1365" s="7">
        <f>IFERROR(__xludf.DUMMYFUNCTION("GOOGLEFINANCE(A1365, ""changepct"")"),-2.15)</f>
        <v>-2.15</v>
      </c>
      <c r="D1365" s="9">
        <f>IFERROR(__xludf.DUMMYFUNCTION("GOOGLEFINANCE(A1365, ""priceopen"")"),384.35)</f>
        <v>384.35</v>
      </c>
      <c r="E1365" s="9">
        <f>IFERROR(__xludf.DUMMYFUNCTION("GOOGLEFINANCE(A1365, ""high"")"),386.25)</f>
        <v>386.25</v>
      </c>
      <c r="F1365" s="9">
        <f>IFERROR(__xludf.DUMMYFUNCTION("GOOGLEFINANCE(A1365, ""low"")"),375.0)</f>
        <v>375</v>
      </c>
      <c r="G1365" s="9">
        <f>IFERROR(__xludf.DUMMYFUNCTION("GOOGLEFINANCE(A1365, ""price"")"),378.0)</f>
        <v>378</v>
      </c>
      <c r="H1365" s="9">
        <f>IFERROR(__xludf.DUMMYFUNCTION("MAX(INDEX(GOOGLEFINANCE(A1365, ""high"", TODAY()-30, TODAY()), 0, 2))"),431.0)</f>
        <v>431</v>
      </c>
      <c r="I1365" s="9">
        <f>IFERROR(__xludf.DUMMYFUNCTION("MIN(INDEX(GOOGLEFINANCE(A1365, ""low"", TODAY()-30, TODAY()), 0, 2))"),357.0)</f>
        <v>357</v>
      </c>
      <c r="J1365" s="9">
        <f>IFERROR(__xludf.DUMMYFUNCTION("GOOGLEFINANCE(A1365, ""high52"")"),432.3)</f>
        <v>432.3</v>
      </c>
      <c r="K1365" s="9">
        <f>IFERROR(__xludf.DUMMYFUNCTION("GOOGLEFINANCE(A1365, ""low52"")"),86.0)</f>
        <v>86</v>
      </c>
      <c r="L1365" s="9">
        <f t="shared" si="1"/>
        <v>0.1256072172</v>
      </c>
      <c r="M1365" s="9">
        <f t="shared" si="2"/>
        <v>3.395348837</v>
      </c>
      <c r="N1365" s="9">
        <f t="shared" si="3"/>
        <v>0.03</v>
      </c>
      <c r="O1365" s="9">
        <f t="shared" si="4"/>
        <v>0.2837837838</v>
      </c>
      <c r="P1365" s="9">
        <f>IFERROR(__xludf.DUMMYFUNCTION("GOOGLEFINANCE(A1365, ""pe"")"),19.25)</f>
        <v>19.25</v>
      </c>
      <c r="Q1365" s="9">
        <f>IFERROR(__xludf.DUMMYFUNCTION("IFERROR(GOOGLEFINANCE(A1365, ""volume"") / GOOGLEFINANCE(A1365, ""volumeavg""), 0)"),0.0)</f>
        <v>0</v>
      </c>
      <c r="R1365" s="9">
        <f>IFERROR(__xludf.DUMMYFUNCTION("AVERAGE(INDEX(GOOGLEFINANCE(A1365, ""price"", TODAY()-30, TODAY()), 0, 2))"),387.26521739130436)</f>
        <v>387.2652174</v>
      </c>
      <c r="S1365" s="9">
        <f>IFERROR(__xludf.DUMMYFUNCTION("AVERAGE(INDEX(GOOGLEFINANCE(A1365, ""price"", TODAY()-75, TODAY()), 0, 2))"),370.1688679245284)</f>
        <v>370.1688679</v>
      </c>
      <c r="T1365" s="9">
        <f>IFERROR(__xludf.DUMMYFUNCTION("AVERAGE(INDEX(GOOGLEFINANCE(A1365, ""price"", TODAY()-300, TODAY()), 0, 2))"),225.23663366336632)</f>
        <v>225.2366337</v>
      </c>
      <c r="U1365" s="9">
        <f t="shared" si="5"/>
        <v>-0.0239247342</v>
      </c>
      <c r="V1365" s="15">
        <f>IFERROR(__xludf.DUMMYFUNCTION("LET(hist, GOOGLEFINANCE(A1365,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rs))))))"),41.822429906542055)</f>
        <v>41.82242991</v>
      </c>
      <c r="W1365" s="16" t="str">
        <f>IFERROR(__xludf.DUMMYFUNCTION("IFERROR(GOOGLEFINANCE(A1365, ""volume"") / GOOGLEFINANCE(A1365, ""volumeavg""), )"),"")</f>
        <v/>
      </c>
      <c r="X1365" s="9">
        <f>IFERROR(__xludf.DUMMYFUNCTION("B1365 * GOOGLEFINANCE(A1365, ""volume"")"),2.8824012E7)</f>
        <v>28824012</v>
      </c>
      <c r="Y1365" s="9">
        <f>IFERROR(__xludf.DUMMYFUNCTION("IFERROR(((B1365 - GOOGLEFINANCE(A1365, ""priceopen"")) / GOOGLEFINANCE(A1365, ""priceopen"")) * GOOGLEFINANCE(A1365, ""volume""), 0)"),-1259.822817744248)</f>
        <v>-1259.822818</v>
      </c>
    </row>
    <row r="1366">
      <c r="A1366" s="4" t="s">
        <v>3158</v>
      </c>
      <c r="B1366" s="7">
        <f>IFERROR(__xludf.DUMMYFUNCTION("GOOGLEFINANCE(A1366, ""price"")"),59.4)</f>
        <v>59.4</v>
      </c>
      <c r="C1366" s="7">
        <f>IFERROR(__xludf.DUMMYFUNCTION("GOOGLEFINANCE(A1366, ""changepct"")"),-1.46)</f>
        <v>-1.46</v>
      </c>
      <c r="D1366" s="9">
        <f>IFERROR(__xludf.DUMMYFUNCTION("GOOGLEFINANCE(A1366, ""priceopen"")"),60.31)</f>
        <v>60.31</v>
      </c>
      <c r="E1366" s="9">
        <f>IFERROR(__xludf.DUMMYFUNCTION("GOOGLEFINANCE(A1366, ""high"")"),60.79)</f>
        <v>60.79</v>
      </c>
      <c r="F1366" s="9">
        <f>IFERROR(__xludf.DUMMYFUNCTION("GOOGLEFINANCE(A1366, ""low"")"),59.27)</f>
        <v>59.27</v>
      </c>
      <c r="G1366" s="9">
        <f>IFERROR(__xludf.DUMMYFUNCTION("GOOGLEFINANCE(A1366, ""price"")"),59.4)</f>
        <v>59.4</v>
      </c>
      <c r="H1366" s="9">
        <f>IFERROR(__xludf.DUMMYFUNCTION("MAX(INDEX(GOOGLEFINANCE(A1366, ""high"", TODAY()-30, TODAY()), 0, 2))"),65.25)</f>
        <v>65.25</v>
      </c>
      <c r="I1366" s="9">
        <f>IFERROR(__xludf.DUMMYFUNCTION("MIN(INDEX(GOOGLEFINANCE(A1366, ""low"", TODAY()-30, TODAY()), 0, 2))"),59.27)</f>
        <v>59.27</v>
      </c>
      <c r="J1366" s="9">
        <f>IFERROR(__xludf.DUMMYFUNCTION("GOOGLEFINANCE(A1366, ""high52"")"),86.89)</f>
        <v>86.89</v>
      </c>
      <c r="K1366" s="9">
        <f>IFERROR(__xludf.DUMMYFUNCTION("GOOGLEFINANCE(A1366, ""low52"")"),58.0)</f>
        <v>58</v>
      </c>
      <c r="L1366" s="9">
        <f t="shared" si="1"/>
        <v>0.3163770284</v>
      </c>
      <c r="M1366" s="9">
        <f t="shared" si="2"/>
        <v>0.02413793103</v>
      </c>
      <c r="N1366" s="9">
        <f t="shared" si="3"/>
        <v>0.02564535178</v>
      </c>
      <c r="O1366" s="9">
        <f t="shared" si="4"/>
        <v>0.02173913043</v>
      </c>
      <c r="P1366" s="9">
        <f>IFERROR(__xludf.DUMMYFUNCTION("GOOGLEFINANCE(A1366, ""pe"")"),42.93)</f>
        <v>42.93</v>
      </c>
      <c r="Q1366" s="9">
        <f>IFERROR(__xludf.DUMMYFUNCTION("IFERROR(GOOGLEFINANCE(A1366, ""volume"") / GOOGLEFINANCE(A1366, ""volumeavg""), 0)"),0.0)</f>
        <v>0</v>
      </c>
      <c r="R1366" s="9">
        <f>IFERROR(__xludf.DUMMYFUNCTION("AVERAGE(INDEX(GOOGLEFINANCE(A1366, ""price"", TODAY()-30, TODAY()), 0, 2))"),61.28434782608696)</f>
        <v>61.28434783</v>
      </c>
      <c r="S1366" s="9">
        <f>IFERROR(__xludf.DUMMYFUNCTION("AVERAGE(INDEX(GOOGLEFINANCE(A1366, ""price"", TODAY()-75, TODAY()), 0, 2))"),61.8564150943396)</f>
        <v>61.85641509</v>
      </c>
      <c r="T1366" s="9">
        <f>IFERROR(__xludf.DUMMYFUNCTION("AVERAGE(INDEX(GOOGLEFINANCE(A1366, ""price"", TODAY()-300, TODAY()), 0, 2))"),65.71678217821783)</f>
        <v>65.71678218</v>
      </c>
      <c r="U1366" s="9">
        <f t="shared" si="5"/>
        <v>-0.03074761979</v>
      </c>
      <c r="V1366" s="15">
        <f>IFERROR(__xludf.DUMMYFUNCTION("LET(hist, GOOGLEFINANCE(A1366,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rs))))))"),36.821322803553805)</f>
        <v>36.8213228</v>
      </c>
      <c r="W1366" s="16" t="str">
        <f>IFERROR(__xludf.DUMMYFUNCTION("IFERROR(GOOGLEFINANCE(A1366, ""volume"") / GOOGLEFINANCE(A1366, ""volumeavg""), )"),"")</f>
        <v/>
      </c>
      <c r="X1366" s="9">
        <f>IFERROR(__xludf.DUMMYFUNCTION("B1366 * GOOGLEFINANCE(A1366, ""volume"")"),1.57617306E7)</f>
        <v>15761730.6</v>
      </c>
      <c r="Y1366" s="9">
        <f>IFERROR(__xludf.DUMMYFUNCTION("IFERROR(((B1366 - GOOGLEFINANCE(A1366, ""priceopen"")) / GOOGLEFINANCE(A1366, ""priceopen"")) * GOOGLEFINANCE(A1366, ""volume""), 0)"),-4003.7736693749125)</f>
        <v>-4003.773669</v>
      </c>
    </row>
    <row r="1367">
      <c r="A1367" s="4" t="s">
        <v>3159</v>
      </c>
      <c r="B1367" s="7">
        <f>IFERROR(__xludf.DUMMYFUNCTION("GOOGLEFINANCE(A1367, ""price"")"),391.0)</f>
        <v>391</v>
      </c>
      <c r="C1367" s="7">
        <f>IFERROR(__xludf.DUMMYFUNCTION("GOOGLEFINANCE(A1367, ""changepct"")"),0.42)</f>
        <v>0.42</v>
      </c>
      <c r="D1367" s="9">
        <f>IFERROR(__xludf.DUMMYFUNCTION("GOOGLEFINANCE(A1367, ""priceopen"")"),388.05)</f>
        <v>388.05</v>
      </c>
      <c r="E1367" s="9">
        <f>IFERROR(__xludf.DUMMYFUNCTION("GOOGLEFINANCE(A1367, ""high"")"),397.7)</f>
        <v>397.7</v>
      </c>
      <c r="F1367" s="9">
        <f>IFERROR(__xludf.DUMMYFUNCTION("GOOGLEFINANCE(A1367, ""low"")"),386.5)</f>
        <v>386.5</v>
      </c>
      <c r="G1367" s="9">
        <f>IFERROR(__xludf.DUMMYFUNCTION("GOOGLEFINANCE(A1367, ""price"")"),391.0)</f>
        <v>391</v>
      </c>
      <c r="H1367" s="9">
        <f>IFERROR(__xludf.DUMMYFUNCTION("MAX(INDEX(GOOGLEFINANCE(A1367, ""high"", TODAY()-30, TODAY()), 0, 2))"),465.0)</f>
        <v>465</v>
      </c>
      <c r="I1367" s="9">
        <f>IFERROR(__xludf.DUMMYFUNCTION("MIN(INDEX(GOOGLEFINANCE(A1367, ""low"", TODAY()-30, TODAY()), 0, 2))"),374.55)</f>
        <v>374.55</v>
      </c>
      <c r="J1367" s="9">
        <f>IFERROR(__xludf.DUMMYFUNCTION("GOOGLEFINANCE(A1367, ""high52"")"),635.8)</f>
        <v>635.8</v>
      </c>
      <c r="K1367" s="9">
        <f>IFERROR(__xludf.DUMMYFUNCTION("GOOGLEFINANCE(A1367, ""low52"")"),372.5)</f>
        <v>372.5</v>
      </c>
      <c r="L1367" s="9">
        <f t="shared" si="1"/>
        <v>0.385026738</v>
      </c>
      <c r="M1367" s="9">
        <f t="shared" si="2"/>
        <v>0.04966442953</v>
      </c>
      <c r="N1367" s="9">
        <f t="shared" si="3"/>
        <v>0.02897800776</v>
      </c>
      <c r="O1367" s="9">
        <f t="shared" si="4"/>
        <v>0.1818684356</v>
      </c>
      <c r="P1367" s="9">
        <f>IFERROR(__xludf.DUMMYFUNCTION("GOOGLEFINANCE(A1367, ""pe"")"),14.7)</f>
        <v>14.7</v>
      </c>
      <c r="Q1367" s="9">
        <f>IFERROR(__xludf.DUMMYFUNCTION("IFERROR(GOOGLEFINANCE(A1367, ""volume"") / GOOGLEFINANCE(A1367, ""volumeavg""), 0)"),0.0)</f>
        <v>0</v>
      </c>
      <c r="R1367" s="9">
        <f>IFERROR(__xludf.DUMMYFUNCTION("AVERAGE(INDEX(GOOGLEFINANCE(A1367, ""price"", TODAY()-30, TODAY()), 0, 2))"),432.82173913043476)</f>
        <v>432.8217391</v>
      </c>
      <c r="S1367" s="9">
        <f>IFERROR(__xludf.DUMMYFUNCTION("AVERAGE(INDEX(GOOGLEFINANCE(A1367, ""price"", TODAY()-75, TODAY()), 0, 2))"),448.9962264150943)</f>
        <v>448.9962264</v>
      </c>
      <c r="T1367" s="9">
        <f>IFERROR(__xludf.DUMMYFUNCTION("AVERAGE(INDEX(GOOGLEFINANCE(A1367, ""price"", TODAY()-300, TODAY()), 0, 2))"),478.3670792079207)</f>
        <v>478.3670792</v>
      </c>
      <c r="U1367" s="9">
        <f t="shared" si="5"/>
        <v>-0.09662578228</v>
      </c>
      <c r="V1367" s="15">
        <f>IFERROR(__xludf.DUMMYFUNCTION("LET(hist, GOOGLEFINANCE(A1367,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rs))))))"),21.006711409395947)</f>
        <v>21.00671141</v>
      </c>
      <c r="W1367" s="16" t="str">
        <f>IFERROR(__xludf.DUMMYFUNCTION("IFERROR(GOOGLEFINANCE(A1367, ""volume"") / GOOGLEFINANCE(A1367, ""volumeavg""), )"),"")</f>
        <v/>
      </c>
      <c r="X1367" s="9">
        <f>IFERROR(__xludf.DUMMYFUNCTION("B1367 * GOOGLEFINANCE(A1367, ""volume"")"),5.5543896E7)</f>
        <v>55543896</v>
      </c>
      <c r="Y1367" s="9">
        <f>IFERROR(__xludf.DUMMYFUNCTION("IFERROR(((B1367 - GOOGLEFINANCE(A1367, ""priceopen"")) / GOOGLEFINANCE(A1367, ""priceopen"")) * GOOGLEFINANCE(A1367, ""volume""), 0)"),1079.9257827599495)</f>
        <v>1079.925783</v>
      </c>
    </row>
    <row r="1368">
      <c r="A1368" s="4" t="s">
        <v>3160</v>
      </c>
      <c r="B1368" s="7">
        <f>IFERROR(__xludf.DUMMYFUNCTION("GOOGLEFINANCE(A1368, ""price"")"),395.0)</f>
        <v>395</v>
      </c>
      <c r="C1368" s="7">
        <f>IFERROR(__xludf.DUMMYFUNCTION("GOOGLEFINANCE(A1368, ""changepct"")"),0.6)</f>
        <v>0.6</v>
      </c>
      <c r="D1368" s="9">
        <f>IFERROR(__xludf.DUMMYFUNCTION("GOOGLEFINANCE(A1368, ""priceopen"")"),394.75)</f>
        <v>394.75</v>
      </c>
      <c r="E1368" s="9">
        <f>IFERROR(__xludf.DUMMYFUNCTION("GOOGLEFINANCE(A1368, ""high"")"),397.95)</f>
        <v>397.95</v>
      </c>
      <c r="F1368" s="9">
        <f>IFERROR(__xludf.DUMMYFUNCTION("GOOGLEFINANCE(A1368, ""low"")"),385.0)</f>
        <v>385</v>
      </c>
      <c r="G1368" s="9">
        <f>IFERROR(__xludf.DUMMYFUNCTION("GOOGLEFINANCE(A1368, ""price"")"),395.0)</f>
        <v>395</v>
      </c>
      <c r="H1368" s="9">
        <f>IFERROR(__xludf.DUMMYFUNCTION("MAX(INDEX(GOOGLEFINANCE(A1368, ""high"", TODAY()-30, TODAY()), 0, 2))"),428.9)</f>
        <v>428.9</v>
      </c>
      <c r="I1368" s="9">
        <f>IFERROR(__xludf.DUMMYFUNCTION("MIN(INDEX(GOOGLEFINANCE(A1368, ""low"", TODAY()-30, TODAY()), 0, 2))"),376.3)</f>
        <v>376.3</v>
      </c>
      <c r="J1368" s="9">
        <f>IFERROR(__xludf.DUMMYFUNCTION("GOOGLEFINANCE(A1368, ""high52"")"),572.2)</f>
        <v>572.2</v>
      </c>
      <c r="K1368" s="9">
        <f>IFERROR(__xludf.DUMMYFUNCTION("GOOGLEFINANCE(A1368, ""low52"")"),268.05)</f>
        <v>268.05</v>
      </c>
      <c r="L1368" s="9">
        <f t="shared" si="1"/>
        <v>0.3096819294</v>
      </c>
      <c r="M1368" s="9">
        <f t="shared" si="2"/>
        <v>0.4736056706</v>
      </c>
      <c r="N1368" s="9">
        <f t="shared" si="3"/>
        <v>0.03363636364</v>
      </c>
      <c r="O1368" s="9">
        <f t="shared" si="4"/>
        <v>0.355513308</v>
      </c>
      <c r="P1368" s="9">
        <f>IFERROR(__xludf.DUMMYFUNCTION("GOOGLEFINANCE(A1368, ""pe"")"),16.16)</f>
        <v>16.16</v>
      </c>
      <c r="Q1368" s="9">
        <f>IFERROR(__xludf.DUMMYFUNCTION("IFERROR(GOOGLEFINANCE(A1368, ""volume"") / GOOGLEFINANCE(A1368, ""volumeavg""), 0)"),0.0)</f>
        <v>0</v>
      </c>
      <c r="R1368" s="9">
        <f>IFERROR(__xludf.DUMMYFUNCTION("AVERAGE(INDEX(GOOGLEFINANCE(A1368, ""price"", TODAY()-30, TODAY()), 0, 2))"),395.345652173913)</f>
        <v>395.3456522</v>
      </c>
      <c r="S1368" s="9">
        <f>IFERROR(__xludf.DUMMYFUNCTION("AVERAGE(INDEX(GOOGLEFINANCE(A1368, ""price"", TODAY()-75, TODAY()), 0, 2))"),400.583962264151)</f>
        <v>400.5839623</v>
      </c>
      <c r="T1368" s="9">
        <f>IFERROR(__xludf.DUMMYFUNCTION("AVERAGE(INDEX(GOOGLEFINANCE(A1368, ""price"", TODAY()-300, TODAY()), 0, 2))"),374.2403465346535)</f>
        <v>374.2403465</v>
      </c>
      <c r="U1368" s="9">
        <f t="shared" si="5"/>
        <v>-0.0008743037188</v>
      </c>
      <c r="V1368" s="15">
        <f>IFERROR(__xludf.DUMMYFUNCTION("LET(hist, GOOGLEFINANCE(A1368,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rs))))))"),57.548579970104605)</f>
        <v>57.54857997</v>
      </c>
      <c r="W1368" s="16" t="str">
        <f>IFERROR(__xludf.DUMMYFUNCTION("IFERROR(GOOGLEFINANCE(A1368, ""volume"") / GOOGLEFINANCE(A1368, ""volumeavg""), )"),"")</f>
        <v/>
      </c>
      <c r="X1368" s="9">
        <f>IFERROR(__xludf.DUMMYFUNCTION("B1368 * GOOGLEFINANCE(A1368, ""volume"")"),4.4483715E7)</f>
        <v>44483715</v>
      </c>
      <c r="Y1368" s="9">
        <f>IFERROR(__xludf.DUMMYFUNCTION("IFERROR(((B1368 - GOOGLEFINANCE(A1368, ""priceopen"")) / GOOGLEFINANCE(A1368, ""priceopen"")) * GOOGLEFINANCE(A1368, ""volume""), 0)"),71.32172260924636)</f>
        <v>71.32172261</v>
      </c>
    </row>
    <row r="1369">
      <c r="A1369" s="4" t="s">
        <v>3161</v>
      </c>
      <c r="B1369" s="7">
        <f>IFERROR(__xludf.DUMMYFUNCTION("GOOGLEFINANCE(A1369, ""price"")"),451.0)</f>
        <v>451</v>
      </c>
      <c r="C1369" s="7">
        <f>IFERROR(__xludf.DUMMYFUNCTION("GOOGLEFINANCE(A1369, ""changepct"")"),4.06)</f>
        <v>4.06</v>
      </c>
      <c r="D1369" s="9">
        <f>IFERROR(__xludf.DUMMYFUNCTION("GOOGLEFINANCE(A1369, ""priceopen"")"),435.0)</f>
        <v>435</v>
      </c>
      <c r="E1369" s="9">
        <f>IFERROR(__xludf.DUMMYFUNCTION("GOOGLEFINANCE(A1369, ""high"")"),464.2)</f>
        <v>464.2</v>
      </c>
      <c r="F1369" s="9">
        <f>IFERROR(__xludf.DUMMYFUNCTION("GOOGLEFINANCE(A1369, ""low"")"),430.1)</f>
        <v>430.1</v>
      </c>
      <c r="G1369" s="9">
        <f>IFERROR(__xludf.DUMMYFUNCTION("GOOGLEFINANCE(A1369, ""price"")"),451.0)</f>
        <v>451</v>
      </c>
      <c r="H1369" s="9">
        <f>IFERROR(__xludf.DUMMYFUNCTION("MAX(INDEX(GOOGLEFINANCE(A1369, ""high"", TODAY()-30, TODAY()), 0, 2))"),499.0)</f>
        <v>499</v>
      </c>
      <c r="I1369" s="9">
        <f>IFERROR(__xludf.DUMMYFUNCTION("MIN(INDEX(GOOGLEFINANCE(A1369, ""low"", TODAY()-30, TODAY()), 0, 2))"),361.05)</f>
        <v>361.05</v>
      </c>
      <c r="J1369" s="9">
        <f>IFERROR(__xludf.DUMMYFUNCTION("GOOGLEFINANCE(A1369, ""high52"")"),499.0)</f>
        <v>499</v>
      </c>
      <c r="K1369" s="9">
        <f>IFERROR(__xludf.DUMMYFUNCTION("GOOGLEFINANCE(A1369, ""low52"")"),224.0)</f>
        <v>224</v>
      </c>
      <c r="L1369" s="9">
        <f t="shared" si="1"/>
        <v>0.09619238477</v>
      </c>
      <c r="M1369" s="9">
        <f t="shared" si="2"/>
        <v>1.013392857</v>
      </c>
      <c r="N1369" s="9">
        <f t="shared" si="3"/>
        <v>0.07928388747</v>
      </c>
      <c r="O1369" s="9">
        <f t="shared" si="4"/>
        <v>0.6520478434</v>
      </c>
      <c r="P1369" s="9">
        <f>IFERROR(__xludf.DUMMYFUNCTION("GOOGLEFINANCE(A1369, ""pe"")"),28.79)</f>
        <v>28.79</v>
      </c>
      <c r="Q1369" s="9">
        <f>IFERROR(__xludf.DUMMYFUNCTION("IFERROR(GOOGLEFINANCE(A1369, ""volume"") / GOOGLEFINANCE(A1369, ""volumeavg""), 0)"),0.0)</f>
        <v>0</v>
      </c>
      <c r="R1369" s="9">
        <f>IFERROR(__xludf.DUMMYFUNCTION("AVERAGE(INDEX(GOOGLEFINANCE(A1369, ""price"", TODAY()-30, TODAY()), 0, 2))"),422.7717391304348)</f>
        <v>422.7717391</v>
      </c>
      <c r="S1369" s="9">
        <f>IFERROR(__xludf.DUMMYFUNCTION("AVERAGE(INDEX(GOOGLEFINANCE(A1369, ""price"", TODAY()-75, TODAY()), 0, 2))"),396.8292452830189)</f>
        <v>396.8292453</v>
      </c>
      <c r="T1369" s="9">
        <f>IFERROR(__xludf.DUMMYFUNCTION("AVERAGE(INDEX(GOOGLEFINANCE(A1369, ""price"", TODAY()-300, TODAY()), 0, 2))"),293.18648514851475)</f>
        <v>293.1864851</v>
      </c>
      <c r="U1369" s="9">
        <f t="shared" si="5"/>
        <v>0.06676950765</v>
      </c>
      <c r="V1369" s="15">
        <f>IFERROR(__xludf.DUMMYFUNCTION("LET(hist, GOOGLEFINANCE(A1369,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rs))))))"),68.00095306171075)</f>
        <v>68.00095306</v>
      </c>
      <c r="W1369" s="16" t="str">
        <f>IFERROR(__xludf.DUMMYFUNCTION("IFERROR(GOOGLEFINANCE(A1369, ""volume"") / GOOGLEFINANCE(A1369, ""volumeavg""), )"),"")</f>
        <v/>
      </c>
      <c r="X1369" s="9">
        <f>IFERROR(__xludf.DUMMYFUNCTION("B1369 * GOOGLEFINANCE(A1369, ""volume"")"),2.2781814E8)</f>
        <v>227818140</v>
      </c>
      <c r="Y1369" s="9">
        <f>IFERROR(__xludf.DUMMYFUNCTION("IFERROR(((B1369 - GOOGLEFINANCE(A1369, ""priceopen"")) / GOOGLEFINANCE(A1369, ""priceopen"")) * GOOGLEFINANCE(A1369, ""volume""), 0)"),18579.862068965518)</f>
        <v>18579.86207</v>
      </c>
    </row>
    <row r="1370">
      <c r="A1370" s="4" t="s">
        <v>3162</v>
      </c>
      <c r="B1370" s="7">
        <f>IFERROR(__xludf.DUMMYFUNCTION("GOOGLEFINANCE(A1370, ""price"")"),10.55)</f>
        <v>10.55</v>
      </c>
      <c r="C1370" s="7">
        <f>IFERROR(__xludf.DUMMYFUNCTION("GOOGLEFINANCE(A1370, ""changepct"")"),2.93)</f>
        <v>2.93</v>
      </c>
      <c r="D1370" s="9">
        <f>IFERROR(__xludf.DUMMYFUNCTION("GOOGLEFINANCE(A1370, ""priceopen"")"),10.4)</f>
        <v>10.4</v>
      </c>
      <c r="E1370" s="9">
        <f>IFERROR(__xludf.DUMMYFUNCTION("GOOGLEFINANCE(A1370, ""high"")"),10.79)</f>
        <v>10.79</v>
      </c>
      <c r="F1370" s="9">
        <f>IFERROR(__xludf.DUMMYFUNCTION("GOOGLEFINANCE(A1370, ""low"")"),10.1)</f>
        <v>10.1</v>
      </c>
      <c r="G1370" s="9">
        <f>IFERROR(__xludf.DUMMYFUNCTION("GOOGLEFINANCE(A1370, ""price"")"),10.55)</f>
        <v>10.55</v>
      </c>
      <c r="H1370" s="9">
        <f>IFERROR(__xludf.DUMMYFUNCTION("MAX(INDEX(GOOGLEFINANCE(A1370, ""high"", TODAY()-30, TODAY()), 0, 2))"),10.79)</f>
        <v>10.79</v>
      </c>
      <c r="I1370" s="9">
        <f>IFERROR(__xludf.DUMMYFUNCTION("MIN(INDEX(GOOGLEFINANCE(A1370, ""low"", TODAY()-30, TODAY()), 0, 2))"),7.75)</f>
        <v>7.75</v>
      </c>
      <c r="J1370" s="9">
        <f>IFERROR(__xludf.DUMMYFUNCTION("GOOGLEFINANCE(A1370, ""high52"")"),15.89)</f>
        <v>15.89</v>
      </c>
      <c r="K1370" s="9">
        <f>IFERROR(__xludf.DUMMYFUNCTION("GOOGLEFINANCE(A1370, ""low52"")"),7.11)</f>
        <v>7.11</v>
      </c>
      <c r="L1370" s="9">
        <f t="shared" si="1"/>
        <v>0.3360604154</v>
      </c>
      <c r="M1370" s="9">
        <f t="shared" si="2"/>
        <v>0.4838255977</v>
      </c>
      <c r="N1370" s="9">
        <f t="shared" si="3"/>
        <v>0.06831683168</v>
      </c>
      <c r="O1370" s="9">
        <f t="shared" si="4"/>
        <v>0.9210526316</v>
      </c>
      <c r="P1370" s="9">
        <f>IFERROR(__xludf.DUMMYFUNCTION("GOOGLEFINANCE(A1370, ""pe"")"),57.48)</f>
        <v>57.48</v>
      </c>
      <c r="Q1370" s="9">
        <f>IFERROR(__xludf.DUMMYFUNCTION("IFERROR(GOOGLEFINANCE(A1370, ""volume"") / GOOGLEFINANCE(A1370, ""volumeavg""), 0)"),0.0)</f>
        <v>0</v>
      </c>
      <c r="R1370" s="9">
        <f>IFERROR(__xludf.DUMMYFUNCTION("AVERAGE(INDEX(GOOGLEFINANCE(A1370, ""price"", TODAY()-30, TODAY()), 0, 2))"),8.459999999999999)</f>
        <v>8.46</v>
      </c>
      <c r="S1370" s="9">
        <f>IFERROR(__xludf.DUMMYFUNCTION("AVERAGE(INDEX(GOOGLEFINANCE(A1370, ""price"", TODAY()-75, TODAY()), 0, 2))"),8.517169811320754)</f>
        <v>8.517169811</v>
      </c>
      <c r="T1370" s="9">
        <f>IFERROR(__xludf.DUMMYFUNCTION("AVERAGE(INDEX(GOOGLEFINANCE(A1370, ""price"", TODAY()-300, TODAY()), 0, 2))"),11.635297029702974)</f>
        <v>11.63529703</v>
      </c>
      <c r="U1370" s="9">
        <f t="shared" si="5"/>
        <v>0.2470449173</v>
      </c>
      <c r="V1370" s="15">
        <f>IFERROR(__xludf.DUMMYFUNCTION("LET(hist, GOOGLEFINANCE(A1370,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rs))))))"),82.1515892420538)</f>
        <v>82.15158924</v>
      </c>
      <c r="W1370" s="16" t="str">
        <f>IFERROR(__xludf.DUMMYFUNCTION("IFERROR(GOOGLEFINANCE(A1370, ""volume"") / GOOGLEFINANCE(A1370, ""volumeavg""), )"),"")</f>
        <v/>
      </c>
      <c r="X1370" s="9">
        <f>IFERROR(__xludf.DUMMYFUNCTION("B1370 * GOOGLEFINANCE(A1370, ""volume"")"),6.7084226975E8)</f>
        <v>670842269.8</v>
      </c>
      <c r="Y1370" s="9">
        <f>IFERROR(__xludf.DUMMYFUNCTION("IFERROR(((B1370 - GOOGLEFINANCE(A1370, ""priceopen"")) / GOOGLEFINANCE(A1370, ""priceopen"")) * GOOGLEFINANCE(A1370, ""volume""), 0)"),917119.3990384637)</f>
        <v>917119.399</v>
      </c>
    </row>
    <row r="1371">
      <c r="A1371" s="4" t="s">
        <v>3163</v>
      </c>
      <c r="B1371" s="7">
        <f>IFERROR(__xludf.DUMMYFUNCTION("GOOGLEFINANCE(A1371, ""price"")"),14.43)</f>
        <v>14.43</v>
      </c>
      <c r="C1371" s="7">
        <f>IFERROR(__xludf.DUMMYFUNCTION("GOOGLEFINANCE(A1371, ""changepct"")"),6.26)</f>
        <v>6.26</v>
      </c>
      <c r="D1371" s="9">
        <f>IFERROR(__xludf.DUMMYFUNCTION("GOOGLEFINANCE(A1371, ""priceopen"")"),13.99)</f>
        <v>13.99</v>
      </c>
      <c r="E1371" s="9">
        <f>IFERROR(__xludf.DUMMYFUNCTION("GOOGLEFINANCE(A1371, ""high"")"),15.9)</f>
        <v>15.9</v>
      </c>
      <c r="F1371" s="9">
        <f>IFERROR(__xludf.DUMMYFUNCTION("GOOGLEFINANCE(A1371, ""low"")"),13.71)</f>
        <v>13.71</v>
      </c>
      <c r="G1371" s="9">
        <f>IFERROR(__xludf.DUMMYFUNCTION("GOOGLEFINANCE(A1371, ""price"")"),14.43)</f>
        <v>14.43</v>
      </c>
      <c r="H1371" s="9">
        <f>IFERROR(__xludf.DUMMYFUNCTION("MAX(INDEX(GOOGLEFINANCE(A1371, ""high"", TODAY()-30, TODAY()), 0, 2))"),15.9)</f>
        <v>15.9</v>
      </c>
      <c r="I1371" s="9">
        <f>IFERROR(__xludf.DUMMYFUNCTION("MIN(INDEX(GOOGLEFINANCE(A1371, ""low"", TODAY()-30, TODAY()), 0, 2))"),12.03)</f>
        <v>12.03</v>
      </c>
      <c r="J1371" s="9">
        <f>IFERROR(__xludf.DUMMYFUNCTION("GOOGLEFINANCE(A1371, ""high52"")"),22.0)</f>
        <v>22</v>
      </c>
      <c r="K1371" s="9">
        <f>IFERROR(__xludf.DUMMYFUNCTION("GOOGLEFINANCE(A1371, ""low52"")"),12.03)</f>
        <v>12.03</v>
      </c>
      <c r="L1371" s="9">
        <f t="shared" si="1"/>
        <v>0.3440909091</v>
      </c>
      <c r="M1371" s="9">
        <f t="shared" si="2"/>
        <v>0.1995012469</v>
      </c>
      <c r="N1371" s="9">
        <f t="shared" si="3"/>
        <v>0.1597374179</v>
      </c>
      <c r="O1371" s="9">
        <f t="shared" si="4"/>
        <v>0.6201550388</v>
      </c>
      <c r="P1371" s="9" t="str">
        <f>IFERROR(__xludf.DUMMYFUNCTION("GOOGLEFINANCE(A1371, ""pe"")"),"#N/A")</f>
        <v>#N/A</v>
      </c>
      <c r="Q1371" s="9">
        <f>IFERROR(__xludf.DUMMYFUNCTION("IFERROR(GOOGLEFINANCE(A1371, ""volume"") / GOOGLEFINANCE(A1371, ""volumeavg""), 0)"),0.0)</f>
        <v>0</v>
      </c>
      <c r="R1371" s="9">
        <f>IFERROR(__xludf.DUMMYFUNCTION("AVERAGE(INDEX(GOOGLEFINANCE(A1371, ""price"", TODAY()-30, TODAY()), 0, 2))"),13.256086956521738)</f>
        <v>13.25608696</v>
      </c>
      <c r="S1371" s="9">
        <f>IFERROR(__xludf.DUMMYFUNCTION("AVERAGE(INDEX(GOOGLEFINANCE(A1371, ""price"", TODAY()-75, TODAY()), 0, 2))"),14.333793103448272)</f>
        <v>14.3337931</v>
      </c>
      <c r="T1371" s="9">
        <f>IFERROR(__xludf.DUMMYFUNCTION("AVERAGE(INDEX(GOOGLEFINANCE(A1371, ""price"", TODAY()-300, TODAY()), 0, 2))"),14.333793103448272)</f>
        <v>14.3337931</v>
      </c>
      <c r="U1371" s="9">
        <f t="shared" si="5"/>
        <v>0.08855652858</v>
      </c>
      <c r="V1371" s="15">
        <f>IFERROR(__xludf.DUMMYFUNCTION("LET(hist, GOOGLEFINANCE(A1371,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rs))))))"),67.93168880455408)</f>
        <v>67.9316888</v>
      </c>
      <c r="W1371" s="16" t="str">
        <f>IFERROR(__xludf.DUMMYFUNCTION("IFERROR(GOOGLEFINANCE(A1371, ""volume"") / GOOGLEFINANCE(A1371, ""volumeavg""), )"),"")</f>
        <v/>
      </c>
      <c r="X1371" s="9">
        <f>IFERROR(__xludf.DUMMYFUNCTION("B1371 * GOOGLEFINANCE(A1371, ""volume"")"),2.5199879562E8)</f>
        <v>251998795.6</v>
      </c>
      <c r="Y1371" s="9">
        <f>IFERROR(__xludf.DUMMYFUNCTION("IFERROR(((B1371 - GOOGLEFINANCE(A1371, ""priceopen"")) / GOOGLEFINANCE(A1371, ""priceopen"")) * GOOGLEFINANCE(A1371, ""volume""), 0)"),549246.2444603281)</f>
        <v>549246.2445</v>
      </c>
    </row>
    <row r="1372">
      <c r="A1372" s="4" t="s">
        <v>3164</v>
      </c>
      <c r="B1372" s="7">
        <f>IFERROR(__xludf.DUMMYFUNCTION("GOOGLEFINANCE(A1372, ""price"")"),69.79)</f>
        <v>69.79</v>
      </c>
      <c r="C1372" s="7">
        <f>IFERROR(__xludf.DUMMYFUNCTION("GOOGLEFINANCE(A1372, ""changepct"")"),-0.56)</f>
        <v>-0.56</v>
      </c>
      <c r="D1372" s="9">
        <f>IFERROR(__xludf.DUMMYFUNCTION("GOOGLEFINANCE(A1372, ""priceopen"")"),70.15)</f>
        <v>70.15</v>
      </c>
      <c r="E1372" s="9">
        <f>IFERROR(__xludf.DUMMYFUNCTION("GOOGLEFINANCE(A1372, ""high"")"),71.2)</f>
        <v>71.2</v>
      </c>
      <c r="F1372" s="9">
        <f>IFERROR(__xludf.DUMMYFUNCTION("GOOGLEFINANCE(A1372, ""low"")"),69.1)</f>
        <v>69.1</v>
      </c>
      <c r="G1372" s="9">
        <f>IFERROR(__xludf.DUMMYFUNCTION("GOOGLEFINANCE(A1372, ""price"")"),69.79)</f>
        <v>69.79</v>
      </c>
      <c r="H1372" s="9">
        <f>IFERROR(__xludf.DUMMYFUNCTION("MAX(INDEX(GOOGLEFINANCE(A1372, ""high"", TODAY()-30, TODAY()), 0, 2))"),73.9)</f>
        <v>73.9</v>
      </c>
      <c r="I1372" s="9">
        <f>IFERROR(__xludf.DUMMYFUNCTION("MIN(INDEX(GOOGLEFINANCE(A1372, ""low"", TODAY()-30, TODAY()), 0, 2))"),64.96)</f>
        <v>64.96</v>
      </c>
      <c r="J1372" s="9">
        <f>IFERROR(__xludf.DUMMYFUNCTION("GOOGLEFINANCE(A1372, ""high52"")"),95.76)</f>
        <v>95.76</v>
      </c>
      <c r="K1372" s="9">
        <f>IFERROR(__xludf.DUMMYFUNCTION("GOOGLEFINANCE(A1372, ""low52"")"),64.96)</f>
        <v>64.96</v>
      </c>
      <c r="L1372" s="9">
        <f t="shared" si="1"/>
        <v>0.2711988304</v>
      </c>
      <c r="M1372" s="9">
        <f t="shared" si="2"/>
        <v>0.07435344828</v>
      </c>
      <c r="N1372" s="9">
        <f t="shared" si="3"/>
        <v>0.03039073806</v>
      </c>
      <c r="O1372" s="9">
        <f t="shared" si="4"/>
        <v>0.5402684564</v>
      </c>
      <c r="P1372" s="9">
        <f>IFERROR(__xludf.DUMMYFUNCTION("GOOGLEFINANCE(A1372, ""pe"")"),9.53)</f>
        <v>9.53</v>
      </c>
      <c r="Q1372" s="9">
        <f>IFERROR(__xludf.DUMMYFUNCTION("IFERROR(GOOGLEFINANCE(A1372, ""volume"") / GOOGLEFINANCE(A1372, ""volumeavg""), 0)"),0.0)</f>
        <v>0</v>
      </c>
      <c r="R1372" s="9">
        <f>IFERROR(__xludf.DUMMYFUNCTION("AVERAGE(INDEX(GOOGLEFINANCE(A1372, ""price"", TODAY()-30, TODAY()), 0, 2))"),69.29521739130435)</f>
        <v>69.29521739</v>
      </c>
      <c r="S1372" s="9">
        <f>IFERROR(__xludf.DUMMYFUNCTION("AVERAGE(INDEX(GOOGLEFINANCE(A1372, ""price"", TODAY()-75, TODAY()), 0, 2))"),71.82773584905661)</f>
        <v>71.82773585</v>
      </c>
      <c r="T1372" s="9">
        <f>IFERROR(__xludf.DUMMYFUNCTION("AVERAGE(INDEX(GOOGLEFINANCE(A1372, ""price"", TODAY()-300, TODAY()), 0, 2))"),76.7474752475247)</f>
        <v>76.74747525</v>
      </c>
      <c r="U1372" s="9">
        <f t="shared" si="5"/>
        <v>0.007140212952</v>
      </c>
      <c r="V1372" s="15">
        <f>IFERROR(__xludf.DUMMYFUNCTION("LET(hist, GOOGLEFINANCE(A1372,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rs))))))"),57.10280373831774)</f>
        <v>57.10280374</v>
      </c>
      <c r="W1372" s="16" t="str">
        <f>IFERROR(__xludf.DUMMYFUNCTION("IFERROR(GOOGLEFINANCE(A1372, ""volume"") / GOOGLEFINANCE(A1372, ""volumeavg""), )"),"")</f>
        <v/>
      </c>
      <c r="X1372" s="9">
        <f>IFERROR(__xludf.DUMMYFUNCTION("B1372 * GOOGLEFINANCE(A1372, ""volume"")"),5524646.19)</f>
        <v>5524646.19</v>
      </c>
      <c r="Y1372" s="9">
        <f>IFERROR(__xludf.DUMMYFUNCTION("IFERROR(((B1372 - GOOGLEFINANCE(A1372, ""priceopen"")) / GOOGLEFINANCE(A1372, ""priceopen"")) * GOOGLEFINANCE(A1372, ""volume""), 0)"),-406.24319315751893)</f>
        <v>-406.2431932</v>
      </c>
    </row>
    <row r="1373">
      <c r="A1373" s="4" t="s">
        <v>3165</v>
      </c>
      <c r="B1373" s="7">
        <f>IFERROR(__xludf.DUMMYFUNCTION("GOOGLEFINANCE(A1373, ""price"")"),111.5)</f>
        <v>111.5</v>
      </c>
      <c r="C1373" s="7">
        <f>IFERROR(__xludf.DUMMYFUNCTION("GOOGLEFINANCE(A1373, ""changepct"")"),-1.87)</f>
        <v>-1.87</v>
      </c>
      <c r="D1373" s="9">
        <f>IFERROR(__xludf.DUMMYFUNCTION("GOOGLEFINANCE(A1373, ""priceopen"")"),112.0)</f>
        <v>112</v>
      </c>
      <c r="E1373" s="9">
        <f>IFERROR(__xludf.DUMMYFUNCTION("GOOGLEFINANCE(A1373, ""high"")"),113.3)</f>
        <v>113.3</v>
      </c>
      <c r="F1373" s="9">
        <f>IFERROR(__xludf.DUMMYFUNCTION("GOOGLEFINANCE(A1373, ""low"")"),111.5)</f>
        <v>111.5</v>
      </c>
      <c r="G1373" s="9">
        <f>IFERROR(__xludf.DUMMYFUNCTION("GOOGLEFINANCE(A1373, ""price"")"),111.5)</f>
        <v>111.5</v>
      </c>
      <c r="H1373" s="9">
        <f>IFERROR(__xludf.DUMMYFUNCTION("MAX(INDEX(GOOGLEFINANCE(A1373, ""high"", TODAY()-30, TODAY()), 0, 2))"),117.5)</f>
        <v>117.5</v>
      </c>
      <c r="I1373" s="9">
        <f>IFERROR(__xludf.DUMMYFUNCTION("MIN(INDEX(GOOGLEFINANCE(A1373, ""low"", TODAY()-30, TODAY()), 0, 2))"),102.93)</f>
        <v>102.93</v>
      </c>
      <c r="J1373" s="9">
        <f>IFERROR(__xludf.DUMMYFUNCTION("GOOGLEFINANCE(A1373, ""high52"")"),156.79)</f>
        <v>156.79</v>
      </c>
      <c r="K1373" s="9">
        <f>IFERROR(__xludf.DUMMYFUNCTION("GOOGLEFINANCE(A1373, ""low52"")"),90.25)</f>
        <v>90.25</v>
      </c>
      <c r="L1373" s="9">
        <f t="shared" si="1"/>
        <v>0.2888577078</v>
      </c>
      <c r="M1373" s="9">
        <f t="shared" si="2"/>
        <v>0.2354570637</v>
      </c>
      <c r="N1373" s="9">
        <f t="shared" si="3"/>
        <v>0.01614349776</v>
      </c>
      <c r="O1373" s="9">
        <f t="shared" si="4"/>
        <v>0.5881949211</v>
      </c>
      <c r="P1373" s="9">
        <f>IFERROR(__xludf.DUMMYFUNCTION("GOOGLEFINANCE(A1373, ""pe"")"),8.52)</f>
        <v>8.52</v>
      </c>
      <c r="Q1373" s="9">
        <f>IFERROR(__xludf.DUMMYFUNCTION("IFERROR(GOOGLEFINANCE(A1373, ""volume"") / GOOGLEFINANCE(A1373, ""volumeavg""), 0)"),0.0)</f>
        <v>0</v>
      </c>
      <c r="R1373" s="9">
        <f>IFERROR(__xludf.DUMMYFUNCTION("AVERAGE(INDEX(GOOGLEFINANCE(A1373, ""price"", TODAY()-30, TODAY()), 0, 2))"),111.15521739130436)</f>
        <v>111.1552174</v>
      </c>
      <c r="S1373" s="9">
        <f>IFERROR(__xludf.DUMMYFUNCTION("AVERAGE(INDEX(GOOGLEFINANCE(A1373, ""price"", TODAY()-75, TODAY()), 0, 2))"),113.37698113207549)</f>
        <v>113.3769811</v>
      </c>
      <c r="T1373" s="9">
        <f>IFERROR(__xludf.DUMMYFUNCTION("AVERAGE(INDEX(GOOGLEFINANCE(A1373, ""price"", TODAY()-300, TODAY()), 0, 2))"),117.22148514851484)</f>
        <v>117.2214851</v>
      </c>
      <c r="U1373" s="9">
        <f t="shared" si="5"/>
        <v>0.003101812194</v>
      </c>
      <c r="V1373" s="15">
        <f>IFERROR(__xludf.DUMMYFUNCTION("LET(hist, GOOGLEFINANCE(A1373,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rs))))))"),58.324924318869826)</f>
        <v>58.32492432</v>
      </c>
      <c r="W1373" s="16" t="str">
        <f>IFERROR(__xludf.DUMMYFUNCTION("IFERROR(GOOGLEFINANCE(A1373, ""volume"") / GOOGLEFINANCE(A1373, ""volumeavg""), )"),"")</f>
        <v/>
      </c>
      <c r="X1373" s="9">
        <f>IFERROR(__xludf.DUMMYFUNCTION("B1373 * GOOGLEFINANCE(A1373, ""volume"")"),1.0289443E7)</f>
        <v>10289443</v>
      </c>
      <c r="Y1373" s="9">
        <f>IFERROR(__xludf.DUMMYFUNCTION("IFERROR(((B1373 - GOOGLEFINANCE(A1373, ""priceopen"")) / GOOGLEFINANCE(A1373, ""priceopen"")) * GOOGLEFINANCE(A1373, ""volume""), 0)"),-411.9732142857143)</f>
        <v>-411.9732143</v>
      </c>
    </row>
    <row r="1374">
      <c r="A1374" s="4" t="s">
        <v>3166</v>
      </c>
      <c r="B1374" s="7">
        <f>IFERROR(__xludf.DUMMYFUNCTION("GOOGLEFINANCE(A1374, ""price"")"),260.4)</f>
        <v>260.4</v>
      </c>
      <c r="C1374" s="7">
        <f>IFERROR(__xludf.DUMMYFUNCTION("GOOGLEFINANCE(A1374, ""changepct"")"),0.64)</f>
        <v>0.64</v>
      </c>
      <c r="D1374" s="9">
        <f>IFERROR(__xludf.DUMMYFUNCTION("GOOGLEFINANCE(A1374, ""priceopen"")"),259.15)</f>
        <v>259.15</v>
      </c>
      <c r="E1374" s="9">
        <f>IFERROR(__xludf.DUMMYFUNCTION("GOOGLEFINANCE(A1374, ""high"")"),265.95)</f>
        <v>265.95</v>
      </c>
      <c r="F1374" s="9">
        <f>IFERROR(__xludf.DUMMYFUNCTION("GOOGLEFINANCE(A1374, ""low"")"),255.1)</f>
        <v>255.1</v>
      </c>
      <c r="G1374" s="9">
        <f>IFERROR(__xludf.DUMMYFUNCTION("GOOGLEFINANCE(A1374, ""price"")"),260.4)</f>
        <v>260.4</v>
      </c>
      <c r="H1374" s="9">
        <f>IFERROR(__xludf.DUMMYFUNCTION("MAX(INDEX(GOOGLEFINANCE(A1374, ""high"", TODAY()-30, TODAY()), 0, 2))"),303.4)</f>
        <v>303.4</v>
      </c>
      <c r="I1374" s="9">
        <f>IFERROR(__xludf.DUMMYFUNCTION("MIN(INDEX(GOOGLEFINANCE(A1374, ""low"", TODAY()-30, TODAY()), 0, 2))"),249.41)</f>
        <v>249.41</v>
      </c>
      <c r="J1374" s="9">
        <f>IFERROR(__xludf.DUMMYFUNCTION("GOOGLEFINANCE(A1374, ""high52"")"),466.73)</f>
        <v>466.73</v>
      </c>
      <c r="K1374" s="9">
        <f>IFERROR(__xludf.DUMMYFUNCTION("GOOGLEFINANCE(A1374, ""low52"")"),220.8)</f>
        <v>220.8</v>
      </c>
      <c r="L1374" s="9">
        <f t="shared" si="1"/>
        <v>0.4420757183</v>
      </c>
      <c r="M1374" s="9">
        <f t="shared" si="2"/>
        <v>0.1793478261</v>
      </c>
      <c r="N1374" s="9">
        <f t="shared" si="3"/>
        <v>0.04253234026</v>
      </c>
      <c r="O1374" s="9">
        <f t="shared" si="4"/>
        <v>0.2035562141</v>
      </c>
      <c r="P1374" s="9">
        <f>IFERROR(__xludf.DUMMYFUNCTION("GOOGLEFINANCE(A1374, ""pe"")"),260.4)</f>
        <v>260.4</v>
      </c>
      <c r="Q1374" s="9">
        <f>IFERROR(__xludf.DUMMYFUNCTION("IFERROR(GOOGLEFINANCE(A1374, ""volume"") / GOOGLEFINANCE(A1374, ""volumeavg""), 0)"),0.0)</f>
        <v>0</v>
      </c>
      <c r="R1374" s="9">
        <f>IFERROR(__xludf.DUMMYFUNCTION("AVERAGE(INDEX(GOOGLEFINANCE(A1374, ""price"", TODAY()-30, TODAY()), 0, 2))"),265.74608695652176)</f>
        <v>265.746087</v>
      </c>
      <c r="S1374" s="9">
        <f>IFERROR(__xludf.DUMMYFUNCTION("AVERAGE(INDEX(GOOGLEFINANCE(A1374, ""price"", TODAY()-75, TODAY()), 0, 2))"),260.1690566037736)</f>
        <v>260.1690566</v>
      </c>
      <c r="T1374" s="9">
        <f>IFERROR(__xludf.DUMMYFUNCTION("AVERAGE(INDEX(GOOGLEFINANCE(A1374, ""price"", TODAY()-300, TODAY()), 0, 2))"),304.2515841584157)</f>
        <v>304.2515842</v>
      </c>
      <c r="U1374" s="9">
        <f t="shared" si="5"/>
        <v>-0.02011727442</v>
      </c>
      <c r="V1374" s="15">
        <f>IFERROR(__xludf.DUMMYFUNCTION("LET(hist, GOOGLEFINANCE(A1374,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rs))))))"),52.83886445421829)</f>
        <v>52.83886445</v>
      </c>
      <c r="W1374" s="16" t="str">
        <f>IFERROR(__xludf.DUMMYFUNCTION("IFERROR(GOOGLEFINANCE(A1374, ""volume"") / GOOGLEFINANCE(A1374, ""volumeavg""), )"),"")</f>
        <v/>
      </c>
      <c r="X1374" s="9">
        <f>IFERROR(__xludf.DUMMYFUNCTION("B1374 * GOOGLEFINANCE(A1374, ""volume"")"),5.096158199999999E7)</f>
        <v>50961582</v>
      </c>
      <c r="Y1374" s="9">
        <f>IFERROR(__xludf.DUMMYFUNCTION("IFERROR(((B1374 - GOOGLEFINANCE(A1374, ""priceopen"")) / GOOGLEFINANCE(A1374, ""priceopen"")) * GOOGLEFINANCE(A1374, ""volume""), 0)"),943.9754968165156)</f>
        <v>943.9754968</v>
      </c>
    </row>
    <row r="1375">
      <c r="A1375" s="4" t="s">
        <v>3167</v>
      </c>
      <c r="B1375" s="7">
        <f>IFERROR(__xludf.DUMMYFUNCTION("GOOGLEFINANCE(A1375, ""price"")"),26.29)</f>
        <v>26.29</v>
      </c>
      <c r="C1375" s="7">
        <f>IFERROR(__xludf.DUMMYFUNCTION("GOOGLEFINANCE(A1375, ""changepct"")"),0.54)</f>
        <v>0.54</v>
      </c>
      <c r="D1375" s="9">
        <f>IFERROR(__xludf.DUMMYFUNCTION("GOOGLEFINANCE(A1375, ""priceopen"")"),26.87)</f>
        <v>26.87</v>
      </c>
      <c r="E1375" s="9">
        <f>IFERROR(__xludf.DUMMYFUNCTION("GOOGLEFINANCE(A1375, ""high"")"),26.87)</f>
        <v>26.87</v>
      </c>
      <c r="F1375" s="9">
        <f>IFERROR(__xludf.DUMMYFUNCTION("GOOGLEFINANCE(A1375, ""low"")"),25.82)</f>
        <v>25.82</v>
      </c>
      <c r="G1375" s="9">
        <f>IFERROR(__xludf.DUMMYFUNCTION("GOOGLEFINANCE(A1375, ""price"")"),26.29)</f>
        <v>26.29</v>
      </c>
      <c r="H1375" s="9">
        <f>IFERROR(__xludf.DUMMYFUNCTION("MAX(INDEX(GOOGLEFINANCE(A1375, ""high"", TODAY()-30, TODAY()), 0, 2))"),26.87)</f>
        <v>26.87</v>
      </c>
      <c r="I1375" s="9">
        <f>IFERROR(__xludf.DUMMYFUNCTION("MIN(INDEX(GOOGLEFINANCE(A1375, ""low"", TODAY()-30, TODAY()), 0, 2))"),23.0)</f>
        <v>23</v>
      </c>
      <c r="J1375" s="9">
        <f>IFERROR(__xludf.DUMMYFUNCTION("GOOGLEFINANCE(A1375, ""high52"")"),35.4)</f>
        <v>35.4</v>
      </c>
      <c r="K1375" s="9">
        <f>IFERROR(__xludf.DUMMYFUNCTION("GOOGLEFINANCE(A1375, ""low52"")"),15.75)</f>
        <v>15.75</v>
      </c>
      <c r="L1375" s="9">
        <f t="shared" si="1"/>
        <v>0.2573446328</v>
      </c>
      <c r="M1375" s="9">
        <f t="shared" si="2"/>
        <v>0.6692063492</v>
      </c>
      <c r="N1375" s="9">
        <f t="shared" si="3"/>
        <v>0.04066615027</v>
      </c>
      <c r="O1375" s="9">
        <f t="shared" si="4"/>
        <v>0.850129199</v>
      </c>
      <c r="P1375" s="9" t="str">
        <f>IFERROR(__xludf.DUMMYFUNCTION("GOOGLEFINANCE(A1375, ""pe"")"),"#N/A")</f>
        <v>#N/A</v>
      </c>
      <c r="Q1375" s="9">
        <f>IFERROR(__xludf.DUMMYFUNCTION("IFERROR(GOOGLEFINANCE(A1375, ""volume"") / GOOGLEFINANCE(A1375, ""volumeavg""), 0)"),0.0)</f>
        <v>0</v>
      </c>
      <c r="R1375" s="9">
        <f>IFERROR(__xludf.DUMMYFUNCTION("AVERAGE(INDEX(GOOGLEFINANCE(A1375, ""price"", TODAY()-30, TODAY()), 0, 2))"),24.78739130434782)</f>
        <v>24.7873913</v>
      </c>
      <c r="S1375" s="9">
        <f>IFERROR(__xludf.DUMMYFUNCTION("AVERAGE(INDEX(GOOGLEFINANCE(A1375, ""price"", TODAY()-75, TODAY()), 0, 2))"),26.327169811320754)</f>
        <v>26.32716981</v>
      </c>
      <c r="T1375" s="9">
        <f>IFERROR(__xludf.DUMMYFUNCTION("AVERAGE(INDEX(GOOGLEFINANCE(A1375, ""price"", TODAY()-300, TODAY()), 0, 2))"),23.862673267326738)</f>
        <v>23.86267327</v>
      </c>
      <c r="U1375" s="9">
        <f t="shared" si="5"/>
        <v>0.06061988037</v>
      </c>
      <c r="V1375" s="15">
        <f>IFERROR(__xludf.DUMMYFUNCTION("LET(hist, GOOGLEFINANCE(A1375,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rs))))))"),60.869565217391305)</f>
        <v>60.86956522</v>
      </c>
      <c r="W1375" s="16" t="str">
        <f>IFERROR(__xludf.DUMMYFUNCTION("IFERROR(GOOGLEFINANCE(A1375, ""volume"") / GOOGLEFINANCE(A1375, ""volumeavg""), )"),"")</f>
        <v/>
      </c>
      <c r="X1375" s="9">
        <f>IFERROR(__xludf.DUMMYFUNCTION("B1375 * GOOGLEFINANCE(A1375, ""volume"")"),2.427705357E7)</f>
        <v>24277053.57</v>
      </c>
      <c r="Y1375" s="9">
        <f>IFERROR(__xludf.DUMMYFUNCTION("IFERROR(((B1375 - GOOGLEFINANCE(A1375, ""priceopen"")) / GOOGLEFINANCE(A1375, ""priceopen"")) * GOOGLEFINANCE(A1375, ""volume""), 0)"),-19932.681056940888)</f>
        <v>-19932.68106</v>
      </c>
    </row>
    <row r="1376">
      <c r="A1376" s="4" t="s">
        <v>3168</v>
      </c>
      <c r="B1376" s="7">
        <f>IFERROR(__xludf.DUMMYFUNCTION("GOOGLEFINANCE(A1376, ""price"")"),238.8)</f>
        <v>238.8</v>
      </c>
      <c r="C1376" s="7">
        <f>IFERROR(__xludf.DUMMYFUNCTION("GOOGLEFINANCE(A1376, ""changepct"")"),0.67)</f>
        <v>0.67</v>
      </c>
      <c r="D1376" s="9">
        <f>IFERROR(__xludf.DUMMYFUNCTION("GOOGLEFINANCE(A1376, ""priceopen"")"),244.0)</f>
        <v>244</v>
      </c>
      <c r="E1376" s="9">
        <f>IFERROR(__xludf.DUMMYFUNCTION("GOOGLEFINANCE(A1376, ""high"")"),246.0)</f>
        <v>246</v>
      </c>
      <c r="F1376" s="9">
        <f>IFERROR(__xludf.DUMMYFUNCTION("GOOGLEFINANCE(A1376, ""low"")"),228.55)</f>
        <v>228.55</v>
      </c>
      <c r="G1376" s="9">
        <f>IFERROR(__xludf.DUMMYFUNCTION("GOOGLEFINANCE(A1376, ""price"")"),238.8)</f>
        <v>238.8</v>
      </c>
      <c r="H1376" s="9">
        <f>IFERROR(__xludf.DUMMYFUNCTION("MAX(INDEX(GOOGLEFINANCE(A1376, ""high"", TODAY()-30, TODAY()), 0, 2))"),254.25)</f>
        <v>254.25</v>
      </c>
      <c r="I1376" s="9">
        <f>IFERROR(__xludf.DUMMYFUNCTION("MIN(INDEX(GOOGLEFINANCE(A1376, ""low"", TODAY()-30, TODAY()), 0, 2))"),170.0)</f>
        <v>170</v>
      </c>
      <c r="J1376" s="9">
        <f>IFERROR(__xludf.DUMMYFUNCTION("GOOGLEFINANCE(A1376, ""high52"")"),254.25)</f>
        <v>254.25</v>
      </c>
      <c r="K1376" s="9">
        <f>IFERROR(__xludf.DUMMYFUNCTION("GOOGLEFINANCE(A1376, ""low52"")"),101.5)</f>
        <v>101.5</v>
      </c>
      <c r="L1376" s="9">
        <f t="shared" si="1"/>
        <v>0.06076696165</v>
      </c>
      <c r="M1376" s="9">
        <f t="shared" si="2"/>
        <v>1.35270936</v>
      </c>
      <c r="N1376" s="9">
        <f t="shared" si="3"/>
        <v>0.0763509079</v>
      </c>
      <c r="O1376" s="9">
        <f t="shared" si="4"/>
        <v>0.8166172107</v>
      </c>
      <c r="P1376" s="9">
        <f>IFERROR(__xludf.DUMMYFUNCTION("GOOGLEFINANCE(A1376, ""pe"")"),24.17)</f>
        <v>24.17</v>
      </c>
      <c r="Q1376" s="9">
        <f>IFERROR(__xludf.DUMMYFUNCTION("IFERROR(GOOGLEFINANCE(A1376, ""volume"") / GOOGLEFINANCE(A1376, ""volumeavg""), 0)"),0.0)</f>
        <v>0</v>
      </c>
      <c r="R1376" s="9">
        <f>IFERROR(__xludf.DUMMYFUNCTION("AVERAGE(INDEX(GOOGLEFINANCE(A1376, ""price"", TODAY()-30, TODAY()), 0, 2))"),215.59913043478264)</f>
        <v>215.5991304</v>
      </c>
      <c r="S1376" s="9">
        <f>IFERROR(__xludf.DUMMYFUNCTION("AVERAGE(INDEX(GOOGLEFINANCE(A1376, ""price"", TODAY()-75, TODAY()), 0, 2))"),185.2156603773585)</f>
        <v>185.2156604</v>
      </c>
      <c r="T1376" s="9">
        <f>IFERROR(__xludf.DUMMYFUNCTION("AVERAGE(INDEX(GOOGLEFINANCE(A1376, ""price"", TODAY()-300, TODAY()), 0, 2))"),136.63351485148516)</f>
        <v>136.6335149</v>
      </c>
      <c r="U1376" s="9">
        <f t="shared" si="5"/>
        <v>0.1076111463</v>
      </c>
      <c r="V1376" s="15">
        <f>IFERROR(__xludf.DUMMYFUNCTION("LET(hist, GOOGLEFINANCE(A1376,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rs))))))"),61.3216485078162)</f>
        <v>61.32164851</v>
      </c>
      <c r="W1376" s="16" t="str">
        <f>IFERROR(__xludf.DUMMYFUNCTION("IFERROR(GOOGLEFINANCE(A1376, ""volume"") / GOOGLEFINANCE(A1376, ""volumeavg""), )"),"")</f>
        <v/>
      </c>
      <c r="X1376" s="9">
        <f>IFERROR(__xludf.DUMMYFUNCTION("B1376 * GOOGLEFINANCE(A1376, ""volume"")"),8552860.8)</f>
        <v>8552860.8</v>
      </c>
      <c r="Y1376" s="9">
        <f>IFERROR(__xludf.DUMMYFUNCTION("IFERROR(((B1376 - GOOGLEFINANCE(A1376, ""priceopen"")) / GOOGLEFINANCE(A1376, ""priceopen"")) * GOOGLEFINANCE(A1376, ""volume""), 0)"),-763.2918032786869)</f>
        <v>-763.2918033</v>
      </c>
    </row>
    <row r="1377">
      <c r="A1377" s="4" t="s">
        <v>3169</v>
      </c>
      <c r="B1377" s="7">
        <f>IFERROR(__xludf.DUMMYFUNCTION("GOOGLEFINANCE(A1377, ""price"")"),158.0)</f>
        <v>158</v>
      </c>
      <c r="C1377" s="7">
        <f>IFERROR(__xludf.DUMMYFUNCTION("GOOGLEFINANCE(A1377, ""changepct"")"),3.06)</f>
        <v>3.06</v>
      </c>
      <c r="D1377" s="9">
        <f>IFERROR(__xludf.DUMMYFUNCTION("GOOGLEFINANCE(A1377, ""priceopen"")"),156.0)</f>
        <v>156</v>
      </c>
      <c r="E1377" s="9">
        <f>IFERROR(__xludf.DUMMYFUNCTION("GOOGLEFINANCE(A1377, ""high"")"),159.0)</f>
        <v>159</v>
      </c>
      <c r="F1377" s="9">
        <f>IFERROR(__xludf.DUMMYFUNCTION("GOOGLEFINANCE(A1377, ""low"")"),152.8)</f>
        <v>152.8</v>
      </c>
      <c r="G1377" s="9">
        <f>IFERROR(__xludf.DUMMYFUNCTION("GOOGLEFINANCE(A1377, ""price"")"),158.0)</f>
        <v>158</v>
      </c>
      <c r="H1377" s="9">
        <f>IFERROR(__xludf.DUMMYFUNCTION("MAX(INDEX(GOOGLEFINANCE(A1377, ""high"", TODAY()-30, TODAY()), 0, 2))"),159.0)</f>
        <v>159</v>
      </c>
      <c r="I1377" s="9">
        <f>IFERROR(__xludf.DUMMYFUNCTION("MIN(INDEX(GOOGLEFINANCE(A1377, ""low"", TODAY()-30, TODAY()), 0, 2))"),125.79)</f>
        <v>125.79</v>
      </c>
      <c r="J1377" s="9">
        <f>IFERROR(__xludf.DUMMYFUNCTION("GOOGLEFINANCE(A1377, ""high52"")"),159.0)</f>
        <v>159</v>
      </c>
      <c r="K1377" s="9">
        <f>IFERROR(__xludf.DUMMYFUNCTION("GOOGLEFINANCE(A1377, ""low52"")"),101.7)</f>
        <v>101.7</v>
      </c>
      <c r="L1377" s="9">
        <f t="shared" si="1"/>
        <v>0.006289308176</v>
      </c>
      <c r="M1377" s="9">
        <f t="shared" si="2"/>
        <v>0.5535889872</v>
      </c>
      <c r="N1377" s="9">
        <f t="shared" si="3"/>
        <v>0.04057591623</v>
      </c>
      <c r="O1377" s="9">
        <f t="shared" si="4"/>
        <v>0.9698885878</v>
      </c>
      <c r="P1377" s="9">
        <f>IFERROR(__xludf.DUMMYFUNCTION("GOOGLEFINANCE(A1377, ""pe"")"),22.04)</f>
        <v>22.04</v>
      </c>
      <c r="Q1377" s="9">
        <f>IFERROR(__xludf.DUMMYFUNCTION("IFERROR(GOOGLEFINANCE(A1377, ""volume"") / GOOGLEFINANCE(A1377, ""volumeavg""), 0)"),0.0)</f>
        <v>0</v>
      </c>
      <c r="R1377" s="9">
        <f>IFERROR(__xludf.DUMMYFUNCTION("AVERAGE(INDEX(GOOGLEFINANCE(A1377, ""price"", TODAY()-30, TODAY()), 0, 2))"),139.44130434782605)</f>
        <v>139.4413043</v>
      </c>
      <c r="S1377" s="9">
        <f>IFERROR(__xludf.DUMMYFUNCTION("AVERAGE(INDEX(GOOGLEFINANCE(A1377, ""price"", TODAY()-75, TODAY()), 0, 2))"),133.63622641509437)</f>
        <v>133.6362264</v>
      </c>
      <c r="T1377" s="9">
        <f>IFERROR(__xludf.DUMMYFUNCTION("AVERAGE(INDEX(GOOGLEFINANCE(A1377, ""price"", TODAY()-300, TODAY()), 0, 2))"),130.66857142857148)</f>
        <v>130.6685714</v>
      </c>
      <c r="U1377" s="9">
        <f t="shared" si="5"/>
        <v>0.1330932448</v>
      </c>
      <c r="V1377" s="15">
        <f>IFERROR(__xludf.DUMMYFUNCTION("LET(hist, GOOGLEFINANCE(A1377,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rs))))))"),84.1524889729049)</f>
        <v>84.15248897</v>
      </c>
      <c r="W1377" s="16" t="str">
        <f>IFERROR(__xludf.DUMMYFUNCTION("IFERROR(GOOGLEFINANCE(A1377, ""volume"") / GOOGLEFINANCE(A1377, ""volumeavg""), )"),"")</f>
        <v/>
      </c>
      <c r="X1377" s="9">
        <f>IFERROR(__xludf.DUMMYFUNCTION("B1377 * GOOGLEFINANCE(A1377, ""volume"")"),1.85248048E8)</f>
        <v>185248048</v>
      </c>
      <c r="Y1377" s="9">
        <f>IFERROR(__xludf.DUMMYFUNCTION("IFERROR(((B1377 - GOOGLEFINANCE(A1377, ""priceopen"")) / GOOGLEFINANCE(A1377, ""priceopen"")) * GOOGLEFINANCE(A1377, ""volume""), 0)"),15031.48717948718)</f>
        <v>15031.48718</v>
      </c>
    </row>
    <row r="1378">
      <c r="A1378" s="4" t="s">
        <v>3170</v>
      </c>
      <c r="B1378" s="7">
        <f>IFERROR(__xludf.DUMMYFUNCTION("GOOGLEFINANCE(A1378, ""price"")"),498.0)</f>
        <v>498</v>
      </c>
      <c r="C1378" s="7">
        <f>IFERROR(__xludf.DUMMYFUNCTION("GOOGLEFINANCE(A1378, ""changepct"")"),6.91)</f>
        <v>6.91</v>
      </c>
      <c r="D1378" s="9">
        <f>IFERROR(__xludf.DUMMYFUNCTION("GOOGLEFINANCE(A1378, ""priceopen"")"),466.0)</f>
        <v>466</v>
      </c>
      <c r="E1378" s="9">
        <f>IFERROR(__xludf.DUMMYFUNCTION("GOOGLEFINANCE(A1378, ""high"")"),514.0)</f>
        <v>514</v>
      </c>
      <c r="F1378" s="9">
        <f>IFERROR(__xludf.DUMMYFUNCTION("GOOGLEFINANCE(A1378, ""low"")"),452.05)</f>
        <v>452.05</v>
      </c>
      <c r="G1378" s="9">
        <f>IFERROR(__xludf.DUMMYFUNCTION("GOOGLEFINANCE(A1378, ""price"")"),498.0)</f>
        <v>498</v>
      </c>
      <c r="H1378" s="9">
        <f>IFERROR(__xludf.DUMMYFUNCTION("MAX(INDEX(GOOGLEFINANCE(A1378, ""high"", TODAY()-30, TODAY()), 0, 2))"),542.8)</f>
        <v>542.8</v>
      </c>
      <c r="I1378" s="9">
        <f>IFERROR(__xludf.DUMMYFUNCTION("MIN(INDEX(GOOGLEFINANCE(A1378, ""low"", TODAY()-30, TODAY()), 0, 2))"),452.05)</f>
        <v>452.05</v>
      </c>
      <c r="J1378" s="9">
        <f>IFERROR(__xludf.DUMMYFUNCTION("GOOGLEFINANCE(A1378, ""high52"")"),542.8)</f>
        <v>542.8</v>
      </c>
      <c r="K1378" s="9">
        <f>IFERROR(__xludf.DUMMYFUNCTION("GOOGLEFINANCE(A1378, ""low52"")"),213.15)</f>
        <v>213.15</v>
      </c>
      <c r="L1378" s="9">
        <f t="shared" si="1"/>
        <v>0.08253500368</v>
      </c>
      <c r="M1378" s="9">
        <f t="shared" si="2"/>
        <v>1.336382829</v>
      </c>
      <c r="N1378" s="9">
        <f t="shared" si="3"/>
        <v>0.1370423626</v>
      </c>
      <c r="O1378" s="9">
        <f t="shared" si="4"/>
        <v>0.5063360882</v>
      </c>
      <c r="P1378" s="9">
        <f>IFERROR(__xludf.DUMMYFUNCTION("GOOGLEFINANCE(A1378, ""pe"")"),35.72)</f>
        <v>35.72</v>
      </c>
      <c r="Q1378" s="9">
        <f>IFERROR(__xludf.DUMMYFUNCTION("IFERROR(GOOGLEFINANCE(A1378, ""volume"") / GOOGLEFINANCE(A1378, ""volumeavg""), 0)"),0.0)</f>
        <v>0</v>
      </c>
      <c r="R1378" s="9">
        <f>IFERROR(__xludf.DUMMYFUNCTION("AVERAGE(INDEX(GOOGLEFINANCE(A1378, ""price"", TODAY()-30, TODAY()), 0, 2))"),515.7847826086957)</f>
        <v>515.7847826</v>
      </c>
      <c r="S1378" s="9">
        <f>IFERROR(__xludf.DUMMYFUNCTION("AVERAGE(INDEX(GOOGLEFINANCE(A1378, ""price"", TODAY()-75, TODAY()), 0, 2))"),471.0018867924528)</f>
        <v>471.0018868</v>
      </c>
      <c r="T1378" s="9">
        <f>IFERROR(__xludf.DUMMYFUNCTION("AVERAGE(INDEX(GOOGLEFINANCE(A1378, ""price"", TODAY()-300, TODAY()), 0, 2))"),371.8577611940298)</f>
        <v>371.8577612</v>
      </c>
      <c r="U1378" s="9">
        <f t="shared" si="5"/>
        <v>-0.03448101458</v>
      </c>
      <c r="V1378" s="15">
        <f>IFERROR(__xludf.DUMMYFUNCTION("LET(hist, GOOGLEFINANCE(A1378,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rs))))))"),44.23723631916846)</f>
        <v>44.23723632</v>
      </c>
      <c r="W1378" s="16" t="str">
        <f>IFERROR(__xludf.DUMMYFUNCTION("IFERROR(GOOGLEFINANCE(A1378, ""volume"") / GOOGLEFINANCE(A1378, ""volumeavg""), )"),"")</f>
        <v/>
      </c>
      <c r="X1378" s="9">
        <f>IFERROR(__xludf.DUMMYFUNCTION("B1378 * GOOGLEFINANCE(A1378, ""volume"")"),5.86667406E8)</f>
        <v>586667406</v>
      </c>
      <c r="Y1378" s="9">
        <f>IFERROR(__xludf.DUMMYFUNCTION("IFERROR(((B1378 - GOOGLEFINANCE(A1378, ""priceopen"")) / GOOGLEFINANCE(A1378, ""priceopen"")) * GOOGLEFINANCE(A1378, ""volume""), 0)"),80895.9313304721)</f>
        <v>80895.93133</v>
      </c>
    </row>
    <row r="1379">
      <c r="A1379" s="4" t="s">
        <v>3171</v>
      </c>
      <c r="B1379" s="7">
        <f>IFERROR(__xludf.DUMMYFUNCTION("GOOGLEFINANCE(A1379, ""price"")"),199.11)</f>
        <v>199.11</v>
      </c>
      <c r="C1379" s="7">
        <f>IFERROR(__xludf.DUMMYFUNCTION("GOOGLEFINANCE(A1379, ""changepct"")"),-5.53)</f>
        <v>-5.53</v>
      </c>
      <c r="D1379" s="9">
        <f>IFERROR(__xludf.DUMMYFUNCTION("GOOGLEFINANCE(A1379, ""priceopen"")"),213.0)</f>
        <v>213</v>
      </c>
      <c r="E1379" s="9">
        <f>IFERROR(__xludf.DUMMYFUNCTION("GOOGLEFINANCE(A1379, ""high"")"),214.0)</f>
        <v>214</v>
      </c>
      <c r="F1379" s="9">
        <f>IFERROR(__xludf.DUMMYFUNCTION("GOOGLEFINANCE(A1379, ""low"")"),199.0)</f>
        <v>199</v>
      </c>
      <c r="G1379" s="9">
        <f>IFERROR(__xludf.DUMMYFUNCTION("GOOGLEFINANCE(A1379, ""price"")"),199.11)</f>
        <v>199.11</v>
      </c>
      <c r="H1379" s="9">
        <f>IFERROR(__xludf.DUMMYFUNCTION("MAX(INDEX(GOOGLEFINANCE(A1379, ""high"", TODAY()-30, TODAY()), 0, 2))"),234.0)</f>
        <v>234</v>
      </c>
      <c r="I1379" s="9">
        <f>IFERROR(__xludf.DUMMYFUNCTION("MIN(INDEX(GOOGLEFINANCE(A1379, ""low"", TODAY()-30, TODAY()), 0, 2))"),199.0)</f>
        <v>199</v>
      </c>
      <c r="J1379" s="9">
        <f>IFERROR(__xludf.DUMMYFUNCTION("GOOGLEFINANCE(A1379, ""high52"")"),406.8)</f>
        <v>406.8</v>
      </c>
      <c r="K1379" s="9">
        <f>IFERROR(__xludf.DUMMYFUNCTION("GOOGLEFINANCE(A1379, ""low52"")"),155.88)</f>
        <v>155.88</v>
      </c>
      <c r="L1379" s="9">
        <f t="shared" si="1"/>
        <v>0.5105457227</v>
      </c>
      <c r="M1379" s="9">
        <f t="shared" si="2"/>
        <v>0.2773287144</v>
      </c>
      <c r="N1379" s="9">
        <f t="shared" si="3"/>
        <v>0.07537688442</v>
      </c>
      <c r="O1379" s="9">
        <f t="shared" si="4"/>
        <v>0.003142857143</v>
      </c>
      <c r="P1379" s="9">
        <f>IFERROR(__xludf.DUMMYFUNCTION("GOOGLEFINANCE(A1379, ""pe"")"),37.85)</f>
        <v>37.85</v>
      </c>
      <c r="Q1379" s="9">
        <f>IFERROR(__xludf.DUMMYFUNCTION("IFERROR(GOOGLEFINANCE(A1379, ""volume"") / GOOGLEFINANCE(A1379, ""volumeavg""), 0)"),0.0)</f>
        <v>0</v>
      </c>
      <c r="R1379" s="9">
        <f>IFERROR(__xludf.DUMMYFUNCTION("AVERAGE(INDEX(GOOGLEFINANCE(A1379, ""price"", TODAY()-30, TODAY()), 0, 2))"),217.49913043478267)</f>
        <v>217.4991304</v>
      </c>
      <c r="S1379" s="9">
        <f>IFERROR(__xludf.DUMMYFUNCTION("AVERAGE(INDEX(GOOGLEFINANCE(A1379, ""price"", TODAY()-75, TODAY()), 0, 2))"),221.72452830188675)</f>
        <v>221.7245283</v>
      </c>
      <c r="T1379" s="9">
        <f>IFERROR(__xludf.DUMMYFUNCTION("AVERAGE(INDEX(GOOGLEFINANCE(A1379, ""price"", TODAY()-300, TODAY()), 0, 2))"),230.66835820895514)</f>
        <v>230.6683582</v>
      </c>
      <c r="U1379" s="9">
        <f t="shared" si="5"/>
        <v>-0.08454806416</v>
      </c>
      <c r="V1379" s="15">
        <f>IFERROR(__xludf.DUMMYFUNCTION("LET(hist, GOOGLEFINANCE(A1379,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rs))))))"),32.1317736930055)</f>
        <v>32.13177369</v>
      </c>
      <c r="W1379" s="16" t="str">
        <f>IFERROR(__xludf.DUMMYFUNCTION("IFERROR(GOOGLEFINANCE(A1379, ""volume"") / GOOGLEFINANCE(A1379, ""volumeavg""), )"),"")</f>
        <v/>
      </c>
      <c r="X1379" s="9">
        <f>IFERROR(__xludf.DUMMYFUNCTION("B1379 * GOOGLEFINANCE(A1379, ""volume"")"),9.608650380000001E7)</f>
        <v>96086503.8</v>
      </c>
      <c r="Y1379" s="9">
        <f>IFERROR(__xludf.DUMMYFUNCTION("IFERROR(((B1379 - GOOGLEFINANCE(A1379, ""priceopen"")) / GOOGLEFINANCE(A1379, ""priceopen"")) * GOOGLEFINANCE(A1379, ""volume""), 0)"),-31469.65352112673)</f>
        <v>-31469.65352</v>
      </c>
    </row>
    <row r="1380">
      <c r="A1380" s="4" t="s">
        <v>3172</v>
      </c>
      <c r="B1380" s="7">
        <f>IFERROR(__xludf.DUMMYFUNCTION("GOOGLEFINANCE(A1380, ""price"")"),9.55)</f>
        <v>9.55</v>
      </c>
      <c r="C1380" s="7">
        <f>IFERROR(__xludf.DUMMYFUNCTION("GOOGLEFINANCE(A1380, ""changepct"")"),-1.85)</f>
        <v>-1.85</v>
      </c>
      <c r="D1380" s="9">
        <f>IFERROR(__xludf.DUMMYFUNCTION("GOOGLEFINANCE(A1380, ""priceopen"")"),9.71)</f>
        <v>9.71</v>
      </c>
      <c r="E1380" s="9">
        <f>IFERROR(__xludf.DUMMYFUNCTION("GOOGLEFINANCE(A1380, ""high"")"),9.73)</f>
        <v>9.73</v>
      </c>
      <c r="F1380" s="9">
        <f>IFERROR(__xludf.DUMMYFUNCTION("GOOGLEFINANCE(A1380, ""low"")"),9.5)</f>
        <v>9.5</v>
      </c>
      <c r="G1380" s="9">
        <f>IFERROR(__xludf.DUMMYFUNCTION("GOOGLEFINANCE(A1380, ""price"")"),9.55)</f>
        <v>9.55</v>
      </c>
      <c r="H1380" s="9">
        <f>IFERROR(__xludf.DUMMYFUNCTION("MAX(INDEX(GOOGLEFINANCE(A1380, ""high"", TODAY()-30, TODAY()), 0, 2))"),10.6)</f>
        <v>10.6</v>
      </c>
      <c r="I1380" s="9">
        <f>IFERROR(__xludf.DUMMYFUNCTION("MIN(INDEX(GOOGLEFINANCE(A1380, ""low"", TODAY()-30, TODAY()), 0, 2))"),9.0)</f>
        <v>9</v>
      </c>
      <c r="J1380" s="9">
        <f>IFERROR(__xludf.DUMMYFUNCTION("GOOGLEFINANCE(A1380, ""high52"")"),15.04)</f>
        <v>15.04</v>
      </c>
      <c r="K1380" s="9">
        <f>IFERROR(__xludf.DUMMYFUNCTION("GOOGLEFINANCE(A1380, ""low52"")"),7.98)</f>
        <v>7.98</v>
      </c>
      <c r="L1380" s="9">
        <f t="shared" si="1"/>
        <v>0.3650265957</v>
      </c>
      <c r="M1380" s="9">
        <f t="shared" si="2"/>
        <v>0.1967418546</v>
      </c>
      <c r="N1380" s="9">
        <f t="shared" si="3"/>
        <v>0.02421052632</v>
      </c>
      <c r="O1380" s="9">
        <f t="shared" si="4"/>
        <v>0.34375</v>
      </c>
      <c r="P1380" s="9">
        <f>IFERROR(__xludf.DUMMYFUNCTION("GOOGLEFINANCE(A1380, ""pe"")"),17.39)</f>
        <v>17.39</v>
      </c>
      <c r="Q1380" s="9">
        <f>IFERROR(__xludf.DUMMYFUNCTION("IFERROR(GOOGLEFINANCE(A1380, ""volume"") / GOOGLEFINANCE(A1380, ""volumeavg""), 0)"),0.0)</f>
        <v>0</v>
      </c>
      <c r="R1380" s="9">
        <f>IFERROR(__xludf.DUMMYFUNCTION("AVERAGE(INDEX(GOOGLEFINANCE(A1380, ""price"", TODAY()-30, TODAY()), 0, 2))"),9.980434782608695)</f>
        <v>9.980434783</v>
      </c>
      <c r="S1380" s="9">
        <f>IFERROR(__xludf.DUMMYFUNCTION("AVERAGE(INDEX(GOOGLEFINANCE(A1380, ""price"", TODAY()-75, TODAY()), 0, 2))"),10.483962264150941)</f>
        <v>10.48396226</v>
      </c>
      <c r="T1380" s="9">
        <f>IFERROR(__xludf.DUMMYFUNCTION("AVERAGE(INDEX(GOOGLEFINANCE(A1380, ""price"", TODAY()-300, TODAY()), 0, 2))"),11.071336633663364)</f>
        <v>11.07133663</v>
      </c>
      <c r="U1380" s="9">
        <f t="shared" si="5"/>
        <v>-0.04312785885</v>
      </c>
      <c r="V1380" s="15">
        <f>IFERROR(__xludf.DUMMYFUNCTION("LET(hist, GOOGLEFINANCE(A1380,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rs))))))"),33.92857142857136)</f>
        <v>33.92857143</v>
      </c>
      <c r="W1380" s="16" t="str">
        <f>IFERROR(__xludf.DUMMYFUNCTION("IFERROR(GOOGLEFINANCE(A1380, ""volume"") / GOOGLEFINANCE(A1380, ""volumeavg""), )"),"")</f>
        <v/>
      </c>
      <c r="X1380" s="9">
        <f>IFERROR(__xludf.DUMMYFUNCTION("B1380 * GOOGLEFINANCE(A1380, ""volume"")"),1.8283178950000003E7)</f>
        <v>18283178.95</v>
      </c>
      <c r="Y1380" s="9">
        <f>IFERROR(__xludf.DUMMYFUNCTION("IFERROR(((B1380 - GOOGLEFINANCE(A1380, ""priceopen"")) / GOOGLEFINANCE(A1380, ""priceopen"")) * GOOGLEFINANCE(A1380, ""volume""), 0)"),-31546.348094747707)</f>
        <v>-31546.34809</v>
      </c>
    </row>
    <row r="1381">
      <c r="A1381" s="4" t="s">
        <v>3173</v>
      </c>
      <c r="B1381" s="7">
        <f>IFERROR(__xludf.DUMMYFUNCTION("GOOGLEFINANCE(A1381, ""price"")"),366.95)</f>
        <v>366.95</v>
      </c>
      <c r="C1381" s="7">
        <f>IFERROR(__xludf.DUMMYFUNCTION("GOOGLEFINANCE(A1381, ""changepct"")"),-2.86)</f>
        <v>-2.86</v>
      </c>
      <c r="D1381" s="9">
        <f>IFERROR(__xludf.DUMMYFUNCTION("GOOGLEFINANCE(A1381, ""priceopen"")"),379.2)</f>
        <v>379.2</v>
      </c>
      <c r="E1381" s="9">
        <f>IFERROR(__xludf.DUMMYFUNCTION("GOOGLEFINANCE(A1381, ""high"")"),379.3)</f>
        <v>379.3</v>
      </c>
      <c r="F1381" s="9">
        <f>IFERROR(__xludf.DUMMYFUNCTION("GOOGLEFINANCE(A1381, ""low"")"),362.25)</f>
        <v>362.25</v>
      </c>
      <c r="G1381" s="9">
        <f>IFERROR(__xludf.DUMMYFUNCTION("GOOGLEFINANCE(A1381, ""price"")"),366.95)</f>
        <v>366.95</v>
      </c>
      <c r="H1381" s="9">
        <f>IFERROR(__xludf.DUMMYFUNCTION("MAX(INDEX(GOOGLEFINANCE(A1381, ""high"", TODAY()-30, TODAY()), 0, 2))"),418.8)</f>
        <v>418.8</v>
      </c>
      <c r="I1381" s="9">
        <f>IFERROR(__xludf.DUMMYFUNCTION("MIN(INDEX(GOOGLEFINANCE(A1381, ""low"", TODAY()-30, TODAY()), 0, 2))"),362.25)</f>
        <v>362.25</v>
      </c>
      <c r="J1381" s="9">
        <f>IFERROR(__xludf.DUMMYFUNCTION("GOOGLEFINANCE(A1381, ""high52"")"),514.5)</f>
        <v>514.5</v>
      </c>
      <c r="K1381" s="9">
        <f>IFERROR(__xludf.DUMMYFUNCTION("GOOGLEFINANCE(A1381, ""low52"")"),208.74)</f>
        <v>208.74</v>
      </c>
      <c r="L1381" s="9">
        <f t="shared" si="1"/>
        <v>0.2867832847</v>
      </c>
      <c r="M1381" s="9">
        <f t="shared" si="2"/>
        <v>0.7579285235</v>
      </c>
      <c r="N1381" s="9">
        <f t="shared" si="3"/>
        <v>0.04706694272</v>
      </c>
      <c r="O1381" s="9">
        <f t="shared" si="4"/>
        <v>0.08311229001</v>
      </c>
      <c r="P1381" s="9">
        <f>IFERROR(__xludf.DUMMYFUNCTION("GOOGLEFINANCE(A1381, ""pe"")"),29.52)</f>
        <v>29.52</v>
      </c>
      <c r="Q1381" s="9">
        <f>IFERROR(__xludf.DUMMYFUNCTION("IFERROR(GOOGLEFINANCE(A1381, ""volume"") / GOOGLEFINANCE(A1381, ""volumeavg""), 0)"),0.0)</f>
        <v>0</v>
      </c>
      <c r="R1381" s="9">
        <f>IFERROR(__xludf.DUMMYFUNCTION("AVERAGE(INDEX(GOOGLEFINANCE(A1381, ""price"", TODAY()-30, TODAY()), 0, 2))"),386.57608695652175)</f>
        <v>386.576087</v>
      </c>
      <c r="S1381" s="9">
        <f>IFERROR(__xludf.DUMMYFUNCTION("AVERAGE(INDEX(GOOGLEFINANCE(A1381, ""price"", TODAY()-75, TODAY()), 0, 2))"),400.0377358490566)</f>
        <v>400.0377358</v>
      </c>
      <c r="T1381" s="9">
        <f>IFERROR(__xludf.DUMMYFUNCTION("AVERAGE(INDEX(GOOGLEFINANCE(A1381, ""price"", TODAY()-300, TODAY()), 0, 2))"),360.2933168316833)</f>
        <v>360.2933168</v>
      </c>
      <c r="U1381" s="9">
        <f t="shared" si="5"/>
        <v>-0.05076901448</v>
      </c>
      <c r="V1381" s="15">
        <f>IFERROR(__xludf.DUMMYFUNCTION("LET(hist, GOOGLEFINANCE(A1381,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rs))))))"),38.28828828828829)</f>
        <v>38.28828829</v>
      </c>
      <c r="W1381" s="16" t="str">
        <f>IFERROR(__xludf.DUMMYFUNCTION("IFERROR(GOOGLEFINANCE(A1381, ""volume"") / GOOGLEFINANCE(A1381, ""volumeavg""), )"),"")</f>
        <v/>
      </c>
      <c r="X1381" s="9">
        <f>IFERROR(__xludf.DUMMYFUNCTION("B1381 * GOOGLEFINANCE(A1381, ""volume"")"),3.73738575E7)</f>
        <v>37373857.5</v>
      </c>
      <c r="Y1381" s="9">
        <f>IFERROR(__xludf.DUMMYFUNCTION("IFERROR(((B1381 - GOOGLEFINANCE(A1381, ""priceopen"")) / GOOGLEFINANCE(A1381, ""priceopen"")) * GOOGLEFINANCE(A1381, ""volume""), 0)"),-3290.2492088607596)</f>
        <v>-3290.249209</v>
      </c>
    </row>
    <row r="1382">
      <c r="A1382" s="4" t="s">
        <v>3174</v>
      </c>
      <c r="B1382" s="7">
        <f>IFERROR(__xludf.DUMMYFUNCTION("GOOGLEFINANCE(A1382, ""price"")"),21.7)</f>
        <v>21.7</v>
      </c>
      <c r="C1382" s="7">
        <f>IFERROR(__xludf.DUMMYFUNCTION("GOOGLEFINANCE(A1382, ""changepct"")"),-1.54)</f>
        <v>-1.54</v>
      </c>
      <c r="D1382" s="9">
        <f>IFERROR(__xludf.DUMMYFUNCTION("GOOGLEFINANCE(A1382, ""priceopen"")"),22.0)</f>
        <v>22</v>
      </c>
      <c r="E1382" s="9">
        <f>IFERROR(__xludf.DUMMYFUNCTION("GOOGLEFINANCE(A1382, ""high"")"),22.0)</f>
        <v>22</v>
      </c>
      <c r="F1382" s="9">
        <f>IFERROR(__xludf.DUMMYFUNCTION("GOOGLEFINANCE(A1382, ""low"")"),21.6)</f>
        <v>21.6</v>
      </c>
      <c r="G1382" s="9">
        <f>IFERROR(__xludf.DUMMYFUNCTION("GOOGLEFINANCE(A1382, ""price"")"),21.7)</f>
        <v>21.7</v>
      </c>
      <c r="H1382" s="9">
        <f>IFERROR(__xludf.DUMMYFUNCTION("MAX(INDEX(GOOGLEFINANCE(A1382, ""high"", TODAY()-30, TODAY()), 0, 2))"),22.5)</f>
        <v>22.5</v>
      </c>
      <c r="I1382" s="9">
        <f>IFERROR(__xludf.DUMMYFUNCTION("MIN(INDEX(GOOGLEFINANCE(A1382, ""low"", TODAY()-30, TODAY()), 0, 2))"),19.92)</f>
        <v>19.92</v>
      </c>
      <c r="J1382" s="9">
        <f>IFERROR(__xludf.DUMMYFUNCTION("GOOGLEFINANCE(A1382, ""high52"")"),28.9)</f>
        <v>28.9</v>
      </c>
      <c r="K1382" s="9">
        <f>IFERROR(__xludf.DUMMYFUNCTION("GOOGLEFINANCE(A1382, ""low52"")"),19.41)</f>
        <v>19.41</v>
      </c>
      <c r="L1382" s="9">
        <f t="shared" si="1"/>
        <v>0.2491349481</v>
      </c>
      <c r="M1382" s="9">
        <f t="shared" si="2"/>
        <v>0.1179804225</v>
      </c>
      <c r="N1382" s="9">
        <f t="shared" si="3"/>
        <v>0.01851851852</v>
      </c>
      <c r="O1382" s="9">
        <f t="shared" si="4"/>
        <v>0.6899224806</v>
      </c>
      <c r="P1382" s="9">
        <f>IFERROR(__xludf.DUMMYFUNCTION("GOOGLEFINANCE(A1382, ""pe"")"),35.5)</f>
        <v>35.5</v>
      </c>
      <c r="Q1382" s="9">
        <f>IFERROR(__xludf.DUMMYFUNCTION("IFERROR(GOOGLEFINANCE(A1382, ""volume"") / GOOGLEFINANCE(A1382, ""volumeavg""), 0)"),0.0)</f>
        <v>0</v>
      </c>
      <c r="R1382" s="9">
        <f>IFERROR(__xludf.DUMMYFUNCTION("AVERAGE(INDEX(GOOGLEFINANCE(A1382, ""price"", TODAY()-30, TODAY()), 0, 2))"),21.334782608695654)</f>
        <v>21.33478261</v>
      </c>
      <c r="S1382" s="9">
        <f>IFERROR(__xludf.DUMMYFUNCTION("AVERAGE(INDEX(GOOGLEFINANCE(A1382, ""price"", TODAY()-75, TODAY()), 0, 2))"),21.493396226415094)</f>
        <v>21.49339623</v>
      </c>
      <c r="T1382" s="9">
        <f>IFERROR(__xludf.DUMMYFUNCTION("AVERAGE(INDEX(GOOGLEFINANCE(A1382, ""price"", TODAY()-300, TODAY()), 0, 2))"),21.972673267326748)</f>
        <v>21.97267327</v>
      </c>
      <c r="U1382" s="9">
        <f t="shared" si="5"/>
        <v>0.01711840228</v>
      </c>
      <c r="V1382" s="15">
        <f>IFERROR(__xludf.DUMMYFUNCTION("LET(hist, GOOGLEFINANCE(A1382,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rs))))))"),55.24999999999998)</f>
        <v>55.25</v>
      </c>
      <c r="W1382" s="16" t="str">
        <f>IFERROR(__xludf.DUMMYFUNCTION("IFERROR(GOOGLEFINANCE(A1382, ""volume"") / GOOGLEFINANCE(A1382, ""volumeavg""), )"),"")</f>
        <v/>
      </c>
      <c r="X1382" s="9">
        <f>IFERROR(__xludf.DUMMYFUNCTION("B1382 * GOOGLEFINANCE(A1382, ""volume"")"),137013.8)</f>
        <v>137013.8</v>
      </c>
      <c r="Y1382" s="9">
        <f>IFERROR(__xludf.DUMMYFUNCTION("IFERROR(((B1382 - GOOGLEFINANCE(A1382, ""priceopen"")) / GOOGLEFINANCE(A1382, ""priceopen"")) * GOOGLEFINANCE(A1382, ""volume""), 0)"),-86.10000000000021)</f>
        <v>-86.1</v>
      </c>
    </row>
    <row r="1383">
      <c r="A1383" s="4" t="s">
        <v>3175</v>
      </c>
      <c r="B1383" s="7">
        <f>IFERROR(__xludf.DUMMYFUNCTION("GOOGLEFINANCE(A1383, ""price"")"),596.0)</f>
        <v>596</v>
      </c>
      <c r="C1383" s="7">
        <f>IFERROR(__xludf.DUMMYFUNCTION("GOOGLEFINANCE(A1383, ""changepct"")"),-0.08)</f>
        <v>-0.08</v>
      </c>
      <c r="D1383" s="9">
        <f>IFERROR(__xludf.DUMMYFUNCTION("GOOGLEFINANCE(A1383, ""priceopen"")"),585.0)</f>
        <v>585</v>
      </c>
      <c r="E1383" s="9">
        <f>IFERROR(__xludf.DUMMYFUNCTION("GOOGLEFINANCE(A1383, ""high"")"),597.8)</f>
        <v>597.8</v>
      </c>
      <c r="F1383" s="9">
        <f>IFERROR(__xludf.DUMMYFUNCTION("GOOGLEFINANCE(A1383, ""low"")"),585.0)</f>
        <v>585</v>
      </c>
      <c r="G1383" s="9">
        <f>IFERROR(__xludf.DUMMYFUNCTION("GOOGLEFINANCE(A1383, ""price"")"),596.0)</f>
        <v>596</v>
      </c>
      <c r="H1383" s="9">
        <f>IFERROR(__xludf.DUMMYFUNCTION("MAX(INDEX(GOOGLEFINANCE(A1383, ""high"", TODAY()-30, TODAY()), 0, 2))"),622.2)</f>
        <v>622.2</v>
      </c>
      <c r="I1383" s="9">
        <f>IFERROR(__xludf.DUMMYFUNCTION("MIN(INDEX(GOOGLEFINANCE(A1383, ""low"", TODAY()-30, TODAY()), 0, 2))"),569.7)</f>
        <v>569.7</v>
      </c>
      <c r="J1383" s="9">
        <f>IFERROR(__xludf.DUMMYFUNCTION("GOOGLEFINANCE(A1383, ""high52"")"),770.0)</f>
        <v>770</v>
      </c>
      <c r="K1383" s="9">
        <f>IFERROR(__xludf.DUMMYFUNCTION("GOOGLEFINANCE(A1383, ""low52"")"),440.0)</f>
        <v>440</v>
      </c>
      <c r="L1383" s="9">
        <f t="shared" si="1"/>
        <v>0.225974026</v>
      </c>
      <c r="M1383" s="9">
        <f t="shared" si="2"/>
        <v>0.3545454545</v>
      </c>
      <c r="N1383" s="9">
        <f t="shared" si="3"/>
        <v>0.02188034188</v>
      </c>
      <c r="O1383" s="9">
        <f t="shared" si="4"/>
        <v>0.500952381</v>
      </c>
      <c r="P1383" s="9">
        <f>IFERROR(__xludf.DUMMYFUNCTION("GOOGLEFINANCE(A1383, ""pe"")"),13.58)</f>
        <v>13.58</v>
      </c>
      <c r="Q1383" s="9">
        <f>IFERROR(__xludf.DUMMYFUNCTION("IFERROR(GOOGLEFINANCE(A1383, ""volume"") / GOOGLEFINANCE(A1383, ""volumeavg""), 0)"),0.0)</f>
        <v>0</v>
      </c>
      <c r="R1383" s="9">
        <f>IFERROR(__xludf.DUMMYFUNCTION("AVERAGE(INDEX(GOOGLEFINANCE(A1383, ""price"", TODAY()-30, TODAY()), 0, 2))"),592.4934782608696)</f>
        <v>592.4934783</v>
      </c>
      <c r="S1383" s="9">
        <f>IFERROR(__xludf.DUMMYFUNCTION("AVERAGE(INDEX(GOOGLEFINANCE(A1383, ""price"", TODAY()-75, TODAY()), 0, 2))"),608.2500000000001)</f>
        <v>608.25</v>
      </c>
      <c r="T1383" s="9">
        <f>IFERROR(__xludf.DUMMYFUNCTION("AVERAGE(INDEX(GOOGLEFINANCE(A1383, ""price"", TODAY()-300, TODAY()), 0, 2))"),571.3420792079207)</f>
        <v>571.3420792</v>
      </c>
      <c r="U1383" s="9">
        <f t="shared" si="5"/>
        <v>0.005918245293</v>
      </c>
      <c r="V1383" s="15">
        <f>IFERROR(__xludf.DUMMYFUNCTION("LET(hist, GOOGLEFINANCE(A1383,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rs))))))"),53.31343283582095)</f>
        <v>53.31343284</v>
      </c>
      <c r="W1383" s="16" t="str">
        <f>IFERROR(__xludf.DUMMYFUNCTION("IFERROR(GOOGLEFINANCE(A1383, ""volume"") / GOOGLEFINANCE(A1383, ""volumeavg""), )"),"")</f>
        <v/>
      </c>
      <c r="X1383" s="9">
        <f>IFERROR(__xludf.DUMMYFUNCTION("B1383 * GOOGLEFINANCE(A1383, ""volume"")"),1.7913972E7)</f>
        <v>17913972</v>
      </c>
      <c r="Y1383" s="9">
        <f>IFERROR(__xludf.DUMMYFUNCTION("IFERROR(((B1383 - GOOGLEFINANCE(A1383, ""priceopen"")) / GOOGLEFINANCE(A1383, ""priceopen"")) * GOOGLEFINANCE(A1383, ""volume""), 0)"),565.1743589743589)</f>
        <v>565.174359</v>
      </c>
    </row>
    <row r="1384">
      <c r="A1384" s="4" t="s">
        <v>3176</v>
      </c>
      <c r="B1384" s="7">
        <f>IFERROR(__xludf.DUMMYFUNCTION("GOOGLEFINANCE(A1384, ""price"")"),25.71)</f>
        <v>25.71</v>
      </c>
      <c r="C1384" s="7">
        <f>IFERROR(__xludf.DUMMYFUNCTION("GOOGLEFINANCE(A1384, ""changepct"")"),-4.39)</f>
        <v>-4.39</v>
      </c>
      <c r="D1384" s="9">
        <f>IFERROR(__xludf.DUMMYFUNCTION("GOOGLEFINANCE(A1384, ""priceopen"")"),26.65)</f>
        <v>26.65</v>
      </c>
      <c r="E1384" s="9">
        <f>IFERROR(__xludf.DUMMYFUNCTION("GOOGLEFINANCE(A1384, ""high"")"),26.76)</f>
        <v>26.76</v>
      </c>
      <c r="F1384" s="9">
        <f>IFERROR(__xludf.DUMMYFUNCTION("GOOGLEFINANCE(A1384, ""low"")"),25.0)</f>
        <v>25</v>
      </c>
      <c r="G1384" s="9">
        <f>IFERROR(__xludf.DUMMYFUNCTION("GOOGLEFINANCE(A1384, ""price"")"),25.71)</f>
        <v>25.71</v>
      </c>
      <c r="H1384" s="9">
        <f>IFERROR(__xludf.DUMMYFUNCTION("MAX(INDEX(GOOGLEFINANCE(A1384, ""high"", TODAY()-30, TODAY()), 0, 2))"),27.4)</f>
        <v>27.4</v>
      </c>
      <c r="I1384" s="9">
        <f>IFERROR(__xludf.DUMMYFUNCTION("MIN(INDEX(GOOGLEFINANCE(A1384, ""low"", TODAY()-30, TODAY()), 0, 2))"),22.6)</f>
        <v>22.6</v>
      </c>
      <c r="J1384" s="9">
        <f>IFERROR(__xludf.DUMMYFUNCTION("GOOGLEFINANCE(A1384, ""high52"")"),40.0)</f>
        <v>40</v>
      </c>
      <c r="K1384" s="9">
        <f>IFERROR(__xludf.DUMMYFUNCTION("GOOGLEFINANCE(A1384, ""low52"")"),19.66)</f>
        <v>19.66</v>
      </c>
      <c r="L1384" s="9">
        <f t="shared" si="1"/>
        <v>0.35725</v>
      </c>
      <c r="M1384" s="9">
        <f t="shared" si="2"/>
        <v>0.3077314344</v>
      </c>
      <c r="N1384" s="9">
        <f t="shared" si="3"/>
        <v>0.0704</v>
      </c>
      <c r="O1384" s="9">
        <f t="shared" si="4"/>
        <v>0.6479166667</v>
      </c>
      <c r="P1384" s="9" t="str">
        <f>IFERROR(__xludf.DUMMYFUNCTION("GOOGLEFINANCE(A1384, ""pe"")"),"#N/A")</f>
        <v>#N/A</v>
      </c>
      <c r="Q1384" s="9">
        <f>IFERROR(__xludf.DUMMYFUNCTION("IFERROR(GOOGLEFINANCE(A1384, ""volume"") / GOOGLEFINANCE(A1384, ""volumeavg""), 0)"),0.0)</f>
        <v>0</v>
      </c>
      <c r="R1384" s="9">
        <f>IFERROR(__xludf.DUMMYFUNCTION("AVERAGE(INDEX(GOOGLEFINANCE(A1384, ""price"", TODAY()-30, TODAY()), 0, 2))"),24.22913043478261)</f>
        <v>24.22913043</v>
      </c>
      <c r="S1384" s="9">
        <f>IFERROR(__xludf.DUMMYFUNCTION("AVERAGE(INDEX(GOOGLEFINANCE(A1384, ""price"", TODAY()-75, TODAY()), 0, 2))"),23.47358490566038)</f>
        <v>23.47358491</v>
      </c>
      <c r="T1384" s="9">
        <f>IFERROR(__xludf.DUMMYFUNCTION("AVERAGE(INDEX(GOOGLEFINANCE(A1384, ""price"", TODAY()-300, TODAY()), 0, 2))"),26.276237623762373)</f>
        <v>26.27623762</v>
      </c>
      <c r="U1384" s="9">
        <f t="shared" si="5"/>
        <v>0.06111938558</v>
      </c>
      <c r="V1384" s="15">
        <f>IFERROR(__xludf.DUMMYFUNCTION("LET(hist, GOOGLEFINANCE(A1384,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rs))))))"),67.34972677595626)</f>
        <v>67.34972678</v>
      </c>
      <c r="W1384" s="16" t="str">
        <f>IFERROR(__xludf.DUMMYFUNCTION("IFERROR(GOOGLEFINANCE(A1384, ""volume"") / GOOGLEFINANCE(A1384, ""volumeavg""), )"),"")</f>
        <v/>
      </c>
      <c r="X1384" s="9">
        <f>IFERROR(__xludf.DUMMYFUNCTION("B1384 * GOOGLEFINANCE(A1384, ""volume"")"),1.004579685E7)</f>
        <v>10045796.85</v>
      </c>
      <c r="Y1384" s="9">
        <f>IFERROR(__xludf.DUMMYFUNCTION("IFERROR(((B1384 - GOOGLEFINANCE(A1384, ""priceopen"")) / GOOGLEFINANCE(A1384, ""priceopen"")) * GOOGLEFINANCE(A1384, ""volume""), 0)"),-13782.022514071261)</f>
        <v>-13782.02251</v>
      </c>
    </row>
    <row r="1385">
      <c r="A1385" s="4" t="s">
        <v>3177</v>
      </c>
      <c r="B1385" s="7">
        <f>IFERROR(__xludf.DUMMYFUNCTION("GOOGLEFINANCE(A1385, ""price"")"),1100.0)</f>
        <v>1100</v>
      </c>
      <c r="C1385" s="7">
        <f>IFERROR(__xludf.DUMMYFUNCTION("GOOGLEFINANCE(A1385, ""changepct"")"),-1.72)</f>
        <v>-1.72</v>
      </c>
      <c r="D1385" s="9">
        <f>IFERROR(__xludf.DUMMYFUNCTION("GOOGLEFINANCE(A1385, ""priceopen"")"),1108.4)</f>
        <v>1108.4</v>
      </c>
      <c r="E1385" s="9">
        <f>IFERROR(__xludf.DUMMYFUNCTION("GOOGLEFINANCE(A1385, ""high"")"),1110.2)</f>
        <v>1110.2</v>
      </c>
      <c r="F1385" s="9">
        <f>IFERROR(__xludf.DUMMYFUNCTION("GOOGLEFINANCE(A1385, ""low"")"),1080.2)</f>
        <v>1080.2</v>
      </c>
      <c r="G1385" s="9">
        <f>IFERROR(__xludf.DUMMYFUNCTION("GOOGLEFINANCE(A1385, ""price"")"),1100.0)</f>
        <v>1100</v>
      </c>
      <c r="H1385" s="9">
        <f>IFERROR(__xludf.DUMMYFUNCTION("MAX(INDEX(GOOGLEFINANCE(A1385, ""high"", TODAY()-30, TODAY()), 0, 2))"),1225.0)</f>
        <v>1225</v>
      </c>
      <c r="I1385" s="9">
        <f>IFERROR(__xludf.DUMMYFUNCTION("MIN(INDEX(GOOGLEFINANCE(A1385, ""low"", TODAY()-30, TODAY()), 0, 2))"),764.0)</f>
        <v>764</v>
      </c>
      <c r="J1385" s="9">
        <f>IFERROR(__xludf.DUMMYFUNCTION("GOOGLEFINANCE(A1385, ""high52"")"),1225.0)</f>
        <v>1225</v>
      </c>
      <c r="K1385" s="9">
        <f>IFERROR(__xludf.DUMMYFUNCTION("GOOGLEFINANCE(A1385, ""low52"")"),715.1)</f>
        <v>715.1</v>
      </c>
      <c r="L1385" s="9">
        <f t="shared" si="1"/>
        <v>0.1020408163</v>
      </c>
      <c r="M1385" s="9">
        <f t="shared" si="2"/>
        <v>0.5382463991</v>
      </c>
      <c r="N1385" s="9">
        <f t="shared" si="3"/>
        <v>0.0277726347</v>
      </c>
      <c r="O1385" s="9">
        <f t="shared" si="4"/>
        <v>0.7288503254</v>
      </c>
      <c r="P1385" s="9">
        <f>IFERROR(__xludf.DUMMYFUNCTION("GOOGLEFINANCE(A1385, ""pe"")"),18.59)</f>
        <v>18.59</v>
      </c>
      <c r="Q1385" s="9">
        <f>IFERROR(__xludf.DUMMYFUNCTION("IFERROR(GOOGLEFINANCE(A1385, ""volume"") / GOOGLEFINANCE(A1385, ""volumeavg""), 0)"),0.0)</f>
        <v>0</v>
      </c>
      <c r="R1385" s="9">
        <f>IFERROR(__xludf.DUMMYFUNCTION("AVERAGE(INDEX(GOOGLEFINANCE(A1385, ""price"", TODAY()-30, TODAY()), 0, 2))"),1011.1869565217389)</f>
        <v>1011.186957</v>
      </c>
      <c r="S1385" s="9">
        <f>IFERROR(__xludf.DUMMYFUNCTION("AVERAGE(INDEX(GOOGLEFINANCE(A1385, ""price"", TODAY()-75, TODAY()), 0, 2))"),911.2367924528303)</f>
        <v>911.2367925</v>
      </c>
      <c r="T1385" s="9">
        <f>IFERROR(__xludf.DUMMYFUNCTION("AVERAGE(INDEX(GOOGLEFINANCE(A1385, ""price"", TODAY()-300, TODAY()), 0, 2))"),905.8568750000004)</f>
        <v>905.856875</v>
      </c>
      <c r="U1385" s="9">
        <f t="shared" si="5"/>
        <v>0.08783048763</v>
      </c>
      <c r="V1385" s="15">
        <f>IFERROR(__xludf.DUMMYFUNCTION("LET(hist, GOOGLEFINANCE(A1385,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rs))))))"),67.73247696174253)</f>
        <v>67.73247696</v>
      </c>
      <c r="W1385" s="16" t="str">
        <f>IFERROR(__xludf.DUMMYFUNCTION("IFERROR(GOOGLEFINANCE(A1385, ""volume"") / GOOGLEFINANCE(A1385, ""volumeavg""), )"),"")</f>
        <v/>
      </c>
      <c r="X1385" s="9">
        <f>IFERROR(__xludf.DUMMYFUNCTION("B1385 * GOOGLEFINANCE(A1385, ""volume"")"),1377200.0)</f>
        <v>1377200</v>
      </c>
      <c r="Y1385" s="9">
        <f>IFERROR(__xludf.DUMMYFUNCTION("IFERROR(((B1385 - GOOGLEFINANCE(A1385, ""priceopen"")) / GOOGLEFINANCE(A1385, ""priceopen"")) * GOOGLEFINANCE(A1385, ""volume""), 0)"),-9.488271382172602)</f>
        <v>-9.488271382</v>
      </c>
    </row>
    <row r="1386">
      <c r="A1386" s="4" t="s">
        <v>3178</v>
      </c>
      <c r="B1386" s="7">
        <f>IFERROR(__xludf.DUMMYFUNCTION("GOOGLEFINANCE(A1386, ""price"")"),517.75)</f>
        <v>517.75</v>
      </c>
      <c r="C1386" s="7">
        <f>IFERROR(__xludf.DUMMYFUNCTION("GOOGLEFINANCE(A1386, ""changepct"")"),0.97)</f>
        <v>0.97</v>
      </c>
      <c r="D1386" s="9">
        <f>IFERROR(__xludf.DUMMYFUNCTION("GOOGLEFINANCE(A1386, ""priceopen"")"),515.0)</f>
        <v>515</v>
      </c>
      <c r="E1386" s="9">
        <f>IFERROR(__xludf.DUMMYFUNCTION("GOOGLEFINANCE(A1386, ""high"")"),531.25)</f>
        <v>531.25</v>
      </c>
      <c r="F1386" s="9">
        <f>IFERROR(__xludf.DUMMYFUNCTION("GOOGLEFINANCE(A1386, ""low"")"),507.05)</f>
        <v>507.05</v>
      </c>
      <c r="G1386" s="9">
        <f>IFERROR(__xludf.DUMMYFUNCTION("GOOGLEFINANCE(A1386, ""price"")"),517.75)</f>
        <v>517.75</v>
      </c>
      <c r="H1386" s="9">
        <f>IFERROR(__xludf.DUMMYFUNCTION("MAX(INDEX(GOOGLEFINANCE(A1386, ""high"", TODAY()-30, TODAY()), 0, 2))"),536.3)</f>
        <v>536.3</v>
      </c>
      <c r="I1386" s="9">
        <f>IFERROR(__xludf.DUMMYFUNCTION("MIN(INDEX(GOOGLEFINANCE(A1386, ""low"", TODAY()-30, TODAY()), 0, 2))"),482.6)</f>
        <v>482.6</v>
      </c>
      <c r="J1386" s="9">
        <f>IFERROR(__xludf.DUMMYFUNCTION("GOOGLEFINANCE(A1386, ""high52"")"),649.95)</f>
        <v>649.95</v>
      </c>
      <c r="K1386" s="9">
        <f>IFERROR(__xludf.DUMMYFUNCTION("GOOGLEFINANCE(A1386, ""low52"")"),361.35)</f>
        <v>361.35</v>
      </c>
      <c r="L1386" s="9">
        <f t="shared" si="1"/>
        <v>0.2034002616</v>
      </c>
      <c r="M1386" s="9">
        <f t="shared" si="2"/>
        <v>0.4328213643</v>
      </c>
      <c r="N1386" s="9">
        <f t="shared" si="3"/>
        <v>0.04772704861</v>
      </c>
      <c r="O1386" s="9">
        <f t="shared" si="4"/>
        <v>0.6545623836</v>
      </c>
      <c r="P1386" s="9">
        <f>IFERROR(__xludf.DUMMYFUNCTION("GOOGLEFINANCE(A1386, ""pe"")"),10.7)</f>
        <v>10.7</v>
      </c>
      <c r="Q1386" s="9">
        <f>IFERROR(__xludf.DUMMYFUNCTION("IFERROR(GOOGLEFINANCE(A1386, ""volume"") / GOOGLEFINANCE(A1386, ""volumeavg""), 0)"),0.0)</f>
        <v>0</v>
      </c>
      <c r="R1386" s="9">
        <f>IFERROR(__xludf.DUMMYFUNCTION("AVERAGE(INDEX(GOOGLEFINANCE(A1386, ""price"", TODAY()-30, TODAY()), 0, 2))"),505.2847826086956)</f>
        <v>505.2847826</v>
      </c>
      <c r="S1386" s="9">
        <f>IFERROR(__xludf.DUMMYFUNCTION("AVERAGE(INDEX(GOOGLEFINANCE(A1386, ""price"", TODAY()-75, TODAY()), 0, 2))"),501.5226415094339)</f>
        <v>501.5226415</v>
      </c>
      <c r="T1386" s="9">
        <f>IFERROR(__xludf.DUMMYFUNCTION("AVERAGE(INDEX(GOOGLEFINANCE(A1386, ""price"", TODAY()-300, TODAY()), 0, 2))"),496.27871287128727)</f>
        <v>496.2787129</v>
      </c>
      <c r="U1386" s="9">
        <f t="shared" si="5"/>
        <v>0.02466968692</v>
      </c>
      <c r="V1386" s="15">
        <f>IFERROR(__xludf.DUMMYFUNCTION("LET(hist, GOOGLEFINANCE(A1386,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rs))))))"),59.468438538206016)</f>
        <v>59.46843854</v>
      </c>
      <c r="W1386" s="16" t="str">
        <f>IFERROR(__xludf.DUMMYFUNCTION("IFERROR(GOOGLEFINANCE(A1386, ""volume"") / GOOGLEFINANCE(A1386, ""volumeavg""), )"),"")</f>
        <v/>
      </c>
      <c r="X1386" s="9">
        <f>IFERROR(__xludf.DUMMYFUNCTION("B1386 * GOOGLEFINANCE(A1386, ""volume"")"),4.260616525E7)</f>
        <v>42606165.25</v>
      </c>
      <c r="Y1386" s="9">
        <f>IFERROR(__xludf.DUMMYFUNCTION("IFERROR(((B1386 - GOOGLEFINANCE(A1386, ""priceopen"")) / GOOGLEFINANCE(A1386, ""priceopen"")) * GOOGLEFINANCE(A1386, ""volume""), 0)"),439.41796116504855)</f>
        <v>439.4179612</v>
      </c>
    </row>
    <row r="1387">
      <c r="A1387" s="4" t="s">
        <v>3179</v>
      </c>
      <c r="B1387" s="7">
        <f>IFERROR(__xludf.DUMMYFUNCTION("GOOGLEFINANCE(A1387, ""price"")"),208.0)</f>
        <v>208</v>
      </c>
      <c r="C1387" s="7">
        <f>IFERROR(__xludf.DUMMYFUNCTION("GOOGLEFINANCE(A1387, ""changepct"")"),-3.01)</f>
        <v>-3.01</v>
      </c>
      <c r="D1387" s="9">
        <f>IFERROR(__xludf.DUMMYFUNCTION("GOOGLEFINANCE(A1387, ""priceopen"")"),210.1)</f>
        <v>210.1</v>
      </c>
      <c r="E1387" s="9">
        <f>IFERROR(__xludf.DUMMYFUNCTION("GOOGLEFINANCE(A1387, ""high"")"),214.0)</f>
        <v>214</v>
      </c>
      <c r="F1387" s="9">
        <f>IFERROR(__xludf.DUMMYFUNCTION("GOOGLEFINANCE(A1387, ""low"")"),207.2)</f>
        <v>207.2</v>
      </c>
      <c r="G1387" s="9">
        <f>IFERROR(__xludf.DUMMYFUNCTION("GOOGLEFINANCE(A1387, ""price"")"),208.0)</f>
        <v>208</v>
      </c>
      <c r="H1387" s="9">
        <f>IFERROR(__xludf.DUMMYFUNCTION("MAX(INDEX(GOOGLEFINANCE(A1387, ""high"", TODAY()-30, TODAY()), 0, 2))"),353.75)</f>
        <v>353.75</v>
      </c>
      <c r="I1387" s="9">
        <f>IFERROR(__xludf.DUMMYFUNCTION("MIN(INDEX(GOOGLEFINANCE(A1387, ""low"", TODAY()-30, TODAY()), 0, 2))"),207.2)</f>
        <v>207.2</v>
      </c>
      <c r="J1387" s="9">
        <f>IFERROR(__xludf.DUMMYFUNCTION("GOOGLEFINANCE(A1387, ""high52"")"),442.07)</f>
        <v>442.07</v>
      </c>
      <c r="K1387" s="9">
        <f>IFERROR(__xludf.DUMMYFUNCTION("GOOGLEFINANCE(A1387, ""low52"")"),135.13)</f>
        <v>135.13</v>
      </c>
      <c r="L1387" s="9">
        <f t="shared" si="1"/>
        <v>0.5294862805</v>
      </c>
      <c r="M1387" s="9">
        <f t="shared" si="2"/>
        <v>0.5392584918</v>
      </c>
      <c r="N1387" s="9">
        <f t="shared" si="3"/>
        <v>0.03281853282</v>
      </c>
      <c r="O1387" s="9">
        <f t="shared" si="4"/>
        <v>0.005458887752</v>
      </c>
      <c r="P1387" s="9">
        <f>IFERROR(__xludf.DUMMYFUNCTION("GOOGLEFINANCE(A1387, ""pe"")"),38.6)</f>
        <v>38.6</v>
      </c>
      <c r="Q1387" s="9">
        <f>IFERROR(__xludf.DUMMYFUNCTION("IFERROR(GOOGLEFINANCE(A1387, ""volume"") / GOOGLEFINANCE(A1387, ""volumeavg""), 0)"),0.0)</f>
        <v>0</v>
      </c>
      <c r="R1387" s="9">
        <f>IFERROR(__xludf.DUMMYFUNCTION("AVERAGE(INDEX(GOOGLEFINANCE(A1387, ""price"", TODAY()-30, TODAY()), 0, 2))"),289.1891304347826)</f>
        <v>289.1891304</v>
      </c>
      <c r="S1387" s="9">
        <f>IFERROR(__xludf.DUMMYFUNCTION("AVERAGE(INDEX(GOOGLEFINANCE(A1387, ""price"", TODAY()-75, TODAY()), 0, 2))"),304.84528301886803)</f>
        <v>304.845283</v>
      </c>
      <c r="T1387" s="9">
        <f>IFERROR(__xludf.DUMMYFUNCTION("AVERAGE(INDEX(GOOGLEFINANCE(A1387, ""price"", TODAY()-300, TODAY()), 0, 2))"),337.7773267326732)</f>
        <v>337.7773267</v>
      </c>
      <c r="U1387" s="9">
        <f t="shared" si="5"/>
        <v>-0.2807475174</v>
      </c>
      <c r="V1387" s="15">
        <f>IFERROR(__xludf.DUMMYFUNCTION("LET(hist, GOOGLEFINANCE(A1387,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rs))))))"),29.249372575861287)</f>
        <v>29.24937258</v>
      </c>
      <c r="W1387" s="16" t="str">
        <f>IFERROR(__xludf.DUMMYFUNCTION("IFERROR(GOOGLEFINANCE(A1387, ""volume"") / GOOGLEFINANCE(A1387, ""volumeavg""), )"),"")</f>
        <v/>
      </c>
      <c r="X1387" s="9">
        <f>IFERROR(__xludf.DUMMYFUNCTION("B1387 * GOOGLEFINANCE(A1387, ""volume"")"),3.8093744E7)</f>
        <v>38093744</v>
      </c>
      <c r="Y1387" s="9">
        <f>IFERROR(__xludf.DUMMYFUNCTION("IFERROR(((B1387 - GOOGLEFINANCE(A1387, ""priceopen"")) / GOOGLEFINANCE(A1387, ""priceopen"")) * GOOGLEFINANCE(A1387, ""volume""), 0)"),-1830.5583055687719)</f>
        <v>-1830.558306</v>
      </c>
    </row>
    <row r="1388">
      <c r="A1388" s="4" t="s">
        <v>3180</v>
      </c>
      <c r="B1388" s="7">
        <f>IFERROR(__xludf.DUMMYFUNCTION("GOOGLEFINANCE(A1388, ""price"")"),6.1)</f>
        <v>6.1</v>
      </c>
      <c r="C1388" s="7">
        <f>IFERROR(__xludf.DUMMYFUNCTION("GOOGLEFINANCE(A1388, ""changepct"")"),0.16)</f>
        <v>0.16</v>
      </c>
      <c r="D1388" s="9">
        <f>IFERROR(__xludf.DUMMYFUNCTION("GOOGLEFINANCE(A1388, ""priceopen"")"),5.1)</f>
        <v>5.1</v>
      </c>
      <c r="E1388" s="9">
        <f>IFERROR(__xludf.DUMMYFUNCTION("GOOGLEFINANCE(A1388, ""high"")"),6.14)</f>
        <v>6.14</v>
      </c>
      <c r="F1388" s="9">
        <f>IFERROR(__xludf.DUMMYFUNCTION("GOOGLEFINANCE(A1388, ""low"")"),5.1)</f>
        <v>5.1</v>
      </c>
      <c r="G1388" s="9">
        <f>IFERROR(__xludf.DUMMYFUNCTION("GOOGLEFINANCE(A1388, ""price"")"),6.1)</f>
        <v>6.1</v>
      </c>
      <c r="H1388" s="9">
        <f>IFERROR(__xludf.DUMMYFUNCTION("MAX(INDEX(GOOGLEFINANCE(A1388, ""high"", TODAY()-30, TODAY()), 0, 2))"),6.72)</f>
        <v>6.72</v>
      </c>
      <c r="I1388" s="9">
        <f>IFERROR(__xludf.DUMMYFUNCTION("MIN(INDEX(GOOGLEFINANCE(A1388, ""low"", TODAY()-30, TODAY()), 0, 2))"),5.1)</f>
        <v>5.1</v>
      </c>
      <c r="J1388" s="9">
        <f>IFERROR(__xludf.DUMMYFUNCTION("GOOGLEFINANCE(A1388, ""high52"")"),13.73)</f>
        <v>13.73</v>
      </c>
      <c r="K1388" s="9">
        <f>IFERROR(__xludf.DUMMYFUNCTION("GOOGLEFINANCE(A1388, ""low52"")"),4.65)</f>
        <v>4.65</v>
      </c>
      <c r="L1388" s="9">
        <f t="shared" si="1"/>
        <v>0.5557174071</v>
      </c>
      <c r="M1388" s="9">
        <f t="shared" si="2"/>
        <v>0.311827957</v>
      </c>
      <c r="N1388" s="9">
        <f t="shared" si="3"/>
        <v>0.2039215686</v>
      </c>
      <c r="O1388" s="9">
        <f t="shared" si="4"/>
        <v>0.6172839506</v>
      </c>
      <c r="P1388" s="9">
        <f>IFERROR(__xludf.DUMMYFUNCTION("GOOGLEFINANCE(A1388, ""pe"")"),20.33)</f>
        <v>20.33</v>
      </c>
      <c r="Q1388" s="9">
        <f>IFERROR(__xludf.DUMMYFUNCTION("IFERROR(GOOGLEFINANCE(A1388, ""volume"") / GOOGLEFINANCE(A1388, ""volumeavg""), 0)"),0.0)</f>
        <v>0</v>
      </c>
      <c r="R1388" s="9">
        <f>IFERROR(__xludf.DUMMYFUNCTION("AVERAGE(INDEX(GOOGLEFINANCE(A1388, ""price"", TODAY()-30, TODAY()), 0, 2))"),6.112608695652174)</f>
        <v>6.112608696</v>
      </c>
      <c r="S1388" s="9">
        <f>IFERROR(__xludf.DUMMYFUNCTION("AVERAGE(INDEX(GOOGLEFINANCE(A1388, ""price"", TODAY()-75, TODAY()), 0, 2))"),6.521132075471697)</f>
        <v>6.521132075</v>
      </c>
      <c r="T1388" s="9">
        <f>IFERROR(__xludf.DUMMYFUNCTION("AVERAGE(INDEX(GOOGLEFINANCE(A1388, ""price"", TODAY()-300, TODAY()), 0, 2))"),8.058861386138613)</f>
        <v>8.058861386</v>
      </c>
      <c r="U1388" s="9">
        <f t="shared" si="5"/>
        <v>-0.002062735614</v>
      </c>
      <c r="V1388" s="15">
        <f>IFERROR(__xludf.DUMMYFUNCTION("LET(hist, GOOGLEFINANCE(A1388,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rs))))))"),52.13270142180095)</f>
        <v>52.13270142</v>
      </c>
      <c r="W1388" s="16" t="str">
        <f>IFERROR(__xludf.DUMMYFUNCTION("IFERROR(GOOGLEFINANCE(A1388, ""volume"") / GOOGLEFINANCE(A1388, ""volumeavg""), )"),"")</f>
        <v/>
      </c>
      <c r="X1388" s="9">
        <f>IFERROR(__xludf.DUMMYFUNCTION("B1388 * GOOGLEFINANCE(A1388, ""volume"")"),1.908769422E8)</f>
        <v>190876942.2</v>
      </c>
      <c r="Y1388" s="9">
        <f>IFERROR(__xludf.DUMMYFUNCTION("IFERROR(((B1388 - GOOGLEFINANCE(A1388, ""priceopen"")) / GOOGLEFINANCE(A1388, ""priceopen"")) * GOOGLEFINANCE(A1388, ""volume""), 0)"),6135549.4117647065)</f>
        <v>6135549.412</v>
      </c>
    </row>
    <row r="1389">
      <c r="A1389" s="4" t="s">
        <v>3181</v>
      </c>
      <c r="B1389" s="7">
        <f>IFERROR(__xludf.DUMMYFUNCTION("GOOGLEFINANCE(A1389, ""price"")"),326.9)</f>
        <v>326.9</v>
      </c>
      <c r="C1389" s="7">
        <f>IFERROR(__xludf.DUMMYFUNCTION("GOOGLEFINANCE(A1389, ""changepct"")"),-0.52)</f>
        <v>-0.52</v>
      </c>
      <c r="D1389" s="9">
        <f>IFERROR(__xludf.DUMMYFUNCTION("GOOGLEFINANCE(A1389, ""priceopen"")"),330.6)</f>
        <v>330.6</v>
      </c>
      <c r="E1389" s="9">
        <f>IFERROR(__xludf.DUMMYFUNCTION("GOOGLEFINANCE(A1389, ""high"")"),331.0)</f>
        <v>331</v>
      </c>
      <c r="F1389" s="9">
        <f>IFERROR(__xludf.DUMMYFUNCTION("GOOGLEFINANCE(A1389, ""low"")"),323.35)</f>
        <v>323.35</v>
      </c>
      <c r="G1389" s="9">
        <f>IFERROR(__xludf.DUMMYFUNCTION("GOOGLEFINANCE(A1389, ""price"")"),326.9)</f>
        <v>326.9</v>
      </c>
      <c r="H1389" s="9">
        <f>IFERROR(__xludf.DUMMYFUNCTION("MAX(INDEX(GOOGLEFINANCE(A1389, ""high"", TODAY()-30, TODAY()), 0, 2))"),394.0)</f>
        <v>394</v>
      </c>
      <c r="I1389" s="9">
        <f>IFERROR(__xludf.DUMMYFUNCTION("MIN(INDEX(GOOGLEFINANCE(A1389, ""low"", TODAY()-30, TODAY()), 0, 2))"),313.35)</f>
        <v>313.35</v>
      </c>
      <c r="J1389" s="9">
        <f>IFERROR(__xludf.DUMMYFUNCTION("GOOGLEFINANCE(A1389, ""high52"")"),515.9)</f>
        <v>515.9</v>
      </c>
      <c r="K1389" s="9">
        <f>IFERROR(__xludf.DUMMYFUNCTION("GOOGLEFINANCE(A1389, ""low52"")"),272.35)</f>
        <v>272.35</v>
      </c>
      <c r="L1389" s="9">
        <f t="shared" si="1"/>
        <v>0.3663500678</v>
      </c>
      <c r="M1389" s="9">
        <f t="shared" si="2"/>
        <v>0.2002937397</v>
      </c>
      <c r="N1389" s="9">
        <f t="shared" si="3"/>
        <v>0.0236585743</v>
      </c>
      <c r="O1389" s="9">
        <f t="shared" si="4"/>
        <v>0.1680099194</v>
      </c>
      <c r="P1389" s="9">
        <f>IFERROR(__xludf.DUMMYFUNCTION("GOOGLEFINANCE(A1389, ""pe"")"),62.39)</f>
        <v>62.39</v>
      </c>
      <c r="Q1389" s="9">
        <f>IFERROR(__xludf.DUMMYFUNCTION("IFERROR(GOOGLEFINANCE(A1389, ""volume"") / GOOGLEFINANCE(A1389, ""volumeavg""), 0)"),0.0)</f>
        <v>0</v>
      </c>
      <c r="R1389" s="9">
        <f>IFERROR(__xludf.DUMMYFUNCTION("AVERAGE(INDEX(GOOGLEFINANCE(A1389, ""price"", TODAY()-30, TODAY()), 0, 2))"),339.4304347826087)</f>
        <v>339.4304348</v>
      </c>
      <c r="S1389" s="9">
        <f>IFERROR(__xludf.DUMMYFUNCTION("AVERAGE(INDEX(GOOGLEFINANCE(A1389, ""price"", TODAY()-75, TODAY()), 0, 2))"),325.75188679245286)</f>
        <v>325.7518868</v>
      </c>
      <c r="T1389" s="9">
        <f>IFERROR(__xludf.DUMMYFUNCTION("AVERAGE(INDEX(GOOGLEFINANCE(A1389, ""price"", TODAY()-300, TODAY()), 0, 2))"),359.1742574257426)</f>
        <v>359.1742574</v>
      </c>
      <c r="U1389" s="9">
        <f t="shared" si="5"/>
        <v>-0.03691606143</v>
      </c>
      <c r="V1389" s="15">
        <f>IFERROR(__xludf.DUMMYFUNCTION("LET(hist, GOOGLEFINANCE(A1389,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rs))))))"),60.797342192691005)</f>
        <v>60.79734219</v>
      </c>
      <c r="W1389" s="16" t="str">
        <f>IFERROR(__xludf.DUMMYFUNCTION("IFERROR(GOOGLEFINANCE(A1389, ""volume"") / GOOGLEFINANCE(A1389, ""volumeavg""), )"),"")</f>
        <v/>
      </c>
      <c r="X1389" s="9">
        <f>IFERROR(__xludf.DUMMYFUNCTION("B1389 * GOOGLEFINANCE(A1389, ""volume"")"),2.5172607599999998E7)</f>
        <v>25172607.6</v>
      </c>
      <c r="Y1389" s="9">
        <f>IFERROR(__xludf.DUMMYFUNCTION("IFERROR(((B1389 - GOOGLEFINANCE(A1389, ""priceopen"")) / GOOGLEFINANCE(A1389, ""priceopen"")) * GOOGLEFINANCE(A1389, ""volume""), 0)"),-861.8112522686131)</f>
        <v>-861.8112523</v>
      </c>
    </row>
    <row r="1390">
      <c r="A1390" s="4" t="s">
        <v>3182</v>
      </c>
      <c r="B1390" s="7">
        <f>IFERROR(__xludf.DUMMYFUNCTION("GOOGLEFINANCE(A1390, ""price"")"),257.7)</f>
        <v>257.7</v>
      </c>
      <c r="C1390" s="7">
        <f>IFERROR(__xludf.DUMMYFUNCTION("GOOGLEFINANCE(A1390, ""changepct"")"),-1.06)</f>
        <v>-1.06</v>
      </c>
      <c r="D1390" s="9">
        <f>IFERROR(__xludf.DUMMYFUNCTION("GOOGLEFINANCE(A1390, ""priceopen"")"),260.5)</f>
        <v>260.5</v>
      </c>
      <c r="E1390" s="9">
        <f>IFERROR(__xludf.DUMMYFUNCTION("GOOGLEFINANCE(A1390, ""high"")"),262.5)</f>
        <v>262.5</v>
      </c>
      <c r="F1390" s="9">
        <f>IFERROR(__xludf.DUMMYFUNCTION("GOOGLEFINANCE(A1390, ""low"")"),257.6)</f>
        <v>257.6</v>
      </c>
      <c r="G1390" s="9">
        <f>IFERROR(__xludf.DUMMYFUNCTION("GOOGLEFINANCE(A1390, ""price"")"),257.7)</f>
        <v>257.7</v>
      </c>
      <c r="H1390" s="9">
        <f>IFERROR(__xludf.DUMMYFUNCTION("MAX(INDEX(GOOGLEFINANCE(A1390, ""high"", TODAY()-30, TODAY()), 0, 2))"),274.65)</f>
        <v>274.65</v>
      </c>
      <c r="I1390" s="9">
        <f>IFERROR(__xludf.DUMMYFUNCTION("MIN(INDEX(GOOGLEFINANCE(A1390, ""low"", TODAY()-30, TODAY()), 0, 2))"),253.1)</f>
        <v>253.1</v>
      </c>
      <c r="J1390" s="9">
        <f>IFERROR(__xludf.DUMMYFUNCTION("GOOGLEFINANCE(A1390, ""high52"")"),465.0)</f>
        <v>465</v>
      </c>
      <c r="K1390" s="9">
        <f>IFERROR(__xludf.DUMMYFUNCTION("GOOGLEFINANCE(A1390, ""low52"")"),188.8)</f>
        <v>188.8</v>
      </c>
      <c r="L1390" s="9">
        <f t="shared" si="1"/>
        <v>0.4458064516</v>
      </c>
      <c r="M1390" s="9">
        <f t="shared" si="2"/>
        <v>0.3649364407</v>
      </c>
      <c r="N1390" s="9">
        <f t="shared" si="3"/>
        <v>0.01902173913</v>
      </c>
      <c r="O1390" s="9">
        <f t="shared" si="4"/>
        <v>0.2134570766</v>
      </c>
      <c r="P1390" s="9">
        <f>IFERROR(__xludf.DUMMYFUNCTION("GOOGLEFINANCE(A1390, ""pe"")"),38.41)</f>
        <v>38.41</v>
      </c>
      <c r="Q1390" s="9">
        <f>IFERROR(__xludf.DUMMYFUNCTION("IFERROR(GOOGLEFINANCE(A1390, ""volume"") / GOOGLEFINANCE(A1390, ""volumeavg""), 0)"),0.0)</f>
        <v>0</v>
      </c>
      <c r="R1390" s="9">
        <f>IFERROR(__xludf.DUMMYFUNCTION("AVERAGE(INDEX(GOOGLEFINANCE(A1390, ""price"", TODAY()-30, TODAY()), 0, 2))"),261.3478260869565)</f>
        <v>261.3478261</v>
      </c>
      <c r="S1390" s="9">
        <f>IFERROR(__xludf.DUMMYFUNCTION("AVERAGE(INDEX(GOOGLEFINANCE(A1390, ""price"", TODAY()-75, TODAY()), 0, 2))"),261.0773584905661)</f>
        <v>261.0773585</v>
      </c>
      <c r="T1390" s="9">
        <f>IFERROR(__xludf.DUMMYFUNCTION("AVERAGE(INDEX(GOOGLEFINANCE(A1390, ""price"", TODAY()-300, TODAY()), 0, 2))"),288.7227227722773)</f>
        <v>288.7227228</v>
      </c>
      <c r="U1390" s="9">
        <f t="shared" si="5"/>
        <v>-0.01395774414</v>
      </c>
      <c r="V1390" s="15">
        <f>IFERROR(__xludf.DUMMYFUNCTION("LET(hist, GOOGLEFINANCE(A1390,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rs))))))"),50.52160953800302)</f>
        <v>50.52160954</v>
      </c>
      <c r="W1390" s="16" t="str">
        <f>IFERROR(__xludf.DUMMYFUNCTION("IFERROR(GOOGLEFINANCE(A1390, ""volume"") / GOOGLEFINANCE(A1390, ""volumeavg""), )"),"")</f>
        <v/>
      </c>
      <c r="X1390" s="9">
        <f>IFERROR(__xludf.DUMMYFUNCTION("B1390 * GOOGLEFINANCE(A1390, ""volume"")"),958386.2999999999)</f>
        <v>958386.3</v>
      </c>
      <c r="Y1390" s="9">
        <f>IFERROR(__xludf.DUMMYFUNCTION("IFERROR(((B1390 - GOOGLEFINANCE(A1390, ""priceopen"")) / GOOGLEFINANCE(A1390, ""priceopen"")) * GOOGLEFINANCE(A1390, ""volume""), 0)"),-39.97389635316715)</f>
        <v>-39.97389635</v>
      </c>
    </row>
    <row r="1391">
      <c r="A1391" s="4" t="s">
        <v>3183</v>
      </c>
      <c r="B1391" s="7">
        <f>IFERROR(__xludf.DUMMYFUNCTION("GOOGLEFINANCE(A1391, ""price"")"),395.05)</f>
        <v>395.05</v>
      </c>
      <c r="C1391" s="7">
        <f>IFERROR(__xludf.DUMMYFUNCTION("GOOGLEFINANCE(A1391, ""changepct"")"),1.79)</f>
        <v>1.79</v>
      </c>
      <c r="D1391" s="9">
        <f>IFERROR(__xludf.DUMMYFUNCTION("GOOGLEFINANCE(A1391, ""priceopen"")"),389.0)</f>
        <v>389</v>
      </c>
      <c r="E1391" s="9">
        <f>IFERROR(__xludf.DUMMYFUNCTION("GOOGLEFINANCE(A1391, ""high"")"),399.85)</f>
        <v>399.85</v>
      </c>
      <c r="F1391" s="9">
        <f>IFERROR(__xludf.DUMMYFUNCTION("GOOGLEFINANCE(A1391, ""low"")"),389.0)</f>
        <v>389</v>
      </c>
      <c r="G1391" s="9">
        <f>IFERROR(__xludf.DUMMYFUNCTION("GOOGLEFINANCE(A1391, ""price"")"),395.05)</f>
        <v>395.05</v>
      </c>
      <c r="H1391" s="9">
        <f>IFERROR(__xludf.DUMMYFUNCTION("MAX(INDEX(GOOGLEFINANCE(A1391, ""high"", TODAY()-30, TODAY()), 0, 2))"),455.75)</f>
        <v>455.75</v>
      </c>
      <c r="I1391" s="9">
        <f>IFERROR(__xludf.DUMMYFUNCTION("MIN(INDEX(GOOGLEFINANCE(A1391, ""low"", TODAY()-30, TODAY()), 0, 2))"),365.0)</f>
        <v>365</v>
      </c>
      <c r="J1391" s="9">
        <f>IFERROR(__xludf.DUMMYFUNCTION("GOOGLEFINANCE(A1391, ""high52"")"),455.75)</f>
        <v>455.75</v>
      </c>
      <c r="K1391" s="9">
        <f>IFERROR(__xludf.DUMMYFUNCTION("GOOGLEFINANCE(A1391, ""low52"")"),364.1)</f>
        <v>364.1</v>
      </c>
      <c r="L1391" s="9">
        <f t="shared" si="1"/>
        <v>0.1331870543</v>
      </c>
      <c r="M1391" s="9">
        <f t="shared" si="2"/>
        <v>0.08500411975</v>
      </c>
      <c r="N1391" s="9">
        <f t="shared" si="3"/>
        <v>0.02789203085</v>
      </c>
      <c r="O1391" s="9">
        <f t="shared" si="4"/>
        <v>0.3311294766</v>
      </c>
      <c r="P1391" s="9">
        <f>IFERROR(__xludf.DUMMYFUNCTION("GOOGLEFINANCE(A1391, ""pe"")"),14.28)</f>
        <v>14.28</v>
      </c>
      <c r="Q1391" s="9">
        <f>IFERROR(__xludf.DUMMYFUNCTION("IFERROR(GOOGLEFINANCE(A1391, ""volume"") / GOOGLEFINANCE(A1391, ""volumeavg""), 0)"),0.0)</f>
        <v>0</v>
      </c>
      <c r="R1391" s="9">
        <f>IFERROR(__xludf.DUMMYFUNCTION("AVERAGE(INDEX(GOOGLEFINANCE(A1391, ""price"", TODAY()-30, TODAY()), 0, 2))"),385.57608695652164)</f>
        <v>385.576087</v>
      </c>
      <c r="S1391" s="9">
        <f>IFERROR(__xludf.DUMMYFUNCTION("AVERAGE(INDEX(GOOGLEFINANCE(A1391, ""price"", TODAY()-75, TODAY()), 0, 2))"),384.01037735849064)</f>
        <v>384.0103774</v>
      </c>
      <c r="T1391" s="9">
        <f>IFERROR(__xludf.DUMMYFUNCTION("AVERAGE(INDEX(GOOGLEFINANCE(A1391, ""price"", TODAY()-300, TODAY()), 0, 2))"),393.20500000000004)</f>
        <v>393.205</v>
      </c>
      <c r="U1391" s="9">
        <f t="shared" si="5"/>
        <v>0.02457080033</v>
      </c>
      <c r="V1391" s="15">
        <f>IFERROR(__xludf.DUMMYFUNCTION("LET(hist, GOOGLEFINANCE(A1391,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rs))))))"),55.527254202750875)</f>
        <v>55.5272542</v>
      </c>
      <c r="W1391" s="16" t="str">
        <f>IFERROR(__xludf.DUMMYFUNCTION("IFERROR(GOOGLEFINANCE(A1391, ""volume"") / GOOGLEFINANCE(A1391, ""volumeavg""), )"),"")</f>
        <v/>
      </c>
      <c r="X1391" s="9">
        <f>IFERROR(__xludf.DUMMYFUNCTION("B1391 * GOOGLEFINANCE(A1391, ""volume"")"),1.58343941E7)</f>
        <v>15834394.1</v>
      </c>
      <c r="Y1391" s="9">
        <f>IFERROR(__xludf.DUMMYFUNCTION("IFERROR(((B1391 - GOOGLEFINANCE(A1391, ""priceopen"")) / GOOGLEFINANCE(A1391, ""priceopen"")) * GOOGLEFINANCE(A1391, ""volume""), 0)"),623.3832904884331)</f>
        <v>623.3832905</v>
      </c>
    </row>
    <row r="1392">
      <c r="A1392" s="4" t="s">
        <v>3184</v>
      </c>
      <c r="B1392" s="7">
        <f>IFERROR(__xludf.DUMMYFUNCTION("GOOGLEFINANCE(A1392, ""price"")"),740.25)</f>
        <v>740.25</v>
      </c>
      <c r="C1392" s="7">
        <f>IFERROR(__xludf.DUMMYFUNCTION("GOOGLEFINANCE(A1392, ""changepct"")"),-0.54)</f>
        <v>-0.54</v>
      </c>
      <c r="D1392" s="9">
        <f>IFERROR(__xludf.DUMMYFUNCTION("GOOGLEFINANCE(A1392, ""priceopen"")"),747.0)</f>
        <v>747</v>
      </c>
      <c r="E1392" s="9">
        <f>IFERROR(__xludf.DUMMYFUNCTION("GOOGLEFINANCE(A1392, ""high"")"),755.5)</f>
        <v>755.5</v>
      </c>
      <c r="F1392" s="9">
        <f>IFERROR(__xludf.DUMMYFUNCTION("GOOGLEFINANCE(A1392, ""low"")"),738.0)</f>
        <v>738</v>
      </c>
      <c r="G1392" s="9">
        <f>IFERROR(__xludf.DUMMYFUNCTION("GOOGLEFINANCE(A1392, ""price"")"),740.25)</f>
        <v>740.25</v>
      </c>
      <c r="H1392" s="9">
        <f>IFERROR(__xludf.DUMMYFUNCTION("MAX(INDEX(GOOGLEFINANCE(A1392, ""high"", TODAY()-30, TODAY()), 0, 2))"),811.0)</f>
        <v>811</v>
      </c>
      <c r="I1392" s="9">
        <f>IFERROR(__xludf.DUMMYFUNCTION("MIN(INDEX(GOOGLEFINANCE(A1392, ""low"", TODAY()-30, TODAY()), 0, 2))"),719.45)</f>
        <v>719.45</v>
      </c>
      <c r="J1392" s="9">
        <f>IFERROR(__xludf.DUMMYFUNCTION("GOOGLEFINANCE(A1392, ""high52"")"),964.9)</f>
        <v>964.9</v>
      </c>
      <c r="K1392" s="9">
        <f>IFERROR(__xludf.DUMMYFUNCTION("GOOGLEFINANCE(A1392, ""low52"")"),617.35)</f>
        <v>617.35</v>
      </c>
      <c r="L1392" s="9">
        <f t="shared" si="1"/>
        <v>0.2328220541</v>
      </c>
      <c r="M1392" s="9">
        <f t="shared" si="2"/>
        <v>0.1990766988</v>
      </c>
      <c r="N1392" s="9">
        <f t="shared" si="3"/>
        <v>0.02371273713</v>
      </c>
      <c r="O1392" s="9">
        <f t="shared" si="4"/>
        <v>0.2271982523</v>
      </c>
      <c r="P1392" s="9">
        <f>IFERROR(__xludf.DUMMYFUNCTION("GOOGLEFINANCE(A1392, ""pe"")"),92.12)</f>
        <v>92.12</v>
      </c>
      <c r="Q1392" s="9">
        <f>IFERROR(__xludf.DUMMYFUNCTION("IFERROR(GOOGLEFINANCE(A1392, ""volume"") / GOOGLEFINANCE(A1392, ""volumeavg""), 0)"),0.0)</f>
        <v>0</v>
      </c>
      <c r="R1392" s="9">
        <f>IFERROR(__xludf.DUMMYFUNCTION("AVERAGE(INDEX(GOOGLEFINANCE(A1392, ""price"", TODAY()-30, TODAY()), 0, 2))"),755.1195652173913)</f>
        <v>755.1195652</v>
      </c>
      <c r="S1392" s="9">
        <f>IFERROR(__xludf.DUMMYFUNCTION("AVERAGE(INDEX(GOOGLEFINANCE(A1392, ""price"", TODAY()-75, TODAY()), 0, 2))"),782.9462264150947)</f>
        <v>782.9462264</v>
      </c>
      <c r="T1392" s="9">
        <f>IFERROR(__xludf.DUMMYFUNCTION("AVERAGE(INDEX(GOOGLEFINANCE(A1392, ""price"", TODAY()-300, TODAY()), 0, 2))"),779.7873762376237)</f>
        <v>779.7873762</v>
      </c>
      <c r="U1392" s="9">
        <f t="shared" si="5"/>
        <v>-0.01969166991</v>
      </c>
      <c r="V1392" s="15">
        <f>IFERROR(__xludf.DUMMYFUNCTION("LET(hist, GOOGLEFINANCE(A1392,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rs))))))"),51.802018260451696)</f>
        <v>51.80201826</v>
      </c>
      <c r="W1392" s="16" t="str">
        <f>IFERROR(__xludf.DUMMYFUNCTION("IFERROR(GOOGLEFINANCE(A1392, ""volume"") / GOOGLEFINANCE(A1392, ""volumeavg""), )"),"")</f>
        <v/>
      </c>
      <c r="X1392" s="9">
        <f>IFERROR(__xludf.DUMMYFUNCTION("B1392 * GOOGLEFINANCE(A1392, ""volume"")"),3.0720375E7)</f>
        <v>30720375</v>
      </c>
      <c r="Y1392" s="9">
        <f>IFERROR(__xludf.DUMMYFUNCTION("IFERROR(((B1392 - GOOGLEFINANCE(A1392, ""priceopen"")) / GOOGLEFINANCE(A1392, ""priceopen"")) * GOOGLEFINANCE(A1392, ""volume""), 0)"),-375.0)</f>
        <v>-375</v>
      </c>
    </row>
    <row r="1393">
      <c r="A1393" s="4" t="s">
        <v>3185</v>
      </c>
      <c r="B1393" s="7">
        <f>IFERROR(__xludf.DUMMYFUNCTION("GOOGLEFINANCE(A1393, ""price"")"),4.06)</f>
        <v>4.06</v>
      </c>
      <c r="C1393" s="7">
        <f>IFERROR(__xludf.DUMMYFUNCTION("GOOGLEFINANCE(A1393, ""changepct"")"),0.0)</f>
        <v>0</v>
      </c>
      <c r="D1393" s="9">
        <f>IFERROR(__xludf.DUMMYFUNCTION("GOOGLEFINANCE(A1393, ""priceopen"")"),4.1)</f>
        <v>4.1</v>
      </c>
      <c r="E1393" s="9">
        <f>IFERROR(__xludf.DUMMYFUNCTION("GOOGLEFINANCE(A1393, ""high"")"),4.11)</f>
        <v>4.11</v>
      </c>
      <c r="F1393" s="9">
        <f>IFERROR(__xludf.DUMMYFUNCTION("GOOGLEFINANCE(A1393, ""low"")"),4.03)</f>
        <v>4.03</v>
      </c>
      <c r="G1393" s="9">
        <f>IFERROR(__xludf.DUMMYFUNCTION("GOOGLEFINANCE(A1393, ""price"")"),4.06)</f>
        <v>4.06</v>
      </c>
      <c r="H1393" s="9">
        <f>IFERROR(__xludf.DUMMYFUNCTION("MAX(INDEX(GOOGLEFINANCE(A1393, ""high"", TODAY()-30, TODAY()), 0, 2))"),4.67)</f>
        <v>4.67</v>
      </c>
      <c r="I1393" s="9">
        <f>IFERROR(__xludf.DUMMYFUNCTION("MIN(INDEX(GOOGLEFINANCE(A1393, ""low"", TODAY()-30, TODAY()), 0, 2))"),4.01)</f>
        <v>4.01</v>
      </c>
      <c r="J1393" s="9">
        <f>IFERROR(__xludf.DUMMYFUNCTION("GOOGLEFINANCE(A1393, ""high52"")"),7.93)</f>
        <v>7.93</v>
      </c>
      <c r="K1393" s="9">
        <f>IFERROR(__xludf.DUMMYFUNCTION("GOOGLEFINANCE(A1393, ""low52"")"),3.1)</f>
        <v>3.1</v>
      </c>
      <c r="L1393" s="9">
        <f t="shared" si="1"/>
        <v>0.4880201765</v>
      </c>
      <c r="M1393" s="9">
        <f t="shared" si="2"/>
        <v>0.3096774194</v>
      </c>
      <c r="N1393" s="9">
        <f t="shared" si="3"/>
        <v>0.01985111663</v>
      </c>
      <c r="O1393" s="9">
        <f t="shared" si="4"/>
        <v>0.07575757576</v>
      </c>
      <c r="P1393" s="9" t="str">
        <f>IFERROR(__xludf.DUMMYFUNCTION("GOOGLEFINANCE(A1393, ""pe"")"),"#N/A")</f>
        <v>#N/A</v>
      </c>
      <c r="Q1393" s="9">
        <f>IFERROR(__xludf.DUMMYFUNCTION("IFERROR(GOOGLEFINANCE(A1393, ""volume"") / GOOGLEFINANCE(A1393, ""volumeavg""), 0)"),0.0)</f>
        <v>0</v>
      </c>
      <c r="R1393" s="9">
        <f>IFERROR(__xludf.DUMMYFUNCTION("AVERAGE(INDEX(GOOGLEFINANCE(A1393, ""price"", TODAY()-30, TODAY()), 0, 2))"),4.335217391304349)</f>
        <v>4.335217391</v>
      </c>
      <c r="S1393" s="9">
        <f>IFERROR(__xludf.DUMMYFUNCTION("AVERAGE(INDEX(GOOGLEFINANCE(A1393, ""price"", TODAY()-75, TODAY()), 0, 2))"),4.604339622641509)</f>
        <v>4.604339623</v>
      </c>
      <c r="T1393" s="9">
        <f>IFERROR(__xludf.DUMMYFUNCTION("AVERAGE(INDEX(GOOGLEFINANCE(A1393, ""price"", TODAY()-300, TODAY()), 0, 2))"),5.190990099009902)</f>
        <v>5.190990099</v>
      </c>
      <c r="U1393" s="9">
        <f t="shared" si="5"/>
        <v>-0.0634841039</v>
      </c>
      <c r="V1393" s="15">
        <f>IFERROR(__xludf.DUMMYFUNCTION("LET(hist, GOOGLEFINANCE(A1393,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rs))))))"),22.368421052631618)</f>
        <v>22.36842105</v>
      </c>
      <c r="W1393" s="16" t="str">
        <f>IFERROR(__xludf.DUMMYFUNCTION("IFERROR(GOOGLEFINANCE(A1393, ""volume"") / GOOGLEFINANCE(A1393, ""volumeavg""), )"),"")</f>
        <v/>
      </c>
      <c r="X1393" s="9">
        <f>IFERROR(__xludf.DUMMYFUNCTION("B1393 * GOOGLEFINANCE(A1393, ""volume"")"),8452615.5)</f>
        <v>8452615.5</v>
      </c>
      <c r="Y1393" s="9">
        <f>IFERROR(__xludf.DUMMYFUNCTION("IFERROR(((B1393 - GOOGLEFINANCE(A1393, ""priceopen"")) / GOOGLEFINANCE(A1393, ""priceopen"")) * GOOGLEFINANCE(A1393, ""volume""), 0)"),-20311.463414634163)</f>
        <v>-20311.46341</v>
      </c>
    </row>
    <row r="1394">
      <c r="A1394" s="4" t="s">
        <v>3186</v>
      </c>
      <c r="B1394" s="7">
        <f>IFERROR(__xludf.DUMMYFUNCTION("GOOGLEFINANCE(A1394, ""price"")"),1986.8)</f>
        <v>1986.8</v>
      </c>
      <c r="C1394" s="7">
        <f>IFERROR(__xludf.DUMMYFUNCTION("GOOGLEFINANCE(A1394, ""changepct"")"),3.16)</f>
        <v>3.16</v>
      </c>
      <c r="D1394" s="9">
        <f>IFERROR(__xludf.DUMMYFUNCTION("GOOGLEFINANCE(A1394, ""priceopen"")"),1926.1)</f>
        <v>1926.1</v>
      </c>
      <c r="E1394" s="9">
        <f>IFERROR(__xludf.DUMMYFUNCTION("GOOGLEFINANCE(A1394, ""high"")"),1998.8)</f>
        <v>1998.8</v>
      </c>
      <c r="F1394" s="9">
        <f>IFERROR(__xludf.DUMMYFUNCTION("GOOGLEFINANCE(A1394, ""low"")"),1920.3)</f>
        <v>1920.3</v>
      </c>
      <c r="G1394" s="9">
        <f>IFERROR(__xludf.DUMMYFUNCTION("GOOGLEFINANCE(A1394, ""price"")"),1986.8)</f>
        <v>1986.8</v>
      </c>
      <c r="H1394" s="9">
        <f>IFERROR(__xludf.DUMMYFUNCTION("MAX(INDEX(GOOGLEFINANCE(A1394, ""high"", TODAY()-30, TODAY()), 0, 2))"),2143.4)</f>
        <v>2143.4</v>
      </c>
      <c r="I1394" s="9">
        <f>IFERROR(__xludf.DUMMYFUNCTION("MIN(INDEX(GOOGLEFINANCE(A1394, ""low"", TODAY()-30, TODAY()), 0, 2))"),1826.0)</f>
        <v>1826</v>
      </c>
      <c r="J1394" s="9">
        <f>IFERROR(__xludf.DUMMYFUNCTION("GOOGLEFINANCE(A1394, ""high52"")"),2491.0)</f>
        <v>2491</v>
      </c>
      <c r="K1394" s="9">
        <f>IFERROR(__xludf.DUMMYFUNCTION("GOOGLEFINANCE(A1394, ""low52"")"),1500.0)</f>
        <v>1500</v>
      </c>
      <c r="L1394" s="9">
        <f t="shared" si="1"/>
        <v>0.2024086712</v>
      </c>
      <c r="M1394" s="9">
        <f t="shared" si="2"/>
        <v>0.3245333333</v>
      </c>
      <c r="N1394" s="9">
        <f t="shared" si="3"/>
        <v>0.04087902932</v>
      </c>
      <c r="O1394" s="9">
        <f t="shared" si="4"/>
        <v>0.5066162571</v>
      </c>
      <c r="P1394" s="9">
        <f>IFERROR(__xludf.DUMMYFUNCTION("GOOGLEFINANCE(A1394, ""pe"")"),186.9)</f>
        <v>186.9</v>
      </c>
      <c r="Q1394" s="9">
        <f>IFERROR(__xludf.DUMMYFUNCTION("IFERROR(GOOGLEFINANCE(A1394, ""volume"") / GOOGLEFINANCE(A1394, ""volumeavg""), 0)"),0.0)</f>
        <v>0</v>
      </c>
      <c r="R1394" s="9">
        <f>IFERROR(__xludf.DUMMYFUNCTION("AVERAGE(INDEX(GOOGLEFINANCE(A1394, ""price"", TODAY()-30, TODAY()), 0, 2))"),1965.9739130434784)</f>
        <v>1965.973913</v>
      </c>
      <c r="S1394" s="9">
        <f>IFERROR(__xludf.DUMMYFUNCTION("AVERAGE(INDEX(GOOGLEFINANCE(A1394, ""price"", TODAY()-75, TODAY()), 0, 2))"),1885.9226415094338)</f>
        <v>1885.922642</v>
      </c>
      <c r="T1394" s="9">
        <f>IFERROR(__xludf.DUMMYFUNCTION("AVERAGE(INDEX(GOOGLEFINANCE(A1394, ""price"", TODAY()-300, TODAY()), 0, 2))"),1853.0288557213935)</f>
        <v>1853.028856</v>
      </c>
      <c r="U1394" s="9">
        <f t="shared" si="5"/>
        <v>0.01059326719</v>
      </c>
      <c r="V1394" s="15">
        <f>IFERROR(__xludf.DUMMYFUNCTION("LET(hist, GOOGLEFINANCE(A1394,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rs))))))"),50.35883073691581)</f>
        <v>50.35883074</v>
      </c>
      <c r="W1394" s="16" t="str">
        <f>IFERROR(__xludf.DUMMYFUNCTION("IFERROR(GOOGLEFINANCE(A1394, ""volume"") / GOOGLEFINANCE(A1394, ""volumeavg""), )"),"")</f>
        <v/>
      </c>
      <c r="X1394" s="9">
        <f>IFERROR(__xludf.DUMMYFUNCTION("B1394 * GOOGLEFINANCE(A1394, ""volume"")"),2851058.0)</f>
        <v>2851058</v>
      </c>
      <c r="Y1394" s="9">
        <f>IFERROR(__xludf.DUMMYFUNCTION("IFERROR(((B1394 - GOOGLEFINANCE(A1394, ""priceopen"")) / GOOGLEFINANCE(A1394, ""priceopen"")) * GOOGLEFINANCE(A1394, ""volume""), 0)"),45.22324905248953)</f>
        <v>45.22324905</v>
      </c>
    </row>
    <row r="1395">
      <c r="A1395" s="4" t="s">
        <v>3187</v>
      </c>
      <c r="B1395" s="7">
        <f>IFERROR(__xludf.DUMMYFUNCTION("GOOGLEFINANCE(A1395, ""price"")"),1770.0)</f>
        <v>1770</v>
      </c>
      <c r="C1395" s="7">
        <f>IFERROR(__xludf.DUMMYFUNCTION("GOOGLEFINANCE(A1395, ""changepct"")"),3.06)</f>
        <v>3.06</v>
      </c>
      <c r="D1395" s="9">
        <f>IFERROR(__xludf.DUMMYFUNCTION("GOOGLEFINANCE(A1395, ""priceopen"")"),1778.0)</f>
        <v>1778</v>
      </c>
      <c r="E1395" s="9">
        <f>IFERROR(__xludf.DUMMYFUNCTION("GOOGLEFINANCE(A1395, ""high"")"),1778.0)</f>
        <v>1778</v>
      </c>
      <c r="F1395" s="9">
        <f>IFERROR(__xludf.DUMMYFUNCTION("GOOGLEFINANCE(A1395, ""low"")"),1711.0)</f>
        <v>1711</v>
      </c>
      <c r="G1395" s="9">
        <f>IFERROR(__xludf.DUMMYFUNCTION("GOOGLEFINANCE(A1395, ""price"")"),1770.0)</f>
        <v>1770</v>
      </c>
      <c r="H1395" s="9">
        <f>IFERROR(__xludf.DUMMYFUNCTION("MAX(INDEX(GOOGLEFINANCE(A1395, ""high"", TODAY()-30, TODAY()), 0, 2))"),1875.0)</f>
        <v>1875</v>
      </c>
      <c r="I1395" s="9">
        <f>IFERROR(__xludf.DUMMYFUNCTION("MIN(INDEX(GOOGLEFINANCE(A1395, ""low"", TODAY()-30, TODAY()), 0, 2))"),1621.4)</f>
        <v>1621.4</v>
      </c>
      <c r="J1395" s="9">
        <f>IFERROR(__xludf.DUMMYFUNCTION("GOOGLEFINANCE(A1395, ""high52"")"),1875.0)</f>
        <v>1875</v>
      </c>
      <c r="K1395" s="9">
        <f>IFERROR(__xludf.DUMMYFUNCTION("GOOGLEFINANCE(A1395, ""low52"")"),1484.9)</f>
        <v>1484.9</v>
      </c>
      <c r="L1395" s="9">
        <f t="shared" si="1"/>
        <v>0.056</v>
      </c>
      <c r="M1395" s="9">
        <f t="shared" si="2"/>
        <v>0.1919994612</v>
      </c>
      <c r="N1395" s="9">
        <f t="shared" si="3"/>
        <v>0.03915838691</v>
      </c>
      <c r="O1395" s="9">
        <f t="shared" si="4"/>
        <v>0.5859621451</v>
      </c>
      <c r="P1395" s="9">
        <f>IFERROR(__xludf.DUMMYFUNCTION("GOOGLEFINANCE(A1395, ""pe"")"),10.59)</f>
        <v>10.59</v>
      </c>
      <c r="Q1395" s="9">
        <f>IFERROR(__xludf.DUMMYFUNCTION("IFERROR(GOOGLEFINANCE(A1395, ""volume"") / GOOGLEFINANCE(A1395, ""volumeavg""), 0)"),0.0)</f>
        <v>0</v>
      </c>
      <c r="R1395" s="9">
        <f>IFERROR(__xludf.DUMMYFUNCTION("AVERAGE(INDEX(GOOGLEFINANCE(A1395, ""price"", TODAY()-30, TODAY()), 0, 2))"),1745.8478260869563)</f>
        <v>1745.847826</v>
      </c>
      <c r="S1395" s="9">
        <f>IFERROR(__xludf.DUMMYFUNCTION("AVERAGE(INDEX(GOOGLEFINANCE(A1395, ""price"", TODAY()-75, TODAY()), 0, 2))"),1744.7735849056603)</f>
        <v>1744.773585</v>
      </c>
      <c r="T1395" s="9">
        <f>IFERROR(__xludf.DUMMYFUNCTION("AVERAGE(INDEX(GOOGLEFINANCE(A1395, ""price"", TODAY()-300, TODAY()), 0, 2))"),1690.5275000000001)</f>
        <v>1690.5275</v>
      </c>
      <c r="U1395" s="9">
        <f t="shared" si="5"/>
        <v>0.01383406592</v>
      </c>
      <c r="V1395" s="15">
        <f>IFERROR(__xludf.DUMMYFUNCTION("LET(hist, GOOGLEFINANCE(A1395,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rs))))))"),46.373742721016406)</f>
        <v>46.37374272</v>
      </c>
      <c r="W1395" s="16" t="str">
        <f>IFERROR(__xludf.DUMMYFUNCTION("IFERROR(GOOGLEFINANCE(A1395, ""volume"") / GOOGLEFINANCE(A1395, ""volumeavg""), )"),"")</f>
        <v/>
      </c>
      <c r="X1395" s="9">
        <f>IFERROR(__xludf.DUMMYFUNCTION("B1395 * GOOGLEFINANCE(A1395, ""volume"")"),3255030.0)</f>
        <v>3255030</v>
      </c>
      <c r="Y1395" s="9">
        <f>IFERROR(__xludf.DUMMYFUNCTION("IFERROR(((B1395 - GOOGLEFINANCE(A1395, ""priceopen"")) / GOOGLEFINANCE(A1395, ""priceopen"")) * GOOGLEFINANCE(A1395, ""volume""), 0)"),-8.274465691788528)</f>
        <v>-8.274465692</v>
      </c>
    </row>
    <row r="1396">
      <c r="A1396" s="4" t="s">
        <v>3188</v>
      </c>
      <c r="B1396" s="7">
        <f>IFERROR(__xludf.DUMMYFUNCTION("GOOGLEFINANCE(A1396, ""price"")"),67.1)</f>
        <v>67.1</v>
      </c>
      <c r="C1396" s="7">
        <f>IFERROR(__xludf.DUMMYFUNCTION("GOOGLEFINANCE(A1396, ""changepct"")"),2.4)</f>
        <v>2.4</v>
      </c>
      <c r="D1396" s="9">
        <f>IFERROR(__xludf.DUMMYFUNCTION("GOOGLEFINANCE(A1396, ""priceopen"")"),65.5)</f>
        <v>65.5</v>
      </c>
      <c r="E1396" s="9">
        <f>IFERROR(__xludf.DUMMYFUNCTION("GOOGLEFINANCE(A1396, ""high"")"),69.28)</f>
        <v>69.28</v>
      </c>
      <c r="F1396" s="9">
        <f>IFERROR(__xludf.DUMMYFUNCTION("GOOGLEFINANCE(A1396, ""low"")"),65.5)</f>
        <v>65.5</v>
      </c>
      <c r="G1396" s="9">
        <f>IFERROR(__xludf.DUMMYFUNCTION("GOOGLEFINANCE(A1396, ""price"")"),67.1)</f>
        <v>67.1</v>
      </c>
      <c r="H1396" s="9">
        <f>IFERROR(__xludf.DUMMYFUNCTION("MAX(INDEX(GOOGLEFINANCE(A1396, ""high"", TODAY()-30, TODAY()), 0, 2))"),69.28)</f>
        <v>69.28</v>
      </c>
      <c r="I1396" s="9">
        <f>IFERROR(__xludf.DUMMYFUNCTION("MIN(INDEX(GOOGLEFINANCE(A1396, ""low"", TODAY()-30, TODAY()), 0, 2))"),61.0)</f>
        <v>61</v>
      </c>
      <c r="J1396" s="9">
        <f>IFERROR(__xludf.DUMMYFUNCTION("GOOGLEFINANCE(A1396, ""high52"")"),77.6)</f>
        <v>77.6</v>
      </c>
      <c r="K1396" s="9">
        <f>IFERROR(__xludf.DUMMYFUNCTION("GOOGLEFINANCE(A1396, ""low52"")"),39.13)</f>
        <v>39.13</v>
      </c>
      <c r="L1396" s="9">
        <f t="shared" si="1"/>
        <v>0.1353092784</v>
      </c>
      <c r="M1396" s="9">
        <f t="shared" si="2"/>
        <v>0.7147968311</v>
      </c>
      <c r="N1396" s="9">
        <f t="shared" si="3"/>
        <v>0.05770992366</v>
      </c>
      <c r="O1396" s="9">
        <f t="shared" si="4"/>
        <v>0.7367149758</v>
      </c>
      <c r="P1396" s="9">
        <f>IFERROR(__xludf.DUMMYFUNCTION("GOOGLEFINANCE(A1396, ""pe"")"),8.88)</f>
        <v>8.88</v>
      </c>
      <c r="Q1396" s="9">
        <f>IFERROR(__xludf.DUMMYFUNCTION("IFERROR(GOOGLEFINANCE(A1396, ""volume"") / GOOGLEFINANCE(A1396, ""volumeavg""), 0)"),0.0)</f>
        <v>0</v>
      </c>
      <c r="R1396" s="9">
        <f>IFERROR(__xludf.DUMMYFUNCTION("AVERAGE(INDEX(GOOGLEFINANCE(A1396, ""price"", TODAY()-30, TODAY()), 0, 2))"),65.07347826086956)</f>
        <v>65.07347826</v>
      </c>
      <c r="S1396" s="9">
        <f>IFERROR(__xludf.DUMMYFUNCTION("AVERAGE(INDEX(GOOGLEFINANCE(A1396, ""price"", TODAY()-75, TODAY()), 0, 2))"),64.24924528301887)</f>
        <v>64.24924528</v>
      </c>
      <c r="T1396" s="9">
        <f>IFERROR(__xludf.DUMMYFUNCTION("AVERAGE(INDEX(GOOGLEFINANCE(A1396, ""price"", TODAY()-300, TODAY()), 0, 2))"),60.079950495049495)</f>
        <v>60.0799505</v>
      </c>
      <c r="U1396" s="9">
        <f t="shared" si="5"/>
        <v>0.03114205346</v>
      </c>
      <c r="V1396" s="15">
        <f>IFERROR(__xludf.DUMMYFUNCTION("LET(hist, GOOGLEFINANCE(A1396,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rs))))))"),60.729080364540174)</f>
        <v>60.72908036</v>
      </c>
      <c r="W1396" s="16" t="str">
        <f>IFERROR(__xludf.DUMMYFUNCTION("IFERROR(GOOGLEFINANCE(A1396, ""volume"") / GOOGLEFINANCE(A1396, ""volumeavg""), )"),"")</f>
        <v/>
      </c>
      <c r="X1396" s="9">
        <f>IFERROR(__xludf.DUMMYFUNCTION("B1396 * GOOGLEFINANCE(A1396, ""volume"")"),7.97941793E7)</f>
        <v>79794179.3</v>
      </c>
      <c r="Y1396" s="9">
        <f>IFERROR(__xludf.DUMMYFUNCTION("IFERROR(((B1396 - GOOGLEFINANCE(A1396, ""priceopen"")) / GOOGLEFINANCE(A1396, ""priceopen"")) * GOOGLEFINANCE(A1396, ""volume""), 0)"),29048.745038167835)</f>
        <v>29048.74504</v>
      </c>
    </row>
    <row r="1397">
      <c r="A1397" s="4" t="s">
        <v>3189</v>
      </c>
      <c r="B1397" s="7">
        <f>IFERROR(__xludf.DUMMYFUNCTION("GOOGLEFINANCE(A1397, ""price"")"),98.5)</f>
        <v>98.5</v>
      </c>
      <c r="C1397" s="7">
        <f>IFERROR(__xludf.DUMMYFUNCTION("GOOGLEFINANCE(A1397, ""changepct"")"),-0.71)</f>
        <v>-0.71</v>
      </c>
      <c r="D1397" s="9">
        <f>IFERROR(__xludf.DUMMYFUNCTION("GOOGLEFINANCE(A1397, ""priceopen"")"),100.49)</f>
        <v>100.49</v>
      </c>
      <c r="E1397" s="9">
        <f>IFERROR(__xludf.DUMMYFUNCTION("GOOGLEFINANCE(A1397, ""high"")"),100.49)</f>
        <v>100.49</v>
      </c>
      <c r="F1397" s="9">
        <f>IFERROR(__xludf.DUMMYFUNCTION("GOOGLEFINANCE(A1397, ""low"")"),96.63)</f>
        <v>96.63</v>
      </c>
      <c r="G1397" s="9">
        <f>IFERROR(__xludf.DUMMYFUNCTION("GOOGLEFINANCE(A1397, ""price"")"),98.5)</f>
        <v>98.5</v>
      </c>
      <c r="H1397" s="9">
        <f>IFERROR(__xludf.DUMMYFUNCTION("MAX(INDEX(GOOGLEFINANCE(A1397, ""high"", TODAY()-30, TODAY()), 0, 2))"),105.57)</f>
        <v>105.57</v>
      </c>
      <c r="I1397" s="9">
        <f>IFERROR(__xludf.DUMMYFUNCTION("MIN(INDEX(GOOGLEFINANCE(A1397, ""low"", TODAY()-30, TODAY()), 0, 2))"),80.61)</f>
        <v>80.61</v>
      </c>
      <c r="J1397" s="9">
        <f>IFERROR(__xludf.DUMMYFUNCTION("GOOGLEFINANCE(A1397, ""high52"")"),107.23)</f>
        <v>107.23</v>
      </c>
      <c r="K1397" s="9">
        <f>IFERROR(__xludf.DUMMYFUNCTION("GOOGLEFINANCE(A1397, ""low52"")"),66.5)</f>
        <v>66.5</v>
      </c>
      <c r="L1397" s="9">
        <f t="shared" si="1"/>
        <v>0.08141378346</v>
      </c>
      <c r="M1397" s="9">
        <f t="shared" si="2"/>
        <v>0.4812030075</v>
      </c>
      <c r="N1397" s="9">
        <f t="shared" si="3"/>
        <v>0.03994618648</v>
      </c>
      <c r="O1397" s="9">
        <f t="shared" si="4"/>
        <v>0.7167467949</v>
      </c>
      <c r="P1397" s="9">
        <f>IFERROR(__xludf.DUMMYFUNCTION("GOOGLEFINANCE(A1397, ""pe"")"),16.28)</f>
        <v>16.28</v>
      </c>
      <c r="Q1397" s="9">
        <f>IFERROR(__xludf.DUMMYFUNCTION("IFERROR(GOOGLEFINANCE(A1397, ""volume"") / GOOGLEFINANCE(A1397, ""volumeavg""), 0)"),0.0)</f>
        <v>0</v>
      </c>
      <c r="R1397" s="9">
        <f>IFERROR(__xludf.DUMMYFUNCTION("AVERAGE(INDEX(GOOGLEFINANCE(A1397, ""price"", TODAY()-30, TODAY()), 0, 2))"),86.86086956521741)</f>
        <v>86.86086957</v>
      </c>
      <c r="S1397" s="9">
        <f>IFERROR(__xludf.DUMMYFUNCTION("AVERAGE(INDEX(GOOGLEFINANCE(A1397, ""price"", TODAY()-75, TODAY()), 0, 2))"),84.46584905660377)</f>
        <v>84.46584906</v>
      </c>
      <c r="T1397" s="9">
        <f>IFERROR(__xludf.DUMMYFUNCTION("AVERAGE(INDEX(GOOGLEFINANCE(A1397, ""price"", TODAY()-300, TODAY()), 0, 2))"),80.20975247524753)</f>
        <v>80.20975248</v>
      </c>
      <c r="U1397" s="9">
        <f t="shared" si="5"/>
        <v>0.1339973971</v>
      </c>
      <c r="V1397" s="15">
        <f>IFERROR(__xludf.DUMMYFUNCTION("LET(hist, GOOGLEFINANCE(A1397,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rs))))))"),72.37120677487646)</f>
        <v>72.37120677</v>
      </c>
      <c r="W1397" s="16" t="str">
        <f>IFERROR(__xludf.DUMMYFUNCTION("IFERROR(GOOGLEFINANCE(A1397, ""volume"") / GOOGLEFINANCE(A1397, ""volumeavg""), )"),"")</f>
        <v/>
      </c>
      <c r="X1397" s="9">
        <f>IFERROR(__xludf.DUMMYFUNCTION("B1397 * GOOGLEFINANCE(A1397, ""volume"")"),6.6925234E7)</f>
        <v>66925234</v>
      </c>
      <c r="Y1397" s="9">
        <f>IFERROR(__xludf.DUMMYFUNCTION("IFERROR(((B1397 - GOOGLEFINANCE(A1397, ""priceopen"")) / GOOGLEFINANCE(A1397, ""priceopen"")) * GOOGLEFINANCE(A1397, ""volume""), 0)"),-13455.006070255713)</f>
        <v>-13455.00607</v>
      </c>
    </row>
    <row r="1398">
      <c r="A1398" s="4" t="s">
        <v>3190</v>
      </c>
      <c r="B1398" s="7">
        <f>IFERROR(__xludf.DUMMYFUNCTION("GOOGLEFINANCE(A1398, ""price"")"),6270.0)</f>
        <v>6270</v>
      </c>
      <c r="C1398" s="7">
        <f>IFERROR(__xludf.DUMMYFUNCTION("GOOGLEFINANCE(A1398, ""changepct"")"),-2.87)</f>
        <v>-2.87</v>
      </c>
      <c r="D1398" s="9">
        <f>IFERROR(__xludf.DUMMYFUNCTION("GOOGLEFINANCE(A1398, ""priceopen"")"),6450.0)</f>
        <v>6450</v>
      </c>
      <c r="E1398" s="9">
        <f>IFERROR(__xludf.DUMMYFUNCTION("GOOGLEFINANCE(A1398, ""high"")"),6450.0)</f>
        <v>6450</v>
      </c>
      <c r="F1398" s="9">
        <f>IFERROR(__xludf.DUMMYFUNCTION("GOOGLEFINANCE(A1398, ""low"")"),6262.0)</f>
        <v>6262</v>
      </c>
      <c r="G1398" s="9">
        <f>IFERROR(__xludf.DUMMYFUNCTION("GOOGLEFINANCE(A1398, ""price"")"),6270.0)</f>
        <v>6270</v>
      </c>
      <c r="H1398" s="9">
        <f>IFERROR(__xludf.DUMMYFUNCTION("MAX(INDEX(GOOGLEFINANCE(A1398, ""high"", TODAY()-30, TODAY()), 0, 2))"),6677.0)</f>
        <v>6677</v>
      </c>
      <c r="I1398" s="9">
        <f>IFERROR(__xludf.DUMMYFUNCTION("MIN(INDEX(GOOGLEFINANCE(A1398, ""low"", TODAY()-30, TODAY()), 0, 2))"),6010.0)</f>
        <v>6010</v>
      </c>
      <c r="J1398" s="9">
        <f>IFERROR(__xludf.DUMMYFUNCTION("GOOGLEFINANCE(A1398, ""high52"")"),7052.5)</f>
        <v>7052.5</v>
      </c>
      <c r="K1398" s="9">
        <f>IFERROR(__xludf.DUMMYFUNCTION("GOOGLEFINANCE(A1398, ""low52"")"),5750.5)</f>
        <v>5750.5</v>
      </c>
      <c r="L1398" s="9">
        <f t="shared" si="1"/>
        <v>0.1109535626</v>
      </c>
      <c r="M1398" s="9">
        <f t="shared" si="2"/>
        <v>0.09033997044</v>
      </c>
      <c r="N1398" s="9">
        <f t="shared" si="3"/>
        <v>0.03002235707</v>
      </c>
      <c r="O1398" s="9">
        <f t="shared" si="4"/>
        <v>0.3898050975</v>
      </c>
      <c r="P1398" s="9">
        <f>IFERROR(__xludf.DUMMYFUNCTION("GOOGLEFINANCE(A1398, ""pe"")"),16.49)</f>
        <v>16.49</v>
      </c>
      <c r="Q1398" s="9">
        <f>IFERROR(__xludf.DUMMYFUNCTION("IFERROR(GOOGLEFINANCE(A1398, ""volume"") / GOOGLEFINANCE(A1398, ""volumeavg""), 0)"),0.0)</f>
        <v>0</v>
      </c>
      <c r="R1398" s="9">
        <f>IFERROR(__xludf.DUMMYFUNCTION("AVERAGE(INDEX(GOOGLEFINANCE(A1398, ""price"", TODAY()-30, TODAY()), 0, 2))"),6505.136363636364)</f>
        <v>6505.136364</v>
      </c>
      <c r="S1398" s="9">
        <f>IFERROR(__xludf.DUMMYFUNCTION("AVERAGE(INDEX(GOOGLEFINANCE(A1398, ""price"", TODAY()-75, TODAY()), 0, 2))"),6465.765306122449)</f>
        <v>6465.765306</v>
      </c>
      <c r="T1398" s="9">
        <f>IFERROR(__xludf.DUMMYFUNCTION("AVERAGE(INDEX(GOOGLEFINANCE(A1398, ""price"", TODAY()-300, TODAY()), 0, 2))"),6536.986666666667)</f>
        <v>6536.986667</v>
      </c>
      <c r="U1398" s="9">
        <f t="shared" si="5"/>
        <v>-0.03614626204</v>
      </c>
      <c r="V1398" s="15">
        <f>IFERROR(__xludf.DUMMYFUNCTION("LET(hist, GOOGLEFINANCE(A1398,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rs))))))"),43.24591786244434)</f>
        <v>43.24591786</v>
      </c>
      <c r="W1398" s="16" t="str">
        <f>IFERROR(__xludf.DUMMYFUNCTION("IFERROR(GOOGLEFINANCE(A1398, ""volume"") / GOOGLEFINANCE(A1398, ""volumeavg""), )"),"")</f>
        <v/>
      </c>
      <c r="X1398" s="9">
        <f>IFERROR(__xludf.DUMMYFUNCTION("B1398 * GOOGLEFINANCE(A1398, ""volume"")"),3893670.0)</f>
        <v>3893670</v>
      </c>
      <c r="Y1398" s="9">
        <f>IFERROR(__xludf.DUMMYFUNCTION("IFERROR(((B1398 - GOOGLEFINANCE(A1398, ""priceopen"")) / GOOGLEFINANCE(A1398, ""priceopen"")) * GOOGLEFINANCE(A1398, ""volume""), 0)"),-17.330232558139535)</f>
        <v>-17.33023256</v>
      </c>
    </row>
    <row r="1399">
      <c r="A1399" s="4" t="s">
        <v>3191</v>
      </c>
      <c r="B1399" s="7">
        <f>IFERROR(__xludf.DUMMYFUNCTION("GOOGLEFINANCE(A1399, ""price"")"),769.5)</f>
        <v>769.5</v>
      </c>
      <c r="C1399" s="7">
        <f>IFERROR(__xludf.DUMMYFUNCTION("GOOGLEFINANCE(A1399, ""changepct"")"),5.62)</f>
        <v>5.62</v>
      </c>
      <c r="D1399" s="9">
        <f>IFERROR(__xludf.DUMMYFUNCTION("GOOGLEFINANCE(A1399, ""priceopen"")"),730.15)</f>
        <v>730.15</v>
      </c>
      <c r="E1399" s="9">
        <f>IFERROR(__xludf.DUMMYFUNCTION("GOOGLEFINANCE(A1399, ""high"")"),782.0)</f>
        <v>782</v>
      </c>
      <c r="F1399" s="9">
        <f>IFERROR(__xludf.DUMMYFUNCTION("GOOGLEFINANCE(A1399, ""low"")"),722.25)</f>
        <v>722.25</v>
      </c>
      <c r="G1399" s="9">
        <f>IFERROR(__xludf.DUMMYFUNCTION("GOOGLEFINANCE(A1399, ""price"")"),769.5)</f>
        <v>769.5</v>
      </c>
      <c r="H1399" s="9">
        <f>IFERROR(__xludf.DUMMYFUNCTION("MAX(INDEX(GOOGLEFINANCE(A1399, ""high"", TODAY()-30, TODAY()), 0, 2))"),782.0)</f>
        <v>782</v>
      </c>
      <c r="I1399" s="9">
        <f>IFERROR(__xludf.DUMMYFUNCTION("MIN(INDEX(GOOGLEFINANCE(A1399, ""low"", TODAY()-30, TODAY()), 0, 2))"),618.05)</f>
        <v>618.05</v>
      </c>
      <c r="J1399" s="9">
        <f>IFERROR(__xludf.DUMMYFUNCTION("GOOGLEFINANCE(A1399, ""high52"")"),1022.0)</f>
        <v>1022</v>
      </c>
      <c r="K1399" s="9">
        <f>IFERROR(__xludf.DUMMYFUNCTION("GOOGLEFINANCE(A1399, ""low52"")"),580.0)</f>
        <v>580</v>
      </c>
      <c r="L1399" s="9">
        <f t="shared" si="1"/>
        <v>0.2470645793</v>
      </c>
      <c r="M1399" s="9">
        <f t="shared" si="2"/>
        <v>0.3267241379</v>
      </c>
      <c r="N1399" s="9">
        <f t="shared" si="3"/>
        <v>0.0827275874</v>
      </c>
      <c r="O1399" s="9">
        <f t="shared" si="4"/>
        <v>0.9237572431</v>
      </c>
      <c r="P1399" s="9">
        <f>IFERROR(__xludf.DUMMYFUNCTION("GOOGLEFINANCE(A1399, ""pe"")"),36.63)</f>
        <v>36.63</v>
      </c>
      <c r="Q1399" s="9">
        <f>IFERROR(__xludf.DUMMYFUNCTION("IFERROR(GOOGLEFINANCE(A1399, ""volume"") / GOOGLEFINANCE(A1399, ""volumeavg""), 0)"),0.0)</f>
        <v>0</v>
      </c>
      <c r="R1399" s="9">
        <f>IFERROR(__xludf.DUMMYFUNCTION("AVERAGE(INDEX(GOOGLEFINANCE(A1399, ""price"", TODAY()-30, TODAY()), 0, 2))"),676.9195652173913)</f>
        <v>676.9195652</v>
      </c>
      <c r="S1399" s="9">
        <f>IFERROR(__xludf.DUMMYFUNCTION("AVERAGE(INDEX(GOOGLEFINANCE(A1399, ""price"", TODAY()-75, TODAY()), 0, 2))"),661.9292452830188)</f>
        <v>661.9292453</v>
      </c>
      <c r="T1399" s="9">
        <f>IFERROR(__xludf.DUMMYFUNCTION("AVERAGE(INDEX(GOOGLEFINANCE(A1399, ""price"", TODAY()-300, TODAY()), 0, 2))"),742.3601485148513)</f>
        <v>742.3601485</v>
      </c>
      <c r="U1399" s="9">
        <f t="shared" si="5"/>
        <v>0.1367672609</v>
      </c>
      <c r="V1399" s="15">
        <f>IFERROR(__xludf.DUMMYFUNCTION("LET(hist, GOOGLEFINANCE(A1399,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rs))))))"),80.99475245265798)</f>
        <v>80.99475245</v>
      </c>
      <c r="W1399" s="16" t="str">
        <f>IFERROR(__xludf.DUMMYFUNCTION("IFERROR(GOOGLEFINANCE(A1399, ""volume"") / GOOGLEFINANCE(A1399, ""volumeavg""), )"),"")</f>
        <v/>
      </c>
      <c r="X1399" s="9">
        <f>IFERROR(__xludf.DUMMYFUNCTION("B1399 * GOOGLEFINANCE(A1399, ""volume"")"),1.31144346E8)</f>
        <v>131144346</v>
      </c>
      <c r="Y1399" s="9">
        <f>IFERROR(__xludf.DUMMYFUNCTION("IFERROR(((B1399 - GOOGLEFINANCE(A1399, ""priceopen"")) / GOOGLEFINANCE(A1399, ""priceopen"")) * GOOGLEFINANCE(A1399, ""volume""), 0)"),9184.882284462103)</f>
        <v>9184.882284</v>
      </c>
    </row>
    <row r="1400">
      <c r="A1400" s="4" t="s">
        <v>3192</v>
      </c>
      <c r="B1400" s="7">
        <f>IFERROR(__xludf.DUMMYFUNCTION("GOOGLEFINANCE(A1400, ""price"")"),1138.0)</f>
        <v>1138</v>
      </c>
      <c r="C1400" s="7">
        <f>IFERROR(__xludf.DUMMYFUNCTION("GOOGLEFINANCE(A1400, ""changepct"")"),-0.26)</f>
        <v>-0.26</v>
      </c>
      <c r="D1400" s="9">
        <f>IFERROR(__xludf.DUMMYFUNCTION("GOOGLEFINANCE(A1400, ""priceopen"")"),1164.0)</f>
        <v>1164</v>
      </c>
      <c r="E1400" s="9">
        <f>IFERROR(__xludf.DUMMYFUNCTION("GOOGLEFINANCE(A1400, ""high"")"),1164.0)</f>
        <v>1164</v>
      </c>
      <c r="F1400" s="9">
        <f>IFERROR(__xludf.DUMMYFUNCTION("GOOGLEFINANCE(A1400, ""low"")"),1115.0)</f>
        <v>1115</v>
      </c>
      <c r="G1400" s="9">
        <f>IFERROR(__xludf.DUMMYFUNCTION("GOOGLEFINANCE(A1400, ""price"")"),1138.0)</f>
        <v>1138</v>
      </c>
      <c r="H1400" s="9">
        <f>IFERROR(__xludf.DUMMYFUNCTION("MAX(INDEX(GOOGLEFINANCE(A1400, ""high"", TODAY()-30, TODAY()), 0, 2))"),1164.0)</f>
        <v>1164</v>
      </c>
      <c r="I1400" s="9">
        <f>IFERROR(__xludf.DUMMYFUNCTION("MIN(INDEX(GOOGLEFINANCE(A1400, ""low"", TODAY()-30, TODAY()), 0, 2))"),793.15)</f>
        <v>793.15</v>
      </c>
      <c r="J1400" s="9">
        <f>IFERROR(__xludf.DUMMYFUNCTION("GOOGLEFINANCE(A1400, ""high52"")"),1164.0)</f>
        <v>1164</v>
      </c>
      <c r="K1400" s="9">
        <f>IFERROR(__xludf.DUMMYFUNCTION("GOOGLEFINANCE(A1400, ""low52"")"),551.0)</f>
        <v>551</v>
      </c>
      <c r="L1400" s="9">
        <f t="shared" si="1"/>
        <v>0.02233676976</v>
      </c>
      <c r="M1400" s="9">
        <f t="shared" si="2"/>
        <v>1.065335753</v>
      </c>
      <c r="N1400" s="9">
        <f t="shared" si="3"/>
        <v>0.04394618834</v>
      </c>
      <c r="O1400" s="9">
        <f t="shared" si="4"/>
        <v>0.9298907914</v>
      </c>
      <c r="P1400" s="9">
        <f>IFERROR(__xludf.DUMMYFUNCTION("GOOGLEFINANCE(A1400, ""pe"")"),96.76)</f>
        <v>96.76</v>
      </c>
      <c r="Q1400" s="9">
        <f>IFERROR(__xludf.DUMMYFUNCTION("IFERROR(GOOGLEFINANCE(A1400, ""volume"") / GOOGLEFINANCE(A1400, ""volumeavg""), 0)"),0.0)</f>
        <v>0</v>
      </c>
      <c r="R1400" s="9">
        <f>IFERROR(__xludf.DUMMYFUNCTION("AVERAGE(INDEX(GOOGLEFINANCE(A1400, ""price"", TODAY()-30, TODAY()), 0, 2))"),993.3434782608698)</f>
        <v>993.3434783</v>
      </c>
      <c r="S1400" s="9">
        <f>IFERROR(__xludf.DUMMYFUNCTION("AVERAGE(INDEX(GOOGLEFINANCE(A1400, ""price"", TODAY()-75, TODAY()), 0, 2))"),832.2377358490564)</f>
        <v>832.2377358</v>
      </c>
      <c r="T1400" s="9">
        <f>IFERROR(__xludf.DUMMYFUNCTION("AVERAGE(INDEX(GOOGLEFINANCE(A1400, ""price"", TODAY()-300, TODAY()), 0, 2))"),760.9681250000002)</f>
        <v>760.968125</v>
      </c>
      <c r="U1400" s="9">
        <f t="shared" si="5"/>
        <v>0.1456258836</v>
      </c>
      <c r="V1400" s="15">
        <f>IFERROR(__xludf.DUMMYFUNCTION("LET(hist, GOOGLEFINANCE(A1400,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rs))))))"),89.8056244830438)</f>
        <v>89.80562448</v>
      </c>
      <c r="W1400" s="16" t="str">
        <f>IFERROR(__xludf.DUMMYFUNCTION("IFERROR(GOOGLEFINANCE(A1400, ""volume"") / GOOGLEFINANCE(A1400, ""volumeavg""), )"),"")</f>
        <v/>
      </c>
      <c r="X1400" s="9">
        <f>IFERROR(__xludf.DUMMYFUNCTION("B1400 * GOOGLEFINANCE(A1400, ""volume"")"),3187538.0)</f>
        <v>3187538</v>
      </c>
      <c r="Y1400" s="9">
        <f>IFERROR(__xludf.DUMMYFUNCTION("IFERROR(((B1400 - GOOGLEFINANCE(A1400, ""priceopen"")) / GOOGLEFINANCE(A1400, ""priceopen"")) * GOOGLEFINANCE(A1400, ""volume""), 0)"),-62.565292096219935)</f>
        <v>-62.5652921</v>
      </c>
    </row>
    <row r="1401">
      <c r="A1401" s="4" t="s">
        <v>3193</v>
      </c>
      <c r="B1401" s="7">
        <f>IFERROR(__xludf.DUMMYFUNCTION("GOOGLEFINANCE(A1401, ""price"")"),200.0)</f>
        <v>200</v>
      </c>
      <c r="C1401" s="7">
        <f>IFERROR(__xludf.DUMMYFUNCTION("GOOGLEFINANCE(A1401, ""changepct"")"),0.3)</f>
        <v>0.3</v>
      </c>
      <c r="D1401" s="9">
        <f>IFERROR(__xludf.DUMMYFUNCTION("GOOGLEFINANCE(A1401, ""priceopen"")"),199.44)</f>
        <v>199.44</v>
      </c>
      <c r="E1401" s="9">
        <f>IFERROR(__xludf.DUMMYFUNCTION("GOOGLEFINANCE(A1401, ""high"")"),203.0)</f>
        <v>203</v>
      </c>
      <c r="F1401" s="9">
        <f>IFERROR(__xludf.DUMMYFUNCTION("GOOGLEFINANCE(A1401, ""low"")"),198.02)</f>
        <v>198.02</v>
      </c>
      <c r="G1401" s="9">
        <f>IFERROR(__xludf.DUMMYFUNCTION("GOOGLEFINANCE(A1401, ""price"")"),200.0)</f>
        <v>200</v>
      </c>
      <c r="H1401" s="9">
        <f>IFERROR(__xludf.DUMMYFUNCTION("MAX(INDEX(GOOGLEFINANCE(A1401, ""high"", TODAY()-30, TODAY()), 0, 2))"),218.48)</f>
        <v>218.48</v>
      </c>
      <c r="I1401" s="9">
        <f>IFERROR(__xludf.DUMMYFUNCTION("MIN(INDEX(GOOGLEFINANCE(A1401, ""low"", TODAY()-30, TODAY()), 0, 2))"),190.5)</f>
        <v>190.5</v>
      </c>
      <c r="J1401" s="9">
        <f>IFERROR(__xludf.DUMMYFUNCTION("GOOGLEFINANCE(A1401, ""high52"")"),250.0)</f>
        <v>250</v>
      </c>
      <c r="K1401" s="9">
        <f>IFERROR(__xludf.DUMMYFUNCTION("GOOGLEFINANCE(A1401, ""low52"")"),127.0)</f>
        <v>127</v>
      </c>
      <c r="L1401" s="9">
        <f t="shared" si="1"/>
        <v>0.2</v>
      </c>
      <c r="M1401" s="9">
        <f t="shared" si="2"/>
        <v>0.5748031496</v>
      </c>
      <c r="N1401" s="9">
        <f t="shared" si="3"/>
        <v>0.02514897485</v>
      </c>
      <c r="O1401" s="9">
        <f t="shared" si="4"/>
        <v>0.3395282345</v>
      </c>
      <c r="P1401" s="9">
        <f>IFERROR(__xludf.DUMMYFUNCTION("GOOGLEFINANCE(A1401, ""pe"")"),30.12)</f>
        <v>30.12</v>
      </c>
      <c r="Q1401" s="9">
        <f>IFERROR(__xludf.DUMMYFUNCTION("IFERROR(GOOGLEFINANCE(A1401, ""volume"") / GOOGLEFINANCE(A1401, ""volumeavg""), 0)"),0.0)</f>
        <v>0</v>
      </c>
      <c r="R1401" s="9">
        <f>IFERROR(__xludf.DUMMYFUNCTION("AVERAGE(INDEX(GOOGLEFINANCE(A1401, ""price"", TODAY()-30, TODAY()), 0, 2))"),198.3465217391304)</f>
        <v>198.3465217</v>
      </c>
      <c r="S1401" s="9">
        <f>IFERROR(__xludf.DUMMYFUNCTION("AVERAGE(INDEX(GOOGLEFINANCE(A1401, ""price"", TODAY()-75, TODAY()), 0, 2))"),195.92735849056612)</f>
        <v>195.9273585</v>
      </c>
      <c r="T1401" s="9">
        <f>IFERROR(__xludf.DUMMYFUNCTION("AVERAGE(INDEX(GOOGLEFINANCE(A1401, ""price"", TODAY()-300, TODAY()), 0, 2))"),183.79633663366323)</f>
        <v>183.7963366</v>
      </c>
      <c r="U1401" s="9">
        <f t="shared" si="5"/>
        <v>0.008336310848</v>
      </c>
      <c r="V1401" s="15">
        <f>IFERROR(__xludf.DUMMYFUNCTION("LET(hist, GOOGLEFINANCE(A1401,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rs))))))"),57.985336308575036)</f>
        <v>57.98533631</v>
      </c>
      <c r="W1401" s="16" t="str">
        <f>IFERROR(__xludf.DUMMYFUNCTION("IFERROR(GOOGLEFINANCE(A1401, ""volume"") / GOOGLEFINANCE(A1401, ""volumeavg""), )"),"")</f>
        <v/>
      </c>
      <c r="X1401" s="9">
        <f>IFERROR(__xludf.DUMMYFUNCTION("B1401 * GOOGLEFINANCE(A1401, ""volume"")"),447400.0)</f>
        <v>447400</v>
      </c>
      <c r="Y1401" s="9">
        <f>IFERROR(__xludf.DUMMYFUNCTION("IFERROR(((B1401 - GOOGLEFINANCE(A1401, ""priceopen"")) / GOOGLEFINANCE(A1401, ""priceopen"")) * GOOGLEFINANCE(A1401, ""volume""), 0)"),6.281187324508649)</f>
        <v>6.281187325</v>
      </c>
    </row>
    <row r="1402">
      <c r="A1402" s="4" t="s">
        <v>3194</v>
      </c>
      <c r="B1402" s="7">
        <f>IFERROR(__xludf.DUMMYFUNCTION("GOOGLEFINANCE(A1402, ""price"")"),776.0)</f>
        <v>776</v>
      </c>
      <c r="C1402" s="7">
        <f>IFERROR(__xludf.DUMMYFUNCTION("GOOGLEFINANCE(A1402, ""changepct"")"),-0.14)</f>
        <v>-0.14</v>
      </c>
      <c r="D1402" s="9">
        <f>IFERROR(__xludf.DUMMYFUNCTION("GOOGLEFINANCE(A1402, ""priceopen"")"),770.0)</f>
        <v>770</v>
      </c>
      <c r="E1402" s="9">
        <f>IFERROR(__xludf.DUMMYFUNCTION("GOOGLEFINANCE(A1402, ""high"")"),808.0)</f>
        <v>808</v>
      </c>
      <c r="F1402" s="9">
        <f>IFERROR(__xludf.DUMMYFUNCTION("GOOGLEFINANCE(A1402, ""low"")"),761.3)</f>
        <v>761.3</v>
      </c>
      <c r="G1402" s="9">
        <f>IFERROR(__xludf.DUMMYFUNCTION("GOOGLEFINANCE(A1402, ""price"")"),776.0)</f>
        <v>776</v>
      </c>
      <c r="H1402" s="9">
        <f>IFERROR(__xludf.DUMMYFUNCTION("MAX(INDEX(GOOGLEFINANCE(A1402, ""high"", TODAY()-30, TODAY()), 0, 2))"),808.0)</f>
        <v>808</v>
      </c>
      <c r="I1402" s="9">
        <f>IFERROR(__xludf.DUMMYFUNCTION("MIN(INDEX(GOOGLEFINANCE(A1402, ""low"", TODAY()-30, TODAY()), 0, 2))"),645.0)</f>
        <v>645</v>
      </c>
      <c r="J1402" s="9">
        <f>IFERROR(__xludf.DUMMYFUNCTION("GOOGLEFINANCE(A1402, ""high52"")"),808.0)</f>
        <v>808</v>
      </c>
      <c r="K1402" s="9">
        <f>IFERROR(__xludf.DUMMYFUNCTION("GOOGLEFINANCE(A1402, ""low52"")"),341.95)</f>
        <v>341.95</v>
      </c>
      <c r="L1402" s="9">
        <f t="shared" si="1"/>
        <v>0.0396039604</v>
      </c>
      <c r="M1402" s="9">
        <f t="shared" si="2"/>
        <v>1.269337622</v>
      </c>
      <c r="N1402" s="9">
        <f t="shared" si="3"/>
        <v>0.06134244056</v>
      </c>
      <c r="O1402" s="9">
        <f t="shared" si="4"/>
        <v>0.8036809816</v>
      </c>
      <c r="P1402" s="9">
        <f>IFERROR(__xludf.DUMMYFUNCTION("GOOGLEFINANCE(A1402, ""pe"")"),24.73)</f>
        <v>24.73</v>
      </c>
      <c r="Q1402" s="9">
        <f>IFERROR(__xludf.DUMMYFUNCTION("IFERROR(GOOGLEFINANCE(A1402, ""volume"") / GOOGLEFINANCE(A1402, ""volumeavg""), 0)"),0.0)</f>
        <v>0</v>
      </c>
      <c r="R1402" s="9">
        <f>IFERROR(__xludf.DUMMYFUNCTION("AVERAGE(INDEX(GOOGLEFINANCE(A1402, ""price"", TODAY()-30, TODAY()), 0, 2))"),720.9065217391304)</f>
        <v>720.9065217</v>
      </c>
      <c r="S1402" s="9">
        <f>IFERROR(__xludf.DUMMYFUNCTION("AVERAGE(INDEX(GOOGLEFINANCE(A1402, ""price"", TODAY()-75, TODAY()), 0, 2))"),650.254716981132)</f>
        <v>650.254717</v>
      </c>
      <c r="T1402" s="9">
        <f>IFERROR(__xludf.DUMMYFUNCTION("AVERAGE(INDEX(GOOGLEFINANCE(A1402, ""price"", TODAY()-300, TODAY()), 0, 2))"),537.4987623762378)</f>
        <v>537.4987624</v>
      </c>
      <c r="U1402" s="9">
        <f t="shared" si="5"/>
        <v>0.07642249945</v>
      </c>
      <c r="V1402" s="15">
        <f>IFERROR(__xludf.DUMMYFUNCTION("LET(hist, GOOGLEFINANCE(A1402,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rs))))))"),80.2834008097166)</f>
        <v>80.28340081</v>
      </c>
      <c r="W1402" s="16" t="str">
        <f>IFERROR(__xludf.DUMMYFUNCTION("IFERROR(GOOGLEFINANCE(A1402, ""volume"") / GOOGLEFINANCE(A1402, ""volumeavg""), )"),"")</f>
        <v/>
      </c>
      <c r="X1402" s="9">
        <f>IFERROR(__xludf.DUMMYFUNCTION("B1402 * GOOGLEFINANCE(A1402, ""volume"")"),2.9015416E7)</f>
        <v>29015416</v>
      </c>
      <c r="Y1402" s="9">
        <f>IFERROR(__xludf.DUMMYFUNCTION("IFERROR(((B1402 - GOOGLEFINANCE(A1402, ""priceopen"")) / GOOGLEFINANCE(A1402, ""priceopen"")) * GOOGLEFINANCE(A1402, ""volume""), 0)"),291.35844155844154)</f>
        <v>291.3584416</v>
      </c>
    </row>
    <row r="1403">
      <c r="A1403" s="4" t="s">
        <v>3195</v>
      </c>
      <c r="B1403" s="7">
        <f>IFERROR(__xludf.DUMMYFUNCTION("GOOGLEFINANCE(A1403, ""price"")"),1063.9)</f>
        <v>1063.9</v>
      </c>
      <c r="C1403" s="7">
        <f>IFERROR(__xludf.DUMMYFUNCTION("GOOGLEFINANCE(A1403, ""changepct"")"),-0.02)</f>
        <v>-0.02</v>
      </c>
      <c r="D1403" s="9">
        <f>IFERROR(__xludf.DUMMYFUNCTION("GOOGLEFINANCE(A1403, ""priceopen"")"),1074.6)</f>
        <v>1074.6</v>
      </c>
      <c r="E1403" s="9">
        <f>IFERROR(__xludf.DUMMYFUNCTION("GOOGLEFINANCE(A1403, ""high"")"),1074.6)</f>
        <v>1074.6</v>
      </c>
      <c r="F1403" s="9">
        <f>IFERROR(__xludf.DUMMYFUNCTION("GOOGLEFINANCE(A1403, ""low"")"),1053.0)</f>
        <v>1053</v>
      </c>
      <c r="G1403" s="9">
        <f>IFERROR(__xludf.DUMMYFUNCTION("GOOGLEFINANCE(A1403, ""price"")"),1063.9)</f>
        <v>1063.9</v>
      </c>
      <c r="H1403" s="9">
        <f>IFERROR(__xludf.DUMMYFUNCTION("MAX(INDEX(GOOGLEFINANCE(A1403, ""high"", TODAY()-30, TODAY()), 0, 2))"),1213.4)</f>
        <v>1213.4</v>
      </c>
      <c r="I1403" s="9">
        <f>IFERROR(__xludf.DUMMYFUNCTION("MIN(INDEX(GOOGLEFINANCE(A1403, ""low"", TODAY()-30, TODAY()), 0, 2))"),1029.4)</f>
        <v>1029.4</v>
      </c>
      <c r="J1403" s="9">
        <f>IFERROR(__xludf.DUMMYFUNCTION("GOOGLEFINANCE(A1403, ""high52"")"),1616.6)</f>
        <v>1616.6</v>
      </c>
      <c r="K1403" s="9">
        <f>IFERROR(__xludf.DUMMYFUNCTION("GOOGLEFINANCE(A1403, ""low52"")"),796.0)</f>
        <v>796</v>
      </c>
      <c r="L1403" s="9">
        <f t="shared" si="1"/>
        <v>0.3418903872</v>
      </c>
      <c r="M1403" s="9">
        <f t="shared" si="2"/>
        <v>0.3365577889</v>
      </c>
      <c r="N1403" s="9">
        <f t="shared" si="3"/>
        <v>0.02051282051</v>
      </c>
      <c r="O1403" s="9">
        <f t="shared" si="4"/>
        <v>0.1875</v>
      </c>
      <c r="P1403" s="9" t="str">
        <f>IFERROR(__xludf.DUMMYFUNCTION("GOOGLEFINANCE(A1403, ""pe"")"),"#N/A")</f>
        <v>#N/A</v>
      </c>
      <c r="Q1403" s="9">
        <f>IFERROR(__xludf.DUMMYFUNCTION("IFERROR(GOOGLEFINANCE(A1403, ""volume"") / GOOGLEFINANCE(A1403, ""volumeavg""), 0)"),0.0)</f>
        <v>0</v>
      </c>
      <c r="R1403" s="9">
        <f>IFERROR(__xludf.DUMMYFUNCTION("AVERAGE(INDEX(GOOGLEFINANCE(A1403, ""price"", TODAY()-30, TODAY()), 0, 2))"),1084.7869565217388)</f>
        <v>1084.786957</v>
      </c>
      <c r="S1403" s="9">
        <f>IFERROR(__xludf.DUMMYFUNCTION("AVERAGE(INDEX(GOOGLEFINANCE(A1403, ""price"", TODAY()-75, TODAY()), 0, 2))"),1096.2641509433959)</f>
        <v>1096.264151</v>
      </c>
      <c r="T1403" s="9">
        <f>IFERROR(__xludf.DUMMYFUNCTION("AVERAGE(INDEX(GOOGLEFINANCE(A1403, ""price"", TODAY()-300, TODAY()), 0, 2))"),1245.6497524752479)</f>
        <v>1245.649752</v>
      </c>
      <c r="U1403" s="9">
        <f t="shared" si="5"/>
        <v>-0.01925443185</v>
      </c>
      <c r="V1403" s="15">
        <f>IFERROR(__xludf.DUMMYFUNCTION("LET(hist, GOOGLEFINANCE(A1403,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rs))))))"),52.5291828793775)</f>
        <v>52.52918288</v>
      </c>
      <c r="W1403" s="16" t="str">
        <f>IFERROR(__xludf.DUMMYFUNCTION("IFERROR(GOOGLEFINANCE(A1403, ""volume"") / GOOGLEFINANCE(A1403, ""volumeavg""), )"),"")</f>
        <v/>
      </c>
      <c r="X1403" s="9">
        <f>IFERROR(__xludf.DUMMYFUNCTION("B1403 * GOOGLEFINANCE(A1403, ""volume"")"),1382006.1)</f>
        <v>1382006.1</v>
      </c>
      <c r="Y1403" s="9">
        <f>IFERROR(__xludf.DUMMYFUNCTION("IFERROR(((B1403 - GOOGLEFINANCE(A1403, ""priceopen"")) / GOOGLEFINANCE(A1403, ""priceopen"")) * GOOGLEFINANCE(A1403, ""volume""), 0)"),-12.934394193187945)</f>
        <v>-12.93439419</v>
      </c>
    </row>
    <row r="1404">
      <c r="A1404" s="4" t="s">
        <v>3196</v>
      </c>
      <c r="B1404" s="7">
        <f>IFERROR(__xludf.DUMMYFUNCTION("GOOGLEFINANCE(A1404, ""price"")"),70.05)</f>
        <v>70.05</v>
      </c>
      <c r="C1404" s="7">
        <f>IFERROR(__xludf.DUMMYFUNCTION("GOOGLEFINANCE(A1404, ""changepct"")"),-0.27)</f>
        <v>-0.27</v>
      </c>
      <c r="D1404" s="9">
        <f>IFERROR(__xludf.DUMMYFUNCTION("GOOGLEFINANCE(A1404, ""priceopen"")"),71.0)</f>
        <v>71</v>
      </c>
      <c r="E1404" s="9">
        <f>IFERROR(__xludf.DUMMYFUNCTION("GOOGLEFINANCE(A1404, ""high"")"),71.35)</f>
        <v>71.35</v>
      </c>
      <c r="F1404" s="9">
        <f>IFERROR(__xludf.DUMMYFUNCTION("GOOGLEFINANCE(A1404, ""low"")"),70.05)</f>
        <v>70.05</v>
      </c>
      <c r="G1404" s="9">
        <f>IFERROR(__xludf.DUMMYFUNCTION("GOOGLEFINANCE(A1404, ""price"")"),70.05)</f>
        <v>70.05</v>
      </c>
      <c r="H1404" s="9">
        <f>IFERROR(__xludf.DUMMYFUNCTION("MAX(INDEX(GOOGLEFINANCE(A1404, ""high"", TODAY()-30, TODAY()), 0, 2))"),72.97)</f>
        <v>72.97</v>
      </c>
      <c r="I1404" s="9">
        <f>IFERROR(__xludf.DUMMYFUNCTION("MIN(INDEX(GOOGLEFINANCE(A1404, ""low"", TODAY()-30, TODAY()), 0, 2))"),68.8)</f>
        <v>68.8</v>
      </c>
      <c r="J1404" s="9">
        <f>IFERROR(__xludf.DUMMYFUNCTION("GOOGLEFINANCE(A1404, ""high52"")"),83.8)</f>
        <v>83.8</v>
      </c>
      <c r="K1404" s="9">
        <f>IFERROR(__xludf.DUMMYFUNCTION("GOOGLEFINANCE(A1404, ""low52"")"),53.5)</f>
        <v>53.5</v>
      </c>
      <c r="L1404" s="9">
        <f t="shared" si="1"/>
        <v>0.1640811456</v>
      </c>
      <c r="M1404" s="9">
        <f t="shared" si="2"/>
        <v>0.3093457944</v>
      </c>
      <c r="N1404" s="9">
        <f t="shared" si="3"/>
        <v>0.01855817273</v>
      </c>
      <c r="O1404" s="9">
        <f t="shared" si="4"/>
        <v>0.2997601918</v>
      </c>
      <c r="P1404" s="9">
        <f>IFERROR(__xludf.DUMMYFUNCTION("GOOGLEFINANCE(A1404, ""pe"")"),16.46)</f>
        <v>16.46</v>
      </c>
      <c r="Q1404" s="9">
        <f>IFERROR(__xludf.DUMMYFUNCTION("IFERROR(GOOGLEFINANCE(A1404, ""volume"") / GOOGLEFINANCE(A1404, ""volumeavg""), 0)"),0.0)</f>
        <v>0</v>
      </c>
      <c r="R1404" s="9">
        <f>IFERROR(__xludf.DUMMYFUNCTION("AVERAGE(INDEX(GOOGLEFINANCE(A1404, ""price"", TODAY()-30, TODAY()), 0, 2))"),70.57086956521736)</f>
        <v>70.57086957</v>
      </c>
      <c r="S1404" s="9">
        <f>IFERROR(__xludf.DUMMYFUNCTION("AVERAGE(INDEX(GOOGLEFINANCE(A1404, ""price"", TODAY()-75, TODAY()), 0, 2))"),70.66622641509433)</f>
        <v>70.66622642</v>
      </c>
      <c r="T1404" s="9">
        <f>IFERROR(__xludf.DUMMYFUNCTION("AVERAGE(INDEX(GOOGLEFINANCE(A1404, ""price"", TODAY()-300, TODAY()), 0, 2))"),67.30940594059406)</f>
        <v>67.30940594</v>
      </c>
      <c r="U1404" s="9">
        <f t="shared" si="5"/>
        <v>-0.007380801291</v>
      </c>
      <c r="V1404" s="15">
        <f>IFERROR(__xludf.DUMMYFUNCTION("LET(hist, GOOGLEFINANCE(A1404,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rs))))))"),51.52487961476735)</f>
        <v>51.52487961</v>
      </c>
      <c r="W1404" s="16" t="str">
        <f>IFERROR(__xludf.DUMMYFUNCTION("IFERROR(GOOGLEFINANCE(A1404, ""volume"") / GOOGLEFINANCE(A1404, ""volumeavg""), )"),"")</f>
        <v/>
      </c>
      <c r="X1404" s="9">
        <f>IFERROR(__xludf.DUMMYFUNCTION("B1404 * GOOGLEFINANCE(A1404, ""volume"")"),1790548.0499999998)</f>
        <v>1790548.05</v>
      </c>
      <c r="Y1404" s="9">
        <f>IFERROR(__xludf.DUMMYFUNCTION("IFERROR(((B1404 - GOOGLEFINANCE(A1404, ""priceopen"")) / GOOGLEFINANCE(A1404, ""priceopen"")) * GOOGLEFINANCE(A1404, ""volume""), 0)"),-342.0133802816911)</f>
        <v>-342.0133803</v>
      </c>
    </row>
    <row r="1405">
      <c r="A1405" s="4" t="s">
        <v>3197</v>
      </c>
      <c r="B1405" s="7">
        <f>IFERROR(__xludf.DUMMYFUNCTION("GOOGLEFINANCE(A1405, ""price"")"),116.45)</f>
        <v>116.45</v>
      </c>
      <c r="C1405" s="7">
        <f>IFERROR(__xludf.DUMMYFUNCTION("GOOGLEFINANCE(A1405, ""changepct"")"),-2.36)</f>
        <v>-2.36</v>
      </c>
      <c r="D1405" s="9">
        <f>IFERROR(__xludf.DUMMYFUNCTION("GOOGLEFINANCE(A1405, ""priceopen"")"),119.6)</f>
        <v>119.6</v>
      </c>
      <c r="E1405" s="9">
        <f>IFERROR(__xludf.DUMMYFUNCTION("GOOGLEFINANCE(A1405, ""high"")"),119.6)</f>
        <v>119.6</v>
      </c>
      <c r="F1405" s="9">
        <f>IFERROR(__xludf.DUMMYFUNCTION("GOOGLEFINANCE(A1405, ""low"")"),115.31)</f>
        <v>115.31</v>
      </c>
      <c r="G1405" s="9">
        <f>IFERROR(__xludf.DUMMYFUNCTION("GOOGLEFINANCE(A1405, ""price"")"),116.45)</f>
        <v>116.45</v>
      </c>
      <c r="H1405" s="9">
        <f>IFERROR(__xludf.DUMMYFUNCTION("MAX(INDEX(GOOGLEFINANCE(A1405, ""high"", TODAY()-30, TODAY()), 0, 2))"),124.9)</f>
        <v>124.9</v>
      </c>
      <c r="I1405" s="9">
        <f>IFERROR(__xludf.DUMMYFUNCTION("MIN(INDEX(GOOGLEFINANCE(A1405, ""low"", TODAY()-30, TODAY()), 0, 2))"),107.25)</f>
        <v>107.25</v>
      </c>
      <c r="J1405" s="9">
        <f>IFERROR(__xludf.DUMMYFUNCTION("GOOGLEFINANCE(A1405, ""high52"")"),124.9)</f>
        <v>124.9</v>
      </c>
      <c r="K1405" s="9">
        <f>IFERROR(__xludf.DUMMYFUNCTION("GOOGLEFINANCE(A1405, ""low52"")"),65.26)</f>
        <v>65.26</v>
      </c>
      <c r="L1405" s="9">
        <f t="shared" si="1"/>
        <v>0.0676541233</v>
      </c>
      <c r="M1405" s="9">
        <f t="shared" si="2"/>
        <v>0.7844008581</v>
      </c>
      <c r="N1405" s="9">
        <f t="shared" si="3"/>
        <v>0.03720405862</v>
      </c>
      <c r="O1405" s="9">
        <f t="shared" si="4"/>
        <v>0.5212464589</v>
      </c>
      <c r="P1405" s="9">
        <f>IFERROR(__xludf.DUMMYFUNCTION("GOOGLEFINANCE(A1405, ""pe"")"),11.56)</f>
        <v>11.56</v>
      </c>
      <c r="Q1405" s="9">
        <f>IFERROR(__xludf.DUMMYFUNCTION("IFERROR(GOOGLEFINANCE(A1405, ""volume"") / GOOGLEFINANCE(A1405, ""volumeavg""), 0)"),0.0)</f>
        <v>0</v>
      </c>
      <c r="R1405" s="9">
        <f>IFERROR(__xludf.DUMMYFUNCTION("AVERAGE(INDEX(GOOGLEFINANCE(A1405, ""price"", TODAY()-30, TODAY()), 0, 2))"),115.38434782608697)</f>
        <v>115.3843478</v>
      </c>
      <c r="S1405" s="9">
        <f>IFERROR(__xludf.DUMMYFUNCTION("AVERAGE(INDEX(GOOGLEFINANCE(A1405, ""price"", TODAY()-75, TODAY()), 0, 2))"),105.67811320754714)</f>
        <v>105.6781132</v>
      </c>
      <c r="T1405" s="9">
        <f>IFERROR(__xludf.DUMMYFUNCTION("AVERAGE(INDEX(GOOGLEFINANCE(A1405, ""price"", TODAY()-300, TODAY()), 0, 2))"),85.63791044776119)</f>
        <v>85.63791045</v>
      </c>
      <c r="U1405" s="9">
        <f t="shared" si="5"/>
        <v>0.00923567359</v>
      </c>
      <c r="V1405" s="15">
        <f>IFERROR(__xludf.DUMMYFUNCTION("LET(hist, GOOGLEFINANCE(A1405,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rs))))))"),51.6861909833156)</f>
        <v>51.68619098</v>
      </c>
      <c r="W1405" s="16" t="str">
        <f>IFERROR(__xludf.DUMMYFUNCTION("IFERROR(GOOGLEFINANCE(A1405, ""volume"") / GOOGLEFINANCE(A1405, ""volumeavg""), )"),"")</f>
        <v/>
      </c>
      <c r="X1405" s="9">
        <f>IFERROR(__xludf.DUMMYFUNCTION("B1405 * GOOGLEFINANCE(A1405, ""volume"")"),3.473319215E7)</f>
        <v>34733192.15</v>
      </c>
      <c r="Y1405" s="9">
        <f>IFERROR(__xludf.DUMMYFUNCTION("IFERROR(((B1405 - GOOGLEFINANCE(A1405, ""priceopen"")) / GOOGLEFINANCE(A1405, ""priceopen"")) * GOOGLEFINANCE(A1405, ""volume""), 0)"),-7855.69439799329)</f>
        <v>-7855.694398</v>
      </c>
    </row>
    <row r="1406">
      <c r="A1406" s="4" t="s">
        <v>3198</v>
      </c>
      <c r="B1406" s="7">
        <f>IFERROR(__xludf.DUMMYFUNCTION("GOOGLEFINANCE(A1406, ""price"")"),3510.0)</f>
        <v>3510</v>
      </c>
      <c r="C1406" s="7">
        <f>IFERROR(__xludf.DUMMYFUNCTION("GOOGLEFINANCE(A1406, ""changepct"")"),0.66)</f>
        <v>0.66</v>
      </c>
      <c r="D1406" s="9">
        <f>IFERROR(__xludf.DUMMYFUNCTION("GOOGLEFINANCE(A1406, ""priceopen"")"),3491.0)</f>
        <v>3491</v>
      </c>
      <c r="E1406" s="9">
        <f>IFERROR(__xludf.DUMMYFUNCTION("GOOGLEFINANCE(A1406, ""high"")"),3578.0)</f>
        <v>3578</v>
      </c>
      <c r="F1406" s="9">
        <f>IFERROR(__xludf.DUMMYFUNCTION("GOOGLEFINANCE(A1406, ""low"")"),3491.0)</f>
        <v>3491</v>
      </c>
      <c r="G1406" s="9">
        <f>IFERROR(__xludf.DUMMYFUNCTION("GOOGLEFINANCE(A1406, ""price"")"),3510.0)</f>
        <v>3510</v>
      </c>
      <c r="H1406" s="9">
        <f>IFERROR(__xludf.DUMMYFUNCTION("MAX(INDEX(GOOGLEFINANCE(A1406, ""high"", TODAY()-30, TODAY()), 0, 2))"),3650.0)</f>
        <v>3650</v>
      </c>
      <c r="I1406" s="9">
        <f>IFERROR(__xludf.DUMMYFUNCTION("MIN(INDEX(GOOGLEFINANCE(A1406, ""low"", TODAY()-30, TODAY()), 0, 2))"),3301.0)</f>
        <v>3301</v>
      </c>
      <c r="J1406" s="9">
        <f>IFERROR(__xludf.DUMMYFUNCTION("GOOGLEFINANCE(A1406, ""high52"")"),4275.0)</f>
        <v>4275</v>
      </c>
      <c r="K1406" s="9">
        <f>IFERROR(__xludf.DUMMYFUNCTION("GOOGLEFINANCE(A1406, ""low52"")"),2870.0)</f>
        <v>2870</v>
      </c>
      <c r="L1406" s="9">
        <f t="shared" si="1"/>
        <v>0.1789473684</v>
      </c>
      <c r="M1406" s="9">
        <f t="shared" si="2"/>
        <v>0.2229965157</v>
      </c>
      <c r="N1406" s="9">
        <f t="shared" si="3"/>
        <v>0.02492122601</v>
      </c>
      <c r="O1406" s="9">
        <f t="shared" si="4"/>
        <v>0.5988538682</v>
      </c>
      <c r="P1406" s="9">
        <f>IFERROR(__xludf.DUMMYFUNCTION("GOOGLEFINANCE(A1406, ""pe"")"),4.45)</f>
        <v>4.45</v>
      </c>
      <c r="Q1406" s="9">
        <f>IFERROR(__xludf.DUMMYFUNCTION("IFERROR(GOOGLEFINANCE(A1406, ""volume"") / GOOGLEFINANCE(A1406, ""volumeavg""), 0)"),0.0)</f>
        <v>0</v>
      </c>
      <c r="R1406" s="9">
        <f>IFERROR(__xludf.DUMMYFUNCTION("AVERAGE(INDEX(GOOGLEFINANCE(A1406, ""price"", TODAY()-30, TODAY()), 0, 2))"),3493.1652173913044)</f>
        <v>3493.165217</v>
      </c>
      <c r="S1406" s="9">
        <f>IFERROR(__xludf.DUMMYFUNCTION("AVERAGE(INDEX(GOOGLEFINANCE(A1406, ""price"", TODAY()-75, TODAY()), 0, 2))"),3497.883018867924)</f>
        <v>3497.883019</v>
      </c>
      <c r="T1406" s="9">
        <f>IFERROR(__xludf.DUMMYFUNCTION("AVERAGE(INDEX(GOOGLEFINANCE(A1406, ""price"", TODAY()-300, TODAY()), 0, 2))"),3479.7532994923877)</f>
        <v>3479.753299</v>
      </c>
      <c r="U1406" s="9">
        <f t="shared" si="5"/>
        <v>0.004819349089</v>
      </c>
      <c r="V1406" s="15">
        <f>IFERROR(__xludf.DUMMYFUNCTION("LET(hist, GOOGLEFINANCE(A1406,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rs))))))"),52.69406392694064)</f>
        <v>52.69406393</v>
      </c>
      <c r="W1406" s="16" t="str">
        <f>IFERROR(__xludf.DUMMYFUNCTION("IFERROR(GOOGLEFINANCE(A1406, ""volume"") / GOOGLEFINANCE(A1406, ""volumeavg""), )"),"")</f>
        <v/>
      </c>
      <c r="X1406" s="9">
        <f>IFERROR(__xludf.DUMMYFUNCTION("B1406 * GOOGLEFINANCE(A1406, ""volume"")"),1460160.0)</f>
        <v>1460160</v>
      </c>
      <c r="Y1406" s="9">
        <f>IFERROR(__xludf.DUMMYFUNCTION("IFERROR(((B1406 - GOOGLEFINANCE(A1406, ""priceopen"")) / GOOGLEFINANCE(A1406, ""priceopen"")) * GOOGLEFINANCE(A1406, ""volume""), 0)"),2.264107705528502)</f>
        <v>2.264107706</v>
      </c>
    </row>
    <row r="1407">
      <c r="A1407" s="4" t="s">
        <v>3199</v>
      </c>
      <c r="B1407" s="7">
        <f>IFERROR(__xludf.DUMMYFUNCTION("GOOGLEFINANCE(A1407, ""price"")"),38.25)</f>
        <v>38.25</v>
      </c>
      <c r="C1407" s="7">
        <f>IFERROR(__xludf.DUMMYFUNCTION("GOOGLEFINANCE(A1407, ""changepct"")"),3.16)</f>
        <v>3.16</v>
      </c>
      <c r="D1407" s="9">
        <f>IFERROR(__xludf.DUMMYFUNCTION("GOOGLEFINANCE(A1407, ""priceopen"")"),37.03)</f>
        <v>37.03</v>
      </c>
      <c r="E1407" s="9">
        <f>IFERROR(__xludf.DUMMYFUNCTION("GOOGLEFINANCE(A1407, ""high"")"),38.7)</f>
        <v>38.7</v>
      </c>
      <c r="F1407" s="9">
        <f>IFERROR(__xludf.DUMMYFUNCTION("GOOGLEFINANCE(A1407, ""low"")"),36.06)</f>
        <v>36.06</v>
      </c>
      <c r="G1407" s="9">
        <f>IFERROR(__xludf.DUMMYFUNCTION("GOOGLEFINANCE(A1407, ""price"")"),38.25)</f>
        <v>38.25</v>
      </c>
      <c r="H1407" s="9">
        <f>IFERROR(__xludf.DUMMYFUNCTION("MAX(INDEX(GOOGLEFINANCE(A1407, ""high"", TODAY()-30, TODAY()), 0, 2))"),40.0)</f>
        <v>40</v>
      </c>
      <c r="I1407" s="9">
        <f>IFERROR(__xludf.DUMMYFUNCTION("MIN(INDEX(GOOGLEFINANCE(A1407, ""low"", TODAY()-30, TODAY()), 0, 2))"),33.5)</f>
        <v>33.5</v>
      </c>
      <c r="J1407" s="9">
        <f>IFERROR(__xludf.DUMMYFUNCTION("GOOGLEFINANCE(A1407, ""high52"")"),45.35)</f>
        <v>45.35</v>
      </c>
      <c r="K1407" s="9">
        <f>IFERROR(__xludf.DUMMYFUNCTION("GOOGLEFINANCE(A1407, ""low52"")"),25.53)</f>
        <v>25.53</v>
      </c>
      <c r="L1407" s="9">
        <f t="shared" si="1"/>
        <v>0.1565600882</v>
      </c>
      <c r="M1407" s="9">
        <f t="shared" si="2"/>
        <v>0.4982373678</v>
      </c>
      <c r="N1407" s="9">
        <f t="shared" si="3"/>
        <v>0.07321131448</v>
      </c>
      <c r="O1407" s="9">
        <f t="shared" si="4"/>
        <v>0.7307692308</v>
      </c>
      <c r="P1407" s="9">
        <f>IFERROR(__xludf.DUMMYFUNCTION("GOOGLEFINANCE(A1407, ""pe"")"),9.81)</f>
        <v>9.81</v>
      </c>
      <c r="Q1407" s="9">
        <f>IFERROR(__xludf.DUMMYFUNCTION("IFERROR(GOOGLEFINANCE(A1407, ""volume"") / GOOGLEFINANCE(A1407, ""volumeavg""), 0)"),0.0)</f>
        <v>0</v>
      </c>
      <c r="R1407" s="9">
        <f>IFERROR(__xludf.DUMMYFUNCTION("AVERAGE(INDEX(GOOGLEFINANCE(A1407, ""price"", TODAY()-30, TODAY()), 0, 2))"),36.212173913043486)</f>
        <v>36.21217391</v>
      </c>
      <c r="S1407" s="9">
        <f>IFERROR(__xludf.DUMMYFUNCTION("AVERAGE(INDEX(GOOGLEFINANCE(A1407, ""price"", TODAY()-75, TODAY()), 0, 2))"),35.657169811320756)</f>
        <v>35.65716981</v>
      </c>
      <c r="T1407" s="9">
        <f>IFERROR(__xludf.DUMMYFUNCTION("AVERAGE(INDEX(GOOGLEFINANCE(A1407, ""price"", TODAY()-300, TODAY()), 0, 2))"),33.20173267326732)</f>
        <v>33.20173267</v>
      </c>
      <c r="U1407" s="9">
        <f t="shared" si="5"/>
        <v>0.05627461339</v>
      </c>
      <c r="V1407" s="15">
        <f>IFERROR(__xludf.DUMMYFUNCTION("LET(hist, GOOGLEFINANCE(A1407,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rs))))))"),66.36245110821379)</f>
        <v>66.36245111</v>
      </c>
      <c r="W1407" s="16" t="str">
        <f>IFERROR(__xludf.DUMMYFUNCTION("IFERROR(GOOGLEFINANCE(A1407, ""volume"") / GOOGLEFINANCE(A1407, ""volumeavg""), )"),"")</f>
        <v/>
      </c>
      <c r="X1407" s="9">
        <f>IFERROR(__xludf.DUMMYFUNCTION("B1407 * GOOGLEFINANCE(A1407, ""volume"")"),2.3189292E7)</f>
        <v>23189292</v>
      </c>
      <c r="Y1407" s="9">
        <f>IFERROR(__xludf.DUMMYFUNCTION("IFERROR(((B1407 - GOOGLEFINANCE(A1407, ""priceopen"")) / GOOGLEFINANCE(A1407, ""priceopen"")) * GOOGLEFINANCE(A1407, ""volume""), 0)"),19973.867674858204)</f>
        <v>19973.86767</v>
      </c>
    </row>
    <row r="1408">
      <c r="A1408" s="4" t="s">
        <v>3200</v>
      </c>
      <c r="B1408" s="7">
        <f>IFERROR(__xludf.DUMMYFUNCTION("GOOGLEFINANCE(A1408, ""price"")"),500.0)</f>
        <v>500</v>
      </c>
      <c r="C1408" s="7">
        <f>IFERROR(__xludf.DUMMYFUNCTION("GOOGLEFINANCE(A1408, ""changepct"")"),-0.82)</f>
        <v>-0.82</v>
      </c>
      <c r="D1408" s="9">
        <f>IFERROR(__xludf.DUMMYFUNCTION("GOOGLEFINANCE(A1408, ""priceopen"")"),508.0)</f>
        <v>508</v>
      </c>
      <c r="E1408" s="9">
        <f>IFERROR(__xludf.DUMMYFUNCTION("GOOGLEFINANCE(A1408, ""high"")"),508.0)</f>
        <v>508</v>
      </c>
      <c r="F1408" s="9">
        <f>IFERROR(__xludf.DUMMYFUNCTION("GOOGLEFINANCE(A1408, ""low"")"),498.1)</f>
        <v>498.1</v>
      </c>
      <c r="G1408" s="9">
        <f>IFERROR(__xludf.DUMMYFUNCTION("GOOGLEFINANCE(A1408, ""price"")"),500.0)</f>
        <v>500</v>
      </c>
      <c r="H1408" s="9">
        <f>IFERROR(__xludf.DUMMYFUNCTION("MAX(INDEX(GOOGLEFINANCE(A1408, ""high"", TODAY()-30, TODAY()), 0, 2))"),553.4)</f>
        <v>553.4</v>
      </c>
      <c r="I1408" s="9">
        <f>IFERROR(__xludf.DUMMYFUNCTION("MIN(INDEX(GOOGLEFINANCE(A1408, ""low"", TODAY()-30, TODAY()), 0, 2))"),494.95)</f>
        <v>494.95</v>
      </c>
      <c r="J1408" s="9">
        <f>IFERROR(__xludf.DUMMYFUNCTION("GOOGLEFINANCE(A1408, ""high52"")"),860.95)</f>
        <v>860.95</v>
      </c>
      <c r="K1408" s="9">
        <f>IFERROR(__xludf.DUMMYFUNCTION("GOOGLEFINANCE(A1408, ""low52"")"),464.0)</f>
        <v>464</v>
      </c>
      <c r="L1408" s="9">
        <f t="shared" si="1"/>
        <v>0.4192461815</v>
      </c>
      <c r="M1408" s="9">
        <f t="shared" si="2"/>
        <v>0.0775862069</v>
      </c>
      <c r="N1408" s="9">
        <f t="shared" si="3"/>
        <v>0.019875527</v>
      </c>
      <c r="O1408" s="9">
        <f t="shared" si="4"/>
        <v>0.08639863131</v>
      </c>
      <c r="P1408" s="9">
        <f>IFERROR(__xludf.DUMMYFUNCTION("GOOGLEFINANCE(A1408, ""pe"")"),9.89)</f>
        <v>9.89</v>
      </c>
      <c r="Q1408" s="9">
        <f>IFERROR(__xludf.DUMMYFUNCTION("IFERROR(GOOGLEFINANCE(A1408, ""volume"") / GOOGLEFINANCE(A1408, ""volumeavg""), 0)"),0.0)</f>
        <v>0</v>
      </c>
      <c r="R1408" s="9">
        <f>IFERROR(__xludf.DUMMYFUNCTION("AVERAGE(INDEX(GOOGLEFINANCE(A1408, ""price"", TODAY()-30, TODAY()), 0, 2))"),526.917391304348)</f>
        <v>526.9173913</v>
      </c>
      <c r="S1408" s="9">
        <f>IFERROR(__xludf.DUMMYFUNCTION("AVERAGE(INDEX(GOOGLEFINANCE(A1408, ""price"", TODAY()-75, TODAY()), 0, 2))"),539.4056603773586)</f>
        <v>539.4056604</v>
      </c>
      <c r="T1408" s="9">
        <f>IFERROR(__xludf.DUMMYFUNCTION("AVERAGE(INDEX(GOOGLEFINANCE(A1408, ""price"", TODAY()-300, TODAY()), 0, 2))"),598.5247524752474)</f>
        <v>598.5247525</v>
      </c>
      <c r="U1408" s="9">
        <f t="shared" si="5"/>
        <v>-0.0510846515</v>
      </c>
      <c r="V1408" s="15">
        <f>IFERROR(__xludf.DUMMYFUNCTION("LET(hist, GOOGLEFINANCE(A1408,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rs))))))"),31.36476426799007)</f>
        <v>31.36476427</v>
      </c>
      <c r="W1408" s="16" t="str">
        <f>IFERROR(__xludf.DUMMYFUNCTION("IFERROR(GOOGLEFINANCE(A1408, ""volume"") / GOOGLEFINANCE(A1408, ""volumeavg""), )"),"")</f>
        <v/>
      </c>
      <c r="X1408" s="9">
        <f>IFERROR(__xludf.DUMMYFUNCTION("B1408 * GOOGLEFINANCE(A1408, ""volume"")"),2.9589E7)</f>
        <v>29589000</v>
      </c>
      <c r="Y1408" s="9">
        <f>IFERROR(__xludf.DUMMYFUNCTION("IFERROR(((B1408 - GOOGLEFINANCE(A1408, ""priceopen"")) / GOOGLEFINANCE(A1408, ""priceopen"")) * GOOGLEFINANCE(A1408, ""volume""), 0)"),-931.9370078740158)</f>
        <v>-931.9370079</v>
      </c>
    </row>
    <row r="1409">
      <c r="A1409" s="4" t="s">
        <v>3201</v>
      </c>
      <c r="B1409" s="7">
        <f>IFERROR(__xludf.DUMMYFUNCTION("GOOGLEFINANCE(A1409, ""price"")"),145.8)</f>
        <v>145.8</v>
      </c>
      <c r="C1409" s="7">
        <f>IFERROR(__xludf.DUMMYFUNCTION("GOOGLEFINANCE(A1409, ""changepct"")"),-4.32)</f>
        <v>-4.32</v>
      </c>
      <c r="D1409" s="9">
        <f>IFERROR(__xludf.DUMMYFUNCTION("GOOGLEFINANCE(A1409, ""priceopen"")"),145.0)</f>
        <v>145</v>
      </c>
      <c r="E1409" s="9">
        <f>IFERROR(__xludf.DUMMYFUNCTION("GOOGLEFINANCE(A1409, ""high"")"),148.4)</f>
        <v>148.4</v>
      </c>
      <c r="F1409" s="9">
        <f>IFERROR(__xludf.DUMMYFUNCTION("GOOGLEFINANCE(A1409, ""low"")"),144.78)</f>
        <v>144.78</v>
      </c>
      <c r="G1409" s="9">
        <f>IFERROR(__xludf.DUMMYFUNCTION("GOOGLEFINANCE(A1409, ""price"")"),145.8)</f>
        <v>145.8</v>
      </c>
      <c r="H1409" s="9">
        <f>IFERROR(__xludf.DUMMYFUNCTION("MAX(INDEX(GOOGLEFINANCE(A1409, ""high"", TODAY()-30, TODAY()), 0, 2))"),173.7)</f>
        <v>173.7</v>
      </c>
      <c r="I1409" s="9">
        <f>IFERROR(__xludf.DUMMYFUNCTION("MIN(INDEX(GOOGLEFINANCE(A1409, ""low"", TODAY()-30, TODAY()), 0, 2))"),144.78)</f>
        <v>144.78</v>
      </c>
      <c r="J1409" s="9">
        <f>IFERROR(__xludf.DUMMYFUNCTION("GOOGLEFINANCE(A1409, ""high52"")"),286.0)</f>
        <v>286</v>
      </c>
      <c r="K1409" s="9">
        <f>IFERROR(__xludf.DUMMYFUNCTION("GOOGLEFINANCE(A1409, ""low52"")"),119.22)</f>
        <v>119.22</v>
      </c>
      <c r="L1409" s="9">
        <f t="shared" si="1"/>
        <v>0.4902097902</v>
      </c>
      <c r="M1409" s="9">
        <f t="shared" si="2"/>
        <v>0.2229491696</v>
      </c>
      <c r="N1409" s="9">
        <f t="shared" si="3"/>
        <v>0.02500345352</v>
      </c>
      <c r="O1409" s="9">
        <f t="shared" si="4"/>
        <v>0.03526970954</v>
      </c>
      <c r="P1409" s="9">
        <f>IFERROR(__xludf.DUMMYFUNCTION("GOOGLEFINANCE(A1409, ""pe"")"),14.18)</f>
        <v>14.18</v>
      </c>
      <c r="Q1409" s="9">
        <f>IFERROR(__xludf.DUMMYFUNCTION("IFERROR(GOOGLEFINANCE(A1409, ""volume"") / GOOGLEFINANCE(A1409, ""volumeavg""), 0)"),0.0)</f>
        <v>0</v>
      </c>
      <c r="R1409" s="9">
        <f>IFERROR(__xludf.DUMMYFUNCTION("AVERAGE(INDEX(GOOGLEFINANCE(A1409, ""price"", TODAY()-30, TODAY()), 0, 2))"),156.88608695652175)</f>
        <v>156.886087</v>
      </c>
      <c r="S1409" s="9">
        <f>IFERROR(__xludf.DUMMYFUNCTION("AVERAGE(INDEX(GOOGLEFINANCE(A1409, ""price"", TODAY()-75, TODAY()), 0, 2))"),152.80905660377357)</f>
        <v>152.8090566</v>
      </c>
      <c r="T1409" s="9">
        <f>IFERROR(__xludf.DUMMYFUNCTION("AVERAGE(INDEX(GOOGLEFINANCE(A1409, ""price"", TODAY()-300, TODAY()), 0, 2))"),176.84805970149242)</f>
        <v>176.8480597</v>
      </c>
      <c r="U1409" s="9">
        <f t="shared" si="5"/>
        <v>-0.07066328934</v>
      </c>
      <c r="V1409" s="15">
        <f>IFERROR(__xludf.DUMMYFUNCTION("LET(hist, GOOGLEFINANCE(A1409,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rs))))))"),26.64218686250517)</f>
        <v>26.64218686</v>
      </c>
      <c r="W1409" s="16" t="str">
        <f>IFERROR(__xludf.DUMMYFUNCTION("IFERROR(GOOGLEFINANCE(A1409, ""volume"") / GOOGLEFINANCE(A1409, ""volumeavg""), )"),"")</f>
        <v/>
      </c>
      <c r="X1409" s="9">
        <f>IFERROR(__xludf.DUMMYFUNCTION("B1409 * GOOGLEFINANCE(A1409, ""volume"")"),8.418812760000001E7)</f>
        <v>84188127.6</v>
      </c>
      <c r="Y1409" s="9">
        <f>IFERROR(__xludf.DUMMYFUNCTION("IFERROR(((B1409 - GOOGLEFINANCE(A1409, ""priceopen"")) / GOOGLEFINANCE(A1409, ""priceopen"")) * GOOGLEFINANCE(A1409, ""volume""), 0)"),3185.7765517241833)</f>
        <v>3185.776552</v>
      </c>
    </row>
    <row r="1410">
      <c r="A1410" s="4" t="s">
        <v>3202</v>
      </c>
      <c r="B1410" s="7">
        <f>IFERROR(__xludf.DUMMYFUNCTION("GOOGLEFINANCE(A1410, ""price"")"),550.0)</f>
        <v>550</v>
      </c>
      <c r="C1410" s="7">
        <f>IFERROR(__xludf.DUMMYFUNCTION("GOOGLEFINANCE(A1410, ""changepct"")"),0.39)</f>
        <v>0.39</v>
      </c>
      <c r="D1410" s="9">
        <f>IFERROR(__xludf.DUMMYFUNCTION("GOOGLEFINANCE(A1410, ""priceopen"")"),547.0)</f>
        <v>547</v>
      </c>
      <c r="E1410" s="9">
        <f>IFERROR(__xludf.DUMMYFUNCTION("GOOGLEFINANCE(A1410, ""high"")"),551.0)</f>
        <v>551</v>
      </c>
      <c r="F1410" s="9">
        <f>IFERROR(__xludf.DUMMYFUNCTION("GOOGLEFINANCE(A1410, ""low"")"),532.0)</f>
        <v>532</v>
      </c>
      <c r="G1410" s="9">
        <f>IFERROR(__xludf.DUMMYFUNCTION("GOOGLEFINANCE(A1410, ""price"")"),550.0)</f>
        <v>550</v>
      </c>
      <c r="H1410" s="9">
        <f>IFERROR(__xludf.DUMMYFUNCTION("MAX(INDEX(GOOGLEFINANCE(A1410, ""high"", TODAY()-30, TODAY()), 0, 2))"),659.0)</f>
        <v>659</v>
      </c>
      <c r="I1410" s="9">
        <f>IFERROR(__xludf.DUMMYFUNCTION("MIN(INDEX(GOOGLEFINANCE(A1410, ""low"", TODAY()-30, TODAY()), 0, 2))"),532.0)</f>
        <v>532</v>
      </c>
      <c r="J1410" s="9">
        <f>IFERROR(__xludf.DUMMYFUNCTION("GOOGLEFINANCE(A1410, ""high52"")"),897.45)</f>
        <v>897.45</v>
      </c>
      <c r="K1410" s="9">
        <f>IFERROR(__xludf.DUMMYFUNCTION("GOOGLEFINANCE(A1410, ""low52"")"),521.25)</f>
        <v>521.25</v>
      </c>
      <c r="L1410" s="9">
        <f t="shared" si="1"/>
        <v>0.3871524876</v>
      </c>
      <c r="M1410" s="9">
        <f t="shared" si="2"/>
        <v>0.0551558753</v>
      </c>
      <c r="N1410" s="9">
        <f t="shared" si="3"/>
        <v>0.03571428571</v>
      </c>
      <c r="O1410" s="9">
        <f t="shared" si="4"/>
        <v>0.1417322835</v>
      </c>
      <c r="P1410" s="9">
        <f>IFERROR(__xludf.DUMMYFUNCTION("GOOGLEFINANCE(A1410, ""pe"")"),52.48)</f>
        <v>52.48</v>
      </c>
      <c r="Q1410" s="9">
        <f>IFERROR(__xludf.DUMMYFUNCTION("IFERROR(GOOGLEFINANCE(A1410, ""volume"") / GOOGLEFINANCE(A1410, ""volumeavg""), 0)"),0.0)</f>
        <v>0</v>
      </c>
      <c r="R1410" s="9">
        <f>IFERROR(__xludf.DUMMYFUNCTION("AVERAGE(INDEX(GOOGLEFINANCE(A1410, ""price"", TODAY()-30, TODAY()), 0, 2))"),587.8934782608696)</f>
        <v>587.8934783</v>
      </c>
      <c r="S1410" s="9">
        <f>IFERROR(__xludf.DUMMYFUNCTION("AVERAGE(INDEX(GOOGLEFINANCE(A1410, ""price"", TODAY()-75, TODAY()), 0, 2))"),601.6264150943394)</f>
        <v>601.6264151</v>
      </c>
      <c r="T1410" s="9">
        <f>IFERROR(__xludf.DUMMYFUNCTION("AVERAGE(INDEX(GOOGLEFINANCE(A1410, ""price"", TODAY()-300, TODAY()), 0, 2))"),650.553712871287)</f>
        <v>650.5537129</v>
      </c>
      <c r="U1410" s="9">
        <f t="shared" si="5"/>
        <v>-0.0644563678</v>
      </c>
      <c r="V1410" s="15">
        <f>IFERROR(__xludf.DUMMYFUNCTION("LET(hist, GOOGLEFINANCE(A1410,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rs))))))"),26.384922901199317)</f>
        <v>26.3849229</v>
      </c>
      <c r="W1410" s="16" t="str">
        <f>IFERROR(__xludf.DUMMYFUNCTION("IFERROR(GOOGLEFINANCE(A1410, ""volume"") / GOOGLEFINANCE(A1410, ""volumeavg""), )"),"")</f>
        <v/>
      </c>
      <c r="X1410" s="9">
        <f>IFERROR(__xludf.DUMMYFUNCTION("B1410 * GOOGLEFINANCE(A1410, ""volume"")"),2828650.0)</f>
        <v>2828650</v>
      </c>
      <c r="Y1410" s="9">
        <f>IFERROR(__xludf.DUMMYFUNCTION("IFERROR(((B1410 - GOOGLEFINANCE(A1410, ""priceopen"")) / GOOGLEFINANCE(A1410, ""priceopen"")) * GOOGLEFINANCE(A1410, ""volume""), 0)"),28.206581352833638)</f>
        <v>28.20658135</v>
      </c>
    </row>
    <row r="1411">
      <c r="A1411" s="4" t="s">
        <v>3203</v>
      </c>
      <c r="B1411" s="7">
        <f>IFERROR(__xludf.DUMMYFUNCTION("GOOGLEFINANCE(A1411, ""price"")"),1058.0)</f>
        <v>1058</v>
      </c>
      <c r="C1411" s="7">
        <f>IFERROR(__xludf.DUMMYFUNCTION("GOOGLEFINANCE(A1411, ""changepct"")"),1.69)</f>
        <v>1.69</v>
      </c>
      <c r="D1411" s="9">
        <f>IFERROR(__xludf.DUMMYFUNCTION("GOOGLEFINANCE(A1411, ""priceopen"")"),1045.0)</f>
        <v>1045</v>
      </c>
      <c r="E1411" s="9">
        <f>IFERROR(__xludf.DUMMYFUNCTION("GOOGLEFINANCE(A1411, ""high"")"),1073.8)</f>
        <v>1073.8</v>
      </c>
      <c r="F1411" s="9">
        <f>IFERROR(__xludf.DUMMYFUNCTION("GOOGLEFINANCE(A1411, ""low"")"),1043.0)</f>
        <v>1043</v>
      </c>
      <c r="G1411" s="9">
        <f>IFERROR(__xludf.DUMMYFUNCTION("GOOGLEFINANCE(A1411, ""price"")"),1058.0)</f>
        <v>1058</v>
      </c>
      <c r="H1411" s="9">
        <f>IFERROR(__xludf.DUMMYFUNCTION("MAX(INDEX(GOOGLEFINANCE(A1411, ""high"", TODAY()-30, TODAY()), 0, 2))"),1139.0)</f>
        <v>1139</v>
      </c>
      <c r="I1411" s="9">
        <f>IFERROR(__xludf.DUMMYFUNCTION("MIN(INDEX(GOOGLEFINANCE(A1411, ""low"", TODAY()-30, TODAY()), 0, 2))"),1002.3)</f>
        <v>1002.3</v>
      </c>
      <c r="J1411" s="9">
        <f>IFERROR(__xludf.DUMMYFUNCTION("GOOGLEFINANCE(A1411, ""high52"")"),1487.7)</f>
        <v>1487.7</v>
      </c>
      <c r="K1411" s="9">
        <f>IFERROR(__xludf.DUMMYFUNCTION("GOOGLEFINANCE(A1411, ""low52"")"),716.05)</f>
        <v>716.05</v>
      </c>
      <c r="L1411" s="9">
        <f t="shared" si="1"/>
        <v>0.2888351146</v>
      </c>
      <c r="M1411" s="9">
        <f t="shared" si="2"/>
        <v>0.4775504504</v>
      </c>
      <c r="N1411" s="9">
        <f t="shared" si="3"/>
        <v>0.02953020134</v>
      </c>
      <c r="O1411" s="9">
        <f t="shared" si="4"/>
        <v>0.4074615947</v>
      </c>
      <c r="P1411" s="9">
        <f>IFERROR(__xludf.DUMMYFUNCTION("GOOGLEFINANCE(A1411, ""pe"")"),1.3)</f>
        <v>1.3</v>
      </c>
      <c r="Q1411" s="9">
        <f>IFERROR(__xludf.DUMMYFUNCTION("IFERROR(GOOGLEFINANCE(A1411, ""volume"") / GOOGLEFINANCE(A1411, ""volumeavg""), 0)"),0.0)</f>
        <v>0</v>
      </c>
      <c r="R1411" s="9">
        <f>IFERROR(__xludf.DUMMYFUNCTION("AVERAGE(INDEX(GOOGLEFINANCE(A1411, ""price"", TODAY()-30, TODAY()), 0, 2))"),1058.8434782608697)</f>
        <v>1058.843478</v>
      </c>
      <c r="S1411" s="9">
        <f>IFERROR(__xludf.DUMMYFUNCTION("AVERAGE(INDEX(GOOGLEFINANCE(A1411, ""price"", TODAY()-75, TODAY()), 0, 2))"),1070.6415094339625)</f>
        <v>1070.641509</v>
      </c>
      <c r="T1411" s="9">
        <f>IFERROR(__xludf.DUMMYFUNCTION("AVERAGE(INDEX(GOOGLEFINANCE(A1411, ""price"", TODAY()-300, TODAY()), 0, 2))"),1066.8452736318407)</f>
        <v>1066.845274</v>
      </c>
      <c r="U1411" s="9">
        <f t="shared" si="5"/>
        <v>-0.000796603349</v>
      </c>
      <c r="V1411" s="15">
        <f>IFERROR(__xludf.DUMMYFUNCTION("LET(hist, GOOGLEFINANCE(A1411,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rs))))))"),57.71883289124671)</f>
        <v>57.71883289</v>
      </c>
      <c r="W1411" s="16" t="str">
        <f>IFERROR(__xludf.DUMMYFUNCTION("IFERROR(GOOGLEFINANCE(A1411, ""volume"") / GOOGLEFINANCE(A1411, ""volumeavg""), )"),"")</f>
        <v/>
      </c>
      <c r="X1411" s="9">
        <f>IFERROR(__xludf.DUMMYFUNCTION("B1411 * GOOGLEFINANCE(A1411, ""volume"")"),7388014.0)</f>
        <v>7388014</v>
      </c>
      <c r="Y1411" s="9">
        <f>IFERROR(__xludf.DUMMYFUNCTION("IFERROR(((B1411 - GOOGLEFINANCE(A1411, ""priceopen"")) / GOOGLEFINANCE(A1411, ""priceopen"")) * GOOGLEFINANCE(A1411, ""volume""), 0)"),86.86985645933014)</f>
        <v>86.86985646</v>
      </c>
    </row>
    <row r="1412">
      <c r="A1412" s="4" t="s">
        <v>3204</v>
      </c>
      <c r="B1412" s="7">
        <f>IFERROR(__xludf.DUMMYFUNCTION("GOOGLEFINANCE(A1412, ""price"")"),61.0)</f>
        <v>61</v>
      </c>
      <c r="C1412" s="7">
        <f>IFERROR(__xludf.DUMMYFUNCTION("GOOGLEFINANCE(A1412, ""changepct"")"),-1.13)</f>
        <v>-1.13</v>
      </c>
      <c r="D1412" s="9">
        <f>IFERROR(__xludf.DUMMYFUNCTION("GOOGLEFINANCE(A1412, ""priceopen"")"),64.0)</f>
        <v>64</v>
      </c>
      <c r="E1412" s="9">
        <f>IFERROR(__xludf.DUMMYFUNCTION("GOOGLEFINANCE(A1412, ""high"")"),64.4)</f>
        <v>64.4</v>
      </c>
      <c r="F1412" s="9">
        <f>IFERROR(__xludf.DUMMYFUNCTION("GOOGLEFINANCE(A1412, ""low"")"),60.0)</f>
        <v>60</v>
      </c>
      <c r="G1412" s="9">
        <f>IFERROR(__xludf.DUMMYFUNCTION("GOOGLEFINANCE(A1412, ""price"")"),61.0)</f>
        <v>61</v>
      </c>
      <c r="H1412" s="9">
        <f>IFERROR(__xludf.DUMMYFUNCTION("MAX(INDEX(GOOGLEFINANCE(A1412, ""high"", TODAY()-30, TODAY()), 0, 2))"),68.85)</f>
        <v>68.85</v>
      </c>
      <c r="I1412" s="9">
        <f>IFERROR(__xludf.DUMMYFUNCTION("MIN(INDEX(GOOGLEFINANCE(A1412, ""low"", TODAY()-30, TODAY()), 0, 2))"),51.72)</f>
        <v>51.72</v>
      </c>
      <c r="J1412" s="9">
        <f>IFERROR(__xludf.DUMMYFUNCTION("GOOGLEFINANCE(A1412, ""high52"")"),83.7)</f>
        <v>83.7</v>
      </c>
      <c r="K1412" s="9">
        <f>IFERROR(__xludf.DUMMYFUNCTION("GOOGLEFINANCE(A1412, ""low52"")"),43.34)</f>
        <v>43.34</v>
      </c>
      <c r="L1412" s="9">
        <f t="shared" si="1"/>
        <v>0.2712066906</v>
      </c>
      <c r="M1412" s="9">
        <f t="shared" si="2"/>
        <v>0.407475773</v>
      </c>
      <c r="N1412" s="9">
        <f t="shared" si="3"/>
        <v>0.07333333333</v>
      </c>
      <c r="O1412" s="9">
        <f t="shared" si="4"/>
        <v>0.5417396381</v>
      </c>
      <c r="P1412" s="9">
        <f>IFERROR(__xludf.DUMMYFUNCTION("GOOGLEFINANCE(A1412, ""pe"")"),11.91)</f>
        <v>11.91</v>
      </c>
      <c r="Q1412" s="9">
        <f>IFERROR(__xludf.DUMMYFUNCTION("IFERROR(GOOGLEFINANCE(A1412, ""volume"") / GOOGLEFINANCE(A1412, ""volumeavg""), 0)"),0.0)</f>
        <v>0</v>
      </c>
      <c r="R1412" s="9">
        <f>IFERROR(__xludf.DUMMYFUNCTION("AVERAGE(INDEX(GOOGLEFINANCE(A1412, ""price"", TODAY()-30, TODAY()), 0, 2))"),57.0104347826087)</f>
        <v>57.01043478</v>
      </c>
      <c r="S1412" s="9">
        <f>IFERROR(__xludf.DUMMYFUNCTION("AVERAGE(INDEX(GOOGLEFINANCE(A1412, ""price"", TODAY()-75, TODAY()), 0, 2))"),56.9666037735849)</f>
        <v>56.96660377</v>
      </c>
      <c r="T1412" s="9">
        <f>IFERROR(__xludf.DUMMYFUNCTION("AVERAGE(INDEX(GOOGLEFINANCE(A1412, ""price"", TODAY()-300, TODAY()), 0, 2))"),59.97727722772277)</f>
        <v>59.97727723</v>
      </c>
      <c r="U1412" s="9">
        <f t="shared" si="5"/>
        <v>0.06997956133</v>
      </c>
      <c r="V1412" s="15">
        <f>IFERROR(__xludf.DUMMYFUNCTION("LET(hist, GOOGLEFINANCE(A1412,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rs))))))"),67.61862917398946)</f>
        <v>67.61862917</v>
      </c>
      <c r="W1412" s="16" t="str">
        <f>IFERROR(__xludf.DUMMYFUNCTION("IFERROR(GOOGLEFINANCE(A1412, ""volume"") / GOOGLEFINANCE(A1412, ""volumeavg""), )"),"")</f>
        <v/>
      </c>
      <c r="X1412" s="9">
        <f>IFERROR(__xludf.DUMMYFUNCTION("B1412 * GOOGLEFINANCE(A1412, ""volume"")"),1.90138342E8)</f>
        <v>190138342</v>
      </c>
      <c r="Y1412" s="9">
        <f>IFERROR(__xludf.DUMMYFUNCTION("IFERROR(((B1412 - GOOGLEFINANCE(A1412, ""priceopen"")) / GOOGLEFINANCE(A1412, ""priceopen"")) * GOOGLEFINANCE(A1412, ""volume""), 0)"),-146110.40625)</f>
        <v>-146110.4063</v>
      </c>
    </row>
    <row r="1413">
      <c r="A1413" s="4" t="s">
        <v>3205</v>
      </c>
      <c r="B1413" s="7">
        <f>IFERROR(__xludf.DUMMYFUNCTION("GOOGLEFINANCE(A1413, ""price"")"),1255.0)</f>
        <v>1255</v>
      </c>
      <c r="C1413" s="7">
        <f>IFERROR(__xludf.DUMMYFUNCTION("GOOGLEFINANCE(A1413, ""changepct"")"),3.89)</f>
        <v>3.89</v>
      </c>
      <c r="D1413" s="9">
        <f>IFERROR(__xludf.DUMMYFUNCTION("GOOGLEFINANCE(A1413, ""priceopen"")"),1216.8)</f>
        <v>1216.8</v>
      </c>
      <c r="E1413" s="9">
        <f>IFERROR(__xludf.DUMMYFUNCTION("GOOGLEFINANCE(A1413, ""high"")"),1270.0)</f>
        <v>1270</v>
      </c>
      <c r="F1413" s="9">
        <f>IFERROR(__xludf.DUMMYFUNCTION("GOOGLEFINANCE(A1413, ""low"")"),1190.0)</f>
        <v>1190</v>
      </c>
      <c r="G1413" s="9">
        <f>IFERROR(__xludf.DUMMYFUNCTION("GOOGLEFINANCE(A1413, ""price"")"),1255.0)</f>
        <v>1255</v>
      </c>
      <c r="H1413" s="9">
        <f>IFERROR(__xludf.DUMMYFUNCTION("MAX(INDEX(GOOGLEFINANCE(A1413, ""high"", TODAY()-30, TODAY()), 0, 2))"),1321.9)</f>
        <v>1321.9</v>
      </c>
      <c r="I1413" s="9">
        <f>IFERROR(__xludf.DUMMYFUNCTION("MIN(INDEX(GOOGLEFINANCE(A1413, ""low"", TODAY()-30, TODAY()), 0, 2))"),1145.4)</f>
        <v>1145.4</v>
      </c>
      <c r="J1413" s="9">
        <f>IFERROR(__xludf.DUMMYFUNCTION("GOOGLEFINANCE(A1413, ""high52"")"),1441.5)</f>
        <v>1441.5</v>
      </c>
      <c r="K1413" s="9">
        <f>IFERROR(__xludf.DUMMYFUNCTION("GOOGLEFINANCE(A1413, ""low52"")"),1085.0)</f>
        <v>1085</v>
      </c>
      <c r="L1413" s="9">
        <f t="shared" si="1"/>
        <v>0.129379119</v>
      </c>
      <c r="M1413" s="9">
        <f t="shared" si="2"/>
        <v>0.1566820276</v>
      </c>
      <c r="N1413" s="9">
        <f t="shared" si="3"/>
        <v>0.06722689076</v>
      </c>
      <c r="O1413" s="9">
        <f t="shared" si="4"/>
        <v>0.6209631728</v>
      </c>
      <c r="P1413" s="9">
        <f>IFERROR(__xludf.DUMMYFUNCTION("GOOGLEFINANCE(A1413, ""pe"")"),17.94)</f>
        <v>17.94</v>
      </c>
      <c r="Q1413" s="9">
        <f>IFERROR(__xludf.DUMMYFUNCTION("IFERROR(GOOGLEFINANCE(A1413, ""volume"") / GOOGLEFINANCE(A1413, ""volumeavg""), 0)"),0.0)</f>
        <v>0</v>
      </c>
      <c r="R1413" s="9">
        <f>IFERROR(__xludf.DUMMYFUNCTION("AVERAGE(INDEX(GOOGLEFINANCE(A1413, ""price"", TODAY()-30, TODAY()), 0, 2))"),1249.4217391304346)</f>
        <v>1249.421739</v>
      </c>
      <c r="S1413" s="9">
        <f>IFERROR(__xludf.DUMMYFUNCTION("AVERAGE(INDEX(GOOGLEFINANCE(A1413, ""price"", TODAY()-75, TODAY()), 0, 2))"),1213.783018867924)</f>
        <v>1213.783019</v>
      </c>
      <c r="T1413" s="9">
        <f>IFERROR(__xludf.DUMMYFUNCTION("AVERAGE(INDEX(GOOGLEFINANCE(A1413, ""price"", TODAY()-300, TODAY()), 0, 2))"),1236.5612500000002)</f>
        <v>1236.56125</v>
      </c>
      <c r="U1413" s="9">
        <f t="shared" si="5"/>
        <v>0.004464674093</v>
      </c>
      <c r="V1413" s="15">
        <f>IFERROR(__xludf.DUMMYFUNCTION("LET(hist, GOOGLEFINANCE(A1413,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rs))))))"),44.8792672772689)</f>
        <v>44.87926728</v>
      </c>
      <c r="W1413" s="16" t="str">
        <f>IFERROR(__xludf.DUMMYFUNCTION("IFERROR(GOOGLEFINANCE(A1413, ""volume"") / GOOGLEFINANCE(A1413, ""volumeavg""), )"),"")</f>
        <v/>
      </c>
      <c r="X1413" s="9">
        <f>IFERROR(__xludf.DUMMYFUNCTION("B1413 * GOOGLEFINANCE(A1413, ""volume"")"),7158520.0)</f>
        <v>7158520</v>
      </c>
      <c r="Y1413" s="9">
        <f>IFERROR(__xludf.DUMMYFUNCTION("IFERROR(((B1413 - GOOGLEFINANCE(A1413, ""priceopen"")) / GOOGLEFINANCE(A1413, ""priceopen"")) * GOOGLEFINANCE(A1413, ""volume""), 0)"),179.07034845496406)</f>
        <v>179.0703485</v>
      </c>
    </row>
    <row r="1414">
      <c r="A1414" s="4" t="s">
        <v>3206</v>
      </c>
      <c r="B1414" s="7">
        <f>IFERROR(__xludf.DUMMYFUNCTION("GOOGLEFINANCE(A1414, ""price"")"),366.0)</f>
        <v>366</v>
      </c>
      <c r="C1414" s="7">
        <f>IFERROR(__xludf.DUMMYFUNCTION("GOOGLEFINANCE(A1414, ""changepct"")"),-0.72)</f>
        <v>-0.72</v>
      </c>
      <c r="D1414" s="9">
        <f>IFERROR(__xludf.DUMMYFUNCTION("GOOGLEFINANCE(A1414, ""priceopen"")"),371.0)</f>
        <v>371</v>
      </c>
      <c r="E1414" s="9">
        <f>IFERROR(__xludf.DUMMYFUNCTION("GOOGLEFINANCE(A1414, ""high"")"),374.8)</f>
        <v>374.8</v>
      </c>
      <c r="F1414" s="9">
        <f>IFERROR(__xludf.DUMMYFUNCTION("GOOGLEFINANCE(A1414, ""low"")"),360.0)</f>
        <v>360</v>
      </c>
      <c r="G1414" s="9">
        <f>IFERROR(__xludf.DUMMYFUNCTION("GOOGLEFINANCE(A1414, ""price"")"),366.0)</f>
        <v>366</v>
      </c>
      <c r="H1414" s="9">
        <f>IFERROR(__xludf.DUMMYFUNCTION("MAX(INDEX(GOOGLEFINANCE(A1414, ""high"", TODAY()-30, TODAY()), 0, 2))"),395.0)</f>
        <v>395</v>
      </c>
      <c r="I1414" s="9">
        <f>IFERROR(__xludf.DUMMYFUNCTION("MIN(INDEX(GOOGLEFINANCE(A1414, ""low"", TODAY()-30, TODAY()), 0, 2))"),353.35)</f>
        <v>353.35</v>
      </c>
      <c r="J1414" s="9">
        <f>IFERROR(__xludf.DUMMYFUNCTION("GOOGLEFINANCE(A1414, ""high52"")"),418.0)</f>
        <v>418</v>
      </c>
      <c r="K1414" s="9">
        <f>IFERROR(__xludf.DUMMYFUNCTION("GOOGLEFINANCE(A1414, ""low52"")"),298.15)</f>
        <v>298.15</v>
      </c>
      <c r="L1414" s="9">
        <f t="shared" si="1"/>
        <v>0.1244019139</v>
      </c>
      <c r="M1414" s="9">
        <f t="shared" si="2"/>
        <v>0.2275700151</v>
      </c>
      <c r="N1414" s="9">
        <f t="shared" si="3"/>
        <v>0.04111111111</v>
      </c>
      <c r="O1414" s="9">
        <f t="shared" si="4"/>
        <v>0.3037214886</v>
      </c>
      <c r="P1414" s="9">
        <f>IFERROR(__xludf.DUMMYFUNCTION("GOOGLEFINANCE(A1414, ""pe"")"),22.23)</f>
        <v>22.23</v>
      </c>
      <c r="Q1414" s="9">
        <f>IFERROR(__xludf.DUMMYFUNCTION("IFERROR(GOOGLEFINANCE(A1414, ""volume"") / GOOGLEFINANCE(A1414, ""volumeavg""), 0)"),0.0)</f>
        <v>0</v>
      </c>
      <c r="R1414" s="9">
        <f>IFERROR(__xludf.DUMMYFUNCTION("AVERAGE(INDEX(GOOGLEFINANCE(A1414, ""price"", TODAY()-30, TODAY()), 0, 2))"),374.7130434782608)</f>
        <v>374.7130435</v>
      </c>
      <c r="S1414" s="9">
        <f>IFERROR(__xludf.DUMMYFUNCTION("AVERAGE(INDEX(GOOGLEFINANCE(A1414, ""price"", TODAY()-75, TODAY()), 0, 2))"),374.9754716981134)</f>
        <v>374.9754717</v>
      </c>
      <c r="T1414" s="9">
        <f>IFERROR(__xludf.DUMMYFUNCTION("AVERAGE(INDEX(GOOGLEFINANCE(A1414, ""price"", TODAY()-300, TODAY()), 0, 2))"),365.413118811881)</f>
        <v>365.4131188</v>
      </c>
      <c r="U1414" s="9">
        <f t="shared" si="5"/>
        <v>-0.02325257588</v>
      </c>
      <c r="V1414" s="15">
        <f>IFERROR(__xludf.DUMMYFUNCTION("LET(hist, GOOGLEFINANCE(A1414,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rs))))))"),43.273542600896846)</f>
        <v>43.2735426</v>
      </c>
      <c r="W1414" s="16" t="str">
        <f>IFERROR(__xludf.DUMMYFUNCTION("IFERROR(GOOGLEFINANCE(A1414, ""volume"") / GOOGLEFINANCE(A1414, ""volumeavg""), )"),"")</f>
        <v/>
      </c>
      <c r="X1414" s="9">
        <f>IFERROR(__xludf.DUMMYFUNCTION("B1414 * GOOGLEFINANCE(A1414, ""volume"")"),2142198.0)</f>
        <v>2142198</v>
      </c>
      <c r="Y1414" s="9">
        <f>IFERROR(__xludf.DUMMYFUNCTION("IFERROR(((B1414 - GOOGLEFINANCE(A1414, ""priceopen"")) / GOOGLEFINANCE(A1414, ""priceopen"")) * GOOGLEFINANCE(A1414, ""volume""), 0)"),-78.88140161725067)</f>
        <v>-78.88140162</v>
      </c>
    </row>
    <row r="1415">
      <c r="A1415" s="4" t="s">
        <v>3207</v>
      </c>
      <c r="B1415" s="7">
        <f>IFERROR(__xludf.DUMMYFUNCTION("GOOGLEFINANCE(A1415, ""price"")"),65.16)</f>
        <v>65.16</v>
      </c>
      <c r="C1415" s="7">
        <f>IFERROR(__xludf.DUMMYFUNCTION("GOOGLEFINANCE(A1415, ""changepct"")"),-2.54)</f>
        <v>-2.54</v>
      </c>
      <c r="D1415" s="9">
        <f>IFERROR(__xludf.DUMMYFUNCTION("GOOGLEFINANCE(A1415, ""priceopen"")"),67.0)</f>
        <v>67</v>
      </c>
      <c r="E1415" s="9">
        <f>IFERROR(__xludf.DUMMYFUNCTION("GOOGLEFINANCE(A1415, ""high"")"),67.06)</f>
        <v>67.06</v>
      </c>
      <c r="F1415" s="9">
        <f>IFERROR(__xludf.DUMMYFUNCTION("GOOGLEFINANCE(A1415, ""low"")"),65.02)</f>
        <v>65.02</v>
      </c>
      <c r="G1415" s="9">
        <f>IFERROR(__xludf.DUMMYFUNCTION("GOOGLEFINANCE(A1415, ""price"")"),65.16)</f>
        <v>65.16</v>
      </c>
      <c r="H1415" s="9">
        <f>IFERROR(__xludf.DUMMYFUNCTION("MAX(INDEX(GOOGLEFINANCE(A1415, ""high"", TODAY()-30, TODAY()), 0, 2))"),72.0)</f>
        <v>72</v>
      </c>
      <c r="I1415" s="9">
        <f>IFERROR(__xludf.DUMMYFUNCTION("MIN(INDEX(GOOGLEFINANCE(A1415, ""low"", TODAY()-30, TODAY()), 0, 2))"),64.5)</f>
        <v>64.5</v>
      </c>
      <c r="J1415" s="9">
        <f>IFERROR(__xludf.DUMMYFUNCTION("GOOGLEFINANCE(A1415, ""high52"")"),96.39)</f>
        <v>96.39</v>
      </c>
      <c r="K1415" s="9">
        <f>IFERROR(__xludf.DUMMYFUNCTION("GOOGLEFINANCE(A1415, ""low52"")"),52.56)</f>
        <v>52.56</v>
      </c>
      <c r="L1415" s="9">
        <f t="shared" si="1"/>
        <v>0.3239962652</v>
      </c>
      <c r="M1415" s="9">
        <f t="shared" si="2"/>
        <v>0.2397260274</v>
      </c>
      <c r="N1415" s="9">
        <f t="shared" si="3"/>
        <v>0.03137496155</v>
      </c>
      <c r="O1415" s="9">
        <f t="shared" si="4"/>
        <v>0.088</v>
      </c>
      <c r="P1415" s="9">
        <f>IFERROR(__xludf.DUMMYFUNCTION("GOOGLEFINANCE(A1415, ""pe"")"),13.06)</f>
        <v>13.06</v>
      </c>
      <c r="Q1415" s="9">
        <f>IFERROR(__xludf.DUMMYFUNCTION("IFERROR(GOOGLEFINANCE(A1415, ""volume"") / GOOGLEFINANCE(A1415, ""volumeavg""), 0)"),0.0)</f>
        <v>0</v>
      </c>
      <c r="R1415" s="9">
        <f>IFERROR(__xludf.DUMMYFUNCTION("AVERAGE(INDEX(GOOGLEFINANCE(A1415, ""price"", TODAY()-30, TODAY()), 0, 2))"),67.0882608695652)</f>
        <v>67.08826087</v>
      </c>
      <c r="S1415" s="9">
        <f>IFERROR(__xludf.DUMMYFUNCTION("AVERAGE(INDEX(GOOGLEFINANCE(A1415, ""price"", TODAY()-75, TODAY()), 0, 2))"),68.08584905660375)</f>
        <v>68.08584906</v>
      </c>
      <c r="T1415" s="9">
        <f>IFERROR(__xludf.DUMMYFUNCTION("AVERAGE(INDEX(GOOGLEFINANCE(A1415, ""price"", TODAY()-300, TODAY()), 0, 2))"),71.23851485148512)</f>
        <v>71.23851485</v>
      </c>
      <c r="U1415" s="9">
        <f t="shared" si="5"/>
        <v>-0.02874215019</v>
      </c>
      <c r="V1415" s="15">
        <f>IFERROR(__xludf.DUMMYFUNCTION("LET(hist, GOOGLEFINANCE(A1415,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rs))))))"),39.20454545454543)</f>
        <v>39.20454545</v>
      </c>
      <c r="W1415" s="16" t="str">
        <f>IFERROR(__xludf.DUMMYFUNCTION("IFERROR(GOOGLEFINANCE(A1415, ""volume"") / GOOGLEFINANCE(A1415, ""volumeavg""), )"),"")</f>
        <v/>
      </c>
      <c r="X1415" s="9">
        <f>IFERROR(__xludf.DUMMYFUNCTION("B1415 * GOOGLEFINANCE(A1415, ""volume"")"),1916746.5599999998)</f>
        <v>1916746.56</v>
      </c>
      <c r="Y1415" s="9">
        <f>IFERROR(__xludf.DUMMYFUNCTION("IFERROR(((B1415 - GOOGLEFINANCE(A1415, ""priceopen"")) / GOOGLEFINANCE(A1415, ""priceopen"")) * GOOGLEFINANCE(A1415, ""volume""), 0)"),-807.8423880597029)</f>
        <v>-807.8423881</v>
      </c>
    </row>
    <row r="1416">
      <c r="A1416" s="4" t="s">
        <v>3208</v>
      </c>
      <c r="B1416" s="7">
        <f>IFERROR(__xludf.DUMMYFUNCTION("GOOGLEFINANCE(A1416, ""price"")"),70.5)</f>
        <v>70.5</v>
      </c>
      <c r="C1416" s="7">
        <f>IFERROR(__xludf.DUMMYFUNCTION("GOOGLEFINANCE(A1416, ""changepct"")"),-2.41)</f>
        <v>-2.41</v>
      </c>
      <c r="D1416" s="9">
        <f>IFERROR(__xludf.DUMMYFUNCTION("GOOGLEFINANCE(A1416, ""priceopen"")"),72.23)</f>
        <v>72.23</v>
      </c>
      <c r="E1416" s="9">
        <f>IFERROR(__xludf.DUMMYFUNCTION("GOOGLEFINANCE(A1416, ""high"")"),72.23)</f>
        <v>72.23</v>
      </c>
      <c r="F1416" s="9">
        <f>IFERROR(__xludf.DUMMYFUNCTION("GOOGLEFINANCE(A1416, ""low"")"),70.35)</f>
        <v>70.35</v>
      </c>
      <c r="G1416" s="9">
        <f>IFERROR(__xludf.DUMMYFUNCTION("GOOGLEFINANCE(A1416, ""price"")"),70.5)</f>
        <v>70.5</v>
      </c>
      <c r="H1416" s="9">
        <f>IFERROR(__xludf.DUMMYFUNCTION("MAX(INDEX(GOOGLEFINANCE(A1416, ""high"", TODAY()-30, TODAY()), 0, 2))"),77.22)</f>
        <v>77.22</v>
      </c>
      <c r="I1416" s="9">
        <f>IFERROR(__xludf.DUMMYFUNCTION("MIN(INDEX(GOOGLEFINANCE(A1416, ""low"", TODAY()-30, TODAY()), 0, 2))"),69.68)</f>
        <v>69.68</v>
      </c>
      <c r="J1416" s="9">
        <f>IFERROR(__xludf.DUMMYFUNCTION("GOOGLEFINANCE(A1416, ""high52"")"),107.7)</f>
        <v>107.7</v>
      </c>
      <c r="K1416" s="9">
        <f>IFERROR(__xludf.DUMMYFUNCTION("GOOGLEFINANCE(A1416, ""low52"")"),53.9)</f>
        <v>53.9</v>
      </c>
      <c r="L1416" s="9">
        <f t="shared" si="1"/>
        <v>0.3454038997</v>
      </c>
      <c r="M1416" s="9">
        <f t="shared" si="2"/>
        <v>0.3079777365</v>
      </c>
      <c r="N1416" s="9">
        <f t="shared" si="3"/>
        <v>0.02672352523</v>
      </c>
      <c r="O1416" s="9">
        <f t="shared" si="4"/>
        <v>0.1087533156</v>
      </c>
      <c r="P1416" s="9">
        <f>IFERROR(__xludf.DUMMYFUNCTION("GOOGLEFINANCE(A1416, ""pe"")"),57.79)</f>
        <v>57.79</v>
      </c>
      <c r="Q1416" s="9">
        <f>IFERROR(__xludf.DUMMYFUNCTION("IFERROR(GOOGLEFINANCE(A1416, ""volume"") / GOOGLEFINANCE(A1416, ""volumeavg""), 0)"),0.0)</f>
        <v>0</v>
      </c>
      <c r="R1416" s="9">
        <f>IFERROR(__xludf.DUMMYFUNCTION("AVERAGE(INDEX(GOOGLEFINANCE(A1416, ""price"", TODAY()-30, TODAY()), 0, 2))"),73.09652173913042)</f>
        <v>73.09652174</v>
      </c>
      <c r="S1416" s="9">
        <f>IFERROR(__xludf.DUMMYFUNCTION("AVERAGE(INDEX(GOOGLEFINANCE(A1416, ""price"", TODAY()-75, TODAY()), 0, 2))"),73.48811320754714)</f>
        <v>73.48811321</v>
      </c>
      <c r="T1416" s="9">
        <f>IFERROR(__xludf.DUMMYFUNCTION("AVERAGE(INDEX(GOOGLEFINANCE(A1416, ""price"", TODAY()-300, TODAY()), 0, 2))"),77.41767326732669)</f>
        <v>77.41767327</v>
      </c>
      <c r="U1416" s="9">
        <f t="shared" si="5"/>
        <v>-0.03552182344</v>
      </c>
      <c r="V1416" s="15">
        <f>IFERROR(__xludf.DUMMYFUNCTION("LET(hist, GOOGLEFINANCE(A1416,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rs))))))"),36.37020968908172)</f>
        <v>36.37020969</v>
      </c>
      <c r="W1416" s="16" t="str">
        <f>IFERROR(__xludf.DUMMYFUNCTION("IFERROR(GOOGLEFINANCE(A1416, ""volume"") / GOOGLEFINANCE(A1416, ""volumeavg""), )"),"")</f>
        <v/>
      </c>
      <c r="X1416" s="9">
        <f>IFERROR(__xludf.DUMMYFUNCTION("B1416 * GOOGLEFINANCE(A1416, ""volume"")"),1758340.5)</f>
        <v>1758340.5</v>
      </c>
      <c r="Y1416" s="9">
        <f>IFERROR(__xludf.DUMMYFUNCTION("IFERROR(((B1416 - GOOGLEFINANCE(A1416, ""priceopen"")) / GOOGLEFINANCE(A1416, ""priceopen"")) * GOOGLEFINANCE(A1416, ""volume""), 0)"),-597.3685449259324)</f>
        <v>-597.3685449</v>
      </c>
    </row>
    <row r="1417">
      <c r="A1417" s="4" t="s">
        <v>3209</v>
      </c>
      <c r="B1417" s="7">
        <f>IFERROR(__xludf.DUMMYFUNCTION("GOOGLEFINANCE(A1417, ""price"")"),41.6)</f>
        <v>41.6</v>
      </c>
      <c r="C1417" s="7">
        <f>IFERROR(__xludf.DUMMYFUNCTION("GOOGLEFINANCE(A1417, ""changepct"")"),-0.79)</f>
        <v>-0.79</v>
      </c>
      <c r="D1417" s="9">
        <f>IFERROR(__xludf.DUMMYFUNCTION("GOOGLEFINANCE(A1417, ""priceopen"")"),42.24)</f>
        <v>42.24</v>
      </c>
      <c r="E1417" s="9">
        <f>IFERROR(__xludf.DUMMYFUNCTION("GOOGLEFINANCE(A1417, ""high"")"),42.59)</f>
        <v>42.59</v>
      </c>
      <c r="F1417" s="9">
        <f>IFERROR(__xludf.DUMMYFUNCTION("GOOGLEFINANCE(A1417, ""low"")"),41.17)</f>
        <v>41.17</v>
      </c>
      <c r="G1417" s="9">
        <f>IFERROR(__xludf.DUMMYFUNCTION("GOOGLEFINANCE(A1417, ""price"")"),41.6)</f>
        <v>41.6</v>
      </c>
      <c r="H1417" s="9">
        <f>IFERROR(__xludf.DUMMYFUNCTION("MAX(INDEX(GOOGLEFINANCE(A1417, ""high"", TODAY()-30, TODAY()), 0, 2))"),43.94)</f>
        <v>43.94</v>
      </c>
      <c r="I1417" s="9">
        <f>IFERROR(__xludf.DUMMYFUNCTION("MIN(INDEX(GOOGLEFINANCE(A1417, ""low"", TODAY()-30, TODAY()), 0, 2))"),34.5)</f>
        <v>34.5</v>
      </c>
      <c r="J1417" s="9">
        <f>IFERROR(__xludf.DUMMYFUNCTION("GOOGLEFINANCE(A1417, ""high52"")"),43.94)</f>
        <v>43.94</v>
      </c>
      <c r="K1417" s="9">
        <f>IFERROR(__xludf.DUMMYFUNCTION("GOOGLEFINANCE(A1417, ""low52"")"),20.0)</f>
        <v>20</v>
      </c>
      <c r="L1417" s="9">
        <f t="shared" si="1"/>
        <v>0.05325443787</v>
      </c>
      <c r="M1417" s="9">
        <f t="shared" si="2"/>
        <v>1.08</v>
      </c>
      <c r="N1417" s="9">
        <f t="shared" si="3"/>
        <v>0.03449113432</v>
      </c>
      <c r="O1417" s="9">
        <f t="shared" si="4"/>
        <v>0.7521186441</v>
      </c>
      <c r="P1417" s="9">
        <f>IFERROR(__xludf.DUMMYFUNCTION("GOOGLEFINANCE(A1417, ""pe"")"),23.8)</f>
        <v>23.8</v>
      </c>
      <c r="Q1417" s="9">
        <f>IFERROR(__xludf.DUMMYFUNCTION("IFERROR(GOOGLEFINANCE(A1417, ""volume"") / GOOGLEFINANCE(A1417, ""volumeavg""), 0)"),0.0)</f>
        <v>0</v>
      </c>
      <c r="R1417" s="9">
        <f>IFERROR(__xludf.DUMMYFUNCTION("AVERAGE(INDEX(GOOGLEFINANCE(A1417, ""price"", TODAY()-30, TODAY()), 0, 2))"),38.15565217391303)</f>
        <v>38.15565217</v>
      </c>
      <c r="S1417" s="9">
        <f>IFERROR(__xludf.DUMMYFUNCTION("AVERAGE(INDEX(GOOGLEFINANCE(A1417, ""price"", TODAY()-75, TODAY()), 0, 2))"),37.80037735849057)</f>
        <v>37.80037736</v>
      </c>
      <c r="T1417" s="9">
        <f>IFERROR(__xludf.DUMMYFUNCTION("AVERAGE(INDEX(GOOGLEFINANCE(A1417, ""price"", TODAY()-300, TODAY()), 0, 2))"),30.1960396039604)</f>
        <v>30.1960396</v>
      </c>
      <c r="U1417" s="9">
        <f t="shared" si="5"/>
        <v>0.09027097245</v>
      </c>
      <c r="V1417" s="15">
        <f>IFERROR(__xludf.DUMMYFUNCTION("LET(hist, GOOGLEFINANCE(A1417,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rs))))))"),75.37248028045578)</f>
        <v>75.37248028</v>
      </c>
      <c r="W1417" s="16" t="str">
        <f>IFERROR(__xludf.DUMMYFUNCTION("IFERROR(GOOGLEFINANCE(A1417, ""volume"") / GOOGLEFINANCE(A1417, ""volumeavg""), )"),"")</f>
        <v/>
      </c>
      <c r="X1417" s="9">
        <f>IFERROR(__xludf.DUMMYFUNCTION("B1417 * GOOGLEFINANCE(A1417, ""volume"")"),1.07905824E7)</f>
        <v>10790582.4</v>
      </c>
      <c r="Y1417" s="9">
        <f>IFERROR(__xludf.DUMMYFUNCTION("IFERROR(((B1417 - GOOGLEFINANCE(A1417, ""priceopen"")) / GOOGLEFINANCE(A1417, ""priceopen"")) * GOOGLEFINANCE(A1417, ""volume""), 0)"),-3930.1363636363667)</f>
        <v>-3930.136364</v>
      </c>
    </row>
    <row r="1418">
      <c r="A1418" s="4" t="s">
        <v>3210</v>
      </c>
      <c r="B1418" s="7">
        <f>IFERROR(__xludf.DUMMYFUNCTION("GOOGLEFINANCE(A1418, ""price"")"),969.0)</f>
        <v>969</v>
      </c>
      <c r="C1418" s="7">
        <f>IFERROR(__xludf.DUMMYFUNCTION("GOOGLEFINANCE(A1418, ""changepct"")"),4.05)</f>
        <v>4.05</v>
      </c>
      <c r="D1418" s="9">
        <f>IFERROR(__xludf.DUMMYFUNCTION("GOOGLEFINANCE(A1418, ""priceopen"")"),933.0)</f>
        <v>933</v>
      </c>
      <c r="E1418" s="9">
        <f>IFERROR(__xludf.DUMMYFUNCTION("GOOGLEFINANCE(A1418, ""high"")"),969.0)</f>
        <v>969</v>
      </c>
      <c r="F1418" s="9">
        <f>IFERROR(__xludf.DUMMYFUNCTION("GOOGLEFINANCE(A1418, ""low"")"),922.15)</f>
        <v>922.15</v>
      </c>
      <c r="G1418" s="9">
        <f>IFERROR(__xludf.DUMMYFUNCTION("GOOGLEFINANCE(A1418, ""price"")"),969.0)</f>
        <v>969</v>
      </c>
      <c r="H1418" s="9">
        <f>IFERROR(__xludf.DUMMYFUNCTION("MAX(INDEX(GOOGLEFINANCE(A1418, ""high"", TODAY()-30, TODAY()), 0, 2))"),969.0)</f>
        <v>969</v>
      </c>
      <c r="I1418" s="9">
        <f>IFERROR(__xludf.DUMMYFUNCTION("MIN(INDEX(GOOGLEFINANCE(A1418, ""low"", TODAY()-30, TODAY()), 0, 2))"),845.0)</f>
        <v>845</v>
      </c>
      <c r="J1418" s="9">
        <f>IFERROR(__xludf.DUMMYFUNCTION("GOOGLEFINANCE(A1418, ""high52"")"),1031.8)</f>
        <v>1031.8</v>
      </c>
      <c r="K1418" s="9">
        <f>IFERROR(__xludf.DUMMYFUNCTION("GOOGLEFINANCE(A1418, ""low52"")"),681.05)</f>
        <v>681.05</v>
      </c>
      <c r="L1418" s="9">
        <f t="shared" si="1"/>
        <v>0.06086450863</v>
      </c>
      <c r="M1418" s="9">
        <f t="shared" si="2"/>
        <v>0.4228030247</v>
      </c>
      <c r="N1418" s="9">
        <f t="shared" si="3"/>
        <v>0.05080518354</v>
      </c>
      <c r="O1418" s="9">
        <f t="shared" si="4"/>
        <v>1</v>
      </c>
      <c r="P1418" s="9">
        <f>IFERROR(__xludf.DUMMYFUNCTION("GOOGLEFINANCE(A1418, ""pe"")"),17.22)</f>
        <v>17.22</v>
      </c>
      <c r="Q1418" s="9">
        <f>IFERROR(__xludf.DUMMYFUNCTION("IFERROR(GOOGLEFINANCE(A1418, ""volume"") / GOOGLEFINANCE(A1418, ""volumeavg""), 0)"),0.0)</f>
        <v>0</v>
      </c>
      <c r="R1418" s="9">
        <f>IFERROR(__xludf.DUMMYFUNCTION("AVERAGE(INDEX(GOOGLEFINANCE(A1418, ""price"", TODAY()-30, TODAY()), 0, 2))"),881.9978260869566)</f>
        <v>881.9978261</v>
      </c>
      <c r="S1418" s="9">
        <f>IFERROR(__xludf.DUMMYFUNCTION("AVERAGE(INDEX(GOOGLEFINANCE(A1418, ""price"", TODAY()-75, TODAY()), 0, 2))"),865.0396226415091)</f>
        <v>865.0396226</v>
      </c>
      <c r="T1418" s="9">
        <f>IFERROR(__xludf.DUMMYFUNCTION("AVERAGE(INDEX(GOOGLEFINANCE(A1418, ""price"", TODAY()-300, TODAY()), 0, 2))"),826.6985074626864)</f>
        <v>826.6985075</v>
      </c>
      <c r="U1418" s="9">
        <f t="shared" si="5"/>
        <v>0.09864216366</v>
      </c>
      <c r="V1418" s="15">
        <f>IFERROR(__xludf.DUMMYFUNCTION("LET(hist, GOOGLEFINANCE(A1418,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rs))))))"),82.19837157660999)</f>
        <v>82.19837158</v>
      </c>
      <c r="W1418" s="16" t="str">
        <f>IFERROR(__xludf.DUMMYFUNCTION("IFERROR(GOOGLEFINANCE(A1418, ""volume"") / GOOGLEFINANCE(A1418, ""volumeavg""), )"),"")</f>
        <v/>
      </c>
      <c r="X1418" s="9">
        <f>IFERROR(__xludf.DUMMYFUNCTION("B1418 * GOOGLEFINANCE(A1418, ""volume"")"),3.8478021E7)</f>
        <v>38478021</v>
      </c>
      <c r="Y1418" s="9">
        <f>IFERROR(__xludf.DUMMYFUNCTION("IFERROR(((B1418 - GOOGLEFINANCE(A1418, ""priceopen"")) / GOOGLEFINANCE(A1418, ""priceopen"")) * GOOGLEFINANCE(A1418, ""volume""), 0)"),1532.1800643086817)</f>
        <v>1532.180064</v>
      </c>
    </row>
    <row r="1419">
      <c r="A1419" s="4" t="s">
        <v>3211</v>
      </c>
      <c r="B1419" s="7">
        <f>IFERROR(__xludf.DUMMYFUNCTION("GOOGLEFINANCE(A1419, ""price"")"),540.05)</f>
        <v>540.05</v>
      </c>
      <c r="C1419" s="7">
        <f>IFERROR(__xludf.DUMMYFUNCTION("GOOGLEFINANCE(A1419, ""changepct"")"),1.01)</f>
        <v>1.01</v>
      </c>
      <c r="D1419" s="9">
        <f>IFERROR(__xludf.DUMMYFUNCTION("GOOGLEFINANCE(A1419, ""priceopen"")"),543.0)</f>
        <v>543</v>
      </c>
      <c r="E1419" s="9">
        <f>IFERROR(__xludf.DUMMYFUNCTION("GOOGLEFINANCE(A1419, ""high"")"),544.7)</f>
        <v>544.7</v>
      </c>
      <c r="F1419" s="9">
        <f>IFERROR(__xludf.DUMMYFUNCTION("GOOGLEFINANCE(A1419, ""low"")"),534.0)</f>
        <v>534</v>
      </c>
      <c r="G1419" s="9">
        <f>IFERROR(__xludf.DUMMYFUNCTION("GOOGLEFINANCE(A1419, ""price"")"),540.05)</f>
        <v>540.05</v>
      </c>
      <c r="H1419" s="9">
        <f>IFERROR(__xludf.DUMMYFUNCTION("MAX(INDEX(GOOGLEFINANCE(A1419, ""high"", TODAY()-30, TODAY()), 0, 2))"),580.25)</f>
        <v>580.25</v>
      </c>
      <c r="I1419" s="9">
        <f>IFERROR(__xludf.DUMMYFUNCTION("MIN(INDEX(GOOGLEFINANCE(A1419, ""low"", TODAY()-30, TODAY()), 0, 2))"),520.05)</f>
        <v>520.05</v>
      </c>
      <c r="J1419" s="9">
        <f>IFERROR(__xludf.DUMMYFUNCTION("GOOGLEFINANCE(A1419, ""high52"")"),657.3)</f>
        <v>657.3</v>
      </c>
      <c r="K1419" s="9">
        <f>IFERROR(__xludf.DUMMYFUNCTION("GOOGLEFINANCE(A1419, ""low52"")"),380.0)</f>
        <v>380</v>
      </c>
      <c r="L1419" s="9">
        <f t="shared" si="1"/>
        <v>0.1783812567</v>
      </c>
      <c r="M1419" s="9">
        <f t="shared" si="2"/>
        <v>0.4211842105</v>
      </c>
      <c r="N1419" s="9">
        <f t="shared" si="3"/>
        <v>0.02003745318</v>
      </c>
      <c r="O1419" s="9">
        <f t="shared" si="4"/>
        <v>0.3322259136</v>
      </c>
      <c r="P1419" s="9">
        <f>IFERROR(__xludf.DUMMYFUNCTION("GOOGLEFINANCE(A1419, ""pe"")"),50.8)</f>
        <v>50.8</v>
      </c>
      <c r="Q1419" s="9">
        <f>IFERROR(__xludf.DUMMYFUNCTION("IFERROR(GOOGLEFINANCE(A1419, ""volume"") / GOOGLEFINANCE(A1419, ""volumeavg""), 0)"),0.0)</f>
        <v>0</v>
      </c>
      <c r="R1419" s="9">
        <f>IFERROR(__xludf.DUMMYFUNCTION("AVERAGE(INDEX(GOOGLEFINANCE(A1419, ""price"", TODAY()-30, TODAY()), 0, 2))"),554.0586956521739)</f>
        <v>554.0586957</v>
      </c>
      <c r="S1419" s="9">
        <f>IFERROR(__xludf.DUMMYFUNCTION("AVERAGE(INDEX(GOOGLEFINANCE(A1419, ""price"", TODAY()-75, TODAY()), 0, 2))"),554.0830188679246)</f>
        <v>554.0830189</v>
      </c>
      <c r="T1419" s="9">
        <f>IFERROR(__xludf.DUMMYFUNCTION("AVERAGE(INDEX(GOOGLEFINANCE(A1419, ""price"", TODAY()-300, TODAY()), 0, 2))"),492.5579207920792)</f>
        <v>492.5579208</v>
      </c>
      <c r="U1419" s="9">
        <f t="shared" si="5"/>
        <v>-0.02528377546</v>
      </c>
      <c r="V1419" s="15">
        <f>IFERROR(__xludf.DUMMYFUNCTION("LET(hist, GOOGLEFINANCE(A1419,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rs))))))"),45.60496380558429)</f>
        <v>45.60496381</v>
      </c>
      <c r="W1419" s="16" t="str">
        <f>IFERROR(__xludf.DUMMYFUNCTION("IFERROR(GOOGLEFINANCE(A1419, ""volume"") / GOOGLEFINANCE(A1419, ""volumeavg""), )"),"")</f>
        <v/>
      </c>
      <c r="X1419" s="9">
        <f>IFERROR(__xludf.DUMMYFUNCTION("B1419 * GOOGLEFINANCE(A1419, ""volume"")"),932126.2999999999)</f>
        <v>932126.3</v>
      </c>
      <c r="Y1419" s="9">
        <f>IFERROR(__xludf.DUMMYFUNCTION("IFERROR(((B1419 - GOOGLEFINANCE(A1419, ""priceopen"")) / GOOGLEFINANCE(A1419, ""priceopen"")) * GOOGLEFINANCE(A1419, ""volume""), 0)"),-9.376979742173257)</f>
        <v>-9.376979742</v>
      </c>
    </row>
    <row r="1420">
      <c r="A1420" s="4" t="s">
        <v>3212</v>
      </c>
      <c r="B1420" s="7">
        <f>IFERROR(__xludf.DUMMYFUNCTION("GOOGLEFINANCE(A1420, ""price"")"),293.65)</f>
        <v>293.65</v>
      </c>
      <c r="C1420" s="7">
        <f>IFERROR(__xludf.DUMMYFUNCTION("GOOGLEFINANCE(A1420, ""changepct"")"),-2.94)</f>
        <v>-2.94</v>
      </c>
      <c r="D1420" s="9">
        <f>IFERROR(__xludf.DUMMYFUNCTION("GOOGLEFINANCE(A1420, ""priceopen"")"),305.8)</f>
        <v>305.8</v>
      </c>
      <c r="E1420" s="9">
        <f>IFERROR(__xludf.DUMMYFUNCTION("GOOGLEFINANCE(A1420, ""high"")"),306.85)</f>
        <v>306.85</v>
      </c>
      <c r="F1420" s="9">
        <f>IFERROR(__xludf.DUMMYFUNCTION("GOOGLEFINANCE(A1420, ""low"")"),292.05)</f>
        <v>292.05</v>
      </c>
      <c r="G1420" s="9">
        <f>IFERROR(__xludf.DUMMYFUNCTION("GOOGLEFINANCE(A1420, ""price"")"),293.65)</f>
        <v>293.65</v>
      </c>
      <c r="H1420" s="9">
        <f>IFERROR(__xludf.DUMMYFUNCTION("MAX(INDEX(GOOGLEFINANCE(A1420, ""high"", TODAY()-30, TODAY()), 0, 2))"),315.0)</f>
        <v>315</v>
      </c>
      <c r="I1420" s="9">
        <f>IFERROR(__xludf.DUMMYFUNCTION("MIN(INDEX(GOOGLEFINANCE(A1420, ""low"", TODAY()-30, TODAY()), 0, 2))"),250.3)</f>
        <v>250.3</v>
      </c>
      <c r="J1420" s="9">
        <f>IFERROR(__xludf.DUMMYFUNCTION("GOOGLEFINANCE(A1420, ""high52"")"),393.0)</f>
        <v>393</v>
      </c>
      <c r="K1420" s="9">
        <f>IFERROR(__xludf.DUMMYFUNCTION("GOOGLEFINANCE(A1420, ""low52"")"),165.4)</f>
        <v>165.4</v>
      </c>
      <c r="L1420" s="9">
        <f t="shared" si="1"/>
        <v>0.2527989822</v>
      </c>
      <c r="M1420" s="9">
        <f t="shared" si="2"/>
        <v>0.7753929867</v>
      </c>
      <c r="N1420" s="9">
        <f t="shared" si="3"/>
        <v>0.05067625407</v>
      </c>
      <c r="O1420" s="9">
        <f t="shared" si="4"/>
        <v>0.670015456</v>
      </c>
      <c r="P1420" s="9">
        <f>IFERROR(__xludf.DUMMYFUNCTION("GOOGLEFINANCE(A1420, ""pe"")"),22.66)</f>
        <v>22.66</v>
      </c>
      <c r="Q1420" s="9">
        <f>IFERROR(__xludf.DUMMYFUNCTION("IFERROR(GOOGLEFINANCE(A1420, ""volume"") / GOOGLEFINANCE(A1420, ""volumeavg""), 0)"),0.0)</f>
        <v>0</v>
      </c>
      <c r="R1420" s="9">
        <f>IFERROR(__xludf.DUMMYFUNCTION("AVERAGE(INDEX(GOOGLEFINANCE(A1420, ""price"", TODAY()-30, TODAY()), 0, 2))"),268.9)</f>
        <v>268.9</v>
      </c>
      <c r="S1420" s="9">
        <f>IFERROR(__xludf.DUMMYFUNCTION("AVERAGE(INDEX(GOOGLEFINANCE(A1420, ""price"", TODAY()-75, TODAY()), 0, 2))"),267.03018867924527)</f>
        <v>267.0301887</v>
      </c>
      <c r="T1420" s="9">
        <f>IFERROR(__xludf.DUMMYFUNCTION("AVERAGE(INDEX(GOOGLEFINANCE(A1420, ""price"", TODAY()-300, TODAY()), 0, 2))"),266.401881188119)</f>
        <v>266.4018812</v>
      </c>
      <c r="U1420" s="9">
        <f t="shared" si="5"/>
        <v>0.09204165117</v>
      </c>
      <c r="V1420" s="15">
        <f>IFERROR(__xludf.DUMMYFUNCTION("LET(hist, GOOGLEFINANCE(A1420,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rs))))))"),82.41491085899507)</f>
        <v>82.41491086</v>
      </c>
      <c r="W1420" s="16" t="str">
        <f>IFERROR(__xludf.DUMMYFUNCTION("IFERROR(GOOGLEFINANCE(A1420, ""volume"") / GOOGLEFINANCE(A1420, ""volumeavg""), )"),"")</f>
        <v/>
      </c>
      <c r="X1420" s="9">
        <f>IFERROR(__xludf.DUMMYFUNCTION("B1420 * GOOGLEFINANCE(A1420, ""volume"")"),3.7726390099999994E7)</f>
        <v>37726390.1</v>
      </c>
      <c r="Y1420" s="9">
        <f>IFERROR(__xludf.DUMMYFUNCTION("IFERROR(((B1420 - GOOGLEFINANCE(A1420, ""priceopen"")) / GOOGLEFINANCE(A1420, ""priceopen"")) * GOOGLEFINANCE(A1420, ""volume""), 0)"),-5104.509810333566)</f>
        <v>-5104.50981</v>
      </c>
    </row>
    <row r="1421">
      <c r="A1421" s="4" t="s">
        <v>3213</v>
      </c>
      <c r="B1421" s="7">
        <f>IFERROR(__xludf.DUMMYFUNCTION("GOOGLEFINANCE(A1421, ""price"")"),119.11)</f>
        <v>119.11</v>
      </c>
      <c r="C1421" s="7">
        <f>IFERROR(__xludf.DUMMYFUNCTION("GOOGLEFINANCE(A1421, ""changepct"")"),-2.33)</f>
        <v>-2.33</v>
      </c>
      <c r="D1421" s="9">
        <f>IFERROR(__xludf.DUMMYFUNCTION("GOOGLEFINANCE(A1421, ""priceopen"")"),121.75)</f>
        <v>121.75</v>
      </c>
      <c r="E1421" s="9">
        <f>IFERROR(__xludf.DUMMYFUNCTION("GOOGLEFINANCE(A1421, ""high"")"),121.87)</f>
        <v>121.87</v>
      </c>
      <c r="F1421" s="9">
        <f>IFERROR(__xludf.DUMMYFUNCTION("GOOGLEFINANCE(A1421, ""low"")"),118.63)</f>
        <v>118.63</v>
      </c>
      <c r="G1421" s="9">
        <f>IFERROR(__xludf.DUMMYFUNCTION("GOOGLEFINANCE(A1421, ""price"")"),119.11)</f>
        <v>119.11</v>
      </c>
      <c r="H1421" s="9">
        <f>IFERROR(__xludf.DUMMYFUNCTION("MAX(INDEX(GOOGLEFINANCE(A1421, ""high"", TODAY()-30, TODAY()), 0, 2))"),149.2)</f>
        <v>149.2</v>
      </c>
      <c r="I1421" s="9">
        <f>IFERROR(__xludf.DUMMYFUNCTION("MIN(INDEX(GOOGLEFINANCE(A1421, ""low"", TODAY()-30, TODAY()), 0, 2))"),113.5)</f>
        <v>113.5</v>
      </c>
      <c r="J1421" s="9">
        <f>IFERROR(__xludf.DUMMYFUNCTION("GOOGLEFINANCE(A1421, ""high52"")"),174.1)</f>
        <v>174.1</v>
      </c>
      <c r="K1421" s="9">
        <f>IFERROR(__xludf.DUMMYFUNCTION("GOOGLEFINANCE(A1421, ""low52"")"),85.98)</f>
        <v>85.98</v>
      </c>
      <c r="L1421" s="9">
        <f t="shared" si="1"/>
        <v>0.3158529581</v>
      </c>
      <c r="M1421" s="9">
        <f t="shared" si="2"/>
        <v>0.3853221679</v>
      </c>
      <c r="N1421" s="9">
        <f t="shared" si="3"/>
        <v>0.02731180983</v>
      </c>
      <c r="O1421" s="9">
        <f t="shared" si="4"/>
        <v>0.1571428571</v>
      </c>
      <c r="P1421" s="9">
        <f>IFERROR(__xludf.DUMMYFUNCTION("GOOGLEFINANCE(A1421, ""pe"")"),25.19)</f>
        <v>25.19</v>
      </c>
      <c r="Q1421" s="9">
        <f>IFERROR(__xludf.DUMMYFUNCTION("IFERROR(GOOGLEFINANCE(A1421, ""volume"") / GOOGLEFINANCE(A1421, ""volumeavg""), 0)"),0.0)</f>
        <v>0</v>
      </c>
      <c r="R1421" s="9">
        <f>IFERROR(__xludf.DUMMYFUNCTION("AVERAGE(INDEX(GOOGLEFINANCE(A1421, ""price"", TODAY()-30, TODAY()), 0, 2))"),126.32826086956523)</f>
        <v>126.3282609</v>
      </c>
      <c r="S1421" s="9">
        <f>IFERROR(__xludf.DUMMYFUNCTION("AVERAGE(INDEX(GOOGLEFINANCE(A1421, ""price"", TODAY()-75, TODAY()), 0, 2))"),133.4862264150944)</f>
        <v>133.4862264</v>
      </c>
      <c r="T1421" s="9">
        <f>IFERROR(__xludf.DUMMYFUNCTION("AVERAGE(INDEX(GOOGLEFINANCE(A1421, ""price"", TODAY()-300, TODAY()), 0, 2))"),121.63569306930695)</f>
        <v>121.6356931</v>
      </c>
      <c r="U1421" s="9">
        <f t="shared" si="5"/>
        <v>-0.05713892378</v>
      </c>
      <c r="V1421" s="15">
        <f>IFERROR(__xludf.DUMMYFUNCTION("LET(hist, GOOGLEFINANCE(A1421,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rs))))))"),33.224674022066196)</f>
        <v>33.22467402</v>
      </c>
      <c r="W1421" s="16" t="str">
        <f>IFERROR(__xludf.DUMMYFUNCTION("IFERROR(GOOGLEFINANCE(A1421, ""volume"") / GOOGLEFINANCE(A1421, ""volumeavg""), )"),"")</f>
        <v/>
      </c>
      <c r="X1421" s="9">
        <f>IFERROR(__xludf.DUMMYFUNCTION("B1421 * GOOGLEFINANCE(A1421, ""volume"")"),2.262125209E7)</f>
        <v>22621252.09</v>
      </c>
      <c r="Y1421" s="9">
        <f>IFERROR(__xludf.DUMMYFUNCTION("IFERROR(((B1421 - GOOGLEFINANCE(A1421, ""priceopen"")) / GOOGLEFINANCE(A1421, ""priceopen"")) * GOOGLEFINANCE(A1421, ""volume""), 0)"),-4118.161478439426)</f>
        <v>-4118.161478</v>
      </c>
    </row>
    <row r="1422">
      <c r="A1422" s="4" t="s">
        <v>3214</v>
      </c>
      <c r="B1422" s="7">
        <f>IFERROR(__xludf.DUMMYFUNCTION("GOOGLEFINANCE(A1422, ""price"")"),135.7)</f>
        <v>135.7</v>
      </c>
      <c r="C1422" s="7">
        <f>IFERROR(__xludf.DUMMYFUNCTION("GOOGLEFINANCE(A1422, ""changepct"")"),1.45)</f>
        <v>1.45</v>
      </c>
      <c r="D1422" s="9">
        <f>IFERROR(__xludf.DUMMYFUNCTION("GOOGLEFINANCE(A1422, ""priceopen"")"),133.76)</f>
        <v>133.76</v>
      </c>
      <c r="E1422" s="9">
        <f>IFERROR(__xludf.DUMMYFUNCTION("GOOGLEFINANCE(A1422, ""high"")"),137.9)</f>
        <v>137.9</v>
      </c>
      <c r="F1422" s="9">
        <f>IFERROR(__xludf.DUMMYFUNCTION("GOOGLEFINANCE(A1422, ""low"")"),133.5)</f>
        <v>133.5</v>
      </c>
      <c r="G1422" s="9">
        <f>IFERROR(__xludf.DUMMYFUNCTION("GOOGLEFINANCE(A1422, ""price"")"),135.7)</f>
        <v>135.7</v>
      </c>
      <c r="H1422" s="9">
        <f>IFERROR(__xludf.DUMMYFUNCTION("MAX(INDEX(GOOGLEFINANCE(A1422, ""high"", TODAY()-30, TODAY()), 0, 2))"),138.0)</f>
        <v>138</v>
      </c>
      <c r="I1422" s="9">
        <f>IFERROR(__xludf.DUMMYFUNCTION("MIN(INDEX(GOOGLEFINANCE(A1422, ""low"", TODAY()-30, TODAY()), 0, 2))"),106.05)</f>
        <v>106.05</v>
      </c>
      <c r="J1422" s="9">
        <f>IFERROR(__xludf.DUMMYFUNCTION("GOOGLEFINANCE(A1422, ""high52"")"),159.0)</f>
        <v>159</v>
      </c>
      <c r="K1422" s="9">
        <f>IFERROR(__xludf.DUMMYFUNCTION("GOOGLEFINANCE(A1422, ""low52"")"),82.18)</f>
        <v>82.18</v>
      </c>
      <c r="L1422" s="9">
        <f t="shared" si="1"/>
        <v>0.1465408805</v>
      </c>
      <c r="M1422" s="9">
        <f t="shared" si="2"/>
        <v>0.6512533463</v>
      </c>
      <c r="N1422" s="9">
        <f t="shared" si="3"/>
        <v>0.0329588015</v>
      </c>
      <c r="O1422" s="9">
        <f t="shared" si="4"/>
        <v>0.9280125196</v>
      </c>
      <c r="P1422" s="9">
        <f>IFERROR(__xludf.DUMMYFUNCTION("GOOGLEFINANCE(A1422, ""pe"")"),16.27)</f>
        <v>16.27</v>
      </c>
      <c r="Q1422" s="9">
        <f>IFERROR(__xludf.DUMMYFUNCTION("IFERROR(GOOGLEFINANCE(A1422, ""volume"") / GOOGLEFINANCE(A1422, ""volumeavg""), 0)"),0.0)</f>
        <v>0</v>
      </c>
      <c r="R1422" s="9">
        <f>IFERROR(__xludf.DUMMYFUNCTION("AVERAGE(INDEX(GOOGLEFINANCE(A1422, ""price"", TODAY()-30, TODAY()), 0, 2))"),123.6221739130435)</f>
        <v>123.6221739</v>
      </c>
      <c r="S1422" s="9">
        <f>IFERROR(__xludf.DUMMYFUNCTION("AVERAGE(INDEX(GOOGLEFINANCE(A1422, ""price"", TODAY()-75, TODAY()), 0, 2))"),118.6441509433962)</f>
        <v>118.6441509</v>
      </c>
      <c r="T1422" s="9">
        <f>IFERROR(__xludf.DUMMYFUNCTION("AVERAGE(INDEX(GOOGLEFINANCE(A1422, ""price"", TODAY()-300, TODAY()), 0, 2))"),117.37849206349206)</f>
        <v>117.3784921</v>
      </c>
      <c r="U1422" s="9">
        <f t="shared" si="5"/>
        <v>0.09769951219</v>
      </c>
      <c r="V1422" s="15">
        <f>IFERROR(__xludf.DUMMYFUNCTION("LET(hist, GOOGLEFINANCE(A1422,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rs))))))"),82.52190847127565)</f>
        <v>82.52190847</v>
      </c>
      <c r="W1422" s="16" t="str">
        <f>IFERROR(__xludf.DUMMYFUNCTION("IFERROR(GOOGLEFINANCE(A1422, ""volume"") / GOOGLEFINANCE(A1422, ""volumeavg""), )"),"")</f>
        <v/>
      </c>
      <c r="X1422" s="9">
        <f>IFERROR(__xludf.DUMMYFUNCTION("B1422 * GOOGLEFINANCE(A1422, ""volume"")"),1.9488609779999998E8)</f>
        <v>194886097.8</v>
      </c>
      <c r="Y1422" s="9">
        <f>IFERROR(__xludf.DUMMYFUNCTION("IFERROR(((B1422 - GOOGLEFINANCE(A1422, ""priceopen"")) / GOOGLEFINANCE(A1422, ""priceopen"")) * GOOGLEFINANCE(A1422, ""volume""), 0)"),20829.386662679404)</f>
        <v>20829.38666</v>
      </c>
    </row>
    <row r="1423">
      <c r="A1423" s="4" t="s">
        <v>3215</v>
      </c>
      <c r="B1423" s="7">
        <f>IFERROR(__xludf.DUMMYFUNCTION("GOOGLEFINANCE(A1423, ""price"")"),155.5)</f>
        <v>155.5</v>
      </c>
      <c r="C1423" s="7">
        <f>IFERROR(__xludf.DUMMYFUNCTION("GOOGLEFINANCE(A1423, ""changepct"")"),0.96)</f>
        <v>0.96</v>
      </c>
      <c r="D1423" s="9">
        <f>IFERROR(__xludf.DUMMYFUNCTION("GOOGLEFINANCE(A1423, ""priceopen"")"),154.99)</f>
        <v>154.99</v>
      </c>
      <c r="E1423" s="9">
        <f>IFERROR(__xludf.DUMMYFUNCTION("GOOGLEFINANCE(A1423, ""high"")"),161.0)</f>
        <v>161</v>
      </c>
      <c r="F1423" s="9">
        <f>IFERROR(__xludf.DUMMYFUNCTION("GOOGLEFINANCE(A1423, ""low"")"),152.0)</f>
        <v>152</v>
      </c>
      <c r="G1423" s="9">
        <f>IFERROR(__xludf.DUMMYFUNCTION("GOOGLEFINANCE(A1423, ""price"")"),155.5)</f>
        <v>155.5</v>
      </c>
      <c r="H1423" s="9">
        <f>IFERROR(__xludf.DUMMYFUNCTION("MAX(INDEX(GOOGLEFINANCE(A1423, ""high"", TODAY()-30, TODAY()), 0, 2))"),161.0)</f>
        <v>161</v>
      </c>
      <c r="I1423" s="9">
        <f>IFERROR(__xludf.DUMMYFUNCTION("MIN(INDEX(GOOGLEFINANCE(A1423, ""low"", TODAY()-30, TODAY()), 0, 2))"),141.96)</f>
        <v>141.96</v>
      </c>
      <c r="J1423" s="9">
        <f>IFERROR(__xludf.DUMMYFUNCTION("GOOGLEFINANCE(A1423, ""high52"")"),179.9)</f>
        <v>179.9</v>
      </c>
      <c r="K1423" s="9">
        <f>IFERROR(__xludf.DUMMYFUNCTION("GOOGLEFINANCE(A1423, ""low52"")"),121.51)</f>
        <v>121.51</v>
      </c>
      <c r="L1423" s="9">
        <f t="shared" si="1"/>
        <v>0.1356309061</v>
      </c>
      <c r="M1423" s="9">
        <f t="shared" si="2"/>
        <v>0.2797300634</v>
      </c>
      <c r="N1423" s="9">
        <f t="shared" si="3"/>
        <v>0.05921052632</v>
      </c>
      <c r="O1423" s="9">
        <f t="shared" si="4"/>
        <v>0.7111344538</v>
      </c>
      <c r="P1423" s="9">
        <f>IFERROR(__xludf.DUMMYFUNCTION("GOOGLEFINANCE(A1423, ""pe"")"),38.0)</f>
        <v>38</v>
      </c>
      <c r="Q1423" s="9">
        <f>IFERROR(__xludf.DUMMYFUNCTION("IFERROR(GOOGLEFINANCE(A1423, ""volume"") / GOOGLEFINANCE(A1423, ""volumeavg""), 0)"),0.0)</f>
        <v>0</v>
      </c>
      <c r="R1423" s="9">
        <f>IFERROR(__xludf.DUMMYFUNCTION("AVERAGE(INDEX(GOOGLEFINANCE(A1423, ""price"", TODAY()-30, TODAY()), 0, 2))"),150.17956521739129)</f>
        <v>150.1795652</v>
      </c>
      <c r="S1423" s="9">
        <f>IFERROR(__xludf.DUMMYFUNCTION("AVERAGE(INDEX(GOOGLEFINANCE(A1423, ""price"", TODAY()-75, TODAY()), 0, 2))"),147.51415094339623)</f>
        <v>147.5141509</v>
      </c>
      <c r="T1423" s="9">
        <f>IFERROR(__xludf.DUMMYFUNCTION("AVERAGE(INDEX(GOOGLEFINANCE(A1423, ""price"", TODAY()-300, TODAY()), 0, 2))"),143.96316831683177)</f>
        <v>143.9631683</v>
      </c>
      <c r="U1423" s="9">
        <f t="shared" si="5"/>
        <v>0.03542715532</v>
      </c>
      <c r="V1423" s="15">
        <f>IFERROR(__xludf.DUMMYFUNCTION("LET(hist, GOOGLEFINANCE(A1423,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rs))))))"),55.29045643153528)</f>
        <v>55.29045643</v>
      </c>
      <c r="W1423" s="16" t="str">
        <f>IFERROR(__xludf.DUMMYFUNCTION("IFERROR(GOOGLEFINANCE(A1423, ""volume"") / GOOGLEFINANCE(A1423, ""volumeavg""), )"),"")</f>
        <v/>
      </c>
      <c r="X1423" s="9">
        <f>IFERROR(__xludf.DUMMYFUNCTION("B1423 * GOOGLEFINANCE(A1423, ""volume"")"),9.89291E7)</f>
        <v>98929100</v>
      </c>
      <c r="Y1423" s="9">
        <f>IFERROR(__xludf.DUMMYFUNCTION("IFERROR(((B1423 - GOOGLEFINANCE(A1423, ""priceopen"")) / GOOGLEFINANCE(A1423, ""priceopen"")) * GOOGLEFINANCE(A1423, ""volume""), 0)"),2093.438286341017)</f>
        <v>2093.438286</v>
      </c>
    </row>
    <row r="1424">
      <c r="A1424" s="4" t="s">
        <v>3216</v>
      </c>
      <c r="B1424" s="7">
        <f>IFERROR(__xludf.DUMMYFUNCTION("GOOGLEFINANCE(A1424, ""price"")"),450.4)</f>
        <v>450.4</v>
      </c>
      <c r="C1424" s="7">
        <f>IFERROR(__xludf.DUMMYFUNCTION("GOOGLEFINANCE(A1424, ""changepct"")"),2.04)</f>
        <v>2.04</v>
      </c>
      <c r="D1424" s="9">
        <f>IFERROR(__xludf.DUMMYFUNCTION("GOOGLEFINANCE(A1424, ""priceopen"")"),441.4)</f>
        <v>441.4</v>
      </c>
      <c r="E1424" s="9">
        <f>IFERROR(__xludf.DUMMYFUNCTION("GOOGLEFINANCE(A1424, ""high"")"),453.0)</f>
        <v>453</v>
      </c>
      <c r="F1424" s="9">
        <f>IFERROR(__xludf.DUMMYFUNCTION("GOOGLEFINANCE(A1424, ""low"")"),435.1)</f>
        <v>435.1</v>
      </c>
      <c r="G1424" s="9">
        <f>IFERROR(__xludf.DUMMYFUNCTION("GOOGLEFINANCE(A1424, ""price"")"),450.4)</f>
        <v>450.4</v>
      </c>
      <c r="H1424" s="9">
        <f>IFERROR(__xludf.DUMMYFUNCTION("MAX(INDEX(GOOGLEFINANCE(A1424, ""high"", TODAY()-30, TODAY()), 0, 2))"),530.0)</f>
        <v>530</v>
      </c>
      <c r="I1424" s="9">
        <f>IFERROR(__xludf.DUMMYFUNCTION("MIN(INDEX(GOOGLEFINANCE(A1424, ""low"", TODAY()-30, TODAY()), 0, 2))"),435.1)</f>
        <v>435.1</v>
      </c>
      <c r="J1424" s="9">
        <f>IFERROR(__xludf.DUMMYFUNCTION("GOOGLEFINANCE(A1424, ""high52"")"),890.0)</f>
        <v>890</v>
      </c>
      <c r="K1424" s="9">
        <f>IFERROR(__xludf.DUMMYFUNCTION("GOOGLEFINANCE(A1424, ""low52"")"),383.5)</f>
        <v>383.5</v>
      </c>
      <c r="L1424" s="9">
        <f t="shared" si="1"/>
        <v>0.4939325843</v>
      </c>
      <c r="M1424" s="9">
        <f t="shared" si="2"/>
        <v>0.1744458931</v>
      </c>
      <c r="N1424" s="9">
        <f t="shared" si="3"/>
        <v>0.04113996782</v>
      </c>
      <c r="O1424" s="9">
        <f t="shared" si="4"/>
        <v>0.1612223393</v>
      </c>
      <c r="P1424" s="9">
        <f>IFERROR(__xludf.DUMMYFUNCTION("GOOGLEFINANCE(A1424, ""pe"")"),17.25)</f>
        <v>17.25</v>
      </c>
      <c r="Q1424" s="9">
        <f>IFERROR(__xludf.DUMMYFUNCTION("IFERROR(GOOGLEFINANCE(A1424, ""volume"") / GOOGLEFINANCE(A1424, ""volumeavg""), 0)"),0.0)</f>
        <v>0</v>
      </c>
      <c r="R1424" s="9">
        <f>IFERROR(__xludf.DUMMYFUNCTION("AVERAGE(INDEX(GOOGLEFINANCE(A1424, ""price"", TODAY()-30, TODAY()), 0, 2))"),474.66739130434775)</f>
        <v>474.6673913</v>
      </c>
      <c r="S1424" s="9">
        <f>IFERROR(__xludf.DUMMYFUNCTION("AVERAGE(INDEX(GOOGLEFINANCE(A1424, ""price"", TODAY()-75, TODAY()), 0, 2))"),511.0764150943396)</f>
        <v>511.0764151</v>
      </c>
      <c r="T1424" s="9">
        <f>IFERROR(__xludf.DUMMYFUNCTION("AVERAGE(INDEX(GOOGLEFINANCE(A1424, ""price"", TODAY()-300, TODAY()), 0, 2))"),509.1985148514852)</f>
        <v>509.1985149</v>
      </c>
      <c r="U1424" s="9">
        <f t="shared" si="5"/>
        <v>-0.05112504408</v>
      </c>
      <c r="V1424" s="15">
        <f>IFERROR(__xludf.DUMMYFUNCTION("LET(hist, GOOGLEFINANCE(A1424,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rs))))))"),39.517937219730925)</f>
        <v>39.51793722</v>
      </c>
      <c r="W1424" s="16" t="str">
        <f>IFERROR(__xludf.DUMMYFUNCTION("IFERROR(GOOGLEFINANCE(A1424, ""volume"") / GOOGLEFINANCE(A1424, ""volumeavg""), )"),"")</f>
        <v/>
      </c>
      <c r="X1424" s="9">
        <f>IFERROR(__xludf.DUMMYFUNCTION("B1424 * GOOGLEFINANCE(A1424, ""volume"")"),2.54782272E7)</f>
        <v>25478227.2</v>
      </c>
      <c r="Y1424" s="9">
        <f>IFERROR(__xludf.DUMMYFUNCTION("IFERROR(((B1424 - GOOGLEFINANCE(A1424, ""priceopen"")) / GOOGLEFINANCE(A1424, ""priceopen"")) * GOOGLEFINANCE(A1424, ""volume""), 0)"),1153.4028092433168)</f>
        <v>1153.402809</v>
      </c>
    </row>
    <row r="1425">
      <c r="A1425" s="4" t="s">
        <v>3217</v>
      </c>
      <c r="B1425" s="7">
        <f>IFERROR(__xludf.DUMMYFUNCTION("GOOGLEFINANCE(A1425, ""price"")"),730.3)</f>
        <v>730.3</v>
      </c>
      <c r="C1425" s="7">
        <f>IFERROR(__xludf.DUMMYFUNCTION("GOOGLEFINANCE(A1425, ""changepct"")"),-2.0)</f>
        <v>-2</v>
      </c>
      <c r="D1425" s="9">
        <f>IFERROR(__xludf.DUMMYFUNCTION("GOOGLEFINANCE(A1425, ""priceopen"")"),734.45)</f>
        <v>734.45</v>
      </c>
      <c r="E1425" s="9">
        <f>IFERROR(__xludf.DUMMYFUNCTION("GOOGLEFINANCE(A1425, ""high"")"),760.1)</f>
        <v>760.1</v>
      </c>
      <c r="F1425" s="9">
        <f>IFERROR(__xludf.DUMMYFUNCTION("GOOGLEFINANCE(A1425, ""low"")"),730.3)</f>
        <v>730.3</v>
      </c>
      <c r="G1425" s="9">
        <f>IFERROR(__xludf.DUMMYFUNCTION("GOOGLEFINANCE(A1425, ""price"")"),730.3)</f>
        <v>730.3</v>
      </c>
      <c r="H1425" s="9">
        <f>IFERROR(__xludf.DUMMYFUNCTION("MAX(INDEX(GOOGLEFINANCE(A1425, ""high"", TODAY()-30, TODAY()), 0, 2))"),846.8)</f>
        <v>846.8</v>
      </c>
      <c r="I1425" s="9">
        <f>IFERROR(__xludf.DUMMYFUNCTION("MIN(INDEX(GOOGLEFINANCE(A1425, ""low"", TODAY()-30, TODAY()), 0, 2))"),667.7)</f>
        <v>667.7</v>
      </c>
      <c r="J1425" s="9">
        <f>IFERROR(__xludf.DUMMYFUNCTION("GOOGLEFINANCE(A1425, ""high52"")"),861.0)</f>
        <v>861</v>
      </c>
      <c r="K1425" s="9">
        <f>IFERROR(__xludf.DUMMYFUNCTION("GOOGLEFINANCE(A1425, ""low52"")"),428.05)</f>
        <v>428.05</v>
      </c>
      <c r="L1425" s="9">
        <f t="shared" si="1"/>
        <v>0.1518002323</v>
      </c>
      <c r="M1425" s="9">
        <f t="shared" si="2"/>
        <v>0.7061090994</v>
      </c>
      <c r="N1425" s="9">
        <f t="shared" si="3"/>
        <v>0.04080514857</v>
      </c>
      <c r="O1425" s="9">
        <f t="shared" si="4"/>
        <v>0.3495254048</v>
      </c>
      <c r="P1425" s="9">
        <f>IFERROR(__xludf.DUMMYFUNCTION("GOOGLEFINANCE(A1425, ""pe"")"),64.2)</f>
        <v>64.2</v>
      </c>
      <c r="Q1425" s="9">
        <f>IFERROR(__xludf.DUMMYFUNCTION("IFERROR(GOOGLEFINANCE(A1425, ""volume"") / GOOGLEFINANCE(A1425, ""volumeavg""), 0)"),0.0)</f>
        <v>0</v>
      </c>
      <c r="R1425" s="9">
        <f>IFERROR(__xludf.DUMMYFUNCTION("AVERAGE(INDEX(GOOGLEFINANCE(A1425, ""price"", TODAY()-30, TODAY()), 0, 2))"),756.0608695652174)</f>
        <v>756.0608696</v>
      </c>
      <c r="S1425" s="9">
        <f>IFERROR(__xludf.DUMMYFUNCTION("AVERAGE(INDEX(GOOGLEFINANCE(A1425, ""price"", TODAY()-75, TODAY()), 0, 2))"),689.3216981132075)</f>
        <v>689.3216981</v>
      </c>
      <c r="T1425" s="9">
        <f>IFERROR(__xludf.DUMMYFUNCTION("AVERAGE(INDEX(GOOGLEFINANCE(A1425, ""price"", TODAY()-300, TODAY()), 0, 2))"),648.3629353233832)</f>
        <v>648.3629353</v>
      </c>
      <c r="U1425" s="9">
        <f t="shared" si="5"/>
        <v>-0.03407248094</v>
      </c>
      <c r="V1425" s="15">
        <f>IFERROR(__xludf.DUMMYFUNCTION("LET(hist, GOOGLEFINANCE(A1425,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rs))))))"),40.81500646830529)</f>
        <v>40.81500647</v>
      </c>
      <c r="W1425" s="16" t="str">
        <f>IFERROR(__xludf.DUMMYFUNCTION("IFERROR(GOOGLEFINANCE(A1425, ""volume"") / GOOGLEFINANCE(A1425, ""volumeavg""), )"),"")</f>
        <v/>
      </c>
      <c r="X1425" s="9">
        <f>IFERROR(__xludf.DUMMYFUNCTION("B1425 * GOOGLEFINANCE(A1425, ""volume"")"),1.4621336299999999E7)</f>
        <v>14621336.3</v>
      </c>
      <c r="Y1425" s="9">
        <f>IFERROR(__xludf.DUMMYFUNCTION("IFERROR(((B1425 - GOOGLEFINANCE(A1425, ""priceopen"")) / GOOGLEFINANCE(A1425, ""priceopen"")) * GOOGLEFINANCE(A1425, ""volume""), 0)"),-113.12839539791928)</f>
        <v>-113.1283954</v>
      </c>
    </row>
    <row r="1426">
      <c r="A1426" s="4" t="s">
        <v>3218</v>
      </c>
      <c r="B1426" s="7">
        <f>IFERROR(__xludf.DUMMYFUNCTION("GOOGLEFINANCE(A1426, ""price"")"),569.85)</f>
        <v>569.85</v>
      </c>
      <c r="C1426" s="7">
        <f>IFERROR(__xludf.DUMMYFUNCTION("GOOGLEFINANCE(A1426, ""changepct"")"),-0.01)</f>
        <v>-0.01</v>
      </c>
      <c r="D1426" s="9">
        <f>IFERROR(__xludf.DUMMYFUNCTION("GOOGLEFINANCE(A1426, ""priceopen"")"),570.0)</f>
        <v>570</v>
      </c>
      <c r="E1426" s="9">
        <f>IFERROR(__xludf.DUMMYFUNCTION("GOOGLEFINANCE(A1426, ""high"")"),578.55)</f>
        <v>578.55</v>
      </c>
      <c r="F1426" s="9">
        <f>IFERROR(__xludf.DUMMYFUNCTION("GOOGLEFINANCE(A1426, ""low"")"),564.75)</f>
        <v>564.75</v>
      </c>
      <c r="G1426" s="9">
        <f>IFERROR(__xludf.DUMMYFUNCTION("GOOGLEFINANCE(A1426, ""price"")"),569.85)</f>
        <v>569.85</v>
      </c>
      <c r="H1426" s="9">
        <f>IFERROR(__xludf.DUMMYFUNCTION("MAX(INDEX(GOOGLEFINANCE(A1426, ""high"", TODAY()-30, TODAY()), 0, 2))"),632.6)</f>
        <v>632.6</v>
      </c>
      <c r="I1426" s="9">
        <f>IFERROR(__xludf.DUMMYFUNCTION("MIN(INDEX(GOOGLEFINANCE(A1426, ""low"", TODAY()-30, TODAY()), 0, 2))"),549.8)</f>
        <v>549.8</v>
      </c>
      <c r="J1426" s="9">
        <f>IFERROR(__xludf.DUMMYFUNCTION("GOOGLEFINANCE(A1426, ""high52"")"),952.5)</f>
        <v>952.5</v>
      </c>
      <c r="K1426" s="9">
        <f>IFERROR(__xludf.DUMMYFUNCTION("GOOGLEFINANCE(A1426, ""low52"")"),488.8)</f>
        <v>488.8</v>
      </c>
      <c r="L1426" s="9">
        <f t="shared" si="1"/>
        <v>0.4017322835</v>
      </c>
      <c r="M1426" s="9">
        <f t="shared" si="2"/>
        <v>0.165814239</v>
      </c>
      <c r="N1426" s="9">
        <f t="shared" si="3"/>
        <v>0.02443559097</v>
      </c>
      <c r="O1426" s="9">
        <f t="shared" si="4"/>
        <v>0.2421497585</v>
      </c>
      <c r="P1426" s="9">
        <f>IFERROR(__xludf.DUMMYFUNCTION("GOOGLEFINANCE(A1426, ""pe"")"),19.03)</f>
        <v>19.03</v>
      </c>
      <c r="Q1426" s="9">
        <f>IFERROR(__xludf.DUMMYFUNCTION("IFERROR(GOOGLEFINANCE(A1426, ""volume"") / GOOGLEFINANCE(A1426, ""volumeavg""), 0)"),0.0)</f>
        <v>0</v>
      </c>
      <c r="R1426" s="9">
        <f>IFERROR(__xludf.DUMMYFUNCTION("AVERAGE(INDEX(GOOGLEFINANCE(A1426, ""price"", TODAY()-30, TODAY()), 0, 2))"),587.5978260869564)</f>
        <v>587.5978261</v>
      </c>
      <c r="S1426" s="9">
        <f>IFERROR(__xludf.DUMMYFUNCTION("AVERAGE(INDEX(GOOGLEFINANCE(A1426, ""price"", TODAY()-75, TODAY()), 0, 2))"),613.5716981132075)</f>
        <v>613.5716981</v>
      </c>
      <c r="T1426" s="9">
        <f>IFERROR(__xludf.DUMMYFUNCTION("AVERAGE(INDEX(GOOGLEFINANCE(A1426, ""price"", TODAY()-300, TODAY()), 0, 2))"),651.150495049505)</f>
        <v>651.150495</v>
      </c>
      <c r="U1426" s="9">
        <f t="shared" si="5"/>
        <v>-0.03020403633</v>
      </c>
      <c r="V1426" s="15">
        <f>IFERROR(__xludf.DUMMYFUNCTION("LET(hist, GOOGLEFINANCE(A1426,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rs))))))"),46.3949843260188)</f>
        <v>46.39498433</v>
      </c>
      <c r="W1426" s="16" t="str">
        <f>IFERROR(__xludf.DUMMYFUNCTION("IFERROR(GOOGLEFINANCE(A1426, ""volume"") / GOOGLEFINANCE(A1426, ""volumeavg""), )"),"")</f>
        <v/>
      </c>
      <c r="X1426" s="9">
        <f>IFERROR(__xludf.DUMMYFUNCTION("B1426 * GOOGLEFINANCE(A1426, ""volume"")"),4.0748833800000004E7)</f>
        <v>40748833.8</v>
      </c>
      <c r="Y1426" s="9">
        <f>IFERROR(__xludf.DUMMYFUNCTION("IFERROR(((B1426 - GOOGLEFINANCE(A1426, ""priceopen"")) / GOOGLEFINANCE(A1426, ""priceopen"")) * GOOGLEFINANCE(A1426, ""volume""), 0)"),-18.817894736839254)</f>
        <v>-18.81789474</v>
      </c>
    </row>
    <row r="1427">
      <c r="A1427" s="4" t="s">
        <v>3219</v>
      </c>
      <c r="B1427" s="7">
        <f>IFERROR(__xludf.DUMMYFUNCTION("GOOGLEFINANCE(A1427, ""price"")"),201.98)</f>
        <v>201.98</v>
      </c>
      <c r="C1427" s="7">
        <f>IFERROR(__xludf.DUMMYFUNCTION("GOOGLEFINANCE(A1427, ""changepct"")"),3.55)</f>
        <v>3.55</v>
      </c>
      <c r="D1427" s="9">
        <f>IFERROR(__xludf.DUMMYFUNCTION("GOOGLEFINANCE(A1427, ""priceopen"")"),198.71)</f>
        <v>198.71</v>
      </c>
      <c r="E1427" s="9">
        <f>IFERROR(__xludf.DUMMYFUNCTION("GOOGLEFINANCE(A1427, ""high"")"),202.0)</f>
        <v>202</v>
      </c>
      <c r="F1427" s="9">
        <f>IFERROR(__xludf.DUMMYFUNCTION("GOOGLEFINANCE(A1427, ""low"")"),194.61)</f>
        <v>194.61</v>
      </c>
      <c r="G1427" s="9">
        <f>IFERROR(__xludf.DUMMYFUNCTION("GOOGLEFINANCE(A1427, ""price"")"),201.98)</f>
        <v>201.98</v>
      </c>
      <c r="H1427" s="9">
        <f>IFERROR(__xludf.DUMMYFUNCTION("MAX(INDEX(GOOGLEFINANCE(A1427, ""high"", TODAY()-30, TODAY()), 0, 2))"),224.9)</f>
        <v>224.9</v>
      </c>
      <c r="I1427" s="9">
        <f>IFERROR(__xludf.DUMMYFUNCTION("MIN(INDEX(GOOGLEFINANCE(A1427, ""low"", TODAY()-30, TODAY()), 0, 2))"),190.5)</f>
        <v>190.5</v>
      </c>
      <c r="J1427" s="9">
        <f>IFERROR(__xludf.DUMMYFUNCTION("GOOGLEFINANCE(A1427, ""high52"")"),399.58)</f>
        <v>399.58</v>
      </c>
      <c r="K1427" s="9">
        <f>IFERROR(__xludf.DUMMYFUNCTION("GOOGLEFINANCE(A1427, ""low52"")"),190.5)</f>
        <v>190.5</v>
      </c>
      <c r="L1427" s="9">
        <f t="shared" si="1"/>
        <v>0.4945192452</v>
      </c>
      <c r="M1427" s="9">
        <f t="shared" si="2"/>
        <v>0.06026246719</v>
      </c>
      <c r="N1427" s="9">
        <f t="shared" si="3"/>
        <v>0.03797338266</v>
      </c>
      <c r="O1427" s="9">
        <f t="shared" si="4"/>
        <v>0.3337209302</v>
      </c>
      <c r="P1427" s="9">
        <f>IFERROR(__xludf.DUMMYFUNCTION("GOOGLEFINANCE(A1427, ""pe"")"),229.52)</f>
        <v>229.52</v>
      </c>
      <c r="Q1427" s="9">
        <f>IFERROR(__xludf.DUMMYFUNCTION("IFERROR(GOOGLEFINANCE(A1427, ""volume"") / GOOGLEFINANCE(A1427, ""volumeavg""), 0)"),0.0)</f>
        <v>0</v>
      </c>
      <c r="R1427" s="9">
        <f>IFERROR(__xludf.DUMMYFUNCTION("AVERAGE(INDEX(GOOGLEFINANCE(A1427, ""price"", TODAY()-30, TODAY()), 0, 2))"),204.6178260869565)</f>
        <v>204.6178261</v>
      </c>
      <c r="S1427" s="9">
        <f>IFERROR(__xludf.DUMMYFUNCTION("AVERAGE(INDEX(GOOGLEFINANCE(A1427, ""price"", TODAY()-75, TODAY()), 0, 2))"),217.07132075471696)</f>
        <v>217.0713208</v>
      </c>
      <c r="T1427" s="9">
        <f>IFERROR(__xludf.DUMMYFUNCTION("AVERAGE(INDEX(GOOGLEFINANCE(A1427, ""price"", TODAY()-300, TODAY()), 0, 2))"),257.9456930693071)</f>
        <v>257.9456931</v>
      </c>
      <c r="U1427" s="9">
        <f t="shared" si="5"/>
        <v>-0.01289147743</v>
      </c>
      <c r="V1427" s="15">
        <f>IFERROR(__xludf.DUMMYFUNCTION("LET(hist, GOOGLEFINANCE(A1427,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rs))))))"),39.73040085136567)</f>
        <v>39.73040085</v>
      </c>
      <c r="W1427" s="16" t="str">
        <f>IFERROR(__xludf.DUMMYFUNCTION("IFERROR(GOOGLEFINANCE(A1427, ""volume"") / GOOGLEFINANCE(A1427, ""volumeavg""), )"),"")</f>
        <v/>
      </c>
      <c r="X1427" s="9">
        <f>IFERROR(__xludf.DUMMYFUNCTION("B1427 * GOOGLEFINANCE(A1427, ""volume"")"),2172698.86)</f>
        <v>2172698.86</v>
      </c>
      <c r="Y1427" s="9">
        <f>IFERROR(__xludf.DUMMYFUNCTION("IFERROR(((B1427 - GOOGLEFINANCE(A1427, ""priceopen"")) / GOOGLEFINANCE(A1427, ""priceopen"")) * GOOGLEFINANCE(A1427, ""volume""), 0)"),177.01872074882897)</f>
        <v>177.0187207</v>
      </c>
    </row>
    <row r="1428">
      <c r="A1428" s="4" t="s">
        <v>3220</v>
      </c>
      <c r="B1428" s="7">
        <f>IFERROR(__xludf.DUMMYFUNCTION("GOOGLEFINANCE(A1428, ""price"")"),1785.6)</f>
        <v>1785.6</v>
      </c>
      <c r="C1428" s="7">
        <f>IFERROR(__xludf.DUMMYFUNCTION("GOOGLEFINANCE(A1428, ""changepct"")"),-1.15)</f>
        <v>-1.15</v>
      </c>
      <c r="D1428" s="9">
        <f>IFERROR(__xludf.DUMMYFUNCTION("GOOGLEFINANCE(A1428, ""priceopen"")"),1814.0)</f>
        <v>1814</v>
      </c>
      <c r="E1428" s="9">
        <f>IFERROR(__xludf.DUMMYFUNCTION("GOOGLEFINANCE(A1428, ""high"")"),1814.0)</f>
        <v>1814</v>
      </c>
      <c r="F1428" s="9">
        <f>IFERROR(__xludf.DUMMYFUNCTION("GOOGLEFINANCE(A1428, ""low"")"),1782.0)</f>
        <v>1782</v>
      </c>
      <c r="G1428" s="9">
        <f>IFERROR(__xludf.DUMMYFUNCTION("GOOGLEFINANCE(A1428, ""price"")"),1785.6)</f>
        <v>1785.6</v>
      </c>
      <c r="H1428" s="9">
        <f>IFERROR(__xludf.DUMMYFUNCTION("MAX(INDEX(GOOGLEFINANCE(A1428, ""high"", TODAY()-30, TODAY()), 0, 2))"),1921.3)</f>
        <v>1921.3</v>
      </c>
      <c r="I1428" s="9">
        <f>IFERROR(__xludf.DUMMYFUNCTION("MIN(INDEX(GOOGLEFINANCE(A1428, ""low"", TODAY()-30, TODAY()), 0, 2))"),1740.2)</f>
        <v>1740.2</v>
      </c>
      <c r="J1428" s="9">
        <f>IFERROR(__xludf.DUMMYFUNCTION("GOOGLEFINANCE(A1428, ""high52"")"),2380.0)</f>
        <v>2380</v>
      </c>
      <c r="K1428" s="9">
        <f>IFERROR(__xludf.DUMMYFUNCTION("GOOGLEFINANCE(A1428, ""low52"")"),1405.5)</f>
        <v>1405.5</v>
      </c>
      <c r="L1428" s="9">
        <f t="shared" si="1"/>
        <v>0.2497478992</v>
      </c>
      <c r="M1428" s="9">
        <f t="shared" si="2"/>
        <v>0.2704375667</v>
      </c>
      <c r="N1428" s="9">
        <f t="shared" si="3"/>
        <v>0.01795735129</v>
      </c>
      <c r="O1428" s="9">
        <f t="shared" si="4"/>
        <v>0.2506902264</v>
      </c>
      <c r="P1428" s="9">
        <f>IFERROR(__xludf.DUMMYFUNCTION("GOOGLEFINANCE(A1428, ""pe"")"),26.0)</f>
        <v>26</v>
      </c>
      <c r="Q1428" s="9">
        <f>IFERROR(__xludf.DUMMYFUNCTION("IFERROR(GOOGLEFINANCE(A1428, ""volume"") / GOOGLEFINANCE(A1428, ""volumeavg""), 0)"),0.0)</f>
        <v>0</v>
      </c>
      <c r="R1428" s="9">
        <f>IFERROR(__xludf.DUMMYFUNCTION("AVERAGE(INDEX(GOOGLEFINANCE(A1428, ""price"", TODAY()-30, TODAY()), 0, 2))"),1813.678260869565)</f>
        <v>1813.678261</v>
      </c>
      <c r="S1428" s="9">
        <f>IFERROR(__xludf.DUMMYFUNCTION("AVERAGE(INDEX(GOOGLEFINANCE(A1428, ""price"", TODAY()-75, TODAY()), 0, 2))"),1735.047169811321)</f>
        <v>1735.04717</v>
      </c>
      <c r="T1428" s="9">
        <f>IFERROR(__xludf.DUMMYFUNCTION("AVERAGE(INDEX(GOOGLEFINANCE(A1428, ""price"", TODAY()-300, TODAY()), 0, 2))"),1656.9064356435645)</f>
        <v>1656.906436</v>
      </c>
      <c r="U1428" s="9">
        <f t="shared" si="5"/>
        <v>-0.01548139021</v>
      </c>
      <c r="V1428" s="15">
        <f>IFERROR(__xludf.DUMMYFUNCTION("LET(hist, GOOGLEFINANCE(A1428,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rs))))))"),50.348306509728545)</f>
        <v>50.34830651</v>
      </c>
      <c r="W1428" s="16" t="str">
        <f>IFERROR(__xludf.DUMMYFUNCTION("IFERROR(GOOGLEFINANCE(A1428, ""volume"") / GOOGLEFINANCE(A1428, ""volumeavg""), )"),"")</f>
        <v/>
      </c>
      <c r="X1428" s="9">
        <f>IFERROR(__xludf.DUMMYFUNCTION("B1428 * GOOGLEFINANCE(A1428, ""volume"")"),1.16546112E7)</f>
        <v>11654611.2</v>
      </c>
      <c r="Y1428" s="9">
        <f>IFERROR(__xludf.DUMMYFUNCTION("IFERROR(((B1428 - GOOGLEFINANCE(A1428, ""priceopen"")) / GOOGLEFINANCE(A1428, ""priceopen"")) * GOOGLEFINANCE(A1428, ""volume""), 0)"),-102.18676957001135)</f>
        <v>-102.1867696</v>
      </c>
    </row>
    <row r="1429">
      <c r="A1429" s="4" t="s">
        <v>3221</v>
      </c>
      <c r="B1429" s="7">
        <f>IFERROR(__xludf.DUMMYFUNCTION("GOOGLEFINANCE(A1429, ""price"")"),262.7)</f>
        <v>262.7</v>
      </c>
      <c r="C1429" s="7">
        <f>IFERROR(__xludf.DUMMYFUNCTION("GOOGLEFINANCE(A1429, ""changepct"")"),3.3)</f>
        <v>3.3</v>
      </c>
      <c r="D1429" s="9">
        <f>IFERROR(__xludf.DUMMYFUNCTION("GOOGLEFINANCE(A1429, ""priceopen"")"),243.5)</f>
        <v>243.5</v>
      </c>
      <c r="E1429" s="9">
        <f>IFERROR(__xludf.DUMMYFUNCTION("GOOGLEFINANCE(A1429, ""high"")"),271.95)</f>
        <v>271.95</v>
      </c>
      <c r="F1429" s="9">
        <f>IFERROR(__xludf.DUMMYFUNCTION("GOOGLEFINANCE(A1429, ""low"")"),230.0)</f>
        <v>230</v>
      </c>
      <c r="G1429" s="9">
        <f>IFERROR(__xludf.DUMMYFUNCTION("GOOGLEFINANCE(A1429, ""price"")"),262.7)</f>
        <v>262.7</v>
      </c>
      <c r="H1429" s="9">
        <f>IFERROR(__xludf.DUMMYFUNCTION("MAX(INDEX(GOOGLEFINANCE(A1429, ""high"", TODAY()-30, TODAY()), 0, 2))"),358.85)</f>
        <v>358.85</v>
      </c>
      <c r="I1429" s="9">
        <f>IFERROR(__xludf.DUMMYFUNCTION("MIN(INDEX(GOOGLEFINANCE(A1429, ""low"", TODAY()-30, TODAY()), 0, 2))"),230.0)</f>
        <v>230</v>
      </c>
      <c r="J1429" s="9">
        <f>IFERROR(__xludf.DUMMYFUNCTION("GOOGLEFINANCE(A1429, ""high52"")"),358.85)</f>
        <v>358.85</v>
      </c>
      <c r="K1429" s="9">
        <f>IFERROR(__xludf.DUMMYFUNCTION("GOOGLEFINANCE(A1429, ""low52"")"),161.5)</f>
        <v>161.5</v>
      </c>
      <c r="L1429" s="9">
        <f t="shared" si="1"/>
        <v>0.2679392504</v>
      </c>
      <c r="M1429" s="9">
        <f t="shared" si="2"/>
        <v>0.626625387</v>
      </c>
      <c r="N1429" s="9">
        <f t="shared" si="3"/>
        <v>0.1823913043</v>
      </c>
      <c r="O1429" s="9">
        <f t="shared" si="4"/>
        <v>0.2537834692</v>
      </c>
      <c r="P1429" s="9">
        <f>IFERROR(__xludf.DUMMYFUNCTION("GOOGLEFINANCE(A1429, ""pe"")"),12.83)</f>
        <v>12.83</v>
      </c>
      <c r="Q1429" s="9">
        <f>IFERROR(__xludf.DUMMYFUNCTION("IFERROR(GOOGLEFINANCE(A1429, ""volume"") / GOOGLEFINANCE(A1429, ""volumeavg""), 0)"),0.0)</f>
        <v>0</v>
      </c>
      <c r="R1429" s="9">
        <f>IFERROR(__xludf.DUMMYFUNCTION("AVERAGE(INDEX(GOOGLEFINANCE(A1429, ""price"", TODAY()-30, TODAY()), 0, 2))"),304.4282608695652)</f>
        <v>304.4282609</v>
      </c>
      <c r="S1429" s="9">
        <f>IFERROR(__xludf.DUMMYFUNCTION("AVERAGE(INDEX(GOOGLEFINANCE(A1429, ""price"", TODAY()-75, TODAY()), 0, 2))"),286.7867924528302)</f>
        <v>286.7867925</v>
      </c>
      <c r="T1429" s="9">
        <f>IFERROR(__xludf.DUMMYFUNCTION("AVERAGE(INDEX(GOOGLEFINANCE(A1429, ""price"", TODAY()-300, TODAY()), 0, 2))"),254.6928217821781)</f>
        <v>254.6928218</v>
      </c>
      <c r="U1429" s="9">
        <f t="shared" si="5"/>
        <v>-0.137070917</v>
      </c>
      <c r="V1429" s="15">
        <f>IFERROR(__xludf.DUMMYFUNCTION("LET(hist, GOOGLEFINANCE(A1429,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rs))))))"),18.294425917103354)</f>
        <v>18.29442592</v>
      </c>
      <c r="W1429" s="16" t="str">
        <f>IFERROR(__xludf.DUMMYFUNCTION("IFERROR(GOOGLEFINANCE(A1429, ""volume"") / GOOGLEFINANCE(A1429, ""volumeavg""), )"),"")</f>
        <v/>
      </c>
      <c r="X1429" s="9">
        <f>IFERROR(__xludf.DUMMYFUNCTION("B1429 * GOOGLEFINANCE(A1429, ""volume"")"),6.767609098E8)</f>
        <v>676760909.8</v>
      </c>
      <c r="Y1429" s="9">
        <f>IFERROR(__xludf.DUMMYFUNCTION("IFERROR(((B1429 - GOOGLEFINANCE(A1429, ""priceopen"")) / GOOGLEFINANCE(A1429, ""priceopen"")) * GOOGLEFINANCE(A1429, ""volume""), 0)"),203131.58439425039)</f>
        <v>203131.5844</v>
      </c>
    </row>
    <row r="1430">
      <c r="A1430" s="4" t="s">
        <v>3222</v>
      </c>
      <c r="B1430" s="7">
        <f>IFERROR(__xludf.DUMMYFUNCTION("GOOGLEFINANCE(A1430, ""price"")"),217.5)</f>
        <v>217.5</v>
      </c>
      <c r="C1430" s="7">
        <f>IFERROR(__xludf.DUMMYFUNCTION("GOOGLEFINANCE(A1430, ""changepct"")"),3.21)</f>
        <v>3.21</v>
      </c>
      <c r="D1430" s="9">
        <f>IFERROR(__xludf.DUMMYFUNCTION("GOOGLEFINANCE(A1430, ""priceopen"")"),219.95)</f>
        <v>219.95</v>
      </c>
      <c r="E1430" s="9">
        <f>IFERROR(__xludf.DUMMYFUNCTION("GOOGLEFINANCE(A1430, ""high"")"),223.0)</f>
        <v>223</v>
      </c>
      <c r="F1430" s="9">
        <f>IFERROR(__xludf.DUMMYFUNCTION("GOOGLEFINANCE(A1430, ""low"")"),210.2)</f>
        <v>210.2</v>
      </c>
      <c r="G1430" s="9">
        <f>IFERROR(__xludf.DUMMYFUNCTION("GOOGLEFINANCE(A1430, ""price"")"),217.5)</f>
        <v>217.5</v>
      </c>
      <c r="H1430" s="9">
        <f>IFERROR(__xludf.DUMMYFUNCTION("MAX(INDEX(GOOGLEFINANCE(A1430, ""high"", TODAY()-30, TODAY()), 0, 2))"),223.0)</f>
        <v>223</v>
      </c>
      <c r="I1430" s="9">
        <f>IFERROR(__xludf.DUMMYFUNCTION("MIN(INDEX(GOOGLEFINANCE(A1430, ""low"", TODAY()-30, TODAY()), 0, 2))"),201.0)</f>
        <v>201</v>
      </c>
      <c r="J1430" s="9">
        <f>IFERROR(__xludf.DUMMYFUNCTION("GOOGLEFINANCE(A1430, ""high52"")"),229.0)</f>
        <v>229</v>
      </c>
      <c r="K1430" s="9">
        <f>IFERROR(__xludf.DUMMYFUNCTION("GOOGLEFINANCE(A1430, ""low52"")"),194.41)</f>
        <v>194.41</v>
      </c>
      <c r="L1430" s="9">
        <f t="shared" si="1"/>
        <v>0.05021834061</v>
      </c>
      <c r="M1430" s="9">
        <f t="shared" si="2"/>
        <v>0.1187696106</v>
      </c>
      <c r="N1430" s="9">
        <f t="shared" si="3"/>
        <v>0.0608943863</v>
      </c>
      <c r="O1430" s="9">
        <f t="shared" si="4"/>
        <v>0.75</v>
      </c>
      <c r="P1430" s="9">
        <f>IFERROR(__xludf.DUMMYFUNCTION("GOOGLEFINANCE(A1430, ""pe"")"),10.47)</f>
        <v>10.47</v>
      </c>
      <c r="Q1430" s="9">
        <f>IFERROR(__xludf.DUMMYFUNCTION("IFERROR(GOOGLEFINANCE(A1430, ""volume"") / GOOGLEFINANCE(A1430, ""volumeavg""), 0)"),0.0)</f>
        <v>0</v>
      </c>
      <c r="R1430" s="9">
        <f>IFERROR(__xludf.DUMMYFUNCTION("AVERAGE(INDEX(GOOGLEFINANCE(A1430, ""price"", TODAY()-30, TODAY()), 0, 2))"),202.2469565217391)</f>
        <v>202.2469565</v>
      </c>
      <c r="S1430" s="9">
        <f>IFERROR(__xludf.DUMMYFUNCTION("AVERAGE(INDEX(GOOGLEFINANCE(A1430, ""price"", TODAY()-75, TODAY()), 0, 2))"),201.58132075471698)</f>
        <v>201.5813208</v>
      </c>
      <c r="T1430" s="9">
        <f>IFERROR(__xludf.DUMMYFUNCTION("AVERAGE(INDEX(GOOGLEFINANCE(A1430, ""price"", TODAY()-300, TODAY()), 0, 2))"),202.22099009900973)</f>
        <v>202.2209901</v>
      </c>
      <c r="U1430" s="9">
        <f t="shared" si="5"/>
        <v>0.07541791353</v>
      </c>
      <c r="V1430" s="15">
        <f>IFERROR(__xludf.DUMMYFUNCTION("LET(hist, GOOGLEFINANCE(A1430,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rs))))))"),94.36717663421418)</f>
        <v>94.36717663</v>
      </c>
      <c r="W1430" s="16" t="str">
        <f>IFERROR(__xludf.DUMMYFUNCTION("IFERROR(GOOGLEFINANCE(A1430, ""volume"") / GOOGLEFINANCE(A1430, ""volumeavg""), )"),"")</f>
        <v/>
      </c>
      <c r="X1430" s="9">
        <f>IFERROR(__xludf.DUMMYFUNCTION("B1430 * GOOGLEFINANCE(A1430, ""volume"")"),1.517889E7)</f>
        <v>15178890</v>
      </c>
      <c r="Y1430" s="9">
        <f>IFERROR(__xludf.DUMMYFUNCTION("IFERROR(((B1430 - GOOGLEFINANCE(A1430, ""priceopen"")) / GOOGLEFINANCE(A1430, ""priceopen"")) * GOOGLEFINANCE(A1430, ""volume""), 0)"),-777.3612184587371)</f>
        <v>-777.3612185</v>
      </c>
    </row>
    <row r="1431">
      <c r="A1431" s="4" t="s">
        <v>3223</v>
      </c>
      <c r="B1431" s="7">
        <f>IFERROR(__xludf.DUMMYFUNCTION("GOOGLEFINANCE(A1431, ""price"")"),5.79)</f>
        <v>5.79</v>
      </c>
      <c r="C1431" s="7">
        <f>IFERROR(__xludf.DUMMYFUNCTION("GOOGLEFINANCE(A1431, ""changepct"")"),0.0)</f>
        <v>0</v>
      </c>
      <c r="D1431" s="9">
        <f>IFERROR(__xludf.DUMMYFUNCTION("GOOGLEFINANCE(A1431, ""priceopen"")"),5.79)</f>
        <v>5.79</v>
      </c>
      <c r="E1431" s="9">
        <f>IFERROR(__xludf.DUMMYFUNCTION("GOOGLEFINANCE(A1431, ""high"")"),5.83)</f>
        <v>5.83</v>
      </c>
      <c r="F1431" s="9">
        <f>IFERROR(__xludf.DUMMYFUNCTION("GOOGLEFINANCE(A1431, ""low"")"),5.7)</f>
        <v>5.7</v>
      </c>
      <c r="G1431" s="9">
        <f>IFERROR(__xludf.DUMMYFUNCTION("GOOGLEFINANCE(A1431, ""price"")"),5.79)</f>
        <v>5.79</v>
      </c>
      <c r="H1431" s="9">
        <f>IFERROR(__xludf.DUMMYFUNCTION("MAX(INDEX(GOOGLEFINANCE(A1431, ""high"", TODAY()-30, TODAY()), 0, 2))"),6.25)</f>
        <v>6.25</v>
      </c>
      <c r="I1431" s="9">
        <f>IFERROR(__xludf.DUMMYFUNCTION("MIN(INDEX(GOOGLEFINANCE(A1431, ""low"", TODAY()-30, TODAY()), 0, 2))"),5.7)</f>
        <v>5.7</v>
      </c>
      <c r="J1431" s="9">
        <f>IFERROR(__xludf.DUMMYFUNCTION("GOOGLEFINANCE(A1431, ""high52"")"),10.99)</f>
        <v>10.99</v>
      </c>
      <c r="K1431" s="9">
        <f>IFERROR(__xludf.DUMMYFUNCTION("GOOGLEFINANCE(A1431, ""low52"")"),5.59)</f>
        <v>5.59</v>
      </c>
      <c r="L1431" s="9">
        <f t="shared" si="1"/>
        <v>0.4731574158</v>
      </c>
      <c r="M1431" s="9">
        <f t="shared" si="2"/>
        <v>0.03577817531</v>
      </c>
      <c r="N1431" s="9">
        <f t="shared" si="3"/>
        <v>0.02280701754</v>
      </c>
      <c r="O1431" s="9">
        <f t="shared" si="4"/>
        <v>0.1636363636</v>
      </c>
      <c r="P1431" s="9">
        <f>IFERROR(__xludf.DUMMYFUNCTION("GOOGLEFINANCE(A1431, ""pe"")"),57.9)</f>
        <v>57.9</v>
      </c>
      <c r="Q1431" s="9">
        <f>IFERROR(__xludf.DUMMYFUNCTION("IFERROR(GOOGLEFINANCE(A1431, ""volume"") / GOOGLEFINANCE(A1431, ""volumeavg""), 0)"),0.0)</f>
        <v>0</v>
      </c>
      <c r="R1431" s="9">
        <f>IFERROR(__xludf.DUMMYFUNCTION("AVERAGE(INDEX(GOOGLEFINANCE(A1431, ""price"", TODAY()-30, TODAY()), 0, 2))"),5.933478260869565)</f>
        <v>5.933478261</v>
      </c>
      <c r="S1431" s="9">
        <f>IFERROR(__xludf.DUMMYFUNCTION("AVERAGE(INDEX(GOOGLEFINANCE(A1431, ""price"", TODAY()-75, TODAY()), 0, 2))"),6.326603773584907)</f>
        <v>6.326603774</v>
      </c>
      <c r="T1431" s="9">
        <f>IFERROR(__xludf.DUMMYFUNCTION("AVERAGE(INDEX(GOOGLEFINANCE(A1431, ""price"", TODAY()-300, TODAY()), 0, 2))"),7.784009900990102)</f>
        <v>7.784009901</v>
      </c>
      <c r="U1431" s="9">
        <f t="shared" si="5"/>
        <v>-0.02418113871</v>
      </c>
      <c r="V1431" s="15">
        <f>IFERROR(__xludf.DUMMYFUNCTION("LET(hist, GOOGLEFINANCE(A1431,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rs))))))"),34.09090909090901)</f>
        <v>34.09090909</v>
      </c>
      <c r="W1431" s="16" t="str">
        <f>IFERROR(__xludf.DUMMYFUNCTION("IFERROR(GOOGLEFINANCE(A1431, ""volume"") / GOOGLEFINANCE(A1431, ""volumeavg""), )"),"")</f>
        <v/>
      </c>
      <c r="X1431" s="9">
        <f>IFERROR(__xludf.DUMMYFUNCTION("B1431 * GOOGLEFINANCE(A1431, ""volume"")"),1.551149685E7)</f>
        <v>15511496.85</v>
      </c>
      <c r="Y1431" s="9">
        <f>IFERROR(__xludf.DUMMYFUNCTION("IFERROR(((B1431 - GOOGLEFINANCE(A1431, ""priceopen"")) / GOOGLEFINANCE(A1431, ""priceopen"")) * GOOGLEFINANCE(A1431, ""volume""), 0)"),0.0)</f>
        <v>0</v>
      </c>
    </row>
    <row r="1432">
      <c r="A1432" s="4" t="s">
        <v>3224</v>
      </c>
      <c r="B1432" s="7">
        <f>IFERROR(__xludf.DUMMYFUNCTION("GOOGLEFINANCE(A1432, ""price"")"),90.7)</f>
        <v>90.7</v>
      </c>
      <c r="C1432" s="7">
        <f>IFERROR(__xludf.DUMMYFUNCTION("GOOGLEFINANCE(A1432, ""changepct"")"),-0.07)</f>
        <v>-0.07</v>
      </c>
      <c r="D1432" s="9">
        <f>IFERROR(__xludf.DUMMYFUNCTION("GOOGLEFINANCE(A1432, ""priceopen"")"),90.76)</f>
        <v>90.76</v>
      </c>
      <c r="E1432" s="9">
        <f>IFERROR(__xludf.DUMMYFUNCTION("GOOGLEFINANCE(A1432, ""high"")"),91.95)</f>
        <v>91.95</v>
      </c>
      <c r="F1432" s="9">
        <f>IFERROR(__xludf.DUMMYFUNCTION("GOOGLEFINANCE(A1432, ""low"")"),90.5)</f>
        <v>90.5</v>
      </c>
      <c r="G1432" s="9">
        <f>IFERROR(__xludf.DUMMYFUNCTION("GOOGLEFINANCE(A1432, ""price"")"),90.7)</f>
        <v>90.7</v>
      </c>
      <c r="H1432" s="9">
        <f>IFERROR(__xludf.DUMMYFUNCTION("MAX(INDEX(GOOGLEFINANCE(A1432, ""high"", TODAY()-30, TODAY()), 0, 2))"),94.0)</f>
        <v>94</v>
      </c>
      <c r="I1432" s="9">
        <f>IFERROR(__xludf.DUMMYFUNCTION("MIN(INDEX(GOOGLEFINANCE(A1432, ""low"", TODAY()-30, TODAY()), 0, 2))"),80.95)</f>
        <v>80.95</v>
      </c>
      <c r="J1432" s="9">
        <f>IFERROR(__xludf.DUMMYFUNCTION("GOOGLEFINANCE(A1432, ""high52"")"),141.32)</f>
        <v>141.32</v>
      </c>
      <c r="K1432" s="9">
        <f>IFERROR(__xludf.DUMMYFUNCTION("GOOGLEFINANCE(A1432, ""low52"")"),69.52)</f>
        <v>69.52</v>
      </c>
      <c r="L1432" s="9">
        <f t="shared" si="1"/>
        <v>0.3581941693</v>
      </c>
      <c r="M1432" s="9">
        <f t="shared" si="2"/>
        <v>0.3046605293</v>
      </c>
      <c r="N1432" s="9">
        <f t="shared" si="3"/>
        <v>0.01602209945</v>
      </c>
      <c r="O1432" s="9">
        <f t="shared" si="4"/>
        <v>0.7471264368</v>
      </c>
      <c r="P1432" s="9" t="str">
        <f>IFERROR(__xludf.DUMMYFUNCTION("GOOGLEFINANCE(A1432, ""pe"")"),"#N/A")</f>
        <v>#N/A</v>
      </c>
      <c r="Q1432" s="9">
        <f>IFERROR(__xludf.DUMMYFUNCTION("IFERROR(GOOGLEFINANCE(A1432, ""volume"") / GOOGLEFINANCE(A1432, ""volumeavg""), 0)"),0.0)</f>
        <v>0</v>
      </c>
      <c r="R1432" s="9">
        <f>IFERROR(__xludf.DUMMYFUNCTION("AVERAGE(INDEX(GOOGLEFINANCE(A1432, ""price"", TODAY()-30, TODAY()), 0, 2))"),86.77782608695652)</f>
        <v>86.77782609</v>
      </c>
      <c r="S1432" s="9">
        <f>IFERROR(__xludf.DUMMYFUNCTION("AVERAGE(INDEX(GOOGLEFINANCE(A1432, ""price"", TODAY()-75, TODAY()), 0, 2))"),87.67962264150945)</f>
        <v>87.67962264</v>
      </c>
      <c r="T1432" s="9">
        <f>IFERROR(__xludf.DUMMYFUNCTION("AVERAGE(INDEX(GOOGLEFINANCE(A1432, ""price"", TODAY()-300, TODAY()), 0, 2))"),98.41628712871284)</f>
        <v>98.41628713</v>
      </c>
      <c r="U1432" s="9">
        <f t="shared" si="5"/>
        <v>0.04519788165</v>
      </c>
      <c r="V1432" s="15">
        <f>IFERROR(__xludf.DUMMYFUNCTION("LET(hist, GOOGLEFINANCE(A1432,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rs))))))"),68.08375634517766)</f>
        <v>68.08375635</v>
      </c>
      <c r="W1432" s="16" t="str">
        <f>IFERROR(__xludf.DUMMYFUNCTION("IFERROR(GOOGLEFINANCE(A1432, ""volume"") / GOOGLEFINANCE(A1432, ""volumeavg""), )"),"")</f>
        <v/>
      </c>
      <c r="X1432" s="9">
        <f>IFERROR(__xludf.DUMMYFUNCTION("B1432 * GOOGLEFINANCE(A1432, ""volume"")"),1.38976889E7)</f>
        <v>13897688.9</v>
      </c>
      <c r="Y1432" s="9">
        <f>IFERROR(__xludf.DUMMYFUNCTION("IFERROR(((B1432 - GOOGLEFINANCE(A1432, ""priceopen"")) / GOOGLEFINANCE(A1432, ""priceopen"")) * GOOGLEFINANCE(A1432, ""volume""), 0)"),-101.29594535037845)</f>
        <v>-101.2959454</v>
      </c>
    </row>
    <row r="1433">
      <c r="A1433" s="4" t="s">
        <v>3225</v>
      </c>
      <c r="B1433" s="7">
        <f>IFERROR(__xludf.DUMMYFUNCTION("GOOGLEFINANCE(A1433, ""price"")"),849.0)</f>
        <v>849</v>
      </c>
      <c r="C1433" s="7">
        <f>IFERROR(__xludf.DUMMYFUNCTION("GOOGLEFINANCE(A1433, ""changepct"")"),-0.74)</f>
        <v>-0.74</v>
      </c>
      <c r="D1433" s="9">
        <f>IFERROR(__xludf.DUMMYFUNCTION("GOOGLEFINANCE(A1433, ""priceopen"")"),842.5)</f>
        <v>842.5</v>
      </c>
      <c r="E1433" s="9">
        <f>IFERROR(__xludf.DUMMYFUNCTION("GOOGLEFINANCE(A1433, ""high"")"),850.0)</f>
        <v>850</v>
      </c>
      <c r="F1433" s="9">
        <f>IFERROR(__xludf.DUMMYFUNCTION("GOOGLEFINANCE(A1433, ""low"")"),802.5)</f>
        <v>802.5</v>
      </c>
      <c r="G1433" s="9">
        <f>IFERROR(__xludf.DUMMYFUNCTION("GOOGLEFINANCE(A1433, ""price"")"),849.0)</f>
        <v>849</v>
      </c>
      <c r="H1433" s="9">
        <f>IFERROR(__xludf.DUMMYFUNCTION("MAX(INDEX(GOOGLEFINANCE(A1433, ""high"", TODAY()-30, TODAY()), 0, 2))"),899.0)</f>
        <v>899</v>
      </c>
      <c r="I1433" s="9">
        <f>IFERROR(__xludf.DUMMYFUNCTION("MIN(INDEX(GOOGLEFINANCE(A1433, ""low"", TODAY()-30, TODAY()), 0, 2))"),802.5)</f>
        <v>802.5</v>
      </c>
      <c r="J1433" s="9">
        <f>IFERROR(__xludf.DUMMYFUNCTION("GOOGLEFINANCE(A1433, ""high52"")"),925.0)</f>
        <v>925</v>
      </c>
      <c r="K1433" s="9">
        <f>IFERROR(__xludf.DUMMYFUNCTION("GOOGLEFINANCE(A1433, ""low52"")"),526.5)</f>
        <v>526.5</v>
      </c>
      <c r="L1433" s="9">
        <f t="shared" si="1"/>
        <v>0.08216216216</v>
      </c>
      <c r="M1433" s="9">
        <f t="shared" si="2"/>
        <v>0.6125356125</v>
      </c>
      <c r="N1433" s="9">
        <f t="shared" si="3"/>
        <v>0.05919003115</v>
      </c>
      <c r="O1433" s="9">
        <f t="shared" si="4"/>
        <v>0.481865285</v>
      </c>
      <c r="P1433" s="9">
        <f>IFERROR(__xludf.DUMMYFUNCTION("GOOGLEFINANCE(A1433, ""pe"")"),16.2)</f>
        <v>16.2</v>
      </c>
      <c r="Q1433" s="9">
        <f>IFERROR(__xludf.DUMMYFUNCTION("IFERROR(GOOGLEFINANCE(A1433, ""volume"") / GOOGLEFINANCE(A1433, ""volumeavg""), 0)"),0.0)</f>
        <v>0</v>
      </c>
      <c r="R1433" s="9">
        <f>IFERROR(__xludf.DUMMYFUNCTION("AVERAGE(INDEX(GOOGLEFINANCE(A1433, ""price"", TODAY()-30, TODAY()), 0, 2))"),859.3760869565216)</f>
        <v>859.376087</v>
      </c>
      <c r="S1433" s="9">
        <f>IFERROR(__xludf.DUMMYFUNCTION("AVERAGE(INDEX(GOOGLEFINANCE(A1433, ""price"", TODAY()-75, TODAY()), 0, 2))"),822.9226415094339)</f>
        <v>822.9226415</v>
      </c>
      <c r="T1433" s="9">
        <f>IFERROR(__xludf.DUMMYFUNCTION("AVERAGE(INDEX(GOOGLEFINANCE(A1433, ""price"", TODAY()-300, TODAY()), 0, 2))"),718.1272277227722)</f>
        <v>718.1272277</v>
      </c>
      <c r="U1433" s="9">
        <f t="shared" si="5"/>
        <v>-0.01207397682</v>
      </c>
      <c r="V1433" s="15">
        <f>IFERROR(__xludf.DUMMYFUNCTION("LET(hist, GOOGLEFINANCE(A1433,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rs))))))"),47.45145631067961)</f>
        <v>47.45145631</v>
      </c>
      <c r="W1433" s="16" t="str">
        <f>IFERROR(__xludf.DUMMYFUNCTION("IFERROR(GOOGLEFINANCE(A1433, ""volume"") / GOOGLEFINANCE(A1433, ""volumeavg""), )"),"")</f>
        <v/>
      </c>
      <c r="X1433" s="9">
        <f>IFERROR(__xludf.DUMMYFUNCTION("B1433 * GOOGLEFINANCE(A1433, ""volume"")"),4.8955887E7)</f>
        <v>48955887</v>
      </c>
      <c r="Y1433" s="9">
        <f>IFERROR(__xludf.DUMMYFUNCTION("IFERROR(((B1433 - GOOGLEFINANCE(A1433, ""priceopen"")) / GOOGLEFINANCE(A1433, ""priceopen"")) * GOOGLEFINANCE(A1433, ""volume""), 0)"),444.87774480712164)</f>
        <v>444.8777448</v>
      </c>
    </row>
    <row r="1434">
      <c r="A1434" s="4" t="s">
        <v>3226</v>
      </c>
      <c r="B1434" s="7">
        <f>IFERROR(__xludf.DUMMYFUNCTION("GOOGLEFINANCE(A1434, ""price"")"),304.5)</f>
        <v>304.5</v>
      </c>
      <c r="C1434" s="7">
        <f>IFERROR(__xludf.DUMMYFUNCTION("GOOGLEFINANCE(A1434, ""changepct"")"),-1.18)</f>
        <v>-1.18</v>
      </c>
      <c r="D1434" s="9">
        <f>IFERROR(__xludf.DUMMYFUNCTION("GOOGLEFINANCE(A1434, ""priceopen"")"),310.75)</f>
        <v>310.75</v>
      </c>
      <c r="E1434" s="9">
        <f>IFERROR(__xludf.DUMMYFUNCTION("GOOGLEFINANCE(A1434, ""high"")"),313.55)</f>
        <v>313.55</v>
      </c>
      <c r="F1434" s="9">
        <f>IFERROR(__xludf.DUMMYFUNCTION("GOOGLEFINANCE(A1434, ""low"")"),296.05)</f>
        <v>296.05</v>
      </c>
      <c r="G1434" s="9">
        <f>IFERROR(__xludf.DUMMYFUNCTION("GOOGLEFINANCE(A1434, ""price"")"),304.5)</f>
        <v>304.5</v>
      </c>
      <c r="H1434" s="9">
        <f>IFERROR(__xludf.DUMMYFUNCTION("MAX(INDEX(GOOGLEFINANCE(A1434, ""high"", TODAY()-30, TODAY()), 0, 2))"),349.0)</f>
        <v>349</v>
      </c>
      <c r="I1434" s="9">
        <f>IFERROR(__xludf.DUMMYFUNCTION("MIN(INDEX(GOOGLEFINANCE(A1434, ""low"", TODAY()-30, TODAY()), 0, 2))"),265.75)</f>
        <v>265.75</v>
      </c>
      <c r="J1434" s="9">
        <f>IFERROR(__xludf.DUMMYFUNCTION("GOOGLEFINANCE(A1434, ""high52"")"),349.0)</f>
        <v>349</v>
      </c>
      <c r="K1434" s="9">
        <f>IFERROR(__xludf.DUMMYFUNCTION("GOOGLEFINANCE(A1434, ""low52"")"),149.2)</f>
        <v>149.2</v>
      </c>
      <c r="L1434" s="9">
        <f t="shared" si="1"/>
        <v>0.1275071633</v>
      </c>
      <c r="M1434" s="9">
        <f t="shared" si="2"/>
        <v>1.040884718</v>
      </c>
      <c r="N1434" s="9">
        <f t="shared" si="3"/>
        <v>0.05911163655</v>
      </c>
      <c r="O1434" s="9">
        <f t="shared" si="4"/>
        <v>0.4654654655</v>
      </c>
      <c r="P1434" s="9">
        <f>IFERROR(__xludf.DUMMYFUNCTION("GOOGLEFINANCE(A1434, ""pe"")"),13.92)</f>
        <v>13.92</v>
      </c>
      <c r="Q1434" s="9">
        <f>IFERROR(__xludf.DUMMYFUNCTION("IFERROR(GOOGLEFINANCE(A1434, ""volume"") / GOOGLEFINANCE(A1434, ""volumeavg""), 0)"),0.0)</f>
        <v>0</v>
      </c>
      <c r="R1434" s="9">
        <f>IFERROR(__xludf.DUMMYFUNCTION("AVERAGE(INDEX(GOOGLEFINANCE(A1434, ""price"", TODAY()-30, TODAY()), 0, 2))"),290.395652173913)</f>
        <v>290.3956522</v>
      </c>
      <c r="S1434" s="9">
        <f>IFERROR(__xludf.DUMMYFUNCTION("AVERAGE(INDEX(GOOGLEFINANCE(A1434, ""price"", TODAY()-75, TODAY()), 0, 2))"),274.92452830188677)</f>
        <v>274.9245283</v>
      </c>
      <c r="T1434" s="9">
        <f>IFERROR(__xludf.DUMMYFUNCTION("AVERAGE(INDEX(GOOGLEFINANCE(A1434, ""price"", TODAY()-300, TODAY()), 0, 2))"),226.35841584158428)</f>
        <v>226.3584158</v>
      </c>
      <c r="U1434" s="9">
        <f t="shared" si="5"/>
        <v>0.04856941804</v>
      </c>
      <c r="V1434" s="15">
        <f>IFERROR(__xludf.DUMMYFUNCTION("LET(hist, GOOGLEFINANCE(A1434,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rs))))))"),65.8208955223881)</f>
        <v>65.82089552</v>
      </c>
      <c r="W1434" s="16" t="str">
        <f>IFERROR(__xludf.DUMMYFUNCTION("IFERROR(GOOGLEFINANCE(A1434, ""volume"") / GOOGLEFINANCE(A1434, ""volumeavg""), )"),"")</f>
        <v/>
      </c>
      <c r="X1434" s="9">
        <f>IFERROR(__xludf.DUMMYFUNCTION("B1434 * GOOGLEFINANCE(A1434, ""volume"")"),1.13331855E7)</f>
        <v>11333185.5</v>
      </c>
      <c r="Y1434" s="9">
        <f>IFERROR(__xludf.DUMMYFUNCTION("IFERROR(((B1434 - GOOGLEFINANCE(A1434, ""priceopen"")) / GOOGLEFINANCE(A1434, ""priceopen"")) * GOOGLEFINANCE(A1434, ""volume""), 0)"),-748.5720032180209)</f>
        <v>-748.5720032</v>
      </c>
    </row>
    <row r="1435">
      <c r="A1435" s="4" t="s">
        <v>3227</v>
      </c>
      <c r="B1435" s="7">
        <f>IFERROR(__xludf.DUMMYFUNCTION("GOOGLEFINANCE(A1435, ""price"")"),99.65)</f>
        <v>99.65</v>
      </c>
      <c r="C1435" s="7">
        <f>IFERROR(__xludf.DUMMYFUNCTION("GOOGLEFINANCE(A1435, ""changepct"")"),-2.32)</f>
        <v>-2.32</v>
      </c>
      <c r="D1435" s="9">
        <f>IFERROR(__xludf.DUMMYFUNCTION("GOOGLEFINANCE(A1435, ""priceopen"")"),102.0)</f>
        <v>102</v>
      </c>
      <c r="E1435" s="9">
        <f>IFERROR(__xludf.DUMMYFUNCTION("GOOGLEFINANCE(A1435, ""high"")"),102.69)</f>
        <v>102.69</v>
      </c>
      <c r="F1435" s="9">
        <f>IFERROR(__xludf.DUMMYFUNCTION("GOOGLEFINANCE(A1435, ""low"")"),99.05)</f>
        <v>99.05</v>
      </c>
      <c r="G1435" s="9">
        <f>IFERROR(__xludf.DUMMYFUNCTION("GOOGLEFINANCE(A1435, ""price"")"),99.65)</f>
        <v>99.65</v>
      </c>
      <c r="H1435" s="9">
        <f>IFERROR(__xludf.DUMMYFUNCTION("MAX(INDEX(GOOGLEFINANCE(A1435, ""high"", TODAY()-30, TODAY()), 0, 2))"),109.5)</f>
        <v>109.5</v>
      </c>
      <c r="I1435" s="9">
        <f>IFERROR(__xludf.DUMMYFUNCTION("MIN(INDEX(GOOGLEFINANCE(A1435, ""low"", TODAY()-30, TODAY()), 0, 2))"),98.01)</f>
        <v>98.01</v>
      </c>
      <c r="J1435" s="9">
        <f>IFERROR(__xludf.DUMMYFUNCTION("GOOGLEFINANCE(A1435, ""high52"")"),114.99)</f>
        <v>114.99</v>
      </c>
      <c r="K1435" s="9">
        <f>IFERROR(__xludf.DUMMYFUNCTION("GOOGLEFINANCE(A1435, ""low52"")"),67.2)</f>
        <v>67.2</v>
      </c>
      <c r="L1435" s="9">
        <f t="shared" si="1"/>
        <v>0.1334029046</v>
      </c>
      <c r="M1435" s="9">
        <f t="shared" si="2"/>
        <v>0.4828869048</v>
      </c>
      <c r="N1435" s="9">
        <f t="shared" si="3"/>
        <v>0.03674911661</v>
      </c>
      <c r="O1435" s="9">
        <f t="shared" si="4"/>
        <v>0.1427328111</v>
      </c>
      <c r="P1435" s="9">
        <f>IFERROR(__xludf.DUMMYFUNCTION("GOOGLEFINANCE(A1435, ""pe"")"),24.79)</f>
        <v>24.79</v>
      </c>
      <c r="Q1435" s="9">
        <f>IFERROR(__xludf.DUMMYFUNCTION("IFERROR(GOOGLEFINANCE(A1435, ""volume"") / GOOGLEFINANCE(A1435, ""volumeavg""), 0)"),0.0)</f>
        <v>0</v>
      </c>
      <c r="R1435" s="9">
        <f>IFERROR(__xludf.DUMMYFUNCTION("AVERAGE(INDEX(GOOGLEFINANCE(A1435, ""price"", TODAY()-30, TODAY()), 0, 2))"),102.99217391304349)</f>
        <v>102.9921739</v>
      </c>
      <c r="S1435" s="9">
        <f>IFERROR(__xludf.DUMMYFUNCTION("AVERAGE(INDEX(GOOGLEFINANCE(A1435, ""price"", TODAY()-75, TODAY()), 0, 2))"),99.2333962264151)</f>
        <v>99.23339623</v>
      </c>
      <c r="T1435" s="9">
        <f>IFERROR(__xludf.DUMMYFUNCTION("AVERAGE(INDEX(GOOGLEFINANCE(A1435, ""price"", TODAY()-300, TODAY()), 0, 2))"),85.97351485148523)</f>
        <v>85.97351485</v>
      </c>
      <c r="U1435" s="9">
        <f t="shared" si="5"/>
        <v>-0.03245075607</v>
      </c>
      <c r="V1435" s="15">
        <f>IFERROR(__xludf.DUMMYFUNCTION("LET(hist, GOOGLEFINANCE(A1435,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rs))))))"),46.77327241576244)</f>
        <v>46.77327242</v>
      </c>
      <c r="W1435" s="16" t="str">
        <f>IFERROR(__xludf.DUMMYFUNCTION("IFERROR(GOOGLEFINANCE(A1435, ""volume"") / GOOGLEFINANCE(A1435, ""volumeavg""), )"),"")</f>
        <v/>
      </c>
      <c r="X1435" s="9">
        <f>IFERROR(__xludf.DUMMYFUNCTION("B1435 * GOOGLEFINANCE(A1435, ""volume"")"),2.040822035E7)</f>
        <v>20408220.35</v>
      </c>
      <c r="Y1435" s="9">
        <f>IFERROR(__xludf.DUMMYFUNCTION("IFERROR(((B1435 - GOOGLEFINANCE(A1435, ""priceopen"")) / GOOGLEFINANCE(A1435, ""priceopen"")) * GOOGLEFINANCE(A1435, ""volume""), 0)"),-4718.408333333322)</f>
        <v>-4718.408333</v>
      </c>
    </row>
    <row r="1436">
      <c r="A1436" s="4" t="s">
        <v>3228</v>
      </c>
      <c r="B1436" s="7">
        <f>IFERROR(__xludf.DUMMYFUNCTION("GOOGLEFINANCE(A1436, ""price"")"),203.05)</f>
        <v>203.05</v>
      </c>
      <c r="C1436" s="7">
        <f>IFERROR(__xludf.DUMMYFUNCTION("GOOGLEFINANCE(A1436, ""changepct"")"),-2.3)</f>
        <v>-2.3</v>
      </c>
      <c r="D1436" s="9">
        <f>IFERROR(__xludf.DUMMYFUNCTION("GOOGLEFINANCE(A1436, ""priceopen"")"),205.0)</f>
        <v>205</v>
      </c>
      <c r="E1436" s="9">
        <f>IFERROR(__xludf.DUMMYFUNCTION("GOOGLEFINANCE(A1436, ""high"")"),206.8)</f>
        <v>206.8</v>
      </c>
      <c r="F1436" s="9">
        <f>IFERROR(__xludf.DUMMYFUNCTION("GOOGLEFINANCE(A1436, ""low"")"),201.8)</f>
        <v>201.8</v>
      </c>
      <c r="G1436" s="9">
        <f>IFERROR(__xludf.DUMMYFUNCTION("GOOGLEFINANCE(A1436, ""price"")"),203.05)</f>
        <v>203.05</v>
      </c>
      <c r="H1436" s="9">
        <f>IFERROR(__xludf.DUMMYFUNCTION("MAX(INDEX(GOOGLEFINANCE(A1436, ""high"", TODAY()-30, TODAY()), 0, 2))"),238.0)</f>
        <v>238</v>
      </c>
      <c r="I1436" s="9">
        <f>IFERROR(__xludf.DUMMYFUNCTION("MIN(INDEX(GOOGLEFINANCE(A1436, ""low"", TODAY()-30, TODAY()), 0, 2))"),193.0)</f>
        <v>193</v>
      </c>
      <c r="J1436" s="9">
        <f>IFERROR(__xludf.DUMMYFUNCTION("GOOGLEFINANCE(A1436, ""high52"")"),238.0)</f>
        <v>238</v>
      </c>
      <c r="K1436" s="9">
        <f>IFERROR(__xludf.DUMMYFUNCTION("GOOGLEFINANCE(A1436, ""low52"")"),120.0)</f>
        <v>120</v>
      </c>
      <c r="L1436" s="9">
        <f t="shared" si="1"/>
        <v>0.1468487395</v>
      </c>
      <c r="M1436" s="9">
        <f t="shared" si="2"/>
        <v>0.6920833333</v>
      </c>
      <c r="N1436" s="9">
        <f t="shared" si="3"/>
        <v>0.02477700694</v>
      </c>
      <c r="O1436" s="9">
        <f t="shared" si="4"/>
        <v>0.2233333333</v>
      </c>
      <c r="P1436" s="9">
        <f>IFERROR(__xludf.DUMMYFUNCTION("GOOGLEFINANCE(A1436, ""pe"")"),12.36)</f>
        <v>12.36</v>
      </c>
      <c r="Q1436" s="9">
        <f>IFERROR(__xludf.DUMMYFUNCTION("IFERROR(GOOGLEFINANCE(A1436, ""volume"") / GOOGLEFINANCE(A1436, ""volumeavg""), 0)"),0.0)</f>
        <v>0</v>
      </c>
      <c r="R1436" s="9">
        <f>IFERROR(__xludf.DUMMYFUNCTION("AVERAGE(INDEX(GOOGLEFINANCE(A1436, ""price"", TODAY()-30, TODAY()), 0, 2))"),213.1639130434783)</f>
        <v>213.163913</v>
      </c>
      <c r="S1436" s="9">
        <f>IFERROR(__xludf.DUMMYFUNCTION("AVERAGE(INDEX(GOOGLEFINANCE(A1436, ""price"", TODAY()-75, TODAY()), 0, 2))"),202.38169811320753)</f>
        <v>202.3816981</v>
      </c>
      <c r="T1436" s="9">
        <f>IFERROR(__xludf.DUMMYFUNCTION("AVERAGE(INDEX(GOOGLEFINANCE(A1436, ""price"", TODAY()-300, TODAY()), 0, 2))"),164.13331683168323)</f>
        <v>164.1333168</v>
      </c>
      <c r="U1436" s="9">
        <f t="shared" si="5"/>
        <v>-0.04744664751</v>
      </c>
      <c r="V1436" s="15">
        <f>IFERROR(__xludf.DUMMYFUNCTION("LET(hist, GOOGLEFINANCE(A1436,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rs))))))"),44.48398576512456)</f>
        <v>44.48398577</v>
      </c>
      <c r="W1436" s="16" t="str">
        <f>IFERROR(__xludf.DUMMYFUNCTION("IFERROR(GOOGLEFINANCE(A1436, ""volume"") / GOOGLEFINANCE(A1436, ""volumeavg""), )"),"")</f>
        <v/>
      </c>
      <c r="X1436" s="9">
        <f>IFERROR(__xludf.DUMMYFUNCTION("B1436 * GOOGLEFINANCE(A1436, ""volume"")"),3727388.85)</f>
        <v>3727388.85</v>
      </c>
      <c r="Y1436" s="9">
        <f>IFERROR(__xludf.DUMMYFUNCTION("IFERROR(((B1436 - GOOGLEFINANCE(A1436, ""priceopen"")) / GOOGLEFINANCE(A1436, ""priceopen"")) * GOOGLEFINANCE(A1436, ""volume""), 0)"),-174.61536585365752)</f>
        <v>-174.6153659</v>
      </c>
    </row>
    <row r="1437">
      <c r="A1437" s="4" t="s">
        <v>3229</v>
      </c>
      <c r="B1437" s="7">
        <f>IFERROR(__xludf.DUMMYFUNCTION("GOOGLEFINANCE(A1437, ""price"")"),78.51)</f>
        <v>78.51</v>
      </c>
      <c r="C1437" s="7">
        <f>IFERROR(__xludf.DUMMYFUNCTION("GOOGLEFINANCE(A1437, ""changepct"")"),0.49)</f>
        <v>0.49</v>
      </c>
      <c r="D1437" s="9">
        <f>IFERROR(__xludf.DUMMYFUNCTION("GOOGLEFINANCE(A1437, ""priceopen"")"),78.6)</f>
        <v>78.6</v>
      </c>
      <c r="E1437" s="9">
        <f>IFERROR(__xludf.DUMMYFUNCTION("GOOGLEFINANCE(A1437, ""high"")"),78.71)</f>
        <v>78.71</v>
      </c>
      <c r="F1437" s="9">
        <f>IFERROR(__xludf.DUMMYFUNCTION("GOOGLEFINANCE(A1437, ""low"")"),76.59)</f>
        <v>76.59</v>
      </c>
      <c r="G1437" s="9">
        <f>IFERROR(__xludf.DUMMYFUNCTION("GOOGLEFINANCE(A1437, ""price"")"),78.51)</f>
        <v>78.51</v>
      </c>
      <c r="H1437" s="9">
        <f>IFERROR(__xludf.DUMMYFUNCTION("MAX(INDEX(GOOGLEFINANCE(A1437, ""high"", TODAY()-30, TODAY()), 0, 2))"),95.65)</f>
        <v>95.65</v>
      </c>
      <c r="I1437" s="9">
        <f>IFERROR(__xludf.DUMMYFUNCTION("MIN(INDEX(GOOGLEFINANCE(A1437, ""low"", TODAY()-30, TODAY()), 0, 2))"),76.59)</f>
        <v>76.59</v>
      </c>
      <c r="J1437" s="9">
        <f>IFERROR(__xludf.DUMMYFUNCTION("GOOGLEFINANCE(A1437, ""high52"")"),168.0)</f>
        <v>168</v>
      </c>
      <c r="K1437" s="9">
        <f>IFERROR(__xludf.DUMMYFUNCTION("GOOGLEFINANCE(A1437, ""low52"")"),55.6)</f>
        <v>55.6</v>
      </c>
      <c r="L1437" s="9">
        <f t="shared" si="1"/>
        <v>0.5326785714</v>
      </c>
      <c r="M1437" s="9">
        <f t="shared" si="2"/>
        <v>0.4120503597</v>
      </c>
      <c r="N1437" s="9">
        <f t="shared" si="3"/>
        <v>0.02767985377</v>
      </c>
      <c r="O1437" s="9">
        <f t="shared" si="4"/>
        <v>0.1007345226</v>
      </c>
      <c r="P1437" s="9">
        <f>IFERROR(__xludf.DUMMYFUNCTION("GOOGLEFINANCE(A1437, ""pe"")"),7.01)</f>
        <v>7.01</v>
      </c>
      <c r="Q1437" s="9">
        <f>IFERROR(__xludf.DUMMYFUNCTION("IFERROR(GOOGLEFINANCE(A1437, ""volume"") / GOOGLEFINANCE(A1437, ""volumeavg""), 0)"),0.0)</f>
        <v>0</v>
      </c>
      <c r="R1437" s="9">
        <f>IFERROR(__xludf.DUMMYFUNCTION("AVERAGE(INDEX(GOOGLEFINANCE(A1437, ""price"", TODAY()-30, TODAY()), 0, 2))"),84.14521739130437)</f>
        <v>84.14521739</v>
      </c>
      <c r="S1437" s="9">
        <f>IFERROR(__xludf.DUMMYFUNCTION("AVERAGE(INDEX(GOOGLEFINANCE(A1437, ""price"", TODAY()-75, TODAY()), 0, 2))"),81.61094339622643)</f>
        <v>81.6109434</v>
      </c>
      <c r="T1437" s="9">
        <f>IFERROR(__xludf.DUMMYFUNCTION("AVERAGE(INDEX(GOOGLEFINANCE(A1437, ""price"", TODAY()-300, TODAY()), 0, 2))"),94.08519801980205)</f>
        <v>94.08519802</v>
      </c>
      <c r="U1437" s="9">
        <f t="shared" si="5"/>
        <v>-0.06697014478</v>
      </c>
      <c r="V1437" s="15">
        <f>IFERROR(__xludf.DUMMYFUNCTION("LET(hist, GOOGLEFINANCE(A1437,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rs))))))"),26.95121951219511)</f>
        <v>26.95121951</v>
      </c>
      <c r="W1437" s="16" t="str">
        <f>IFERROR(__xludf.DUMMYFUNCTION("IFERROR(GOOGLEFINANCE(A1437, ""volume"") / GOOGLEFINANCE(A1437, ""volumeavg""), )"),"")</f>
        <v/>
      </c>
      <c r="X1437" s="9">
        <f>IFERROR(__xludf.DUMMYFUNCTION("B1437 * GOOGLEFINANCE(A1437, ""volume"")"),1.1610451350000001E7)</f>
        <v>11610451.35</v>
      </c>
      <c r="Y1437" s="9">
        <f>IFERROR(__xludf.DUMMYFUNCTION("IFERROR(((B1437 - GOOGLEFINANCE(A1437, ""priceopen"")) / GOOGLEFINANCE(A1437, ""priceopen"")) * GOOGLEFINANCE(A1437, ""volume""), 0)"),-169.33396946562857)</f>
        <v>-169.3339695</v>
      </c>
    </row>
    <row r="1438">
      <c r="A1438" s="4" t="s">
        <v>3230</v>
      </c>
      <c r="B1438" s="7">
        <f>IFERROR(__xludf.DUMMYFUNCTION("GOOGLEFINANCE(A1438, ""price"")"),622.0)</f>
        <v>622</v>
      </c>
      <c r="C1438" s="7">
        <f>IFERROR(__xludf.DUMMYFUNCTION("GOOGLEFINANCE(A1438, ""changepct"")"),-2.02)</f>
        <v>-2.02</v>
      </c>
      <c r="D1438" s="9">
        <f>IFERROR(__xludf.DUMMYFUNCTION("GOOGLEFINANCE(A1438, ""priceopen"")"),634.8)</f>
        <v>634.8</v>
      </c>
      <c r="E1438" s="9">
        <f>IFERROR(__xludf.DUMMYFUNCTION("GOOGLEFINANCE(A1438, ""high"")"),634.8)</f>
        <v>634.8</v>
      </c>
      <c r="F1438" s="9">
        <f>IFERROR(__xludf.DUMMYFUNCTION("GOOGLEFINANCE(A1438, ""low"")"),620.0)</f>
        <v>620</v>
      </c>
      <c r="G1438" s="9">
        <f>IFERROR(__xludf.DUMMYFUNCTION("GOOGLEFINANCE(A1438, ""price"")"),622.0)</f>
        <v>622</v>
      </c>
      <c r="H1438" s="9">
        <f>IFERROR(__xludf.DUMMYFUNCTION("MAX(INDEX(GOOGLEFINANCE(A1438, ""high"", TODAY()-30, TODAY()), 0, 2))"),665.0)</f>
        <v>665</v>
      </c>
      <c r="I1438" s="9">
        <f>IFERROR(__xludf.DUMMYFUNCTION("MIN(INDEX(GOOGLEFINANCE(A1438, ""low"", TODAY()-30, TODAY()), 0, 2))"),501.0)</f>
        <v>501</v>
      </c>
      <c r="J1438" s="9">
        <f>IFERROR(__xludf.DUMMYFUNCTION("GOOGLEFINANCE(A1438, ""high52"")"),665.0)</f>
        <v>665</v>
      </c>
      <c r="K1438" s="9">
        <f>IFERROR(__xludf.DUMMYFUNCTION("GOOGLEFINANCE(A1438, ""low52"")"),306.05)</f>
        <v>306.05</v>
      </c>
      <c r="L1438" s="9">
        <f t="shared" si="1"/>
        <v>0.06466165414</v>
      </c>
      <c r="M1438" s="9">
        <f t="shared" si="2"/>
        <v>1.032347656</v>
      </c>
      <c r="N1438" s="9">
        <f t="shared" si="3"/>
        <v>0.02387096774</v>
      </c>
      <c r="O1438" s="9">
        <f t="shared" si="4"/>
        <v>0.737804878</v>
      </c>
      <c r="P1438" s="9">
        <f>IFERROR(__xludf.DUMMYFUNCTION("GOOGLEFINANCE(A1438, ""pe"")"),19.11)</f>
        <v>19.11</v>
      </c>
      <c r="Q1438" s="9">
        <f>IFERROR(__xludf.DUMMYFUNCTION("IFERROR(GOOGLEFINANCE(A1438, ""volume"") / GOOGLEFINANCE(A1438, ""volumeavg""), 0)"),0.0)</f>
        <v>0</v>
      </c>
      <c r="R1438" s="9">
        <f>IFERROR(__xludf.DUMMYFUNCTION("AVERAGE(INDEX(GOOGLEFINANCE(A1438, ""price"", TODAY()-30, TODAY()), 0, 2))"),558.4869565217391)</f>
        <v>558.4869565</v>
      </c>
      <c r="S1438" s="9">
        <f>IFERROR(__xludf.DUMMYFUNCTION("AVERAGE(INDEX(GOOGLEFINANCE(A1438, ""price"", TODAY()-75, TODAY()), 0, 2))"),509.2094339622642)</f>
        <v>509.209434</v>
      </c>
      <c r="T1438" s="9">
        <f>IFERROR(__xludf.DUMMYFUNCTION("AVERAGE(INDEX(GOOGLEFINANCE(A1438, ""price"", TODAY()-300, TODAY()), 0, 2))"),431.9440594059407)</f>
        <v>431.9440594</v>
      </c>
      <c r="U1438" s="9">
        <f t="shared" si="5"/>
        <v>0.1137234142</v>
      </c>
      <c r="V1438" s="15">
        <f>IFERROR(__xludf.DUMMYFUNCTION("LET(hist, GOOGLEFINANCE(A1438,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rs))))))"),71.47846332945285)</f>
        <v>71.47846333</v>
      </c>
      <c r="W1438" s="16" t="str">
        <f>IFERROR(__xludf.DUMMYFUNCTION("IFERROR(GOOGLEFINANCE(A1438, ""volume"") / GOOGLEFINANCE(A1438, ""volumeavg""), )"),"")</f>
        <v/>
      </c>
      <c r="X1438" s="9">
        <f>IFERROR(__xludf.DUMMYFUNCTION("B1438 * GOOGLEFINANCE(A1438, ""volume"")"),2.3752936E7)</f>
        <v>23752936</v>
      </c>
      <c r="Y1438" s="9">
        <f>IFERROR(__xludf.DUMMYFUNCTION("IFERROR(((B1438 - GOOGLEFINANCE(A1438, ""priceopen"")) / GOOGLEFINANCE(A1438, ""priceopen"")) * GOOGLEFINANCE(A1438, ""volume""), 0)"),-770.0163831127888)</f>
        <v>-770.0163831</v>
      </c>
    </row>
    <row r="1439">
      <c r="A1439" s="4" t="s">
        <v>3231</v>
      </c>
      <c r="B1439" s="7">
        <f>IFERROR(__xludf.DUMMYFUNCTION("GOOGLEFINANCE(A1439, ""price"")"),57.09)</f>
        <v>57.09</v>
      </c>
      <c r="C1439" s="7">
        <f>IFERROR(__xludf.DUMMYFUNCTION("GOOGLEFINANCE(A1439, ""changepct"")"),1.37)</f>
        <v>1.37</v>
      </c>
      <c r="D1439" s="9">
        <f>IFERROR(__xludf.DUMMYFUNCTION("GOOGLEFINANCE(A1439, ""priceopen"")"),56.37)</f>
        <v>56.37</v>
      </c>
      <c r="E1439" s="9">
        <f>IFERROR(__xludf.DUMMYFUNCTION("GOOGLEFINANCE(A1439, ""high"")"),57.25)</f>
        <v>57.25</v>
      </c>
      <c r="F1439" s="9">
        <f>IFERROR(__xludf.DUMMYFUNCTION("GOOGLEFINANCE(A1439, ""low"")"),56.15)</f>
        <v>56.15</v>
      </c>
      <c r="G1439" s="9">
        <f>IFERROR(__xludf.DUMMYFUNCTION("GOOGLEFINANCE(A1439, ""price"")"),57.09)</f>
        <v>57.09</v>
      </c>
      <c r="H1439" s="9">
        <f>IFERROR(__xludf.DUMMYFUNCTION("MAX(INDEX(GOOGLEFINANCE(A1439, ""high"", TODAY()-30, TODAY()), 0, 2))"),57.71)</f>
        <v>57.71</v>
      </c>
      <c r="I1439" s="9">
        <f>IFERROR(__xludf.DUMMYFUNCTION("MIN(INDEX(GOOGLEFINANCE(A1439, ""low"", TODAY()-30, TODAY()), 0, 2))"),41.28)</f>
        <v>41.28</v>
      </c>
      <c r="J1439" s="9">
        <f>IFERROR(__xludf.DUMMYFUNCTION("GOOGLEFINANCE(A1439, ""high52"")"),57.71)</f>
        <v>57.71</v>
      </c>
      <c r="K1439" s="9">
        <f>IFERROR(__xludf.DUMMYFUNCTION("GOOGLEFINANCE(A1439, ""low52"")"),26.35)</f>
        <v>26.35</v>
      </c>
      <c r="L1439" s="9">
        <f t="shared" si="1"/>
        <v>0.01074337203</v>
      </c>
      <c r="M1439" s="9">
        <f t="shared" si="2"/>
        <v>1.166603416</v>
      </c>
      <c r="N1439" s="9">
        <f t="shared" si="3"/>
        <v>0.0195903829</v>
      </c>
      <c r="O1439" s="9">
        <f t="shared" si="4"/>
        <v>0.9622641509</v>
      </c>
      <c r="P1439" s="9">
        <f>IFERROR(__xludf.DUMMYFUNCTION("GOOGLEFINANCE(A1439, ""pe"")"),49.64)</f>
        <v>49.64</v>
      </c>
      <c r="Q1439" s="9">
        <f>IFERROR(__xludf.DUMMYFUNCTION("IFERROR(GOOGLEFINANCE(A1439, ""volume"") / GOOGLEFINANCE(A1439, ""volumeavg""), 0)"),0.0)</f>
        <v>0</v>
      </c>
      <c r="R1439" s="9">
        <f>IFERROR(__xludf.DUMMYFUNCTION("AVERAGE(INDEX(GOOGLEFINANCE(A1439, ""price"", TODAY()-30, TODAY()), 0, 2))"),49.84608695652174)</f>
        <v>49.84608696</v>
      </c>
      <c r="S1439" s="9">
        <f>IFERROR(__xludf.DUMMYFUNCTION("AVERAGE(INDEX(GOOGLEFINANCE(A1439, ""price"", TODAY()-75, TODAY()), 0, 2))"),43.98566037735848)</f>
        <v>43.98566038</v>
      </c>
      <c r="T1439" s="9">
        <f>IFERROR(__xludf.DUMMYFUNCTION("AVERAGE(INDEX(GOOGLEFINANCE(A1439, ""price"", TODAY()-300, TODAY()), 0, 2))"),36.39313432835823)</f>
        <v>36.39313433</v>
      </c>
      <c r="U1439" s="9">
        <f t="shared" si="5"/>
        <v>0.145325611</v>
      </c>
      <c r="V1439" s="15">
        <f>IFERROR(__xludf.DUMMYFUNCTION("LET(hist, GOOGLEFINANCE(A1439,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rs))))))"),97.43833017077796)</f>
        <v>97.43833017</v>
      </c>
      <c r="W1439" s="16" t="str">
        <f>IFERROR(__xludf.DUMMYFUNCTION("IFERROR(GOOGLEFINANCE(A1439, ""volume"") / GOOGLEFINANCE(A1439, ""volumeavg""), )"),"")</f>
        <v/>
      </c>
      <c r="X1439" s="9">
        <f>IFERROR(__xludf.DUMMYFUNCTION("B1439 * GOOGLEFINANCE(A1439, ""volume"")"),4.505976684E7)</f>
        <v>45059766.84</v>
      </c>
      <c r="Y1439" s="9">
        <f>IFERROR(__xludf.DUMMYFUNCTION("IFERROR(((B1439 - GOOGLEFINANCE(A1439, ""priceopen"")) / GOOGLEFINANCE(A1439, ""priceopen"")) * GOOGLEFINANCE(A1439, ""volume""), 0)"),10081.226184140585)</f>
        <v>10081.22618</v>
      </c>
    </row>
    <row r="1440">
      <c r="A1440" s="4" t="s">
        <v>3232</v>
      </c>
      <c r="B1440" s="7">
        <f>IFERROR(__xludf.DUMMYFUNCTION("GOOGLEFINANCE(A1440, ""price"")"),1665.0)</f>
        <v>1665</v>
      </c>
      <c r="C1440" s="7">
        <f>IFERROR(__xludf.DUMMYFUNCTION("GOOGLEFINANCE(A1440, ""changepct"")"),-1.18)</f>
        <v>-1.18</v>
      </c>
      <c r="D1440" s="9">
        <f>IFERROR(__xludf.DUMMYFUNCTION("GOOGLEFINANCE(A1440, ""priceopen"")"),1700.0)</f>
        <v>1700</v>
      </c>
      <c r="E1440" s="9">
        <f>IFERROR(__xludf.DUMMYFUNCTION("GOOGLEFINANCE(A1440, ""high"")"),1715.0)</f>
        <v>1715</v>
      </c>
      <c r="F1440" s="9">
        <f>IFERROR(__xludf.DUMMYFUNCTION("GOOGLEFINANCE(A1440, ""low"")"),1650.0)</f>
        <v>1650</v>
      </c>
      <c r="G1440" s="9">
        <f>IFERROR(__xludf.DUMMYFUNCTION("GOOGLEFINANCE(A1440, ""price"")"),1665.0)</f>
        <v>1665</v>
      </c>
      <c r="H1440" s="9">
        <f>IFERROR(__xludf.DUMMYFUNCTION("MAX(INDEX(GOOGLEFINANCE(A1440, ""high"", TODAY()-30, TODAY()), 0, 2))"),1724.0)</f>
        <v>1724</v>
      </c>
      <c r="I1440" s="9">
        <f>IFERROR(__xludf.DUMMYFUNCTION("MIN(INDEX(GOOGLEFINANCE(A1440, ""low"", TODAY()-30, TODAY()), 0, 2))"),1237.6)</f>
        <v>1237.6</v>
      </c>
      <c r="J1440" s="9">
        <f>IFERROR(__xludf.DUMMYFUNCTION("GOOGLEFINANCE(A1440, ""high52"")"),2086.9)</f>
        <v>2086.9</v>
      </c>
      <c r="K1440" s="9">
        <f>IFERROR(__xludf.DUMMYFUNCTION("GOOGLEFINANCE(A1440, ""low52"")"),1190.1)</f>
        <v>1190.1</v>
      </c>
      <c r="L1440" s="9">
        <f t="shared" si="1"/>
        <v>0.202165892</v>
      </c>
      <c r="M1440" s="9">
        <f t="shared" si="2"/>
        <v>0.3990420973</v>
      </c>
      <c r="N1440" s="9">
        <f t="shared" si="3"/>
        <v>0.03939393939</v>
      </c>
      <c r="O1440" s="9">
        <f t="shared" si="4"/>
        <v>0.8787006579</v>
      </c>
      <c r="P1440" s="9" t="str">
        <f>IFERROR(__xludf.DUMMYFUNCTION("GOOGLEFINANCE(A1440, ""pe"")"),"#N/A")</f>
        <v>#N/A</v>
      </c>
      <c r="Q1440" s="9">
        <f>IFERROR(__xludf.DUMMYFUNCTION("IFERROR(GOOGLEFINANCE(A1440, ""volume"") / GOOGLEFINANCE(A1440, ""volumeavg""), 0)"),0.0)</f>
        <v>0</v>
      </c>
      <c r="R1440" s="9">
        <f>IFERROR(__xludf.DUMMYFUNCTION("AVERAGE(INDEX(GOOGLEFINANCE(A1440, ""price"", TODAY()-30, TODAY()), 0, 2))"),1392.6695652173914)</f>
        <v>1392.669565</v>
      </c>
      <c r="S1440" s="9">
        <f>IFERROR(__xludf.DUMMYFUNCTION("AVERAGE(INDEX(GOOGLEFINANCE(A1440, ""price"", TODAY()-75, TODAY()), 0, 2))"),1370.796226415094)</f>
        <v>1370.796226</v>
      </c>
      <c r="T1440" s="9">
        <f>IFERROR(__xludf.DUMMYFUNCTION("AVERAGE(INDEX(GOOGLEFINANCE(A1440, ""price"", TODAY()-300, TODAY()), 0, 2))"),1525.0658415841583)</f>
        <v>1525.065842</v>
      </c>
      <c r="U1440" s="9">
        <f t="shared" si="5"/>
        <v>0.1955456209</v>
      </c>
      <c r="V1440" s="15">
        <f>IFERROR(__xludf.DUMMYFUNCTION("LET(hist, GOOGLEFINANCE(A1440,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rs))))))"),79.38805423231956)</f>
        <v>79.38805423</v>
      </c>
      <c r="W1440" s="16" t="str">
        <f>IFERROR(__xludf.DUMMYFUNCTION("IFERROR(GOOGLEFINANCE(A1440, ""volume"") / GOOGLEFINANCE(A1440, ""volumeavg""), )"),"")</f>
        <v/>
      </c>
      <c r="X1440" s="9">
        <f>IFERROR(__xludf.DUMMYFUNCTION("B1440 * GOOGLEFINANCE(A1440, ""volume"")"),3.7314315E7)</f>
        <v>37314315</v>
      </c>
      <c r="Y1440" s="9">
        <f>IFERROR(__xludf.DUMMYFUNCTION("IFERROR(((B1440 - GOOGLEFINANCE(A1440, ""priceopen"")) / GOOGLEFINANCE(A1440, ""priceopen"")) * GOOGLEFINANCE(A1440, ""volume""), 0)"),-461.40294117647056)</f>
        <v>-461.4029412</v>
      </c>
    </row>
    <row r="1441">
      <c r="A1441" s="4" t="s">
        <v>3233</v>
      </c>
      <c r="B1441" s="7">
        <f>IFERROR(__xludf.DUMMYFUNCTION("GOOGLEFINANCE(A1441, ""price"")"),133.36)</f>
        <v>133.36</v>
      </c>
      <c r="C1441" s="7">
        <f>IFERROR(__xludf.DUMMYFUNCTION("GOOGLEFINANCE(A1441, ""changepct"")"),-0.33)</f>
        <v>-0.33</v>
      </c>
      <c r="D1441" s="9">
        <f>IFERROR(__xludf.DUMMYFUNCTION("GOOGLEFINANCE(A1441, ""priceopen"")"),133.8)</f>
        <v>133.8</v>
      </c>
      <c r="E1441" s="9">
        <f>IFERROR(__xludf.DUMMYFUNCTION("GOOGLEFINANCE(A1441, ""high"")"),135.86)</f>
        <v>135.86</v>
      </c>
      <c r="F1441" s="9">
        <f>IFERROR(__xludf.DUMMYFUNCTION("GOOGLEFINANCE(A1441, ""low"")"),132.97)</f>
        <v>132.97</v>
      </c>
      <c r="G1441" s="9">
        <f>IFERROR(__xludf.DUMMYFUNCTION("GOOGLEFINANCE(A1441, ""price"")"),133.36)</f>
        <v>133.36</v>
      </c>
      <c r="H1441" s="9">
        <f>IFERROR(__xludf.DUMMYFUNCTION("MAX(INDEX(GOOGLEFINANCE(A1441, ""high"", TODAY()-30, TODAY()), 0, 2))"),140.49)</f>
        <v>140.49</v>
      </c>
      <c r="I1441" s="9">
        <f>IFERROR(__xludf.DUMMYFUNCTION("MIN(INDEX(GOOGLEFINANCE(A1441, ""low"", TODAY()-30, TODAY()), 0, 2))"),126.36)</f>
        <v>126.36</v>
      </c>
      <c r="J1441" s="9">
        <f>IFERROR(__xludf.DUMMYFUNCTION("GOOGLEFINANCE(A1441, ""high52"")"),148.34)</f>
        <v>148.34</v>
      </c>
      <c r="K1441" s="9">
        <f>IFERROR(__xludf.DUMMYFUNCTION("GOOGLEFINANCE(A1441, ""low52"")"),98.36)</f>
        <v>98.36</v>
      </c>
      <c r="L1441" s="9">
        <f t="shared" si="1"/>
        <v>0.1009842254</v>
      </c>
      <c r="M1441" s="9">
        <f t="shared" si="2"/>
        <v>0.3558357056</v>
      </c>
      <c r="N1441" s="9">
        <f t="shared" si="3"/>
        <v>0.02173422577</v>
      </c>
      <c r="O1441" s="9">
        <f t="shared" si="4"/>
        <v>0.4953998585</v>
      </c>
      <c r="P1441" s="9">
        <f>IFERROR(__xludf.DUMMYFUNCTION("GOOGLEFINANCE(A1441, ""pe"")"),53.56)</f>
        <v>53.56</v>
      </c>
      <c r="Q1441" s="9">
        <f>IFERROR(__xludf.DUMMYFUNCTION("IFERROR(GOOGLEFINANCE(A1441, ""volume"") / GOOGLEFINANCE(A1441, ""volumeavg""), 0)"),0.0)</f>
        <v>0</v>
      </c>
      <c r="R1441" s="9">
        <f>IFERROR(__xludf.DUMMYFUNCTION("AVERAGE(INDEX(GOOGLEFINANCE(A1441, ""price"", TODAY()-30, TODAY()), 0, 2))"),130.11565217391305)</f>
        <v>130.1156522</v>
      </c>
      <c r="S1441" s="9">
        <f>IFERROR(__xludf.DUMMYFUNCTION("AVERAGE(INDEX(GOOGLEFINANCE(A1441, ""price"", TODAY()-75, TODAY()), 0, 2))"),130.0567924528302)</f>
        <v>130.0567925</v>
      </c>
      <c r="T1441" s="9">
        <f>IFERROR(__xludf.DUMMYFUNCTION("AVERAGE(INDEX(GOOGLEFINANCE(A1441, ""price"", TODAY()-300, TODAY()), 0, 2))"),118.90736842105262)</f>
        <v>118.9073684</v>
      </c>
      <c r="U1441" s="9">
        <f t="shared" si="5"/>
        <v>0.02493433935</v>
      </c>
      <c r="V1441" s="15">
        <f>IFERROR(__xludf.DUMMYFUNCTION("LET(hist, GOOGLEFINANCE(A1441,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rs))))))"),73.93790849673209)</f>
        <v>73.9379085</v>
      </c>
      <c r="W1441" s="16" t="str">
        <f>IFERROR(__xludf.DUMMYFUNCTION("IFERROR(GOOGLEFINANCE(A1441, ""volume"") / GOOGLEFINANCE(A1441, ""volumeavg""), )"),"")</f>
        <v/>
      </c>
      <c r="X1441" s="9">
        <f>IFERROR(__xludf.DUMMYFUNCTION("B1441 * GOOGLEFINANCE(A1441, ""volume"")"),1.3449089280000001E7)</f>
        <v>13449089.28</v>
      </c>
      <c r="Y1441" s="9">
        <f>IFERROR(__xludf.DUMMYFUNCTION("IFERROR(((B1441 - GOOGLEFINANCE(A1441, ""priceopen"")) / GOOGLEFINANCE(A1441, ""priceopen"")) * GOOGLEFINANCE(A1441, ""volume""), 0)"),-331.6376681614332)</f>
        <v>-331.6376682</v>
      </c>
    </row>
    <row r="1442">
      <c r="A1442" s="4" t="s">
        <v>3234</v>
      </c>
      <c r="B1442" s="7">
        <f>IFERROR(__xludf.DUMMYFUNCTION("GOOGLEFINANCE(A1442, ""price"")"),172.48)</f>
        <v>172.48</v>
      </c>
      <c r="C1442" s="7">
        <f>IFERROR(__xludf.DUMMYFUNCTION("GOOGLEFINANCE(A1442, ""changepct"")"),-4.94)</f>
        <v>-4.94</v>
      </c>
      <c r="D1442" s="9">
        <f>IFERROR(__xludf.DUMMYFUNCTION("GOOGLEFINANCE(A1442, ""priceopen"")"),181.5)</f>
        <v>181.5</v>
      </c>
      <c r="E1442" s="9">
        <f>IFERROR(__xludf.DUMMYFUNCTION("GOOGLEFINANCE(A1442, ""high"")"),181.65)</f>
        <v>181.65</v>
      </c>
      <c r="F1442" s="9">
        <f>IFERROR(__xludf.DUMMYFUNCTION("GOOGLEFINANCE(A1442, ""low"")"),169.0)</f>
        <v>169</v>
      </c>
      <c r="G1442" s="9">
        <f>IFERROR(__xludf.DUMMYFUNCTION("GOOGLEFINANCE(A1442, ""price"")"),172.48)</f>
        <v>172.48</v>
      </c>
      <c r="H1442" s="9">
        <f>IFERROR(__xludf.DUMMYFUNCTION("MAX(INDEX(GOOGLEFINANCE(A1442, ""high"", TODAY()-30, TODAY()), 0, 2))"),205.89)</f>
        <v>205.89</v>
      </c>
      <c r="I1442" s="9">
        <f>IFERROR(__xludf.DUMMYFUNCTION("MIN(INDEX(GOOGLEFINANCE(A1442, ""low"", TODAY()-30, TODAY()), 0, 2))"),169.0)</f>
        <v>169</v>
      </c>
      <c r="J1442" s="9">
        <f>IFERROR(__xludf.DUMMYFUNCTION("GOOGLEFINANCE(A1442, ""high52"")"),349.6)</f>
        <v>349.6</v>
      </c>
      <c r="K1442" s="9">
        <f>IFERROR(__xludf.DUMMYFUNCTION("GOOGLEFINANCE(A1442, ""low52"")"),133.0)</f>
        <v>133</v>
      </c>
      <c r="L1442" s="9">
        <f t="shared" si="1"/>
        <v>0.5066361556</v>
      </c>
      <c r="M1442" s="9">
        <f t="shared" si="2"/>
        <v>0.2968421053</v>
      </c>
      <c r="N1442" s="9">
        <f t="shared" si="3"/>
        <v>0.07485207101</v>
      </c>
      <c r="O1442" s="9">
        <f t="shared" si="4"/>
        <v>0.094334508</v>
      </c>
      <c r="P1442" s="9">
        <f>IFERROR(__xludf.DUMMYFUNCTION("GOOGLEFINANCE(A1442, ""pe"")"),606.75)</f>
        <v>606.75</v>
      </c>
      <c r="Q1442" s="9">
        <f>IFERROR(__xludf.DUMMYFUNCTION("IFERROR(GOOGLEFINANCE(A1442, ""volume"") / GOOGLEFINANCE(A1442, ""volumeavg""), 0)"),0.0)</f>
        <v>0</v>
      </c>
      <c r="R1442" s="9">
        <f>IFERROR(__xludf.DUMMYFUNCTION("AVERAGE(INDEX(GOOGLEFINANCE(A1442, ""price"", TODAY()-30, TODAY()), 0, 2))"),185.20391304347825)</f>
        <v>185.203913</v>
      </c>
      <c r="S1442" s="9">
        <f>IFERROR(__xludf.DUMMYFUNCTION("AVERAGE(INDEX(GOOGLEFINANCE(A1442, ""price"", TODAY()-75, TODAY()), 0, 2))"),180.6858490566037)</f>
        <v>180.6858491</v>
      </c>
      <c r="T1442" s="9">
        <f>IFERROR(__xludf.DUMMYFUNCTION("AVERAGE(INDEX(GOOGLEFINANCE(A1442, ""price"", TODAY()-300, TODAY()), 0, 2))"),176.0877722772277)</f>
        <v>176.0877723</v>
      </c>
      <c r="U1442" s="9">
        <f t="shared" si="5"/>
        <v>-0.06870218255</v>
      </c>
      <c r="V1442" s="15">
        <f>IFERROR(__xludf.DUMMYFUNCTION("LET(hist, GOOGLEFINANCE(A1442,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rs))))))"),45.52489037915915)</f>
        <v>45.52489038</v>
      </c>
      <c r="W1442" s="16" t="str">
        <f>IFERROR(__xludf.DUMMYFUNCTION("IFERROR(GOOGLEFINANCE(A1442, ""volume"") / GOOGLEFINANCE(A1442, ""volumeavg""), )"),"")</f>
        <v/>
      </c>
      <c r="X1442" s="9">
        <f>IFERROR(__xludf.DUMMYFUNCTION("B1442 * GOOGLEFINANCE(A1442, ""volume"")"),2.6326484799999997E7)</f>
        <v>26326484.8</v>
      </c>
      <c r="Y1442" s="9">
        <f>IFERROR(__xludf.DUMMYFUNCTION("IFERROR(((B1442 - GOOGLEFINANCE(A1442, ""priceopen"")) / GOOGLEFINANCE(A1442, ""priceopen"")) * GOOGLEFINANCE(A1442, ""volume""), 0)"),-7585.496969696978)</f>
        <v>-7585.49697</v>
      </c>
    </row>
    <row r="1443">
      <c r="A1443" s="4" t="s">
        <v>3235</v>
      </c>
      <c r="B1443" s="7">
        <f>IFERROR(__xludf.DUMMYFUNCTION("GOOGLEFINANCE(A1443, ""price"")"),123.28)</f>
        <v>123.28</v>
      </c>
      <c r="C1443" s="7">
        <f>IFERROR(__xludf.DUMMYFUNCTION("GOOGLEFINANCE(A1443, ""changepct"")"),-2.0)</f>
        <v>-2</v>
      </c>
      <c r="D1443" s="9">
        <f>IFERROR(__xludf.DUMMYFUNCTION("GOOGLEFINANCE(A1443, ""priceopen"")"),123.28)</f>
        <v>123.28</v>
      </c>
      <c r="E1443" s="9">
        <f>IFERROR(__xludf.DUMMYFUNCTION("GOOGLEFINANCE(A1443, ""high"")"),123.28)</f>
        <v>123.28</v>
      </c>
      <c r="F1443" s="9">
        <f>IFERROR(__xludf.DUMMYFUNCTION("GOOGLEFINANCE(A1443, ""low"")"),123.28)</f>
        <v>123.28</v>
      </c>
      <c r="G1443" s="9">
        <f>IFERROR(__xludf.DUMMYFUNCTION("GOOGLEFINANCE(A1443, ""price"")"),123.28)</f>
        <v>123.28</v>
      </c>
      <c r="H1443" s="9">
        <f>IFERROR(__xludf.DUMMYFUNCTION("MAX(INDEX(GOOGLEFINANCE(A1443, ""high"", TODAY()-30, TODAY()), 0, 2))"),163.18)</f>
        <v>163.18</v>
      </c>
      <c r="I1443" s="9">
        <f>IFERROR(__xludf.DUMMYFUNCTION("MIN(INDEX(GOOGLEFINANCE(A1443, ""low"", TODAY()-30, TODAY()), 0, 2))"),121.0)</f>
        <v>121</v>
      </c>
      <c r="J1443" s="9">
        <f>IFERROR(__xludf.DUMMYFUNCTION("GOOGLEFINANCE(A1443, ""high52"")"),163.18)</f>
        <v>163.18</v>
      </c>
      <c r="K1443" s="9">
        <f>IFERROR(__xludf.DUMMYFUNCTION("GOOGLEFINANCE(A1443, ""low52"")"),69.18)</f>
        <v>69.18</v>
      </c>
      <c r="L1443" s="9">
        <f t="shared" si="1"/>
        <v>0.2445152592</v>
      </c>
      <c r="M1443" s="9">
        <f t="shared" si="2"/>
        <v>0.7820179243</v>
      </c>
      <c r="N1443" s="9">
        <f t="shared" si="3"/>
        <v>0</v>
      </c>
      <c r="O1443" s="9">
        <f t="shared" si="4"/>
        <v>0.05405405405</v>
      </c>
      <c r="P1443" s="9">
        <f>IFERROR(__xludf.DUMMYFUNCTION("GOOGLEFINANCE(A1443, ""pe"")"),31.45)</f>
        <v>31.45</v>
      </c>
      <c r="Q1443" s="9">
        <f>IFERROR(__xludf.DUMMYFUNCTION("IFERROR(GOOGLEFINANCE(A1443, ""volume"") / GOOGLEFINANCE(A1443, ""volumeavg""), 0)"),0.0)</f>
        <v>0</v>
      </c>
      <c r="R1443" s="9">
        <f>IFERROR(__xludf.DUMMYFUNCTION("AVERAGE(INDEX(GOOGLEFINANCE(A1443, ""price"", TODAY()-30, TODAY()), 0, 2))"),139.07304347826087)</f>
        <v>139.0730435</v>
      </c>
      <c r="S1443" s="9">
        <f>IFERROR(__xludf.DUMMYFUNCTION("AVERAGE(INDEX(GOOGLEFINANCE(A1443, ""price"", TODAY()-75, TODAY()), 0, 2))"),123.0554716981132)</f>
        <v>123.0554717</v>
      </c>
      <c r="T1443" s="9">
        <f>IFERROR(__xludf.DUMMYFUNCTION("AVERAGE(INDEX(GOOGLEFINANCE(A1443, ""price"", TODAY()-300, TODAY()), 0, 2))"),110.14354545454552)</f>
        <v>110.1435455</v>
      </c>
      <c r="U1443" s="9">
        <f t="shared" si="5"/>
        <v>-0.1135593432</v>
      </c>
      <c r="V1443" s="15">
        <f>IFERROR(__xludf.DUMMYFUNCTION("LET(hist, GOOGLEFINANCE(A1443,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rs))))))"),7.0887445887446034)</f>
        <v>7.088744589</v>
      </c>
      <c r="W1443" s="16" t="str">
        <f>IFERROR(__xludf.DUMMYFUNCTION("IFERROR(GOOGLEFINANCE(A1443, ""volume"") / GOOGLEFINANCE(A1443, ""volumeavg""), )"),"")</f>
        <v/>
      </c>
      <c r="X1443" s="9">
        <f>IFERROR(__xludf.DUMMYFUNCTION("B1443 * GOOGLEFINANCE(A1443, ""volume"")"),3595954.32)</f>
        <v>3595954.32</v>
      </c>
      <c r="Y1443" s="9">
        <f>IFERROR(__xludf.DUMMYFUNCTION("IFERROR(((B1443 - GOOGLEFINANCE(A1443, ""priceopen"")) / GOOGLEFINANCE(A1443, ""priceopen"")) * GOOGLEFINANCE(A1443, ""volume""), 0)"),0.0)</f>
        <v>0</v>
      </c>
    </row>
    <row r="1444">
      <c r="A1444" s="4" t="s">
        <v>3236</v>
      </c>
      <c r="B1444" s="7">
        <f>IFERROR(__xludf.DUMMYFUNCTION("GOOGLEFINANCE(A1444, ""price"")"),425.2)</f>
        <v>425.2</v>
      </c>
      <c r="C1444" s="7">
        <f>IFERROR(__xludf.DUMMYFUNCTION("GOOGLEFINANCE(A1444, ""changepct"")"),0.0)</f>
        <v>0</v>
      </c>
      <c r="D1444" s="9">
        <f>IFERROR(__xludf.DUMMYFUNCTION("GOOGLEFINANCE(A1444, ""priceopen"")"),423.45)</f>
        <v>423.45</v>
      </c>
      <c r="E1444" s="9">
        <f>IFERROR(__xludf.DUMMYFUNCTION("GOOGLEFINANCE(A1444, ""high"")"),427.0)</f>
        <v>427</v>
      </c>
      <c r="F1444" s="9">
        <f>IFERROR(__xludf.DUMMYFUNCTION("GOOGLEFINANCE(A1444, ""low"")"),421.0)</f>
        <v>421</v>
      </c>
      <c r="G1444" s="9">
        <f>IFERROR(__xludf.DUMMYFUNCTION("GOOGLEFINANCE(A1444, ""price"")"),425.2)</f>
        <v>425.2</v>
      </c>
      <c r="H1444" s="9">
        <f>IFERROR(__xludf.DUMMYFUNCTION("MAX(INDEX(GOOGLEFINANCE(A1444, ""high"", TODAY()-30, TODAY()), 0, 2))"),429.9)</f>
        <v>429.9</v>
      </c>
      <c r="I1444" s="9">
        <f>IFERROR(__xludf.DUMMYFUNCTION("MIN(INDEX(GOOGLEFINANCE(A1444, ""low"", TODAY()-30, TODAY()), 0, 2))"),375.1)</f>
        <v>375.1</v>
      </c>
      <c r="J1444" s="9">
        <f>IFERROR(__xludf.DUMMYFUNCTION("GOOGLEFINANCE(A1444, ""high52"")"),515.0)</f>
        <v>515</v>
      </c>
      <c r="K1444" s="9">
        <f>IFERROR(__xludf.DUMMYFUNCTION("GOOGLEFINANCE(A1444, ""low52"")"),297.0)</f>
        <v>297</v>
      </c>
      <c r="L1444" s="9">
        <f t="shared" si="1"/>
        <v>0.174368932</v>
      </c>
      <c r="M1444" s="9">
        <f t="shared" si="2"/>
        <v>0.4316498316</v>
      </c>
      <c r="N1444" s="9">
        <f t="shared" si="3"/>
        <v>0.01425178147</v>
      </c>
      <c r="O1444" s="9">
        <f t="shared" si="4"/>
        <v>0.9142335766</v>
      </c>
      <c r="P1444" s="9">
        <f>IFERROR(__xludf.DUMMYFUNCTION("GOOGLEFINANCE(A1444, ""pe"")"),69.52)</f>
        <v>69.52</v>
      </c>
      <c r="Q1444" s="9">
        <f>IFERROR(__xludf.DUMMYFUNCTION("IFERROR(GOOGLEFINANCE(A1444, ""volume"") / GOOGLEFINANCE(A1444, ""volumeavg""), 0)"),0.0)</f>
        <v>0</v>
      </c>
      <c r="R1444" s="9">
        <f>IFERROR(__xludf.DUMMYFUNCTION("AVERAGE(INDEX(GOOGLEFINANCE(A1444, ""price"", TODAY()-30, TODAY()), 0, 2))"),400.6521739130434)</f>
        <v>400.6521739</v>
      </c>
      <c r="S1444" s="9">
        <f>IFERROR(__xludf.DUMMYFUNCTION("AVERAGE(INDEX(GOOGLEFINANCE(A1444, ""price"", TODAY()-75, TODAY()), 0, 2))"),391.00943396226427)</f>
        <v>391.009434</v>
      </c>
      <c r="T1444" s="9">
        <f>IFERROR(__xludf.DUMMYFUNCTION("AVERAGE(INDEX(GOOGLEFINANCE(A1444, ""price"", TODAY()-300, TODAY()), 0, 2))"),404.7650990099007)</f>
        <v>404.765099</v>
      </c>
      <c r="U1444" s="9">
        <f t="shared" si="5"/>
        <v>0.06126966902</v>
      </c>
      <c r="V1444" s="15">
        <f>IFERROR(__xludf.DUMMYFUNCTION("LET(hist, GOOGLEFINANCE(A1444,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rs))))))"),69.42204301075273)</f>
        <v>69.42204301</v>
      </c>
      <c r="W1444" s="16" t="str">
        <f>IFERROR(__xludf.DUMMYFUNCTION("IFERROR(GOOGLEFINANCE(A1444, ""volume"") / GOOGLEFINANCE(A1444, ""volumeavg""), )"),"")</f>
        <v/>
      </c>
      <c r="X1444" s="9">
        <f>IFERROR(__xludf.DUMMYFUNCTION("B1444 * GOOGLEFINANCE(A1444, ""volume"")"),2.7299115599999998E7)</f>
        <v>27299115.6</v>
      </c>
      <c r="Y1444" s="9">
        <f>IFERROR(__xludf.DUMMYFUNCTION("IFERROR(((B1444 - GOOGLEFINANCE(A1444, ""priceopen"")) / GOOGLEFINANCE(A1444, ""priceopen"")) * GOOGLEFINANCE(A1444, ""volume""), 0)"),265.332979100248)</f>
        <v>265.3329791</v>
      </c>
    </row>
    <row r="1445">
      <c r="A1445" s="4" t="s">
        <v>3237</v>
      </c>
      <c r="B1445" s="7">
        <f>IFERROR(__xludf.DUMMYFUNCTION("GOOGLEFINANCE(A1445, ""price"")"),76.2)</f>
        <v>76.2</v>
      </c>
      <c r="C1445" s="7">
        <f>IFERROR(__xludf.DUMMYFUNCTION("GOOGLEFINANCE(A1445, ""changepct"")"),-0.14)</f>
        <v>-0.14</v>
      </c>
      <c r="D1445" s="9">
        <f>IFERROR(__xludf.DUMMYFUNCTION("GOOGLEFINANCE(A1445, ""priceopen"")"),76.32)</f>
        <v>76.32</v>
      </c>
      <c r="E1445" s="9">
        <f>IFERROR(__xludf.DUMMYFUNCTION("GOOGLEFINANCE(A1445, ""high"")"),77.75)</f>
        <v>77.75</v>
      </c>
      <c r="F1445" s="9">
        <f>IFERROR(__xludf.DUMMYFUNCTION("GOOGLEFINANCE(A1445, ""low"")"),76.0)</f>
        <v>76</v>
      </c>
      <c r="G1445" s="9">
        <f>IFERROR(__xludf.DUMMYFUNCTION("GOOGLEFINANCE(A1445, ""price"")"),76.2)</f>
        <v>76.2</v>
      </c>
      <c r="H1445" s="9">
        <f>IFERROR(__xludf.DUMMYFUNCTION("MAX(INDEX(GOOGLEFINANCE(A1445, ""high"", TODAY()-30, TODAY()), 0, 2))"),92.27)</f>
        <v>92.27</v>
      </c>
      <c r="I1445" s="9">
        <f>IFERROR(__xludf.DUMMYFUNCTION("MIN(INDEX(GOOGLEFINANCE(A1445, ""low"", TODAY()-30, TODAY()), 0, 2))"),76.0)</f>
        <v>76</v>
      </c>
      <c r="J1445" s="9">
        <f>IFERROR(__xludf.DUMMYFUNCTION("GOOGLEFINANCE(A1445, ""high52"")"),134.7)</f>
        <v>134.7</v>
      </c>
      <c r="K1445" s="9">
        <f>IFERROR(__xludf.DUMMYFUNCTION("GOOGLEFINANCE(A1445, ""low52"")"),72.01)</f>
        <v>72.01</v>
      </c>
      <c r="L1445" s="9">
        <f t="shared" si="1"/>
        <v>0.434298441</v>
      </c>
      <c r="M1445" s="9">
        <f t="shared" si="2"/>
        <v>0.05818636301</v>
      </c>
      <c r="N1445" s="9">
        <f t="shared" si="3"/>
        <v>0.02302631579</v>
      </c>
      <c r="O1445" s="9">
        <f t="shared" si="4"/>
        <v>0.012292563</v>
      </c>
      <c r="P1445" s="9">
        <f>IFERROR(__xludf.DUMMYFUNCTION("GOOGLEFINANCE(A1445, ""pe"")"),15.46)</f>
        <v>15.46</v>
      </c>
      <c r="Q1445" s="9">
        <f>IFERROR(__xludf.DUMMYFUNCTION("IFERROR(GOOGLEFINANCE(A1445, ""volume"") / GOOGLEFINANCE(A1445, ""volumeavg""), 0)"),0.0)</f>
        <v>0</v>
      </c>
      <c r="R1445" s="9">
        <f>IFERROR(__xludf.DUMMYFUNCTION("AVERAGE(INDEX(GOOGLEFINANCE(A1445, ""price"", TODAY()-30, TODAY()), 0, 2))"),81.79869565217392)</f>
        <v>81.79869565</v>
      </c>
      <c r="S1445" s="9">
        <f>IFERROR(__xludf.DUMMYFUNCTION("AVERAGE(INDEX(GOOGLEFINANCE(A1445, ""price"", TODAY()-75, TODAY()), 0, 2))"),82.07641509433962)</f>
        <v>82.07641509</v>
      </c>
      <c r="T1445" s="9">
        <f>IFERROR(__xludf.DUMMYFUNCTION("AVERAGE(INDEX(GOOGLEFINANCE(A1445, ""price"", TODAY()-300, TODAY()), 0, 2))"),97.4103499999999)</f>
        <v>97.41035</v>
      </c>
      <c r="U1445" s="9">
        <f t="shared" si="5"/>
        <v>-0.06844480352</v>
      </c>
      <c r="V1445" s="15">
        <f>IFERROR(__xludf.DUMMYFUNCTION("LET(hist, GOOGLEFINANCE(A1445,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rs))))))"),31.732776617954045)</f>
        <v>31.73277662</v>
      </c>
      <c r="W1445" s="16" t="str">
        <f>IFERROR(__xludf.DUMMYFUNCTION("IFERROR(GOOGLEFINANCE(A1445, ""volume"") / GOOGLEFINANCE(A1445, ""volumeavg""), )"),"")</f>
        <v/>
      </c>
      <c r="X1445" s="9">
        <f>IFERROR(__xludf.DUMMYFUNCTION("B1445 * GOOGLEFINANCE(A1445, ""volume"")"),3.1849390200000003E7)</f>
        <v>31849390.2</v>
      </c>
      <c r="Y1445" s="9">
        <f>IFERROR(__xludf.DUMMYFUNCTION("IFERROR(((B1445 - GOOGLEFINANCE(A1445, ""priceopen"")) / GOOGLEFINANCE(A1445, ""priceopen"")) * GOOGLEFINANCE(A1445, ""volume""), 0)"),-657.1871069181861)</f>
        <v>-657.1871069</v>
      </c>
    </row>
    <row r="1446">
      <c r="A1446" s="4" t="s">
        <v>3238</v>
      </c>
      <c r="B1446" s="7">
        <f>IFERROR(__xludf.DUMMYFUNCTION("GOOGLEFINANCE(A1446, ""price"")"),819.5)</f>
        <v>819.5</v>
      </c>
      <c r="C1446" s="7">
        <f>IFERROR(__xludf.DUMMYFUNCTION("GOOGLEFINANCE(A1446, ""changepct"")"),-1.63)</f>
        <v>-1.63</v>
      </c>
      <c r="D1446" s="9">
        <f>IFERROR(__xludf.DUMMYFUNCTION("GOOGLEFINANCE(A1446, ""priceopen"")"),844.0)</f>
        <v>844</v>
      </c>
      <c r="E1446" s="9">
        <f>IFERROR(__xludf.DUMMYFUNCTION("GOOGLEFINANCE(A1446, ""high"")"),844.0)</f>
        <v>844</v>
      </c>
      <c r="F1446" s="9">
        <f>IFERROR(__xludf.DUMMYFUNCTION("GOOGLEFINANCE(A1446, ""low"")"),800.0)</f>
        <v>800</v>
      </c>
      <c r="G1446" s="9">
        <f>IFERROR(__xludf.DUMMYFUNCTION("GOOGLEFINANCE(A1446, ""price"")"),819.5)</f>
        <v>819.5</v>
      </c>
      <c r="H1446" s="9">
        <f>IFERROR(__xludf.DUMMYFUNCTION("MAX(INDEX(GOOGLEFINANCE(A1446, ""high"", TODAY()-30, TODAY()), 0, 2))"),845.05)</f>
        <v>845.05</v>
      </c>
      <c r="I1446" s="9">
        <f>IFERROR(__xludf.DUMMYFUNCTION("MIN(INDEX(GOOGLEFINANCE(A1446, ""low"", TODAY()-30, TODAY()), 0, 2))"),680.0)</f>
        <v>680</v>
      </c>
      <c r="J1446" s="9">
        <f>IFERROR(__xludf.DUMMYFUNCTION("GOOGLEFINANCE(A1446, ""high52"")"),980.0)</f>
        <v>980</v>
      </c>
      <c r="K1446" s="9">
        <f>IFERROR(__xludf.DUMMYFUNCTION("GOOGLEFINANCE(A1446, ""low52"")"),602.0)</f>
        <v>602</v>
      </c>
      <c r="L1446" s="9">
        <f t="shared" si="1"/>
        <v>0.1637755102</v>
      </c>
      <c r="M1446" s="9">
        <f t="shared" si="2"/>
        <v>0.3612956811</v>
      </c>
      <c r="N1446" s="9">
        <f t="shared" si="3"/>
        <v>0.055</v>
      </c>
      <c r="O1446" s="9">
        <f t="shared" si="4"/>
        <v>0.8451984247</v>
      </c>
      <c r="P1446" s="9">
        <f>IFERROR(__xludf.DUMMYFUNCTION("GOOGLEFINANCE(A1446, ""pe"")"),80.9)</f>
        <v>80.9</v>
      </c>
      <c r="Q1446" s="9">
        <f>IFERROR(__xludf.DUMMYFUNCTION("IFERROR(GOOGLEFINANCE(A1446, ""volume"") / GOOGLEFINANCE(A1446, ""volumeavg""), 0)"),0.0)</f>
        <v>0</v>
      </c>
      <c r="R1446" s="9">
        <f>IFERROR(__xludf.DUMMYFUNCTION("AVERAGE(INDEX(GOOGLEFINANCE(A1446, ""price"", TODAY()-30, TODAY()), 0, 2))"),763.745652173913)</f>
        <v>763.7456522</v>
      </c>
      <c r="S1446" s="9">
        <f>IFERROR(__xludf.DUMMYFUNCTION("AVERAGE(INDEX(GOOGLEFINANCE(A1446, ""price"", TODAY()-75, TODAY()), 0, 2))"),745.1679245283019)</f>
        <v>745.1679245</v>
      </c>
      <c r="T1446" s="9">
        <f>IFERROR(__xludf.DUMMYFUNCTION("AVERAGE(INDEX(GOOGLEFINANCE(A1446, ""price"", TODAY()-300, TODAY()), 0, 2))"),764.2623762376235)</f>
        <v>764.2623762</v>
      </c>
      <c r="U1446" s="9">
        <f t="shared" si="5"/>
        <v>0.07300119833</v>
      </c>
      <c r="V1446" s="15">
        <f>IFERROR(__xludf.DUMMYFUNCTION("LET(hist, GOOGLEFINANCE(A1446,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rs))))))"),69.22341696535244)</f>
        <v>69.22341697</v>
      </c>
      <c r="W1446" s="16" t="str">
        <f>IFERROR(__xludf.DUMMYFUNCTION("IFERROR(GOOGLEFINANCE(A1446, ""volume"") / GOOGLEFINANCE(A1446, ""volumeavg""), )"),"")</f>
        <v/>
      </c>
      <c r="X1446" s="9">
        <f>IFERROR(__xludf.DUMMYFUNCTION("B1446 * GOOGLEFINANCE(A1446, ""volume"")"),1979092.5)</f>
        <v>1979092.5</v>
      </c>
      <c r="Y1446" s="9">
        <f>IFERROR(__xludf.DUMMYFUNCTION("IFERROR(((B1446 - GOOGLEFINANCE(A1446, ""priceopen"")) / GOOGLEFINANCE(A1446, ""priceopen"")) * GOOGLEFINANCE(A1446, ""volume""), 0)"),-70.103672985782)</f>
        <v>-70.10367299</v>
      </c>
    </row>
    <row r="1447">
      <c r="A1447" s="4" t="s">
        <v>3239</v>
      </c>
      <c r="B1447" s="7">
        <f>IFERROR(__xludf.DUMMYFUNCTION("GOOGLEFINANCE(A1447, ""price"")"),935.0)</f>
        <v>935</v>
      </c>
      <c r="C1447" s="7">
        <f>IFERROR(__xludf.DUMMYFUNCTION("GOOGLEFINANCE(A1447, ""changepct"")"),0.3)</f>
        <v>0.3</v>
      </c>
      <c r="D1447" s="9">
        <f>IFERROR(__xludf.DUMMYFUNCTION("GOOGLEFINANCE(A1447, ""priceopen"")"),922.35)</f>
        <v>922.35</v>
      </c>
      <c r="E1447" s="9">
        <f>IFERROR(__xludf.DUMMYFUNCTION("GOOGLEFINANCE(A1447, ""high"")"),947.0)</f>
        <v>947</v>
      </c>
      <c r="F1447" s="9">
        <f>IFERROR(__xludf.DUMMYFUNCTION("GOOGLEFINANCE(A1447, ""low"")"),922.35)</f>
        <v>922.35</v>
      </c>
      <c r="G1447" s="9">
        <f>IFERROR(__xludf.DUMMYFUNCTION("GOOGLEFINANCE(A1447, ""price"")"),935.0)</f>
        <v>935</v>
      </c>
      <c r="H1447" s="9">
        <f>IFERROR(__xludf.DUMMYFUNCTION("MAX(INDEX(GOOGLEFINANCE(A1447, ""high"", TODAY()-30, TODAY()), 0, 2))"),996.25)</f>
        <v>996.25</v>
      </c>
      <c r="I1447" s="9">
        <f>IFERROR(__xludf.DUMMYFUNCTION("MIN(INDEX(GOOGLEFINANCE(A1447, ""low"", TODAY()-30, TODAY()), 0, 2))"),911.0)</f>
        <v>911</v>
      </c>
      <c r="J1447" s="9">
        <f>IFERROR(__xludf.DUMMYFUNCTION("GOOGLEFINANCE(A1447, ""high52"")"),1300.5)</f>
        <v>1300.5</v>
      </c>
      <c r="K1447" s="9">
        <f>IFERROR(__xludf.DUMMYFUNCTION("GOOGLEFINANCE(A1447, ""low52"")"),774.95)</f>
        <v>774.95</v>
      </c>
      <c r="L1447" s="9">
        <f t="shared" si="1"/>
        <v>0.2810457516</v>
      </c>
      <c r="M1447" s="9">
        <f t="shared" si="2"/>
        <v>0.2065294535</v>
      </c>
      <c r="N1447" s="9">
        <f t="shared" si="3"/>
        <v>0.02672521277</v>
      </c>
      <c r="O1447" s="9">
        <f t="shared" si="4"/>
        <v>0.2815249267</v>
      </c>
      <c r="P1447" s="9">
        <f>IFERROR(__xludf.DUMMYFUNCTION("GOOGLEFINANCE(A1447, ""pe"")"),25.76)</f>
        <v>25.76</v>
      </c>
      <c r="Q1447" s="9">
        <f>IFERROR(__xludf.DUMMYFUNCTION("IFERROR(GOOGLEFINANCE(A1447, ""volume"") / GOOGLEFINANCE(A1447, ""volumeavg""), 0)"),0.0)</f>
        <v>0</v>
      </c>
      <c r="R1447" s="9">
        <f>IFERROR(__xludf.DUMMYFUNCTION("AVERAGE(INDEX(GOOGLEFINANCE(A1447, ""price"", TODAY()-30, TODAY()), 0, 2))"),945.2108695652175)</f>
        <v>945.2108696</v>
      </c>
      <c r="S1447" s="9">
        <f>IFERROR(__xludf.DUMMYFUNCTION("AVERAGE(INDEX(GOOGLEFINANCE(A1447, ""price"", TODAY()-75, TODAY()), 0, 2))"),956.250943396226)</f>
        <v>956.2509434</v>
      </c>
      <c r="T1447" s="9">
        <f>IFERROR(__xludf.DUMMYFUNCTION("AVERAGE(INDEX(GOOGLEFINANCE(A1447, ""price"", TODAY()-300, TODAY()), 0, 2))"),956.8846534653468)</f>
        <v>956.8846535</v>
      </c>
      <c r="U1447" s="9">
        <f t="shared" si="5"/>
        <v>-0.01080274243</v>
      </c>
      <c r="V1447" s="15">
        <f>IFERROR(__xludf.DUMMYFUNCTION("LET(hist, GOOGLEFINANCE(A1447,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rs))))))"),41.1764705882353)</f>
        <v>41.17647059</v>
      </c>
      <c r="W1447" s="16" t="str">
        <f>IFERROR(__xludf.DUMMYFUNCTION("IFERROR(GOOGLEFINANCE(A1447, ""volume"") / GOOGLEFINANCE(A1447, ""volumeavg""), )"),"")</f>
        <v/>
      </c>
      <c r="X1447" s="9">
        <f>IFERROR(__xludf.DUMMYFUNCTION("B1447 * GOOGLEFINANCE(A1447, ""volume"")"),644215.0)</f>
        <v>644215</v>
      </c>
      <c r="Y1447" s="9">
        <f>IFERROR(__xludf.DUMMYFUNCTION("IFERROR(((B1447 - GOOGLEFINANCE(A1447, ""priceopen"")) / GOOGLEFINANCE(A1447, ""priceopen"")) * GOOGLEFINANCE(A1447, ""volume""), 0)"),9.449612403100758)</f>
        <v>9.449612403</v>
      </c>
    </row>
    <row r="1448">
      <c r="A1448" s="4" t="s">
        <v>3240</v>
      </c>
      <c r="B1448" s="7">
        <f>IFERROR(__xludf.DUMMYFUNCTION("GOOGLEFINANCE(A1448, ""price"")"),26.6)</f>
        <v>26.6</v>
      </c>
      <c r="C1448" s="7">
        <f>IFERROR(__xludf.DUMMYFUNCTION("GOOGLEFINANCE(A1448, ""changepct"")"),3.06)</f>
        <v>3.06</v>
      </c>
      <c r="D1448" s="9">
        <f>IFERROR(__xludf.DUMMYFUNCTION("GOOGLEFINANCE(A1448, ""priceopen"")"),25.99)</f>
        <v>25.99</v>
      </c>
      <c r="E1448" s="9">
        <f>IFERROR(__xludf.DUMMYFUNCTION("GOOGLEFINANCE(A1448, ""high"")"),26.8)</f>
        <v>26.8</v>
      </c>
      <c r="F1448" s="9">
        <f>IFERROR(__xludf.DUMMYFUNCTION("GOOGLEFINANCE(A1448, ""low"")"),25.81)</f>
        <v>25.81</v>
      </c>
      <c r="G1448" s="9">
        <f>IFERROR(__xludf.DUMMYFUNCTION("GOOGLEFINANCE(A1448, ""price"")"),26.6)</f>
        <v>26.6</v>
      </c>
      <c r="H1448" s="9">
        <f>IFERROR(__xludf.DUMMYFUNCTION("MAX(INDEX(GOOGLEFINANCE(A1448, ""high"", TODAY()-30, TODAY()), 0, 2))"),27.08)</f>
        <v>27.08</v>
      </c>
      <c r="I1448" s="9">
        <f>IFERROR(__xludf.DUMMYFUNCTION("MIN(INDEX(GOOGLEFINANCE(A1448, ""low"", TODAY()-30, TODAY()), 0, 2))"),23.12)</f>
        <v>23.12</v>
      </c>
      <c r="J1448" s="9">
        <f>IFERROR(__xludf.DUMMYFUNCTION("GOOGLEFINANCE(A1448, ""high52"")"),46.73)</f>
        <v>46.73</v>
      </c>
      <c r="K1448" s="9">
        <f>IFERROR(__xludf.DUMMYFUNCTION("GOOGLEFINANCE(A1448, ""low52"")"),16.65)</f>
        <v>16.65</v>
      </c>
      <c r="L1448" s="9">
        <f t="shared" si="1"/>
        <v>0.430772523</v>
      </c>
      <c r="M1448" s="9">
        <f t="shared" si="2"/>
        <v>0.5975975976</v>
      </c>
      <c r="N1448" s="9">
        <f t="shared" si="3"/>
        <v>0.03835722588</v>
      </c>
      <c r="O1448" s="9">
        <f t="shared" si="4"/>
        <v>0.8787878788</v>
      </c>
      <c r="P1448" s="9" t="str">
        <f>IFERROR(__xludf.DUMMYFUNCTION("GOOGLEFINANCE(A1448, ""pe"")"),"#N/A")</f>
        <v>#N/A</v>
      </c>
      <c r="Q1448" s="9">
        <f>IFERROR(__xludf.DUMMYFUNCTION("IFERROR(GOOGLEFINANCE(A1448, ""volume"") / GOOGLEFINANCE(A1448, ""volumeavg""), 0)"),0.0)</f>
        <v>0</v>
      </c>
      <c r="R1448" s="9">
        <f>IFERROR(__xludf.DUMMYFUNCTION("AVERAGE(INDEX(GOOGLEFINANCE(A1448, ""price"", TODAY()-30, TODAY()), 0, 2))"),25.51913043478261)</f>
        <v>25.51913043</v>
      </c>
      <c r="S1448" s="9">
        <f>IFERROR(__xludf.DUMMYFUNCTION("AVERAGE(INDEX(GOOGLEFINANCE(A1448, ""price"", TODAY()-75, TODAY()), 0, 2))"),23.739056603773584)</f>
        <v>23.7390566</v>
      </c>
      <c r="T1448" s="9">
        <f>IFERROR(__xludf.DUMMYFUNCTION("AVERAGE(INDEX(GOOGLEFINANCE(A1448, ""price"", TODAY()-300, TODAY()), 0, 2))"),25.923069306930692)</f>
        <v>25.92306931</v>
      </c>
      <c r="U1448" s="9">
        <f t="shared" si="5"/>
        <v>0.0423552663</v>
      </c>
      <c r="V1448" s="15">
        <f>IFERROR(__xludf.DUMMYFUNCTION("LET(hist, GOOGLEFINANCE(A1448,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rs))))))"),53.69822485207101)</f>
        <v>53.69822485</v>
      </c>
      <c r="W1448" s="16" t="str">
        <f>IFERROR(__xludf.DUMMYFUNCTION("IFERROR(GOOGLEFINANCE(A1448, ""volume"") / GOOGLEFINANCE(A1448, ""volumeavg""), )"),"")</f>
        <v/>
      </c>
      <c r="X1448" s="9">
        <f>IFERROR(__xludf.DUMMYFUNCTION("B1448 * GOOGLEFINANCE(A1448, ""volume"")"),4.15056824E7)</f>
        <v>41505682.4</v>
      </c>
      <c r="Y1448" s="9">
        <f>IFERROR(__xludf.DUMMYFUNCTION("IFERROR(((B1448 - GOOGLEFINANCE(A1448, ""priceopen"")) / GOOGLEFINANCE(A1448, ""priceopen"")) * GOOGLEFINANCE(A1448, ""volume""), 0)"),36622.62562524066)</f>
        <v>36622.62563</v>
      </c>
    </row>
    <row r="1449">
      <c r="A1449" s="4" t="s">
        <v>3241</v>
      </c>
      <c r="B1449" s="7">
        <f>IFERROR(__xludf.DUMMYFUNCTION("GOOGLEFINANCE(A1449, ""price"")"),219.39)</f>
        <v>219.39</v>
      </c>
      <c r="C1449" s="7">
        <f>IFERROR(__xludf.DUMMYFUNCTION("GOOGLEFINANCE(A1449, ""changepct"")"),-2.68)</f>
        <v>-2.68</v>
      </c>
      <c r="D1449" s="9">
        <f>IFERROR(__xludf.DUMMYFUNCTION("GOOGLEFINANCE(A1449, ""priceopen"")"),226.6)</f>
        <v>226.6</v>
      </c>
      <c r="E1449" s="9">
        <f>IFERROR(__xludf.DUMMYFUNCTION("GOOGLEFINANCE(A1449, ""high"")"),226.6)</f>
        <v>226.6</v>
      </c>
      <c r="F1449" s="9">
        <f>IFERROR(__xludf.DUMMYFUNCTION("GOOGLEFINANCE(A1449, ""low"")"),218.05)</f>
        <v>218.05</v>
      </c>
      <c r="G1449" s="9">
        <f>IFERROR(__xludf.DUMMYFUNCTION("GOOGLEFINANCE(A1449, ""price"")"),219.39)</f>
        <v>219.39</v>
      </c>
      <c r="H1449" s="9">
        <f>IFERROR(__xludf.DUMMYFUNCTION("MAX(INDEX(GOOGLEFINANCE(A1449, ""high"", TODAY()-30, TODAY()), 0, 2))"),244.16)</f>
        <v>244.16</v>
      </c>
      <c r="I1449" s="9">
        <f>IFERROR(__xludf.DUMMYFUNCTION("MIN(INDEX(GOOGLEFINANCE(A1449, ""low"", TODAY()-30, TODAY()), 0, 2))"),215.25)</f>
        <v>215.25</v>
      </c>
      <c r="J1449" s="9">
        <f>IFERROR(__xludf.DUMMYFUNCTION("GOOGLEFINANCE(A1449, ""high52"")"),393.55)</f>
        <v>393.55</v>
      </c>
      <c r="K1449" s="9">
        <f>IFERROR(__xludf.DUMMYFUNCTION("GOOGLEFINANCE(A1449, ""low52"")"),175.1)</f>
        <v>175.1</v>
      </c>
      <c r="L1449" s="9">
        <f t="shared" si="1"/>
        <v>0.4425358912</v>
      </c>
      <c r="M1449" s="9">
        <f t="shared" si="2"/>
        <v>0.2529411765</v>
      </c>
      <c r="N1449" s="9">
        <f t="shared" si="3"/>
        <v>0.03921119009</v>
      </c>
      <c r="O1449" s="9">
        <f t="shared" si="4"/>
        <v>0.1432030439</v>
      </c>
      <c r="P1449" s="9">
        <f>IFERROR(__xludf.DUMMYFUNCTION("GOOGLEFINANCE(A1449, ""pe"")"),0.98)</f>
        <v>0.98</v>
      </c>
      <c r="Q1449" s="9">
        <f>IFERROR(__xludf.DUMMYFUNCTION("IFERROR(GOOGLEFINANCE(A1449, ""volume"") / GOOGLEFINANCE(A1449, ""volumeavg""), 0)"),0.0)</f>
        <v>0</v>
      </c>
      <c r="R1449" s="9">
        <f>IFERROR(__xludf.DUMMYFUNCTION("AVERAGE(INDEX(GOOGLEFINANCE(A1449, ""price"", TODAY()-30, TODAY()), 0, 2))"),229.4582608695652)</f>
        <v>229.4582609</v>
      </c>
      <c r="S1449" s="9">
        <f>IFERROR(__xludf.DUMMYFUNCTION("AVERAGE(INDEX(GOOGLEFINANCE(A1449, ""price"", TODAY()-75, TODAY()), 0, 2))"),228.18773584905662)</f>
        <v>228.1877358</v>
      </c>
      <c r="T1449" s="9">
        <f>IFERROR(__xludf.DUMMYFUNCTION("AVERAGE(INDEX(GOOGLEFINANCE(A1449, ""price"", TODAY()-300, TODAY()), 0, 2))"),247.13039603960374)</f>
        <v>247.130396</v>
      </c>
      <c r="U1449" s="9">
        <f t="shared" si="5"/>
        <v>-0.04387839789</v>
      </c>
      <c r="V1449" s="15">
        <f>IFERROR(__xludf.DUMMYFUNCTION("LET(hist, GOOGLEFINANCE(A1449,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rs))))))"),48.424502142677085)</f>
        <v>48.42450214</v>
      </c>
      <c r="W1449" s="16" t="str">
        <f>IFERROR(__xludf.DUMMYFUNCTION("IFERROR(GOOGLEFINANCE(A1449, ""volume"") / GOOGLEFINANCE(A1449, ""volumeavg""), )"),"")</f>
        <v/>
      </c>
      <c r="X1449" s="9">
        <f>IFERROR(__xludf.DUMMYFUNCTION("B1449 * GOOGLEFINANCE(A1449, ""volume"")"),2.4427979549999997E7)</f>
        <v>24427979.55</v>
      </c>
      <c r="Y1449" s="9">
        <f>IFERROR(__xludf.DUMMYFUNCTION("IFERROR(((B1449 - GOOGLEFINANCE(A1449, ""priceopen"")) / GOOGLEFINANCE(A1449, ""priceopen"")) * GOOGLEFINANCE(A1449, ""volume""), 0)"),-3542.7954545454586)</f>
        <v>-3542.795455</v>
      </c>
    </row>
    <row r="1450">
      <c r="A1450" s="4" t="s">
        <v>3242</v>
      </c>
      <c r="B1450" s="7">
        <f>IFERROR(__xludf.DUMMYFUNCTION("GOOGLEFINANCE(A1450, ""price"")"),897.0)</f>
        <v>897</v>
      </c>
      <c r="C1450" s="7">
        <f>IFERROR(__xludf.DUMMYFUNCTION("GOOGLEFINANCE(A1450, ""changepct"")"),-1.37)</f>
        <v>-1.37</v>
      </c>
      <c r="D1450" s="9">
        <f>IFERROR(__xludf.DUMMYFUNCTION("GOOGLEFINANCE(A1450, ""priceopen"")"),914.9)</f>
        <v>914.9</v>
      </c>
      <c r="E1450" s="9">
        <f>IFERROR(__xludf.DUMMYFUNCTION("GOOGLEFINANCE(A1450, ""high"")"),914.9)</f>
        <v>914.9</v>
      </c>
      <c r="F1450" s="9">
        <f>IFERROR(__xludf.DUMMYFUNCTION("GOOGLEFINANCE(A1450, ""low"")"),893.0)</f>
        <v>893</v>
      </c>
      <c r="G1450" s="9">
        <f>IFERROR(__xludf.DUMMYFUNCTION("GOOGLEFINANCE(A1450, ""price"")"),897.0)</f>
        <v>897</v>
      </c>
      <c r="H1450" s="9">
        <f>IFERROR(__xludf.DUMMYFUNCTION("MAX(INDEX(GOOGLEFINANCE(A1450, ""high"", TODAY()-30, TODAY()), 0, 2))"),1041.3)</f>
        <v>1041.3</v>
      </c>
      <c r="I1450" s="9">
        <f>IFERROR(__xludf.DUMMYFUNCTION("MIN(INDEX(GOOGLEFINANCE(A1450, ""low"", TODAY()-30, TODAY()), 0, 2))"),893.0)</f>
        <v>893</v>
      </c>
      <c r="J1450" s="9">
        <f>IFERROR(__xludf.DUMMYFUNCTION("GOOGLEFINANCE(A1450, ""high52"")"),1985.0)</f>
        <v>1985</v>
      </c>
      <c r="K1450" s="9">
        <f>IFERROR(__xludf.DUMMYFUNCTION("GOOGLEFINANCE(A1450, ""low52"")"),795.45)</f>
        <v>795.45</v>
      </c>
      <c r="L1450" s="9">
        <f t="shared" si="1"/>
        <v>0.5481108312</v>
      </c>
      <c r="M1450" s="9">
        <f t="shared" si="2"/>
        <v>0.1276635866</v>
      </c>
      <c r="N1450" s="9">
        <f t="shared" si="3"/>
        <v>0.02452407615</v>
      </c>
      <c r="O1450" s="9">
        <f t="shared" si="4"/>
        <v>0.02697235334</v>
      </c>
      <c r="P1450" s="9">
        <f>IFERROR(__xludf.DUMMYFUNCTION("GOOGLEFINANCE(A1450, ""pe"")"),10.09)</f>
        <v>10.09</v>
      </c>
      <c r="Q1450" s="9">
        <f>IFERROR(__xludf.DUMMYFUNCTION("IFERROR(GOOGLEFINANCE(A1450, ""volume"") / GOOGLEFINANCE(A1450, ""volumeavg""), 0)"),0.0)</f>
        <v>0</v>
      </c>
      <c r="R1450" s="9">
        <f>IFERROR(__xludf.DUMMYFUNCTION("AVERAGE(INDEX(GOOGLEFINANCE(A1450, ""price"", TODAY()-30, TODAY()), 0, 2))"),943.0717391304348)</f>
        <v>943.0717391</v>
      </c>
      <c r="S1450" s="9">
        <f>IFERROR(__xludf.DUMMYFUNCTION("AVERAGE(INDEX(GOOGLEFINANCE(A1450, ""price"", TODAY()-75, TODAY()), 0, 2))"),1027.7952830188683)</f>
        <v>1027.795283</v>
      </c>
      <c r="T1450" s="9">
        <f>IFERROR(__xludf.DUMMYFUNCTION("AVERAGE(INDEX(GOOGLEFINANCE(A1450, ""price"", TODAY()-300, TODAY()), 0, 2))"),1206.2658415841581)</f>
        <v>1206.265842</v>
      </c>
      <c r="U1450" s="9">
        <f t="shared" si="5"/>
        <v>-0.04885284673</v>
      </c>
      <c r="V1450" s="15">
        <f>IFERROR(__xludf.DUMMYFUNCTION("LET(hist, GOOGLEFINANCE(A1450,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rs))))))"),39.03551645487125)</f>
        <v>39.03551645</v>
      </c>
      <c r="W1450" s="16" t="str">
        <f>IFERROR(__xludf.DUMMYFUNCTION("IFERROR(GOOGLEFINANCE(A1450, ""volume"") / GOOGLEFINANCE(A1450, ""volumeavg""), )"),"")</f>
        <v/>
      </c>
      <c r="X1450" s="9">
        <f>IFERROR(__xludf.DUMMYFUNCTION("B1450 * GOOGLEFINANCE(A1450, ""volume"")"),2.2921041E7)</f>
        <v>22921041</v>
      </c>
      <c r="Y1450" s="9">
        <f>IFERROR(__xludf.DUMMYFUNCTION("IFERROR(((B1450 - GOOGLEFINANCE(A1450, ""priceopen"")) / GOOGLEFINANCE(A1450, ""priceopen"")) * GOOGLEFINANCE(A1450, ""volume""), 0)"),-499.943928298174)</f>
        <v>-499.9439283</v>
      </c>
    </row>
    <row r="1451">
      <c r="A1451" s="4" t="s">
        <v>3243</v>
      </c>
      <c r="B1451" s="7">
        <f>IFERROR(__xludf.DUMMYFUNCTION("GOOGLEFINANCE(A1451, ""price"")"),1590.1)</f>
        <v>1590.1</v>
      </c>
      <c r="C1451" s="7">
        <f>IFERROR(__xludf.DUMMYFUNCTION("GOOGLEFINANCE(A1451, ""changepct"")"),-2.79)</f>
        <v>-2.79</v>
      </c>
      <c r="D1451" s="9">
        <f>IFERROR(__xludf.DUMMYFUNCTION("GOOGLEFINANCE(A1451, ""priceopen"")"),1642.6)</f>
        <v>1642.6</v>
      </c>
      <c r="E1451" s="9">
        <f>IFERROR(__xludf.DUMMYFUNCTION("GOOGLEFINANCE(A1451, ""high"")"),1645.0)</f>
        <v>1645</v>
      </c>
      <c r="F1451" s="9">
        <f>IFERROR(__xludf.DUMMYFUNCTION("GOOGLEFINANCE(A1451, ""low"")"),1582.0)</f>
        <v>1582</v>
      </c>
      <c r="G1451" s="9">
        <f>IFERROR(__xludf.DUMMYFUNCTION("GOOGLEFINANCE(A1451, ""price"")"),1590.1)</f>
        <v>1590.1</v>
      </c>
      <c r="H1451" s="9">
        <f>IFERROR(__xludf.DUMMYFUNCTION("MAX(INDEX(GOOGLEFINANCE(A1451, ""high"", TODAY()-30, TODAY()), 0, 2))"),1931.0)</f>
        <v>1931</v>
      </c>
      <c r="I1451" s="9">
        <f>IFERROR(__xludf.DUMMYFUNCTION("MIN(INDEX(GOOGLEFINANCE(A1451, ""low"", TODAY()-30, TODAY()), 0, 2))"),1582.0)</f>
        <v>1582</v>
      </c>
      <c r="J1451" s="9">
        <f>IFERROR(__xludf.DUMMYFUNCTION("GOOGLEFINANCE(A1451, ""high52"")"),1931.0)</f>
        <v>1931</v>
      </c>
      <c r="K1451" s="9">
        <f>IFERROR(__xludf.DUMMYFUNCTION("GOOGLEFINANCE(A1451, ""low52"")"),1101.0)</f>
        <v>1101</v>
      </c>
      <c r="L1451" s="9">
        <f t="shared" si="1"/>
        <v>0.1765406525</v>
      </c>
      <c r="M1451" s="9">
        <f t="shared" si="2"/>
        <v>0.4442325159</v>
      </c>
      <c r="N1451" s="9">
        <f t="shared" si="3"/>
        <v>0.03982300885</v>
      </c>
      <c r="O1451" s="9">
        <f t="shared" si="4"/>
        <v>0.02320916905</v>
      </c>
      <c r="P1451" s="9">
        <f>IFERROR(__xludf.DUMMYFUNCTION("GOOGLEFINANCE(A1451, ""pe"")"),12.72)</f>
        <v>12.72</v>
      </c>
      <c r="Q1451" s="9">
        <f>IFERROR(__xludf.DUMMYFUNCTION("IFERROR(GOOGLEFINANCE(A1451, ""volume"") / GOOGLEFINANCE(A1451, ""volumeavg""), 0)"),0.0)</f>
        <v>0</v>
      </c>
      <c r="R1451" s="9">
        <f>IFERROR(__xludf.DUMMYFUNCTION("AVERAGE(INDEX(GOOGLEFINANCE(A1451, ""price"", TODAY()-30, TODAY()), 0, 2))"),1726.0478260869565)</f>
        <v>1726.047826</v>
      </c>
      <c r="S1451" s="9">
        <f>IFERROR(__xludf.DUMMYFUNCTION("AVERAGE(INDEX(GOOGLEFINANCE(A1451, ""price"", TODAY()-75, TODAY()), 0, 2))"),1701.139622641509)</f>
        <v>1701.139623</v>
      </c>
      <c r="T1451" s="9">
        <f>IFERROR(__xludf.DUMMYFUNCTION("AVERAGE(INDEX(GOOGLEFINANCE(A1451, ""price"", TODAY()-300, TODAY()), 0, 2))"),1437.779702970298)</f>
        <v>1437.779703</v>
      </c>
      <c r="U1451" s="9">
        <f t="shared" si="5"/>
        <v>-0.07876249084</v>
      </c>
      <c r="V1451" s="15">
        <f>IFERROR(__xludf.DUMMYFUNCTION("LET(hist, GOOGLEFINANCE(A1451,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rs))))))"),40.9106015287471)</f>
        <v>40.91060153</v>
      </c>
      <c r="W1451" s="16" t="str">
        <f>IFERROR(__xludf.DUMMYFUNCTION("IFERROR(GOOGLEFINANCE(A1451, ""volume"") / GOOGLEFINANCE(A1451, ""volumeavg""), )"),"")</f>
        <v/>
      </c>
      <c r="X1451" s="9">
        <f>IFERROR(__xludf.DUMMYFUNCTION("B1451 * GOOGLEFINANCE(A1451, ""volume"")"),4.3754781699999996E7)</f>
        <v>43754781.7</v>
      </c>
      <c r="Y1451" s="9">
        <f>IFERROR(__xludf.DUMMYFUNCTION("IFERROR(((B1451 - GOOGLEFINANCE(A1451, ""priceopen"")) / GOOGLEFINANCE(A1451, ""priceopen"")) * GOOGLEFINANCE(A1451, ""volume""), 0)"),-879.4852672592232)</f>
        <v>-879.4852673</v>
      </c>
    </row>
    <row r="1452">
      <c r="A1452" s="4" t="s">
        <v>3244</v>
      </c>
      <c r="B1452" s="7">
        <f>IFERROR(__xludf.DUMMYFUNCTION("GOOGLEFINANCE(A1452, ""price"")"),293.0)</f>
        <v>293</v>
      </c>
      <c r="C1452" s="7">
        <f>IFERROR(__xludf.DUMMYFUNCTION("GOOGLEFINANCE(A1452, ""changepct"")"),-2.67)</f>
        <v>-2.67</v>
      </c>
      <c r="D1452" s="9">
        <f>IFERROR(__xludf.DUMMYFUNCTION("GOOGLEFINANCE(A1452, ""priceopen"")"),307.75)</f>
        <v>307.75</v>
      </c>
      <c r="E1452" s="9">
        <f>IFERROR(__xludf.DUMMYFUNCTION("GOOGLEFINANCE(A1452, ""high"")"),307.75)</f>
        <v>307.75</v>
      </c>
      <c r="F1452" s="9">
        <f>IFERROR(__xludf.DUMMYFUNCTION("GOOGLEFINANCE(A1452, ""low"")"),292.5)</f>
        <v>292.5</v>
      </c>
      <c r="G1452" s="9">
        <f>IFERROR(__xludf.DUMMYFUNCTION("GOOGLEFINANCE(A1452, ""price"")"),293.0)</f>
        <v>293</v>
      </c>
      <c r="H1452" s="9">
        <f>IFERROR(__xludf.DUMMYFUNCTION("MAX(INDEX(GOOGLEFINANCE(A1452, ""high"", TODAY()-30, TODAY()), 0, 2))"),347.85)</f>
        <v>347.85</v>
      </c>
      <c r="I1452" s="9">
        <f>IFERROR(__xludf.DUMMYFUNCTION("MIN(INDEX(GOOGLEFINANCE(A1452, ""low"", TODAY()-30, TODAY()), 0, 2))"),292.5)</f>
        <v>292.5</v>
      </c>
      <c r="J1452" s="9">
        <f>IFERROR(__xludf.DUMMYFUNCTION("GOOGLEFINANCE(A1452, ""high52"")"),347.85)</f>
        <v>347.85</v>
      </c>
      <c r="K1452" s="9">
        <f>IFERROR(__xludf.DUMMYFUNCTION("GOOGLEFINANCE(A1452, ""low52"")"),269.0)</f>
        <v>269</v>
      </c>
      <c r="L1452" s="9">
        <f t="shared" si="1"/>
        <v>0.1576829093</v>
      </c>
      <c r="M1452" s="9">
        <f t="shared" si="2"/>
        <v>0.08921933086</v>
      </c>
      <c r="N1452" s="9">
        <f t="shared" si="3"/>
        <v>0.05213675214</v>
      </c>
      <c r="O1452" s="9">
        <f t="shared" si="4"/>
        <v>0.009033423668</v>
      </c>
      <c r="P1452" s="9" t="str">
        <f>IFERROR(__xludf.DUMMYFUNCTION("GOOGLEFINANCE(A1452, ""pe"")"),"#N/A")</f>
        <v>#N/A</v>
      </c>
      <c r="Q1452" s="9">
        <f>IFERROR(__xludf.DUMMYFUNCTION("IFERROR(GOOGLEFINANCE(A1452, ""volume"") / GOOGLEFINANCE(A1452, ""volumeavg""), 0)"),0.0)</f>
        <v>0</v>
      </c>
      <c r="R1452" s="9">
        <f>IFERROR(__xludf.DUMMYFUNCTION("AVERAGE(INDEX(GOOGLEFINANCE(A1452, ""price"", TODAY()-30, TODAY()), 0, 2))"),314.06956521739124)</f>
        <v>314.0695652</v>
      </c>
      <c r="S1452" s="9">
        <f>IFERROR(__xludf.DUMMYFUNCTION("AVERAGE(INDEX(GOOGLEFINANCE(A1452, ""price"", TODAY()-75, TODAY()), 0, 2))"),311.2235849056604)</f>
        <v>311.2235849</v>
      </c>
      <c r="T1452" s="9">
        <f>IFERROR(__xludf.DUMMYFUNCTION("AVERAGE(INDEX(GOOGLEFINANCE(A1452, ""price"", TODAY()-300, TODAY()), 0, 2))"),305.72013888888904)</f>
        <v>305.7201389</v>
      </c>
      <c r="U1452" s="9">
        <f t="shared" si="5"/>
        <v>-0.06708566366</v>
      </c>
      <c r="V1452" s="15">
        <f>IFERROR(__xludf.DUMMYFUNCTION("LET(hist, GOOGLEFINANCE(A1452,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rs))))))"),30.205540661304696)</f>
        <v>30.20554066</v>
      </c>
      <c r="W1452" s="16" t="str">
        <f>IFERROR(__xludf.DUMMYFUNCTION("IFERROR(GOOGLEFINANCE(A1452, ""volume"") / GOOGLEFINANCE(A1452, ""volumeavg""), )"),"")</f>
        <v/>
      </c>
      <c r="X1452" s="9">
        <f>IFERROR(__xludf.DUMMYFUNCTION("B1452 * GOOGLEFINANCE(A1452, ""volume"")"),1612672.0)</f>
        <v>1612672</v>
      </c>
      <c r="Y1452" s="9">
        <f>IFERROR(__xludf.DUMMYFUNCTION("IFERROR(((B1452 - GOOGLEFINANCE(A1452, ""priceopen"")) / GOOGLEFINANCE(A1452, ""priceopen"")) * GOOGLEFINANCE(A1452, ""volume""), 0)"),-263.79853777416736)</f>
        <v>-263.7985378</v>
      </c>
    </row>
    <row r="1453">
      <c r="A1453" s="4" t="s">
        <v>3245</v>
      </c>
      <c r="B1453" s="7">
        <f>IFERROR(__xludf.DUMMYFUNCTION("GOOGLEFINANCE(A1453, ""price"")"),858.0)</f>
        <v>858</v>
      </c>
      <c r="C1453" s="7">
        <f>IFERROR(__xludf.DUMMYFUNCTION("GOOGLEFINANCE(A1453, ""changepct"")"),6.56)</f>
        <v>6.56</v>
      </c>
      <c r="D1453" s="9">
        <f>IFERROR(__xludf.DUMMYFUNCTION("GOOGLEFINANCE(A1453, ""priceopen"")"),799.0)</f>
        <v>799</v>
      </c>
      <c r="E1453" s="9">
        <f>IFERROR(__xludf.DUMMYFUNCTION("GOOGLEFINANCE(A1453, ""high"")"),864.4)</f>
        <v>864.4</v>
      </c>
      <c r="F1453" s="9">
        <f>IFERROR(__xludf.DUMMYFUNCTION("GOOGLEFINANCE(A1453, ""low"")"),797.7)</f>
        <v>797.7</v>
      </c>
      <c r="G1453" s="9">
        <f>IFERROR(__xludf.DUMMYFUNCTION("GOOGLEFINANCE(A1453, ""price"")"),858.0)</f>
        <v>858</v>
      </c>
      <c r="H1453" s="9">
        <f>IFERROR(__xludf.DUMMYFUNCTION("MAX(INDEX(GOOGLEFINANCE(A1453, ""high"", TODAY()-30, TODAY()), 0, 2))"),864.4)</f>
        <v>864.4</v>
      </c>
      <c r="I1453" s="9">
        <f>IFERROR(__xludf.DUMMYFUNCTION("MIN(INDEX(GOOGLEFINANCE(A1453, ""low"", TODAY()-30, TODAY()), 0, 2))"),695.0)</f>
        <v>695</v>
      </c>
      <c r="J1453" s="9">
        <f>IFERROR(__xludf.DUMMYFUNCTION("GOOGLEFINANCE(A1453, ""high52"")"),1053.9)</f>
        <v>1053.9</v>
      </c>
      <c r="K1453" s="9">
        <f>IFERROR(__xludf.DUMMYFUNCTION("GOOGLEFINANCE(A1453, ""low52"")"),584.1)</f>
        <v>584.1</v>
      </c>
      <c r="L1453" s="9">
        <f t="shared" si="1"/>
        <v>0.1858810134</v>
      </c>
      <c r="M1453" s="9">
        <f t="shared" si="2"/>
        <v>0.4689265537</v>
      </c>
      <c r="N1453" s="9">
        <f t="shared" si="3"/>
        <v>0.08361539426</v>
      </c>
      <c r="O1453" s="9">
        <f t="shared" si="4"/>
        <v>0.9622195986</v>
      </c>
      <c r="P1453" s="9">
        <f>IFERROR(__xludf.DUMMYFUNCTION("GOOGLEFINANCE(A1453, ""pe"")"),79.37)</f>
        <v>79.37</v>
      </c>
      <c r="Q1453" s="9">
        <f>IFERROR(__xludf.DUMMYFUNCTION("IFERROR(GOOGLEFINANCE(A1453, ""volume"") / GOOGLEFINANCE(A1453, ""volumeavg""), 0)"),0.0)</f>
        <v>0</v>
      </c>
      <c r="R1453" s="9">
        <f>IFERROR(__xludf.DUMMYFUNCTION("AVERAGE(INDEX(GOOGLEFINANCE(A1453, ""price"", TODAY()-30, TODAY()), 0, 2))"),744.7173913043479)</f>
        <v>744.7173913</v>
      </c>
      <c r="S1453" s="9">
        <f>IFERROR(__xludf.DUMMYFUNCTION("AVERAGE(INDEX(GOOGLEFINANCE(A1453, ""price"", TODAY()-75, TODAY()), 0, 2))"),730.3575471698113)</f>
        <v>730.3575472</v>
      </c>
      <c r="T1453" s="9">
        <f>IFERROR(__xludf.DUMMYFUNCTION("AVERAGE(INDEX(GOOGLEFINANCE(A1453, ""price"", TODAY()-300, TODAY()), 0, 2))"),775.1655940594054)</f>
        <v>775.1655941</v>
      </c>
      <c r="U1453" s="9">
        <f t="shared" si="5"/>
        <v>0.1521148962</v>
      </c>
      <c r="V1453" s="15">
        <f>IFERROR(__xludf.DUMMYFUNCTION("LET(hist, GOOGLEFINANCE(A1453,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rs))))))"),88.42579555054917)</f>
        <v>88.42579555</v>
      </c>
      <c r="W1453" s="16" t="str">
        <f>IFERROR(__xludf.DUMMYFUNCTION("IFERROR(GOOGLEFINANCE(A1453, ""volume"") / GOOGLEFINANCE(A1453, ""volumeavg""), )"),"")</f>
        <v/>
      </c>
      <c r="X1453" s="9">
        <f>IFERROR(__xludf.DUMMYFUNCTION("B1453 * GOOGLEFINANCE(A1453, ""volume"")"),3.223935E7)</f>
        <v>32239350</v>
      </c>
      <c r="Y1453" s="9">
        <f>IFERROR(__xludf.DUMMYFUNCTION("IFERROR(((B1453 - GOOGLEFINANCE(A1453, ""priceopen"")) / GOOGLEFINANCE(A1453, ""priceopen"")) * GOOGLEFINANCE(A1453, ""volume""), 0)"),2774.624530663329)</f>
        <v>2774.624531</v>
      </c>
    </row>
    <row r="1454">
      <c r="A1454" s="4" t="s">
        <v>3246</v>
      </c>
      <c r="B1454" s="7">
        <f>IFERROR(__xludf.DUMMYFUNCTION("GOOGLEFINANCE(A1454, ""price"")"),1635.0)</f>
        <v>1635</v>
      </c>
      <c r="C1454" s="7">
        <f>IFERROR(__xludf.DUMMYFUNCTION("GOOGLEFINANCE(A1454, ""changepct"")"),-1.23)</f>
        <v>-1.23</v>
      </c>
      <c r="D1454" s="9">
        <f>IFERROR(__xludf.DUMMYFUNCTION("GOOGLEFINANCE(A1454, ""priceopen"")"),1656.3)</f>
        <v>1656.3</v>
      </c>
      <c r="E1454" s="9">
        <f>IFERROR(__xludf.DUMMYFUNCTION("GOOGLEFINANCE(A1454, ""high"")"),1679.0)</f>
        <v>1679</v>
      </c>
      <c r="F1454" s="9">
        <f>IFERROR(__xludf.DUMMYFUNCTION("GOOGLEFINANCE(A1454, ""low"")"),1635.0)</f>
        <v>1635</v>
      </c>
      <c r="G1454" s="9">
        <f>IFERROR(__xludf.DUMMYFUNCTION("GOOGLEFINANCE(A1454, ""price"")"),1635.0)</f>
        <v>1635</v>
      </c>
      <c r="H1454" s="9">
        <f>IFERROR(__xludf.DUMMYFUNCTION("MAX(INDEX(GOOGLEFINANCE(A1454, ""high"", TODAY()-30, TODAY()), 0, 2))"),1800.0)</f>
        <v>1800</v>
      </c>
      <c r="I1454" s="9">
        <f>IFERROR(__xludf.DUMMYFUNCTION("MIN(INDEX(GOOGLEFINANCE(A1454, ""low"", TODAY()-30, TODAY()), 0, 2))"),1592.1)</f>
        <v>1592.1</v>
      </c>
      <c r="J1454" s="9">
        <f>IFERROR(__xludf.DUMMYFUNCTION("GOOGLEFINANCE(A1454, ""high52"")"),1985.4)</f>
        <v>1985.4</v>
      </c>
      <c r="K1454" s="9">
        <f>IFERROR(__xludf.DUMMYFUNCTION("GOOGLEFINANCE(A1454, ""low52"")"),1375.0)</f>
        <v>1375</v>
      </c>
      <c r="L1454" s="9">
        <f t="shared" si="1"/>
        <v>0.1764883651</v>
      </c>
      <c r="M1454" s="9">
        <f t="shared" si="2"/>
        <v>0.1890909091</v>
      </c>
      <c r="N1454" s="9">
        <f t="shared" si="3"/>
        <v>0.02691131498</v>
      </c>
      <c r="O1454" s="9">
        <f t="shared" si="4"/>
        <v>0.2063492063</v>
      </c>
      <c r="P1454" s="9" t="str">
        <f>IFERROR(__xludf.DUMMYFUNCTION("GOOGLEFINANCE(A1454, ""pe"")"),"#N/A")</f>
        <v>#N/A</v>
      </c>
      <c r="Q1454" s="9">
        <f>IFERROR(__xludf.DUMMYFUNCTION("IFERROR(GOOGLEFINANCE(A1454, ""volume"") / GOOGLEFINANCE(A1454, ""volumeavg""), 0)"),0.0)</f>
        <v>0</v>
      </c>
      <c r="R1454" s="9">
        <f>IFERROR(__xludf.DUMMYFUNCTION("AVERAGE(INDEX(GOOGLEFINANCE(A1454, ""price"", TODAY()-30, TODAY()), 0, 2))"),1662.982608695652)</f>
        <v>1662.982609</v>
      </c>
      <c r="S1454" s="9">
        <f>IFERROR(__xludf.DUMMYFUNCTION("AVERAGE(INDEX(GOOGLEFINANCE(A1454, ""price"", TODAY()-75, TODAY()), 0, 2))"),1724.5660377358497)</f>
        <v>1724.566038</v>
      </c>
      <c r="T1454" s="9">
        <f>IFERROR(__xludf.DUMMYFUNCTION("AVERAGE(INDEX(GOOGLEFINANCE(A1454, ""price"", TODAY()-300, TODAY()), 0, 2))"),1687.3114427860698)</f>
        <v>1687.311443</v>
      </c>
      <c r="U1454" s="9">
        <f t="shared" si="5"/>
        <v>-0.01682675967</v>
      </c>
      <c r="V1454" s="15">
        <f>IFERROR(__xludf.DUMMYFUNCTION("LET(hist, GOOGLEFINANCE(A1454,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rs))))))"),40.4887983706721)</f>
        <v>40.48879837</v>
      </c>
      <c r="W1454" s="16" t="str">
        <f>IFERROR(__xludf.DUMMYFUNCTION("IFERROR(GOOGLEFINANCE(A1454, ""volume"") / GOOGLEFINANCE(A1454, ""volumeavg""), )"),"")</f>
        <v/>
      </c>
      <c r="X1454" s="9">
        <f>IFERROR(__xludf.DUMMYFUNCTION("B1454 * GOOGLEFINANCE(A1454, ""volume"")"),1446975.0)</f>
        <v>1446975</v>
      </c>
      <c r="Y1454" s="9">
        <f>IFERROR(__xludf.DUMMYFUNCTION("IFERROR(((B1454 - GOOGLEFINANCE(A1454, ""priceopen"")) / GOOGLEFINANCE(A1454, ""priceopen"")) * GOOGLEFINANCE(A1454, ""volume""), 0)"),-11.381090382177117)</f>
        <v>-11.38109038</v>
      </c>
    </row>
    <row r="1455">
      <c r="A1455" s="4" t="s">
        <v>3247</v>
      </c>
      <c r="B1455" s="7">
        <f>IFERROR(__xludf.DUMMYFUNCTION("GOOGLEFINANCE(A1455, ""price"")"),799.75)</f>
        <v>799.75</v>
      </c>
      <c r="C1455" s="7">
        <f>IFERROR(__xludf.DUMMYFUNCTION("GOOGLEFINANCE(A1455, ""changepct"")"),2.01)</f>
        <v>2.01</v>
      </c>
      <c r="D1455" s="9">
        <f>IFERROR(__xludf.DUMMYFUNCTION("GOOGLEFINANCE(A1455, ""priceopen"")"),808.5)</f>
        <v>808.5</v>
      </c>
      <c r="E1455" s="9">
        <f>IFERROR(__xludf.DUMMYFUNCTION("GOOGLEFINANCE(A1455, ""high"")"),810.95)</f>
        <v>810.95</v>
      </c>
      <c r="F1455" s="9">
        <f>IFERROR(__xludf.DUMMYFUNCTION("GOOGLEFINANCE(A1455, ""low"")"),789.05)</f>
        <v>789.05</v>
      </c>
      <c r="G1455" s="9">
        <f>IFERROR(__xludf.DUMMYFUNCTION("GOOGLEFINANCE(A1455, ""price"")"),799.75)</f>
        <v>799.75</v>
      </c>
      <c r="H1455" s="9">
        <f>IFERROR(__xludf.DUMMYFUNCTION("MAX(INDEX(GOOGLEFINANCE(A1455, ""high"", TODAY()-30, TODAY()), 0, 2))"),876.75)</f>
        <v>876.75</v>
      </c>
      <c r="I1455" s="9">
        <f>IFERROR(__xludf.DUMMYFUNCTION("MIN(INDEX(GOOGLEFINANCE(A1455, ""low"", TODAY()-30, TODAY()), 0, 2))"),754.3)</f>
        <v>754.3</v>
      </c>
      <c r="J1455" s="9">
        <f>IFERROR(__xludf.DUMMYFUNCTION("GOOGLEFINANCE(A1455, ""high52"")"),876.75)</f>
        <v>876.75</v>
      </c>
      <c r="K1455" s="9">
        <f>IFERROR(__xludf.DUMMYFUNCTION("GOOGLEFINANCE(A1455, ""low52"")"),300.05)</f>
        <v>300.05</v>
      </c>
      <c r="L1455" s="9">
        <f t="shared" si="1"/>
        <v>0.0878243513</v>
      </c>
      <c r="M1455" s="9">
        <f t="shared" si="2"/>
        <v>1.665389102</v>
      </c>
      <c r="N1455" s="9">
        <f t="shared" si="3"/>
        <v>0.02775489513</v>
      </c>
      <c r="O1455" s="9">
        <f t="shared" si="4"/>
        <v>0.3711719069</v>
      </c>
      <c r="P1455" s="9">
        <f>IFERROR(__xludf.DUMMYFUNCTION("GOOGLEFINANCE(A1455, ""pe"")"),26.77)</f>
        <v>26.77</v>
      </c>
      <c r="Q1455" s="9">
        <f>IFERROR(__xludf.DUMMYFUNCTION("IFERROR(GOOGLEFINANCE(A1455, ""volume"") / GOOGLEFINANCE(A1455, ""volumeavg""), 0)"),0.0)</f>
        <v>0</v>
      </c>
      <c r="R1455" s="9">
        <f>IFERROR(__xludf.DUMMYFUNCTION("AVERAGE(INDEX(GOOGLEFINANCE(A1455, ""price"", TODAY()-30, TODAY()), 0, 2))"),814.3217391304347)</f>
        <v>814.3217391</v>
      </c>
      <c r="S1455" s="9">
        <f>IFERROR(__xludf.DUMMYFUNCTION("AVERAGE(INDEX(GOOGLEFINANCE(A1455, ""price"", TODAY()-75, TODAY()), 0, 2))"),772.0188679245283)</f>
        <v>772.0188679</v>
      </c>
      <c r="T1455" s="9">
        <f>IFERROR(__xludf.DUMMYFUNCTION("AVERAGE(INDEX(GOOGLEFINANCE(A1455, ""price"", TODAY()-300, TODAY()), 0, 2))"),557.0650990099009)</f>
        <v>557.065099</v>
      </c>
      <c r="U1455" s="9">
        <f t="shared" si="5"/>
        <v>-0.01789432657</v>
      </c>
      <c r="V1455" s="15">
        <f>IFERROR(__xludf.DUMMYFUNCTION("LET(hist, GOOGLEFINANCE(A1455,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rs))))))"),45.784860557768916)</f>
        <v>45.78486056</v>
      </c>
      <c r="W1455" s="16" t="str">
        <f>IFERROR(__xludf.DUMMYFUNCTION("IFERROR(GOOGLEFINANCE(A1455, ""volume"") / GOOGLEFINANCE(A1455, ""volumeavg""), )"),"")</f>
        <v/>
      </c>
      <c r="X1455" s="9">
        <f>IFERROR(__xludf.DUMMYFUNCTION("B1455 * GOOGLEFINANCE(A1455, ""volume"")"),1773045.75)</f>
        <v>1773045.75</v>
      </c>
      <c r="Y1455" s="9">
        <f>IFERROR(__xludf.DUMMYFUNCTION("IFERROR(((B1455 - GOOGLEFINANCE(A1455, ""priceopen"")) / GOOGLEFINANCE(A1455, ""priceopen"")) * GOOGLEFINANCE(A1455, ""volume""), 0)"),-23.99350649350649)</f>
        <v>-23.99350649</v>
      </c>
    </row>
    <row r="1456">
      <c r="A1456" s="4" t="s">
        <v>3248</v>
      </c>
      <c r="B1456" s="7">
        <f>IFERROR(__xludf.DUMMYFUNCTION("GOOGLEFINANCE(A1456, ""price"")"),107.3)</f>
        <v>107.3</v>
      </c>
      <c r="C1456" s="7">
        <f>IFERROR(__xludf.DUMMYFUNCTION("GOOGLEFINANCE(A1456, ""changepct"")"),-5.14)</f>
        <v>-5.14</v>
      </c>
      <c r="D1456" s="9">
        <f>IFERROR(__xludf.DUMMYFUNCTION("GOOGLEFINANCE(A1456, ""priceopen"")"),113.11)</f>
        <v>113.11</v>
      </c>
      <c r="E1456" s="9">
        <f>IFERROR(__xludf.DUMMYFUNCTION("GOOGLEFINANCE(A1456, ""high"")"),114.7)</f>
        <v>114.7</v>
      </c>
      <c r="F1456" s="9">
        <f>IFERROR(__xludf.DUMMYFUNCTION("GOOGLEFINANCE(A1456, ""low"")"),105.7)</f>
        <v>105.7</v>
      </c>
      <c r="G1456" s="9">
        <f>IFERROR(__xludf.DUMMYFUNCTION("GOOGLEFINANCE(A1456, ""price"")"),107.3)</f>
        <v>107.3</v>
      </c>
      <c r="H1456" s="9">
        <f>IFERROR(__xludf.DUMMYFUNCTION("MAX(INDEX(GOOGLEFINANCE(A1456, ""high"", TODAY()-30, TODAY()), 0, 2))"),121.0)</f>
        <v>121</v>
      </c>
      <c r="I1456" s="9">
        <f>IFERROR(__xludf.DUMMYFUNCTION("MIN(INDEX(GOOGLEFINANCE(A1456, ""low"", TODAY()-30, TODAY()), 0, 2))"),103.38)</f>
        <v>103.38</v>
      </c>
      <c r="J1456" s="9">
        <f>IFERROR(__xludf.DUMMYFUNCTION("GOOGLEFINANCE(A1456, ""high52"")"),148.0)</f>
        <v>148</v>
      </c>
      <c r="K1456" s="9">
        <f>IFERROR(__xludf.DUMMYFUNCTION("GOOGLEFINANCE(A1456, ""low52"")"),64.95)</f>
        <v>64.95</v>
      </c>
      <c r="L1456" s="9">
        <f t="shared" si="1"/>
        <v>0.275</v>
      </c>
      <c r="M1456" s="9">
        <f t="shared" si="2"/>
        <v>0.6520400308</v>
      </c>
      <c r="N1456" s="9">
        <f t="shared" si="3"/>
        <v>0.08514664144</v>
      </c>
      <c r="O1456" s="9">
        <f t="shared" si="4"/>
        <v>0.2224744608</v>
      </c>
      <c r="P1456" s="9">
        <f>IFERROR(__xludf.DUMMYFUNCTION("GOOGLEFINANCE(A1456, ""pe"")"),894.17)</f>
        <v>894.17</v>
      </c>
      <c r="Q1456" s="9">
        <f>IFERROR(__xludf.DUMMYFUNCTION("IFERROR(GOOGLEFINANCE(A1456, ""volume"") / GOOGLEFINANCE(A1456, ""volumeavg""), 0)"),0.0)</f>
        <v>0</v>
      </c>
      <c r="R1456" s="9">
        <f>IFERROR(__xludf.DUMMYFUNCTION("AVERAGE(INDEX(GOOGLEFINANCE(A1456, ""price"", TODAY()-30, TODAY()), 0, 2))"),110.66521739130435)</f>
        <v>110.6652174</v>
      </c>
      <c r="S1456" s="9">
        <f>IFERROR(__xludf.DUMMYFUNCTION("AVERAGE(INDEX(GOOGLEFINANCE(A1456, ""price"", TODAY()-75, TODAY()), 0, 2))"),110.20471698113208)</f>
        <v>110.204717</v>
      </c>
      <c r="T1456" s="9">
        <f>IFERROR(__xludf.DUMMYFUNCTION("AVERAGE(INDEX(GOOGLEFINANCE(A1456, ""price"", TODAY()-300, TODAY()), 0, 2))"),100.21222772277221)</f>
        <v>100.2122277</v>
      </c>
      <c r="U1456" s="9">
        <f t="shared" si="5"/>
        <v>-0.03040898912</v>
      </c>
      <c r="V1456" s="15">
        <f>IFERROR(__xludf.DUMMYFUNCTION("LET(hist, GOOGLEFINANCE(A1456,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rs))))))"),51.10995037868896)</f>
        <v>51.10995038</v>
      </c>
      <c r="W1456" s="16" t="str">
        <f>IFERROR(__xludf.DUMMYFUNCTION("IFERROR(GOOGLEFINANCE(A1456, ""volume"") / GOOGLEFINANCE(A1456, ""volumeavg""), )"),"")</f>
        <v/>
      </c>
      <c r="X1456" s="9">
        <f>IFERROR(__xludf.DUMMYFUNCTION("B1456 * GOOGLEFINANCE(A1456, ""volume"")"),8927038.1)</f>
        <v>8927038.1</v>
      </c>
      <c r="Y1456" s="9">
        <f>IFERROR(__xludf.DUMMYFUNCTION("IFERROR(((B1456 - GOOGLEFINANCE(A1456, ""priceopen"")) / GOOGLEFINANCE(A1456, ""priceopen"")) * GOOGLEFINANCE(A1456, ""volume""), 0)"),-4273.491026434446)</f>
        <v>-4273.491026</v>
      </c>
    </row>
    <row r="1457">
      <c r="A1457" s="4" t="s">
        <v>3249</v>
      </c>
      <c r="B1457" s="7">
        <f>IFERROR(__xludf.DUMMYFUNCTION("GOOGLEFINANCE(A1457, ""price"")"),163.23)</f>
        <v>163.23</v>
      </c>
      <c r="C1457" s="7">
        <f>IFERROR(__xludf.DUMMYFUNCTION("GOOGLEFINANCE(A1457, ""changepct"")"),-4.25)</f>
        <v>-4.25</v>
      </c>
      <c r="D1457" s="9">
        <f>IFERROR(__xludf.DUMMYFUNCTION("GOOGLEFINANCE(A1457, ""priceopen"")"),168.66)</f>
        <v>168.66</v>
      </c>
      <c r="E1457" s="9">
        <f>IFERROR(__xludf.DUMMYFUNCTION("GOOGLEFINANCE(A1457, ""high"")"),169.99)</f>
        <v>169.99</v>
      </c>
      <c r="F1457" s="9">
        <f>IFERROR(__xludf.DUMMYFUNCTION("GOOGLEFINANCE(A1457, ""low"")"),161.0)</f>
        <v>161</v>
      </c>
      <c r="G1457" s="9">
        <f>IFERROR(__xludf.DUMMYFUNCTION("GOOGLEFINANCE(A1457, ""price"")"),163.23)</f>
        <v>163.23</v>
      </c>
      <c r="H1457" s="9">
        <f>IFERROR(__xludf.DUMMYFUNCTION("MAX(INDEX(GOOGLEFINANCE(A1457, ""high"", TODAY()-30, TODAY()), 0, 2))"),189.13)</f>
        <v>189.13</v>
      </c>
      <c r="I1457" s="9">
        <f>IFERROR(__xludf.DUMMYFUNCTION("MIN(INDEX(GOOGLEFINANCE(A1457, ""low"", TODAY()-30, TODAY()), 0, 2))"),158.89)</f>
        <v>158.89</v>
      </c>
      <c r="J1457" s="9">
        <f>IFERROR(__xludf.DUMMYFUNCTION("GOOGLEFINANCE(A1457, ""high52"")"),241.57)</f>
        <v>241.57</v>
      </c>
      <c r="K1457" s="9">
        <f>IFERROR(__xludf.DUMMYFUNCTION("GOOGLEFINANCE(A1457, ""low52"")"),120.0)</f>
        <v>120</v>
      </c>
      <c r="L1457" s="9">
        <f t="shared" si="1"/>
        <v>0.3242952353</v>
      </c>
      <c r="M1457" s="9">
        <f t="shared" si="2"/>
        <v>0.36025</v>
      </c>
      <c r="N1457" s="9">
        <f t="shared" si="3"/>
        <v>0.05583850932</v>
      </c>
      <c r="O1457" s="9">
        <f t="shared" si="4"/>
        <v>0.1435185185</v>
      </c>
      <c r="P1457" s="9" t="str">
        <f>IFERROR(__xludf.DUMMYFUNCTION("GOOGLEFINANCE(A1457, ""pe"")"),"#N/A")</f>
        <v>#N/A</v>
      </c>
      <c r="Q1457" s="9">
        <f>IFERROR(__xludf.DUMMYFUNCTION("IFERROR(GOOGLEFINANCE(A1457, ""volume"") / GOOGLEFINANCE(A1457, ""volumeavg""), 0)"),0.0)</f>
        <v>0</v>
      </c>
      <c r="R1457" s="9">
        <f>IFERROR(__xludf.DUMMYFUNCTION("AVERAGE(INDEX(GOOGLEFINANCE(A1457, ""price"", TODAY()-30, TODAY()), 0, 2))"),169.76434782608695)</f>
        <v>169.7643478</v>
      </c>
      <c r="S1457" s="9">
        <f>IFERROR(__xludf.DUMMYFUNCTION("AVERAGE(INDEX(GOOGLEFINANCE(A1457, ""price"", TODAY()-75, TODAY()), 0, 2))"),164.6115094339622)</f>
        <v>164.6115094</v>
      </c>
      <c r="T1457" s="9">
        <f>IFERROR(__xludf.DUMMYFUNCTION("AVERAGE(INDEX(GOOGLEFINANCE(A1457, ""price"", TODAY()-300, TODAY()), 0, 2))"),170.62603960396046)</f>
        <v>170.6260396</v>
      </c>
      <c r="U1457" s="9">
        <f t="shared" si="5"/>
        <v>-0.03849069554</v>
      </c>
      <c r="V1457" s="15">
        <f>IFERROR(__xludf.DUMMYFUNCTION("LET(hist, GOOGLEFINANCE(A1457,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rs))))))"),47.47779453661805)</f>
        <v>47.47779454</v>
      </c>
      <c r="W1457" s="16" t="str">
        <f>IFERROR(__xludf.DUMMYFUNCTION("IFERROR(GOOGLEFINANCE(A1457, ""volume"") / GOOGLEFINANCE(A1457, ""volumeavg""), )"),"")</f>
        <v/>
      </c>
      <c r="X1457" s="9">
        <f>IFERROR(__xludf.DUMMYFUNCTION("B1457 * GOOGLEFINANCE(A1457, ""volume"")"),4.038865182E7)</f>
        <v>40388651.82</v>
      </c>
      <c r="Y1457" s="9">
        <f>IFERROR(__xludf.DUMMYFUNCTION("IFERROR(((B1457 - GOOGLEFINANCE(A1457, ""priceopen"")) / GOOGLEFINANCE(A1457, ""priceopen"")) * GOOGLEFINANCE(A1457, ""volume""), 0)"),-7966.124866595528)</f>
        <v>-7966.124867</v>
      </c>
    </row>
    <row r="1458">
      <c r="A1458" s="4" t="s">
        <v>3250</v>
      </c>
      <c r="B1458" s="7">
        <f>IFERROR(__xludf.DUMMYFUNCTION("GOOGLEFINANCE(A1458, ""price"")"),33.9)</f>
        <v>33.9</v>
      </c>
      <c r="C1458" s="7">
        <f>IFERROR(__xludf.DUMMYFUNCTION("GOOGLEFINANCE(A1458, ""changepct"")"),-3.09)</f>
        <v>-3.09</v>
      </c>
      <c r="D1458" s="9">
        <f>IFERROR(__xludf.DUMMYFUNCTION("GOOGLEFINANCE(A1458, ""priceopen"")"),35.49)</f>
        <v>35.49</v>
      </c>
      <c r="E1458" s="9">
        <f>IFERROR(__xludf.DUMMYFUNCTION("GOOGLEFINANCE(A1458, ""high"")"),35.49)</f>
        <v>35.49</v>
      </c>
      <c r="F1458" s="9">
        <f>IFERROR(__xludf.DUMMYFUNCTION("GOOGLEFINANCE(A1458, ""low"")"),33.35)</f>
        <v>33.35</v>
      </c>
      <c r="G1458" s="9">
        <f>IFERROR(__xludf.DUMMYFUNCTION("GOOGLEFINANCE(A1458, ""price"")"),33.9)</f>
        <v>33.9</v>
      </c>
      <c r="H1458" s="9">
        <f>IFERROR(__xludf.DUMMYFUNCTION("MAX(INDEX(GOOGLEFINANCE(A1458, ""high"", TODAY()-30, TODAY()), 0, 2))"),37.06)</f>
        <v>37.06</v>
      </c>
      <c r="I1458" s="9">
        <f>IFERROR(__xludf.DUMMYFUNCTION("MIN(INDEX(GOOGLEFINANCE(A1458, ""low"", TODAY()-30, TODAY()), 0, 2))"),31.01)</f>
        <v>31.01</v>
      </c>
      <c r="J1458" s="9">
        <f>IFERROR(__xludf.DUMMYFUNCTION("GOOGLEFINANCE(A1458, ""high52"")"),37.06)</f>
        <v>37.06</v>
      </c>
      <c r="K1458" s="9">
        <f>IFERROR(__xludf.DUMMYFUNCTION("GOOGLEFINANCE(A1458, ""low52"")"),16.15)</f>
        <v>16.15</v>
      </c>
      <c r="L1458" s="9">
        <f t="shared" si="1"/>
        <v>0.08526713438</v>
      </c>
      <c r="M1458" s="9">
        <f t="shared" si="2"/>
        <v>1.099071207</v>
      </c>
      <c r="N1458" s="9">
        <f t="shared" si="3"/>
        <v>0.06416791604</v>
      </c>
      <c r="O1458" s="9">
        <f t="shared" si="4"/>
        <v>0.4776859504</v>
      </c>
      <c r="P1458" s="9">
        <f>IFERROR(__xludf.DUMMYFUNCTION("GOOGLEFINANCE(A1458, ""pe"")"),6.58)</f>
        <v>6.58</v>
      </c>
      <c r="Q1458" s="9">
        <f>IFERROR(__xludf.DUMMYFUNCTION("IFERROR(GOOGLEFINANCE(A1458, ""volume"") / GOOGLEFINANCE(A1458, ""volumeavg""), 0)"),0.0)</f>
        <v>0</v>
      </c>
      <c r="R1458" s="9">
        <f>IFERROR(__xludf.DUMMYFUNCTION("AVERAGE(INDEX(GOOGLEFINANCE(A1458, ""price"", TODAY()-30, TODAY()), 0, 2))"),34.27391304347825)</f>
        <v>34.27391304</v>
      </c>
      <c r="S1458" s="9">
        <f>IFERROR(__xludf.DUMMYFUNCTION("AVERAGE(INDEX(GOOGLEFINANCE(A1458, ""price"", TODAY()-75, TODAY()), 0, 2))"),31.17132075471698)</f>
        <v>31.17132075</v>
      </c>
      <c r="T1458" s="9">
        <f>IFERROR(__xludf.DUMMYFUNCTION("AVERAGE(INDEX(GOOGLEFINANCE(A1458, ""price"", TODAY()-300, TODAY()), 0, 2))"),25.713316831683183)</f>
        <v>25.71331683</v>
      </c>
      <c r="U1458" s="9">
        <f t="shared" si="5"/>
        <v>-0.0109095522</v>
      </c>
      <c r="V1458" s="15">
        <f>IFERROR(__xludf.DUMMYFUNCTION("LET(hist, GOOGLEFINANCE(A1458,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rs))))))"),42.247510668563315)</f>
        <v>42.24751067</v>
      </c>
      <c r="W1458" s="16" t="str">
        <f>IFERROR(__xludf.DUMMYFUNCTION("IFERROR(GOOGLEFINANCE(A1458, ""volume"") / GOOGLEFINANCE(A1458, ""volumeavg""), )"),"")</f>
        <v/>
      </c>
      <c r="X1458" s="9">
        <f>IFERROR(__xludf.DUMMYFUNCTION("B1458 * GOOGLEFINANCE(A1458, ""volume"")"),8476457.7)</f>
        <v>8476457.7</v>
      </c>
      <c r="Y1458" s="9">
        <f>IFERROR(__xludf.DUMMYFUNCTION("IFERROR(((B1458 - GOOGLEFINANCE(A1458, ""priceopen"")) / GOOGLEFINANCE(A1458, ""priceopen"")) * GOOGLEFINANCE(A1458, ""volume""), 0)"),-11202.264581572297)</f>
        <v>-11202.26458</v>
      </c>
    </row>
    <row r="1459">
      <c r="A1459" s="4" t="s">
        <v>3251</v>
      </c>
      <c r="B1459" s="7">
        <f>IFERROR(__xludf.DUMMYFUNCTION("GOOGLEFINANCE(A1459, ""price"")"),278.8)</f>
        <v>278.8</v>
      </c>
      <c r="C1459" s="7">
        <f>IFERROR(__xludf.DUMMYFUNCTION("GOOGLEFINANCE(A1459, ""changepct"")"),1.49)</f>
        <v>1.49</v>
      </c>
      <c r="D1459" s="9">
        <f>IFERROR(__xludf.DUMMYFUNCTION("GOOGLEFINANCE(A1459, ""priceopen"")"),274.0)</f>
        <v>274</v>
      </c>
      <c r="E1459" s="9">
        <f>IFERROR(__xludf.DUMMYFUNCTION("GOOGLEFINANCE(A1459, ""high"")"),281.9)</f>
        <v>281.9</v>
      </c>
      <c r="F1459" s="9">
        <f>IFERROR(__xludf.DUMMYFUNCTION("GOOGLEFINANCE(A1459, ""low"")"),272.0)</f>
        <v>272</v>
      </c>
      <c r="G1459" s="9">
        <f>IFERROR(__xludf.DUMMYFUNCTION("GOOGLEFINANCE(A1459, ""price"")"),278.8)</f>
        <v>278.8</v>
      </c>
      <c r="H1459" s="9">
        <f>IFERROR(__xludf.DUMMYFUNCTION("MAX(INDEX(GOOGLEFINANCE(A1459, ""high"", TODAY()-30, TODAY()), 0, 2))"),320.0)</f>
        <v>320</v>
      </c>
      <c r="I1459" s="9">
        <f>IFERROR(__xludf.DUMMYFUNCTION("MIN(INDEX(GOOGLEFINANCE(A1459, ""low"", TODAY()-30, TODAY()), 0, 2))"),249.61)</f>
        <v>249.61</v>
      </c>
      <c r="J1459" s="9">
        <f>IFERROR(__xludf.DUMMYFUNCTION("GOOGLEFINANCE(A1459, ""high52"")"),320.0)</f>
        <v>320</v>
      </c>
      <c r="K1459" s="9">
        <f>IFERROR(__xludf.DUMMYFUNCTION("GOOGLEFINANCE(A1459, ""low52"")"),152.0)</f>
        <v>152</v>
      </c>
      <c r="L1459" s="9">
        <f t="shared" si="1"/>
        <v>0.12875</v>
      </c>
      <c r="M1459" s="9">
        <f t="shared" si="2"/>
        <v>0.8342105263</v>
      </c>
      <c r="N1459" s="9">
        <f t="shared" si="3"/>
        <v>0.03639705882</v>
      </c>
      <c r="O1459" s="9">
        <f t="shared" si="4"/>
        <v>0.4146895866</v>
      </c>
      <c r="P1459" s="9">
        <f>IFERROR(__xludf.DUMMYFUNCTION("GOOGLEFINANCE(A1459, ""pe"")"),16.66)</f>
        <v>16.66</v>
      </c>
      <c r="Q1459" s="9">
        <f>IFERROR(__xludf.DUMMYFUNCTION("IFERROR(GOOGLEFINANCE(A1459, ""volume"") / GOOGLEFINANCE(A1459, ""volumeavg""), 0)"),0.0)</f>
        <v>0</v>
      </c>
      <c r="R1459" s="9">
        <f>IFERROR(__xludf.DUMMYFUNCTION("AVERAGE(INDEX(GOOGLEFINANCE(A1459, ""price"", TODAY()-30, TODAY()), 0, 2))"),286.40956521739133)</f>
        <v>286.4095652</v>
      </c>
      <c r="S1459" s="9">
        <f>IFERROR(__xludf.DUMMYFUNCTION("AVERAGE(INDEX(GOOGLEFINANCE(A1459, ""price"", TODAY()-75, TODAY()), 0, 2))"),255.40207547169808)</f>
        <v>255.4020755</v>
      </c>
      <c r="T1459" s="9">
        <f>IFERROR(__xludf.DUMMYFUNCTION("AVERAGE(INDEX(GOOGLEFINANCE(A1459, ""price"", TODAY()-300, TODAY()), 0, 2))"),212.875472636816)</f>
        <v>212.8754726</v>
      </c>
      <c r="U1459" s="9">
        <f t="shared" si="5"/>
        <v>-0.02656882361</v>
      </c>
      <c r="V1459" s="15">
        <f>IFERROR(__xludf.DUMMYFUNCTION("LET(hist, GOOGLEFINANCE(A1459,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rs))))))"),43.81075826312378)</f>
        <v>43.81075826</v>
      </c>
      <c r="W1459" s="16" t="str">
        <f>IFERROR(__xludf.DUMMYFUNCTION("IFERROR(GOOGLEFINANCE(A1459, ""volume"") / GOOGLEFINANCE(A1459, ""volumeavg""), )"),"")</f>
        <v/>
      </c>
      <c r="X1459" s="9">
        <f>IFERROR(__xludf.DUMMYFUNCTION("B1459 * GOOGLEFINANCE(A1459, ""volume"")"),651834.4)</f>
        <v>651834.4</v>
      </c>
      <c r="Y1459" s="9">
        <f>IFERROR(__xludf.DUMMYFUNCTION("IFERROR(((B1459 - GOOGLEFINANCE(A1459, ""priceopen"")) / GOOGLEFINANCE(A1459, ""priceopen"")) * GOOGLEFINANCE(A1459, ""volume""), 0)"),40.95766423357674)</f>
        <v>40.95766423</v>
      </c>
    </row>
    <row r="1460">
      <c r="A1460" s="4" t="s">
        <v>3252</v>
      </c>
      <c r="B1460" s="7">
        <f>IFERROR(__xludf.DUMMYFUNCTION("GOOGLEFINANCE(A1460, ""price"")"),125.95)</f>
        <v>125.95</v>
      </c>
      <c r="C1460" s="7">
        <f>IFERROR(__xludf.DUMMYFUNCTION("GOOGLEFINANCE(A1460, ""changepct"")"),0.25)</f>
        <v>0.25</v>
      </c>
      <c r="D1460" s="9">
        <f>IFERROR(__xludf.DUMMYFUNCTION("GOOGLEFINANCE(A1460, ""priceopen"")"),126.15)</f>
        <v>126.15</v>
      </c>
      <c r="E1460" s="9">
        <f>IFERROR(__xludf.DUMMYFUNCTION("GOOGLEFINANCE(A1460, ""high"")"),127.8)</f>
        <v>127.8</v>
      </c>
      <c r="F1460" s="9">
        <f>IFERROR(__xludf.DUMMYFUNCTION("GOOGLEFINANCE(A1460, ""low"")"),123.62)</f>
        <v>123.62</v>
      </c>
      <c r="G1460" s="9">
        <f>IFERROR(__xludf.DUMMYFUNCTION("GOOGLEFINANCE(A1460, ""price"")"),125.95)</f>
        <v>125.95</v>
      </c>
      <c r="H1460" s="9">
        <f>IFERROR(__xludf.DUMMYFUNCTION("MAX(INDEX(GOOGLEFINANCE(A1460, ""high"", TODAY()-30, TODAY()), 0, 2))"),139.14)</f>
        <v>139.14</v>
      </c>
      <c r="I1460" s="9">
        <f>IFERROR(__xludf.DUMMYFUNCTION("MIN(INDEX(GOOGLEFINANCE(A1460, ""low"", TODAY()-30, TODAY()), 0, 2))"),123.62)</f>
        <v>123.62</v>
      </c>
      <c r="J1460" s="9">
        <f>IFERROR(__xludf.DUMMYFUNCTION("GOOGLEFINANCE(A1460, ""high52"")"),157.77)</f>
        <v>157.77</v>
      </c>
      <c r="K1460" s="9">
        <f>IFERROR(__xludf.DUMMYFUNCTION("GOOGLEFINANCE(A1460, ""low52"")"),123.62)</f>
        <v>123.62</v>
      </c>
      <c r="L1460" s="9">
        <f t="shared" si="1"/>
        <v>0.2016859986</v>
      </c>
      <c r="M1460" s="9">
        <f t="shared" si="2"/>
        <v>0.01884808283</v>
      </c>
      <c r="N1460" s="9">
        <f t="shared" si="3"/>
        <v>0.03381329882</v>
      </c>
      <c r="O1460" s="9">
        <f t="shared" si="4"/>
        <v>0.150128866</v>
      </c>
      <c r="P1460" s="9">
        <f>IFERROR(__xludf.DUMMYFUNCTION("GOOGLEFINANCE(A1460, ""pe"")"),15.44)</f>
        <v>15.44</v>
      </c>
      <c r="Q1460" s="9">
        <f>IFERROR(__xludf.DUMMYFUNCTION("IFERROR(GOOGLEFINANCE(A1460, ""volume"") / GOOGLEFINANCE(A1460, ""volumeavg""), 0)"),0.0)</f>
        <v>0</v>
      </c>
      <c r="R1460" s="9">
        <f>IFERROR(__xludf.DUMMYFUNCTION("AVERAGE(INDEX(GOOGLEFINANCE(A1460, ""price"", TODAY()-30, TODAY()), 0, 2))"),132.68521739130435)</f>
        <v>132.6852174</v>
      </c>
      <c r="S1460" s="9">
        <f>IFERROR(__xludf.DUMMYFUNCTION("AVERAGE(INDEX(GOOGLEFINANCE(A1460, ""price"", TODAY()-75, TODAY()), 0, 2))"),133.81113207547168)</f>
        <v>133.8111321</v>
      </c>
      <c r="T1460" s="9">
        <f>IFERROR(__xludf.DUMMYFUNCTION("AVERAGE(INDEX(GOOGLEFINANCE(A1460, ""price"", TODAY()-300, TODAY()), 0, 2))"),133.99462499999998)</f>
        <v>133.994625</v>
      </c>
      <c r="U1460" s="9">
        <f t="shared" si="5"/>
        <v>-0.05076087241</v>
      </c>
      <c r="V1460" s="15">
        <f>IFERROR(__xludf.DUMMYFUNCTION("LET(hist, GOOGLEFINANCE(A1460,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rs))))))"),36.40798226164082)</f>
        <v>36.40798226</v>
      </c>
      <c r="W1460" s="16" t="str">
        <f>IFERROR(__xludf.DUMMYFUNCTION("IFERROR(GOOGLEFINANCE(A1460, ""volume"") / GOOGLEFINANCE(A1460, ""volumeavg""), )"),"")</f>
        <v/>
      </c>
      <c r="X1460" s="9">
        <f>IFERROR(__xludf.DUMMYFUNCTION("B1460 * GOOGLEFINANCE(A1460, ""volume"")"),7708014.05)</f>
        <v>7708014.05</v>
      </c>
      <c r="Y1460" s="9">
        <f>IFERROR(__xludf.DUMMYFUNCTION("IFERROR(((B1460 - GOOGLEFINANCE(A1460, ""priceopen"")) / GOOGLEFINANCE(A1460, ""priceopen"")) * GOOGLEFINANCE(A1460, ""volume""), 0)"),-97.02576298058004)</f>
        <v>-97.02576298</v>
      </c>
    </row>
    <row r="1461">
      <c r="A1461" s="4" t="s">
        <v>3253</v>
      </c>
      <c r="B1461" s="7">
        <f>IFERROR(__xludf.DUMMYFUNCTION("GOOGLEFINANCE(A1461, ""price"")"),582.1)</f>
        <v>582.1</v>
      </c>
      <c r="C1461" s="7">
        <f>IFERROR(__xludf.DUMMYFUNCTION("GOOGLEFINANCE(A1461, ""changepct"")"),-1.35)</f>
        <v>-1.35</v>
      </c>
      <c r="D1461" s="9">
        <f>IFERROR(__xludf.DUMMYFUNCTION("GOOGLEFINANCE(A1461, ""priceopen"")"),600.0)</f>
        <v>600</v>
      </c>
      <c r="E1461" s="9">
        <f>IFERROR(__xludf.DUMMYFUNCTION("GOOGLEFINANCE(A1461, ""high"")"),600.0)</f>
        <v>600</v>
      </c>
      <c r="F1461" s="9">
        <f>IFERROR(__xludf.DUMMYFUNCTION("GOOGLEFINANCE(A1461, ""low"")"),582.1)</f>
        <v>582.1</v>
      </c>
      <c r="G1461" s="9">
        <f>IFERROR(__xludf.DUMMYFUNCTION("GOOGLEFINANCE(A1461, ""price"")"),582.1)</f>
        <v>582.1</v>
      </c>
      <c r="H1461" s="9">
        <f>IFERROR(__xludf.DUMMYFUNCTION("MAX(INDEX(GOOGLEFINANCE(A1461, ""high"", TODAY()-30, TODAY()), 0, 2))"),639.0)</f>
        <v>639</v>
      </c>
      <c r="I1461" s="9">
        <f>IFERROR(__xludf.DUMMYFUNCTION("MIN(INDEX(GOOGLEFINANCE(A1461, ""low"", TODAY()-30, TODAY()), 0, 2))"),525.5)</f>
        <v>525.5</v>
      </c>
      <c r="J1461" s="9">
        <f>IFERROR(__xludf.DUMMYFUNCTION("GOOGLEFINANCE(A1461, ""high52"")"),723.0)</f>
        <v>723</v>
      </c>
      <c r="K1461" s="9">
        <f>IFERROR(__xludf.DUMMYFUNCTION("GOOGLEFINANCE(A1461, ""low52"")"),525.5)</f>
        <v>525.5</v>
      </c>
      <c r="L1461" s="9">
        <f t="shared" si="1"/>
        <v>0.1948824343</v>
      </c>
      <c r="M1461" s="9">
        <f t="shared" si="2"/>
        <v>0.1077069458</v>
      </c>
      <c r="N1461" s="9">
        <f t="shared" si="3"/>
        <v>0.03075073012</v>
      </c>
      <c r="O1461" s="9">
        <f t="shared" si="4"/>
        <v>0.4986784141</v>
      </c>
      <c r="P1461" s="9">
        <f>IFERROR(__xludf.DUMMYFUNCTION("GOOGLEFINANCE(A1461, ""pe"")"),23.05)</f>
        <v>23.05</v>
      </c>
      <c r="Q1461" s="9">
        <f>IFERROR(__xludf.DUMMYFUNCTION("IFERROR(GOOGLEFINANCE(A1461, ""volume"") / GOOGLEFINANCE(A1461, ""volumeavg""), 0)"),0.0)</f>
        <v>0</v>
      </c>
      <c r="R1461" s="9">
        <f>IFERROR(__xludf.DUMMYFUNCTION("AVERAGE(INDEX(GOOGLEFINANCE(A1461, ""price"", TODAY()-30, TODAY()), 0, 2))"),601.9399999999999)</f>
        <v>601.94</v>
      </c>
      <c r="S1461" s="9">
        <f>IFERROR(__xludf.DUMMYFUNCTION("AVERAGE(INDEX(GOOGLEFINANCE(A1461, ""price"", TODAY()-75, TODAY()), 0, 2))"),614.8079545454543)</f>
        <v>614.8079545</v>
      </c>
      <c r="T1461" s="9">
        <f>IFERROR(__xludf.DUMMYFUNCTION("AVERAGE(INDEX(GOOGLEFINANCE(A1461, ""price"", TODAY()-300, TODAY()), 0, 2))"),626.1335714285714)</f>
        <v>626.1335714</v>
      </c>
      <c r="U1461" s="9">
        <f t="shared" si="5"/>
        <v>-0.03296009569</v>
      </c>
      <c r="V1461" s="15">
        <f>IFERROR(__xludf.DUMMYFUNCTION("LET(hist, GOOGLEFINANCE(A1461,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rs))))))"),30.15597920277297)</f>
        <v>30.1559792</v>
      </c>
      <c r="W1461" s="16" t="str">
        <f>IFERROR(__xludf.DUMMYFUNCTION("IFERROR(GOOGLEFINANCE(A1461, ""volume"") / GOOGLEFINANCE(A1461, ""volumeavg""), )"),"")</f>
        <v/>
      </c>
      <c r="X1461" s="9">
        <f>IFERROR(__xludf.DUMMYFUNCTION("B1461 * GOOGLEFINANCE(A1461, ""volume"")"),5821.0)</f>
        <v>5821</v>
      </c>
      <c r="Y1461" s="9">
        <f>IFERROR(__xludf.DUMMYFUNCTION("IFERROR(((B1461 - GOOGLEFINANCE(A1461, ""priceopen"")) / GOOGLEFINANCE(A1461, ""priceopen"")) * GOOGLEFINANCE(A1461, ""volume""), 0)"),-0.29833333333333295)</f>
        <v>-0.2983333333</v>
      </c>
    </row>
    <row r="1462">
      <c r="A1462" s="4" t="s">
        <v>3254</v>
      </c>
      <c r="B1462" s="7">
        <f>IFERROR(__xludf.DUMMYFUNCTION("GOOGLEFINANCE(A1462, ""price"")"),323.75)</f>
        <v>323.75</v>
      </c>
      <c r="C1462" s="7">
        <f>IFERROR(__xludf.DUMMYFUNCTION("GOOGLEFINANCE(A1462, ""changepct"")"),-2.65)</f>
        <v>-2.65</v>
      </c>
      <c r="D1462" s="9">
        <f>IFERROR(__xludf.DUMMYFUNCTION("GOOGLEFINANCE(A1462, ""priceopen"")"),332.35)</f>
        <v>332.35</v>
      </c>
      <c r="E1462" s="9">
        <f>IFERROR(__xludf.DUMMYFUNCTION("GOOGLEFINANCE(A1462, ""high"")"),334.15)</f>
        <v>334.15</v>
      </c>
      <c r="F1462" s="9">
        <f>IFERROR(__xludf.DUMMYFUNCTION("GOOGLEFINANCE(A1462, ""low"")"),322.25)</f>
        <v>322.25</v>
      </c>
      <c r="G1462" s="9">
        <f>IFERROR(__xludf.DUMMYFUNCTION("GOOGLEFINANCE(A1462, ""price"")"),323.75)</f>
        <v>323.75</v>
      </c>
      <c r="H1462" s="9">
        <f>IFERROR(__xludf.DUMMYFUNCTION("MAX(INDEX(GOOGLEFINANCE(A1462, ""high"", TODAY()-30, TODAY()), 0, 2))"),372.0)</f>
        <v>372</v>
      </c>
      <c r="I1462" s="9">
        <f>IFERROR(__xludf.DUMMYFUNCTION("MIN(INDEX(GOOGLEFINANCE(A1462, ""low"", TODAY()-30, TODAY()), 0, 2))"),321.55)</f>
        <v>321.55</v>
      </c>
      <c r="J1462" s="9">
        <f>IFERROR(__xludf.DUMMYFUNCTION("GOOGLEFINANCE(A1462, ""high52"")"),479.6)</f>
        <v>479.6</v>
      </c>
      <c r="K1462" s="9">
        <f>IFERROR(__xludf.DUMMYFUNCTION("GOOGLEFINANCE(A1462, ""low52"")"),222.0)</f>
        <v>222</v>
      </c>
      <c r="L1462" s="9">
        <f t="shared" si="1"/>
        <v>0.3249582986</v>
      </c>
      <c r="M1462" s="9">
        <f t="shared" si="2"/>
        <v>0.4583333333</v>
      </c>
      <c r="N1462" s="9">
        <f t="shared" si="3"/>
        <v>0.03692785105</v>
      </c>
      <c r="O1462" s="9">
        <f t="shared" si="4"/>
        <v>0.04360753221</v>
      </c>
      <c r="P1462" s="9">
        <f>IFERROR(__xludf.DUMMYFUNCTION("GOOGLEFINANCE(A1462, ""pe"")"),14.19)</f>
        <v>14.19</v>
      </c>
      <c r="Q1462" s="9">
        <f>IFERROR(__xludf.DUMMYFUNCTION("IFERROR(GOOGLEFINANCE(A1462, ""volume"") / GOOGLEFINANCE(A1462, ""volumeavg""), 0)"),0.0)</f>
        <v>0</v>
      </c>
      <c r="R1462" s="9">
        <f>IFERROR(__xludf.DUMMYFUNCTION("AVERAGE(INDEX(GOOGLEFINANCE(A1462, ""price"", TODAY()-30, TODAY()), 0, 2))"),339.4065217391304)</f>
        <v>339.4065217</v>
      </c>
      <c r="S1462" s="9">
        <f>IFERROR(__xludf.DUMMYFUNCTION("AVERAGE(INDEX(GOOGLEFINANCE(A1462, ""price"", TODAY()-75, TODAY()), 0, 2))"),312.2877358490566)</f>
        <v>312.2877358</v>
      </c>
      <c r="T1462" s="9">
        <f>IFERROR(__xludf.DUMMYFUNCTION("AVERAGE(INDEX(GOOGLEFINANCE(A1462, ""price"", TODAY()-300, TODAY()), 0, 2))"),308.6873631840795)</f>
        <v>308.6873632</v>
      </c>
      <c r="U1462" s="9">
        <f t="shared" si="5"/>
        <v>-0.04612911284</v>
      </c>
      <c r="V1462" s="15">
        <f>IFERROR(__xludf.DUMMYFUNCTION("LET(hist, GOOGLEFINANCE(A1462,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rs))))))"),45.555555555555564)</f>
        <v>45.55555556</v>
      </c>
      <c r="W1462" s="16" t="str">
        <f>IFERROR(__xludf.DUMMYFUNCTION("IFERROR(GOOGLEFINANCE(A1462, ""volume"") / GOOGLEFINANCE(A1462, ""volumeavg""), )"),"")</f>
        <v/>
      </c>
      <c r="X1462" s="9">
        <f>IFERROR(__xludf.DUMMYFUNCTION("B1462 * GOOGLEFINANCE(A1462, ""volume"")"),4.733581125E7)</f>
        <v>47335811.25</v>
      </c>
      <c r="Y1462" s="9">
        <f>IFERROR(__xludf.DUMMYFUNCTION("IFERROR(((B1462 - GOOGLEFINANCE(A1462, ""priceopen"")) / GOOGLEFINANCE(A1462, ""priceopen"")) * GOOGLEFINANCE(A1462, ""volume""), 0)"),-3783.404844290667)</f>
        <v>-3783.404844</v>
      </c>
    </row>
    <row r="1463">
      <c r="A1463" s="4" t="s">
        <v>3255</v>
      </c>
      <c r="B1463" s="7">
        <f>IFERROR(__xludf.DUMMYFUNCTION("GOOGLEFINANCE(A1463, ""price"")"),92.3)</f>
        <v>92.3</v>
      </c>
      <c r="C1463" s="7">
        <f>IFERROR(__xludf.DUMMYFUNCTION("GOOGLEFINANCE(A1463, ""changepct"")"),9.62)</f>
        <v>9.62</v>
      </c>
      <c r="D1463" s="9">
        <f>IFERROR(__xludf.DUMMYFUNCTION("GOOGLEFINANCE(A1463, ""priceopen"")"),84.62)</f>
        <v>84.62</v>
      </c>
      <c r="E1463" s="9">
        <f>IFERROR(__xludf.DUMMYFUNCTION("GOOGLEFINANCE(A1463, ""high"")"),93.4)</f>
        <v>93.4</v>
      </c>
      <c r="F1463" s="9">
        <f>IFERROR(__xludf.DUMMYFUNCTION("GOOGLEFINANCE(A1463, ""low"")"),83.6)</f>
        <v>83.6</v>
      </c>
      <c r="G1463" s="9">
        <f>IFERROR(__xludf.DUMMYFUNCTION("GOOGLEFINANCE(A1463, ""price"")"),92.3)</f>
        <v>92.3</v>
      </c>
      <c r="H1463" s="9">
        <f>IFERROR(__xludf.DUMMYFUNCTION("MAX(INDEX(GOOGLEFINANCE(A1463, ""high"", TODAY()-30, TODAY()), 0, 2))"),93.4)</f>
        <v>93.4</v>
      </c>
      <c r="I1463" s="9">
        <f>IFERROR(__xludf.DUMMYFUNCTION("MIN(INDEX(GOOGLEFINANCE(A1463, ""low"", TODAY()-30, TODAY()), 0, 2))"),83.1)</f>
        <v>83.1</v>
      </c>
      <c r="J1463" s="9">
        <f>IFERROR(__xludf.DUMMYFUNCTION("GOOGLEFINANCE(A1463, ""high52"")"),155.8)</f>
        <v>155.8</v>
      </c>
      <c r="K1463" s="9">
        <f>IFERROR(__xludf.DUMMYFUNCTION("GOOGLEFINANCE(A1463, ""low52"")"),78.51)</f>
        <v>78.51</v>
      </c>
      <c r="L1463" s="9">
        <f t="shared" si="1"/>
        <v>0.4075738126</v>
      </c>
      <c r="M1463" s="9">
        <f t="shared" si="2"/>
        <v>0.1756464145</v>
      </c>
      <c r="N1463" s="9">
        <f t="shared" si="3"/>
        <v>0.1172248804</v>
      </c>
      <c r="O1463" s="9">
        <f t="shared" si="4"/>
        <v>0.8932038835</v>
      </c>
      <c r="P1463" s="9">
        <f>IFERROR(__xludf.DUMMYFUNCTION("GOOGLEFINANCE(A1463, ""pe"")"),51.85)</f>
        <v>51.85</v>
      </c>
      <c r="Q1463" s="9">
        <f>IFERROR(__xludf.DUMMYFUNCTION("IFERROR(GOOGLEFINANCE(A1463, ""volume"") / GOOGLEFINANCE(A1463, ""volumeavg""), 0)"),0.0)</f>
        <v>0</v>
      </c>
      <c r="R1463" s="9">
        <f>IFERROR(__xludf.DUMMYFUNCTION("AVERAGE(INDEX(GOOGLEFINANCE(A1463, ""price"", TODAY()-30, TODAY()), 0, 2))"),85.73478260869565)</f>
        <v>85.73478261</v>
      </c>
      <c r="S1463" s="9">
        <f>IFERROR(__xludf.DUMMYFUNCTION("AVERAGE(INDEX(GOOGLEFINANCE(A1463, ""price"", TODAY()-75, TODAY()), 0, 2))"),87.11000000000001)</f>
        <v>87.11</v>
      </c>
      <c r="T1463" s="9">
        <f>IFERROR(__xludf.DUMMYFUNCTION("AVERAGE(INDEX(GOOGLEFINANCE(A1463, ""price"", TODAY()-300, TODAY()), 0, 2))"),103.15217821782176)</f>
        <v>103.1521782</v>
      </c>
      <c r="U1463" s="9">
        <f t="shared" si="5"/>
        <v>0.07657589127</v>
      </c>
      <c r="V1463" s="15">
        <f>IFERROR(__xludf.DUMMYFUNCTION("LET(hist, GOOGLEFINANCE(A1463,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rs))))))"),76.98300283286119)</f>
        <v>76.98300283</v>
      </c>
      <c r="W1463" s="16" t="str">
        <f>IFERROR(__xludf.DUMMYFUNCTION("IFERROR(GOOGLEFINANCE(A1463, ""volume"") / GOOGLEFINANCE(A1463, ""volumeavg""), )"),"")</f>
        <v/>
      </c>
      <c r="X1463" s="9">
        <f>IFERROR(__xludf.DUMMYFUNCTION("B1463 * GOOGLEFINANCE(A1463, ""volume"")"),3.30058339E8)</f>
        <v>330058339</v>
      </c>
      <c r="Y1463" s="9">
        <f>IFERROR(__xludf.DUMMYFUNCTION("IFERROR(((B1463 - GOOGLEFINANCE(A1463, ""priceopen"")) / GOOGLEFINANCE(A1463, ""priceopen"")) * GOOGLEFINANCE(A1463, ""volume""), 0)"),324546.7076341287)</f>
        <v>324546.7076</v>
      </c>
    </row>
    <row r="1464">
      <c r="A1464" s="4" t="s">
        <v>3256</v>
      </c>
      <c r="B1464" s="7">
        <f>IFERROR(__xludf.DUMMYFUNCTION("GOOGLEFINANCE(A1464, ""price"")"),50.8)</f>
        <v>50.8</v>
      </c>
      <c r="C1464" s="7">
        <f>IFERROR(__xludf.DUMMYFUNCTION("GOOGLEFINANCE(A1464, ""changepct"")"),-0.82)</f>
        <v>-0.82</v>
      </c>
      <c r="D1464" s="9">
        <f>IFERROR(__xludf.DUMMYFUNCTION("GOOGLEFINANCE(A1464, ""priceopen"")"),51.23)</f>
        <v>51.23</v>
      </c>
      <c r="E1464" s="9">
        <f>IFERROR(__xludf.DUMMYFUNCTION("GOOGLEFINANCE(A1464, ""high"")"),51.89)</f>
        <v>51.89</v>
      </c>
      <c r="F1464" s="9">
        <f>IFERROR(__xludf.DUMMYFUNCTION("GOOGLEFINANCE(A1464, ""low"")"),50.11)</f>
        <v>50.11</v>
      </c>
      <c r="G1464" s="9">
        <f>IFERROR(__xludf.DUMMYFUNCTION("GOOGLEFINANCE(A1464, ""price"")"),50.8)</f>
        <v>50.8</v>
      </c>
      <c r="H1464" s="9">
        <f>IFERROR(__xludf.DUMMYFUNCTION("MAX(INDEX(GOOGLEFINANCE(A1464, ""high"", TODAY()-30, TODAY()), 0, 2))"),59.09)</f>
        <v>59.09</v>
      </c>
      <c r="I1464" s="9">
        <f>IFERROR(__xludf.DUMMYFUNCTION("MIN(INDEX(GOOGLEFINANCE(A1464, ""low"", TODAY()-30, TODAY()), 0, 2))"),49.0)</f>
        <v>49</v>
      </c>
      <c r="J1464" s="9">
        <f>IFERROR(__xludf.DUMMYFUNCTION("GOOGLEFINANCE(A1464, ""high52"")"),109.5)</f>
        <v>109.5</v>
      </c>
      <c r="K1464" s="9">
        <f>IFERROR(__xludf.DUMMYFUNCTION("GOOGLEFINANCE(A1464, ""low52"")"),46.0)</f>
        <v>46</v>
      </c>
      <c r="L1464" s="9">
        <f t="shared" si="1"/>
        <v>0.5360730594</v>
      </c>
      <c r="M1464" s="9">
        <f t="shared" si="2"/>
        <v>0.1043478261</v>
      </c>
      <c r="N1464" s="9">
        <f t="shared" si="3"/>
        <v>0.03552185193</v>
      </c>
      <c r="O1464" s="9">
        <f t="shared" si="4"/>
        <v>0.17839445</v>
      </c>
      <c r="P1464" s="9">
        <f>IFERROR(__xludf.DUMMYFUNCTION("GOOGLEFINANCE(A1464, ""pe"")"),18.88)</f>
        <v>18.88</v>
      </c>
      <c r="Q1464" s="9">
        <f>IFERROR(__xludf.DUMMYFUNCTION("IFERROR(GOOGLEFINANCE(A1464, ""volume"") / GOOGLEFINANCE(A1464, ""volumeavg""), 0)"),0.0)</f>
        <v>0</v>
      </c>
      <c r="R1464" s="9">
        <f>IFERROR(__xludf.DUMMYFUNCTION("AVERAGE(INDEX(GOOGLEFINANCE(A1464, ""price"", TODAY()-30, TODAY()), 0, 2))"),52.00130434782609)</f>
        <v>52.00130435</v>
      </c>
      <c r="S1464" s="9">
        <f>IFERROR(__xludf.DUMMYFUNCTION("AVERAGE(INDEX(GOOGLEFINANCE(A1464, ""price"", TODAY()-75, TODAY()), 0, 2))"),52.868490566037714)</f>
        <v>52.86849057</v>
      </c>
      <c r="T1464" s="9">
        <f>IFERROR(__xludf.DUMMYFUNCTION("AVERAGE(INDEX(GOOGLEFINANCE(A1464, ""price"", TODAY()-300, TODAY()), 0, 2))"),63.04460396039605)</f>
        <v>63.04460396</v>
      </c>
      <c r="U1464" s="9">
        <f t="shared" si="5"/>
        <v>-0.02310142722</v>
      </c>
      <c r="V1464" s="15">
        <f>IFERROR(__xludf.DUMMYFUNCTION("LET(hist, GOOGLEFINANCE(A1464,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rs))))))"),21.755725190839655)</f>
        <v>21.75572519</v>
      </c>
      <c r="W1464" s="16" t="str">
        <f>IFERROR(__xludf.DUMMYFUNCTION("IFERROR(GOOGLEFINANCE(A1464, ""volume"") / GOOGLEFINANCE(A1464, ""volumeavg""), )"),"")</f>
        <v/>
      </c>
      <c r="X1464" s="9">
        <f>IFERROR(__xludf.DUMMYFUNCTION("B1464 * GOOGLEFINANCE(A1464, ""volume"")"),4240123.6)</f>
        <v>4240123.6</v>
      </c>
      <c r="Y1464" s="9">
        <f>IFERROR(__xludf.DUMMYFUNCTION("IFERROR(((B1464 - GOOGLEFINANCE(A1464, ""priceopen"")) / GOOGLEFINANCE(A1464, ""priceopen"")) * GOOGLEFINANCE(A1464, ""volume""), 0)"),-700.5818856138977)</f>
        <v>-700.5818856</v>
      </c>
    </row>
    <row r="1465">
      <c r="A1465" s="4" t="s">
        <v>3257</v>
      </c>
      <c r="B1465" s="7">
        <f>IFERROR(__xludf.DUMMYFUNCTION("GOOGLEFINANCE(A1465, ""price"")"),287.35)</f>
        <v>287.35</v>
      </c>
      <c r="C1465" s="7">
        <f>IFERROR(__xludf.DUMMYFUNCTION("GOOGLEFINANCE(A1465, ""changepct"")"),-2.74)</f>
        <v>-2.74</v>
      </c>
      <c r="D1465" s="9">
        <f>IFERROR(__xludf.DUMMYFUNCTION("GOOGLEFINANCE(A1465, ""priceopen"")"),295.0)</f>
        <v>295</v>
      </c>
      <c r="E1465" s="9">
        <f>IFERROR(__xludf.DUMMYFUNCTION("GOOGLEFINANCE(A1465, ""high"")"),300.45)</f>
        <v>300.45</v>
      </c>
      <c r="F1465" s="9">
        <f>IFERROR(__xludf.DUMMYFUNCTION("GOOGLEFINANCE(A1465, ""low"")"),286.55)</f>
        <v>286.55</v>
      </c>
      <c r="G1465" s="9">
        <f>IFERROR(__xludf.DUMMYFUNCTION("GOOGLEFINANCE(A1465, ""price"")"),287.35)</f>
        <v>287.35</v>
      </c>
      <c r="H1465" s="9">
        <f>IFERROR(__xludf.DUMMYFUNCTION("MAX(INDEX(GOOGLEFINANCE(A1465, ""high"", TODAY()-30, TODAY()), 0, 2))"),315.0)</f>
        <v>315</v>
      </c>
      <c r="I1465" s="9">
        <f>IFERROR(__xludf.DUMMYFUNCTION("MIN(INDEX(GOOGLEFINANCE(A1465, ""low"", TODAY()-30, TODAY()), 0, 2))"),268.65)</f>
        <v>268.65</v>
      </c>
      <c r="J1465" s="9">
        <f>IFERROR(__xludf.DUMMYFUNCTION("GOOGLEFINANCE(A1465, ""high52"")"),325.0)</f>
        <v>325</v>
      </c>
      <c r="K1465" s="9">
        <f>IFERROR(__xludf.DUMMYFUNCTION("GOOGLEFINANCE(A1465, ""low52"")"),244.5)</f>
        <v>244.5</v>
      </c>
      <c r="L1465" s="9">
        <f t="shared" si="1"/>
        <v>0.1158461538</v>
      </c>
      <c r="M1465" s="9">
        <f t="shared" si="2"/>
        <v>0.1752556237</v>
      </c>
      <c r="N1465" s="9">
        <f t="shared" si="3"/>
        <v>0.04850811377</v>
      </c>
      <c r="O1465" s="9">
        <f t="shared" si="4"/>
        <v>0.4034519957</v>
      </c>
      <c r="P1465" s="9">
        <f>IFERROR(__xludf.DUMMYFUNCTION("GOOGLEFINANCE(A1465, ""pe"")"),171.5)</f>
        <v>171.5</v>
      </c>
      <c r="Q1465" s="9">
        <f>IFERROR(__xludf.DUMMYFUNCTION("IFERROR(GOOGLEFINANCE(A1465, ""volume"") / GOOGLEFINANCE(A1465, ""volumeavg""), 0)"),0.0)</f>
        <v>0</v>
      </c>
      <c r="R1465" s="9">
        <f>IFERROR(__xludf.DUMMYFUNCTION("AVERAGE(INDEX(GOOGLEFINANCE(A1465, ""price"", TODAY()-30, TODAY()), 0, 2))"),280.9217391304348)</f>
        <v>280.9217391</v>
      </c>
      <c r="S1465" s="9">
        <f>IFERROR(__xludf.DUMMYFUNCTION("AVERAGE(INDEX(GOOGLEFINANCE(A1465, ""price"", TODAY()-75, TODAY()), 0, 2))"),284.988679245283)</f>
        <v>284.9886792</v>
      </c>
      <c r="T1465" s="9">
        <f>IFERROR(__xludf.DUMMYFUNCTION("AVERAGE(INDEX(GOOGLEFINANCE(A1465, ""price"", TODAY()-300, TODAY()), 0, 2))"),284.39851485148506)</f>
        <v>284.3985149</v>
      </c>
      <c r="U1465" s="9">
        <f t="shared" si="5"/>
        <v>0.02288274624</v>
      </c>
      <c r="V1465" s="15">
        <f>IFERROR(__xludf.DUMMYFUNCTION("LET(hist, GOOGLEFINANCE(A1465,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rs))))))"),59.705159705159716)</f>
        <v>59.70515971</v>
      </c>
      <c r="W1465" s="16" t="str">
        <f>IFERROR(__xludf.DUMMYFUNCTION("IFERROR(GOOGLEFINANCE(A1465, ""volume"") / GOOGLEFINANCE(A1465, ""volumeavg""), )"),"")</f>
        <v/>
      </c>
      <c r="X1465" s="9">
        <f>IFERROR(__xludf.DUMMYFUNCTION("B1465 * GOOGLEFINANCE(A1465, ""volume"")"),3.1501893150000002E7)</f>
        <v>31501893.15</v>
      </c>
      <c r="Y1465" s="9">
        <f>IFERROR(__xludf.DUMMYFUNCTION("IFERROR(((B1465 - GOOGLEFINANCE(A1465, ""priceopen"")) / GOOGLEFINANCE(A1465, ""priceopen"")) * GOOGLEFINANCE(A1465, ""volume""), 0)"),-2842.9215254237206)</f>
        <v>-2842.921525</v>
      </c>
    </row>
    <row r="1466">
      <c r="A1466" s="4" t="s">
        <v>3258</v>
      </c>
      <c r="B1466" s="7">
        <f>IFERROR(__xludf.DUMMYFUNCTION("GOOGLEFINANCE(A1466, ""price"")"),600.0)</f>
        <v>600</v>
      </c>
      <c r="C1466" s="7">
        <f>IFERROR(__xludf.DUMMYFUNCTION("GOOGLEFINANCE(A1466, ""changepct"")"),-1.41)</f>
        <v>-1.41</v>
      </c>
      <c r="D1466" s="9">
        <f>IFERROR(__xludf.DUMMYFUNCTION("GOOGLEFINANCE(A1466, ""priceopen"")"),605.0)</f>
        <v>605</v>
      </c>
      <c r="E1466" s="9">
        <f>IFERROR(__xludf.DUMMYFUNCTION("GOOGLEFINANCE(A1466, ""high"")"),606.9)</f>
        <v>606.9</v>
      </c>
      <c r="F1466" s="9">
        <f>IFERROR(__xludf.DUMMYFUNCTION("GOOGLEFINANCE(A1466, ""low"")"),600.0)</f>
        <v>600</v>
      </c>
      <c r="G1466" s="9">
        <f>IFERROR(__xludf.DUMMYFUNCTION("GOOGLEFINANCE(A1466, ""price"")"),600.0)</f>
        <v>600</v>
      </c>
      <c r="H1466" s="9">
        <f>IFERROR(__xludf.DUMMYFUNCTION("MAX(INDEX(GOOGLEFINANCE(A1466, ""high"", TODAY()-30, TODAY()), 0, 2))"),626.3)</f>
        <v>626.3</v>
      </c>
      <c r="I1466" s="9">
        <f>IFERROR(__xludf.DUMMYFUNCTION("MIN(INDEX(GOOGLEFINANCE(A1466, ""low"", TODAY()-30, TODAY()), 0, 2))"),571.3)</f>
        <v>571.3</v>
      </c>
      <c r="J1466" s="9">
        <f>IFERROR(__xludf.DUMMYFUNCTION("GOOGLEFINANCE(A1466, ""high52"")"),633.25)</f>
        <v>633.25</v>
      </c>
      <c r="K1466" s="9">
        <f>IFERROR(__xludf.DUMMYFUNCTION("GOOGLEFINANCE(A1466, ""low52"")"),420.0)</f>
        <v>420</v>
      </c>
      <c r="L1466" s="9">
        <f t="shared" si="1"/>
        <v>0.0525069088</v>
      </c>
      <c r="M1466" s="9">
        <f t="shared" si="2"/>
        <v>0.4285714286</v>
      </c>
      <c r="N1466" s="9">
        <f t="shared" si="3"/>
        <v>0.0115</v>
      </c>
      <c r="O1466" s="9">
        <f t="shared" si="4"/>
        <v>0.5218181818</v>
      </c>
      <c r="P1466" s="9">
        <f>IFERROR(__xludf.DUMMYFUNCTION("GOOGLEFINANCE(A1466, ""pe"")"),200.28)</f>
        <v>200.28</v>
      </c>
      <c r="Q1466" s="9">
        <f>IFERROR(__xludf.DUMMYFUNCTION("IFERROR(GOOGLEFINANCE(A1466, ""volume"") / GOOGLEFINANCE(A1466, ""volumeavg""), 0)"),0.0)</f>
        <v>0</v>
      </c>
      <c r="R1466" s="9">
        <f>IFERROR(__xludf.DUMMYFUNCTION("AVERAGE(INDEX(GOOGLEFINANCE(A1466, ""price"", TODAY()-30, TODAY()), 0, 2))"),598.5586956521739)</f>
        <v>598.5586957</v>
      </c>
      <c r="S1466" s="9">
        <f>IFERROR(__xludf.DUMMYFUNCTION("AVERAGE(INDEX(GOOGLEFINANCE(A1466, ""price"", TODAY()-75, TODAY()), 0, 2))"),583.656603773585)</f>
        <v>583.6566038</v>
      </c>
      <c r="T1466" s="9">
        <f>IFERROR(__xludf.DUMMYFUNCTION("AVERAGE(INDEX(GOOGLEFINANCE(A1466, ""price"", TODAY()-300, TODAY()), 0, 2))"),540.4259900990096)</f>
        <v>540.4259901</v>
      </c>
      <c r="U1466" s="9">
        <f t="shared" si="5"/>
        <v>0.002407958248</v>
      </c>
      <c r="V1466" s="15">
        <f>IFERROR(__xludf.DUMMYFUNCTION("LET(hist, GOOGLEFINANCE(A1466,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rs))))))"),51.42687277051128)</f>
        <v>51.42687277</v>
      </c>
      <c r="W1466" s="16" t="str">
        <f>IFERROR(__xludf.DUMMYFUNCTION("IFERROR(GOOGLEFINANCE(A1466, ""volume"") / GOOGLEFINANCE(A1466, ""volumeavg""), )"),"")</f>
        <v/>
      </c>
      <c r="X1466" s="9">
        <f>IFERROR(__xludf.DUMMYFUNCTION("B1466 * GOOGLEFINANCE(A1466, ""volume"")"),3205800.0)</f>
        <v>3205800</v>
      </c>
      <c r="Y1466" s="9">
        <f>IFERROR(__xludf.DUMMYFUNCTION("IFERROR(((B1466 - GOOGLEFINANCE(A1466, ""priceopen"")) / GOOGLEFINANCE(A1466, ""priceopen"")) * GOOGLEFINANCE(A1466, ""volume""), 0)"),-44.15702479338843)</f>
        <v>-44.15702479</v>
      </c>
    </row>
    <row r="1467">
      <c r="A1467" s="4" t="s">
        <v>3259</v>
      </c>
      <c r="B1467" s="7">
        <f>IFERROR(__xludf.DUMMYFUNCTION("GOOGLEFINANCE(A1467, ""price"")"),209.2)</f>
        <v>209.2</v>
      </c>
      <c r="C1467" s="7">
        <f>IFERROR(__xludf.DUMMYFUNCTION("GOOGLEFINANCE(A1467, ""changepct"")"),0.2)</f>
        <v>0.2</v>
      </c>
      <c r="D1467" s="9">
        <f>IFERROR(__xludf.DUMMYFUNCTION("GOOGLEFINANCE(A1467, ""priceopen"")"),208.76)</f>
        <v>208.76</v>
      </c>
      <c r="E1467" s="9">
        <f>IFERROR(__xludf.DUMMYFUNCTION("GOOGLEFINANCE(A1467, ""high"")"),211.19)</f>
        <v>211.19</v>
      </c>
      <c r="F1467" s="9">
        <f>IFERROR(__xludf.DUMMYFUNCTION("GOOGLEFINANCE(A1467, ""low"")"),205.51)</f>
        <v>205.51</v>
      </c>
      <c r="G1467" s="9">
        <f>IFERROR(__xludf.DUMMYFUNCTION("GOOGLEFINANCE(A1467, ""price"")"),209.2)</f>
        <v>209.2</v>
      </c>
      <c r="H1467" s="9">
        <f>IFERROR(__xludf.DUMMYFUNCTION("MAX(INDEX(GOOGLEFINANCE(A1467, ""high"", TODAY()-30, TODAY()), 0, 2))"),218.0)</f>
        <v>218</v>
      </c>
      <c r="I1467" s="9">
        <f>IFERROR(__xludf.DUMMYFUNCTION("MIN(INDEX(GOOGLEFINANCE(A1467, ""low"", TODAY()-30, TODAY()), 0, 2))"),190.0)</f>
        <v>190</v>
      </c>
      <c r="J1467" s="9">
        <f>IFERROR(__xludf.DUMMYFUNCTION("GOOGLEFINANCE(A1467, ""high52"")"),349.35)</f>
        <v>349.35</v>
      </c>
      <c r="K1467" s="9">
        <f>IFERROR(__xludf.DUMMYFUNCTION("GOOGLEFINANCE(A1467, ""low52"")"),171.3)</f>
        <v>171.3</v>
      </c>
      <c r="L1467" s="9">
        <f t="shared" si="1"/>
        <v>0.4011736081</v>
      </c>
      <c r="M1467" s="9">
        <f t="shared" si="2"/>
        <v>0.2212492703</v>
      </c>
      <c r="N1467" s="9">
        <f t="shared" si="3"/>
        <v>0.02763855773</v>
      </c>
      <c r="O1467" s="9">
        <f t="shared" si="4"/>
        <v>0.6857142857</v>
      </c>
      <c r="P1467" s="9">
        <f>IFERROR(__xludf.DUMMYFUNCTION("GOOGLEFINANCE(A1467, ""pe"")"),10.72)</f>
        <v>10.72</v>
      </c>
      <c r="Q1467" s="9">
        <f>IFERROR(__xludf.DUMMYFUNCTION("IFERROR(GOOGLEFINANCE(A1467, ""volume"") / GOOGLEFINANCE(A1467, ""volumeavg""), 0)"),0.0)</f>
        <v>0</v>
      </c>
      <c r="R1467" s="9">
        <f>IFERROR(__xludf.DUMMYFUNCTION("AVERAGE(INDEX(GOOGLEFINANCE(A1467, ""price"", TODAY()-30, TODAY()), 0, 2))"),199.97086956521738)</f>
        <v>199.9708696</v>
      </c>
      <c r="S1467" s="9">
        <f>IFERROR(__xludf.DUMMYFUNCTION("AVERAGE(INDEX(GOOGLEFINANCE(A1467, ""price"", TODAY()-75, TODAY()), 0, 2))"),198.17792452830193)</f>
        <v>198.1779245</v>
      </c>
      <c r="T1467" s="9">
        <f>IFERROR(__xludf.DUMMYFUNCTION("AVERAGE(INDEX(GOOGLEFINANCE(A1467, ""price"", TODAY()-300, TODAY()), 0, 2))"),228.94306930693068)</f>
        <v>228.9430693</v>
      </c>
      <c r="U1467" s="9">
        <f t="shared" si="5"/>
        <v>0.04615237437</v>
      </c>
      <c r="V1467" s="15">
        <f>IFERROR(__xludf.DUMMYFUNCTION("LET(hist, GOOGLEFINANCE(A1467,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rs))))))"),73.21821036106752)</f>
        <v>73.21821036</v>
      </c>
      <c r="W1467" s="16" t="str">
        <f>IFERROR(__xludf.DUMMYFUNCTION("IFERROR(GOOGLEFINANCE(A1467, ""volume"") / GOOGLEFINANCE(A1467, ""volumeavg""), )"),"")</f>
        <v/>
      </c>
      <c r="X1467" s="9">
        <f>IFERROR(__xludf.DUMMYFUNCTION("B1467 * GOOGLEFINANCE(A1467, ""volume"")"),2.3148816799999997E7)</f>
        <v>23148816.8</v>
      </c>
      <c r="Y1467" s="9">
        <f>IFERROR(__xludf.DUMMYFUNCTION("IFERROR(((B1467 - GOOGLEFINANCE(A1467, ""priceopen"")) / GOOGLEFINANCE(A1467, ""priceopen"")) * GOOGLEFINANCE(A1467, ""volume""), 0)"),233.22360605479855)</f>
        <v>233.2236061</v>
      </c>
    </row>
    <row r="1468">
      <c r="A1468" s="4" t="s">
        <v>3260</v>
      </c>
      <c r="B1468" s="7">
        <f>IFERROR(__xludf.DUMMYFUNCTION("GOOGLEFINANCE(A1468, ""price"")"),19.25)</f>
        <v>19.25</v>
      </c>
      <c r="C1468" s="7">
        <f>IFERROR(__xludf.DUMMYFUNCTION("GOOGLEFINANCE(A1468, ""changepct"")"),-1.28)</f>
        <v>-1.28</v>
      </c>
      <c r="D1468" s="9">
        <f>IFERROR(__xludf.DUMMYFUNCTION("GOOGLEFINANCE(A1468, ""priceopen"")"),19.11)</f>
        <v>19.11</v>
      </c>
      <c r="E1468" s="9">
        <f>IFERROR(__xludf.DUMMYFUNCTION("GOOGLEFINANCE(A1468, ""high"")"),19.45)</f>
        <v>19.45</v>
      </c>
      <c r="F1468" s="9">
        <f>IFERROR(__xludf.DUMMYFUNCTION("GOOGLEFINANCE(A1468, ""low"")"),19.01)</f>
        <v>19.01</v>
      </c>
      <c r="G1468" s="9">
        <f>IFERROR(__xludf.DUMMYFUNCTION("GOOGLEFINANCE(A1468, ""price"")"),19.25)</f>
        <v>19.25</v>
      </c>
      <c r="H1468" s="9">
        <f>IFERROR(__xludf.DUMMYFUNCTION("MAX(INDEX(GOOGLEFINANCE(A1468, ""high"", TODAY()-30, TODAY()), 0, 2))"),22.99)</f>
        <v>22.99</v>
      </c>
      <c r="I1468" s="9">
        <f>IFERROR(__xludf.DUMMYFUNCTION("MIN(INDEX(GOOGLEFINANCE(A1468, ""low"", TODAY()-30, TODAY()), 0, 2))"),18.41)</f>
        <v>18.41</v>
      </c>
      <c r="J1468" s="9">
        <f>IFERROR(__xludf.DUMMYFUNCTION("GOOGLEFINANCE(A1468, ""high52"")"),26.0)</f>
        <v>26</v>
      </c>
      <c r="K1468" s="9">
        <f>IFERROR(__xludf.DUMMYFUNCTION("GOOGLEFINANCE(A1468, ""low52"")"),8.2)</f>
        <v>8.2</v>
      </c>
      <c r="L1468" s="9">
        <f t="shared" si="1"/>
        <v>0.2596153846</v>
      </c>
      <c r="M1468" s="9">
        <f t="shared" si="2"/>
        <v>1.347560976</v>
      </c>
      <c r="N1468" s="9">
        <f t="shared" si="3"/>
        <v>0.02314571278</v>
      </c>
      <c r="O1468" s="9">
        <f t="shared" si="4"/>
        <v>0.1834061135</v>
      </c>
      <c r="P1468" s="9">
        <f>IFERROR(__xludf.DUMMYFUNCTION("GOOGLEFINANCE(A1468, ""pe"")"),0.18)</f>
        <v>0.18</v>
      </c>
      <c r="Q1468" s="9">
        <f>IFERROR(__xludf.DUMMYFUNCTION("IFERROR(GOOGLEFINANCE(A1468, ""volume"") / GOOGLEFINANCE(A1468, ""volumeavg""), 0)"),0.0)</f>
        <v>0</v>
      </c>
      <c r="R1468" s="9">
        <f>IFERROR(__xludf.DUMMYFUNCTION("AVERAGE(INDEX(GOOGLEFINANCE(A1468, ""price"", TODAY()-30, TODAY()), 0, 2))"),20.45521739130435)</f>
        <v>20.45521739</v>
      </c>
      <c r="S1468" s="9">
        <f>IFERROR(__xludf.DUMMYFUNCTION("AVERAGE(INDEX(GOOGLEFINANCE(A1468, ""price"", TODAY()-75, TODAY()), 0, 2))"),21.196037735849053)</f>
        <v>21.19603774</v>
      </c>
      <c r="T1468" s="9">
        <f>IFERROR(__xludf.DUMMYFUNCTION("AVERAGE(INDEX(GOOGLEFINANCE(A1468, ""price"", TODAY()-300, TODAY()), 0, 2))"),18.513703703703705)</f>
        <v>18.5137037</v>
      </c>
      <c r="U1468" s="9">
        <f t="shared" si="5"/>
        <v>-0.0589198036</v>
      </c>
      <c r="V1468" s="15">
        <f>IFERROR(__xludf.DUMMYFUNCTION("LET(hist, GOOGLEFINANCE(A1468,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rs))))))"),37.07865168539326)</f>
        <v>37.07865169</v>
      </c>
      <c r="W1468" s="16" t="str">
        <f>IFERROR(__xludf.DUMMYFUNCTION("IFERROR(GOOGLEFINANCE(A1468, ""volume"") / GOOGLEFINANCE(A1468, ""volumeavg""), )"),"")</f>
        <v/>
      </c>
      <c r="X1468" s="9">
        <f>IFERROR(__xludf.DUMMYFUNCTION("B1468 * GOOGLEFINANCE(A1468, ""volume"")"),3812905.25)</f>
        <v>3812905.25</v>
      </c>
      <c r="Y1468" s="9">
        <f>IFERROR(__xludf.DUMMYFUNCTION("IFERROR(((B1468 - GOOGLEFINANCE(A1468, ""priceopen"")) / GOOGLEFINANCE(A1468, ""priceopen"")) * GOOGLEFINANCE(A1468, ""volume""), 0)"),1451.0842490842551)</f>
        <v>1451.084249</v>
      </c>
    </row>
    <row r="1469">
      <c r="A1469" s="4" t="s">
        <v>3261</v>
      </c>
      <c r="B1469" s="7">
        <f>IFERROR(__xludf.DUMMYFUNCTION("GOOGLEFINANCE(A1469, ""price"")"),206.3)</f>
        <v>206.3</v>
      </c>
      <c r="C1469" s="7">
        <f>IFERROR(__xludf.DUMMYFUNCTION("GOOGLEFINANCE(A1469, ""changepct"")"),-0.33)</f>
        <v>-0.33</v>
      </c>
      <c r="D1469" s="9">
        <f>IFERROR(__xludf.DUMMYFUNCTION("GOOGLEFINANCE(A1469, ""priceopen"")"),207.0)</f>
        <v>207</v>
      </c>
      <c r="E1469" s="9">
        <f>IFERROR(__xludf.DUMMYFUNCTION("GOOGLEFINANCE(A1469, ""high"")"),207.0)</f>
        <v>207</v>
      </c>
      <c r="F1469" s="9">
        <f>IFERROR(__xludf.DUMMYFUNCTION("GOOGLEFINANCE(A1469, ""low"")"),203.01)</f>
        <v>203.01</v>
      </c>
      <c r="G1469" s="9">
        <f>IFERROR(__xludf.DUMMYFUNCTION("GOOGLEFINANCE(A1469, ""price"")"),206.3)</f>
        <v>206.3</v>
      </c>
      <c r="H1469" s="9">
        <f>IFERROR(__xludf.DUMMYFUNCTION("MAX(INDEX(GOOGLEFINANCE(A1469, ""high"", TODAY()-30, TODAY()), 0, 2))"),236.9)</f>
        <v>236.9</v>
      </c>
      <c r="I1469" s="9">
        <f>IFERROR(__xludf.DUMMYFUNCTION("MIN(INDEX(GOOGLEFINANCE(A1469, ""low"", TODAY()-30, TODAY()), 0, 2))"),199.0)</f>
        <v>199</v>
      </c>
      <c r="J1469" s="9">
        <f>IFERROR(__xludf.DUMMYFUNCTION("GOOGLEFINANCE(A1469, ""high52"")"),244.6)</f>
        <v>244.6</v>
      </c>
      <c r="K1469" s="9">
        <f>IFERROR(__xludf.DUMMYFUNCTION("GOOGLEFINANCE(A1469, ""low52"")"),127.51)</f>
        <v>127.51</v>
      </c>
      <c r="L1469" s="9">
        <f t="shared" si="1"/>
        <v>0.156582175</v>
      </c>
      <c r="M1469" s="9">
        <f t="shared" si="2"/>
        <v>0.6179123206</v>
      </c>
      <c r="N1469" s="9">
        <f t="shared" si="3"/>
        <v>0.01965420423</v>
      </c>
      <c r="O1469" s="9">
        <f t="shared" si="4"/>
        <v>0.1926121372</v>
      </c>
      <c r="P1469" s="9">
        <f>IFERROR(__xludf.DUMMYFUNCTION("GOOGLEFINANCE(A1469, ""pe"")"),13.05)</f>
        <v>13.05</v>
      </c>
      <c r="Q1469" s="9">
        <f>IFERROR(__xludf.DUMMYFUNCTION("IFERROR(GOOGLEFINANCE(A1469, ""volume"") / GOOGLEFINANCE(A1469, ""volumeavg""), 0)"),0.0)</f>
        <v>0</v>
      </c>
      <c r="R1469" s="9">
        <f>IFERROR(__xludf.DUMMYFUNCTION("AVERAGE(INDEX(GOOGLEFINANCE(A1469, ""price"", TODAY()-30, TODAY()), 0, 2))"),210.98391304347825)</f>
        <v>210.983913</v>
      </c>
      <c r="S1469" s="9">
        <f>IFERROR(__xludf.DUMMYFUNCTION("AVERAGE(INDEX(GOOGLEFINANCE(A1469, ""price"", TODAY()-75, TODAY()), 0, 2))"),208.9577358490566)</f>
        <v>208.9577358</v>
      </c>
      <c r="T1469" s="9">
        <f>IFERROR(__xludf.DUMMYFUNCTION("AVERAGE(INDEX(GOOGLEFINANCE(A1469, ""price"", TODAY()-300, TODAY()), 0, 2))"),180.9073267326732)</f>
        <v>180.9073267</v>
      </c>
      <c r="U1469" s="9">
        <f t="shared" si="5"/>
        <v>-0.0222003326</v>
      </c>
      <c r="V1469" s="15">
        <f>IFERROR(__xludf.DUMMYFUNCTION("LET(hist, GOOGLEFINANCE(A1469,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rs))))))"),31.586608442503618)</f>
        <v>31.58660844</v>
      </c>
      <c r="W1469" s="16" t="str">
        <f>IFERROR(__xludf.DUMMYFUNCTION("IFERROR(GOOGLEFINANCE(A1469, ""volume"") / GOOGLEFINANCE(A1469, ""volumeavg""), )"),"")</f>
        <v/>
      </c>
      <c r="X1469" s="9">
        <f>IFERROR(__xludf.DUMMYFUNCTION("B1469 * GOOGLEFINANCE(A1469, ""volume"")"),2537696.3000000003)</f>
        <v>2537696.3</v>
      </c>
      <c r="Y1469" s="9">
        <f>IFERROR(__xludf.DUMMYFUNCTION("IFERROR(((B1469 - GOOGLEFINANCE(A1469, ""priceopen"")) / GOOGLEFINANCE(A1469, ""priceopen"")) * GOOGLEFINANCE(A1469, ""volume""), 0)"),-41.597584541062126)</f>
        <v>-41.59758454</v>
      </c>
    </row>
    <row r="1470">
      <c r="A1470" s="4" t="s">
        <v>3262</v>
      </c>
      <c r="B1470" s="7">
        <f>IFERROR(__xludf.DUMMYFUNCTION("GOOGLEFINANCE(A1470, ""price"")"),133.0)</f>
        <v>133</v>
      </c>
      <c r="C1470" s="7">
        <f>IFERROR(__xludf.DUMMYFUNCTION("GOOGLEFINANCE(A1470, ""changepct"")"),1.26)</f>
        <v>1.26</v>
      </c>
      <c r="D1470" s="9">
        <f>IFERROR(__xludf.DUMMYFUNCTION("GOOGLEFINANCE(A1470, ""priceopen"")"),136.0)</f>
        <v>136</v>
      </c>
      <c r="E1470" s="9">
        <f>IFERROR(__xludf.DUMMYFUNCTION("GOOGLEFINANCE(A1470, ""high"")"),136.0)</f>
        <v>136</v>
      </c>
      <c r="F1470" s="9">
        <f>IFERROR(__xludf.DUMMYFUNCTION("GOOGLEFINANCE(A1470, ""low"")"),130.0)</f>
        <v>130</v>
      </c>
      <c r="G1470" s="9">
        <f>IFERROR(__xludf.DUMMYFUNCTION("GOOGLEFINANCE(A1470, ""price"")"),133.0)</f>
        <v>133</v>
      </c>
      <c r="H1470" s="9">
        <f>IFERROR(__xludf.DUMMYFUNCTION("MAX(INDEX(GOOGLEFINANCE(A1470, ""high"", TODAY()-30, TODAY()), 0, 2))"),136.0)</f>
        <v>136</v>
      </c>
      <c r="I1470" s="9">
        <f>IFERROR(__xludf.DUMMYFUNCTION("MIN(INDEX(GOOGLEFINANCE(A1470, ""low"", TODAY()-30, TODAY()), 0, 2))"),119.0)</f>
        <v>119</v>
      </c>
      <c r="J1470" s="9">
        <f>IFERROR(__xludf.DUMMYFUNCTION("GOOGLEFINANCE(A1470, ""high52"")"),167.9)</f>
        <v>167.9</v>
      </c>
      <c r="K1470" s="9">
        <f>IFERROR(__xludf.DUMMYFUNCTION("GOOGLEFINANCE(A1470, ""low52"")"),81.9)</f>
        <v>81.9</v>
      </c>
      <c r="L1470" s="9">
        <f t="shared" si="1"/>
        <v>0.2078618225</v>
      </c>
      <c r="M1470" s="9">
        <f t="shared" si="2"/>
        <v>0.6239316239</v>
      </c>
      <c r="N1470" s="9">
        <f t="shared" si="3"/>
        <v>0.04615384615</v>
      </c>
      <c r="O1470" s="9">
        <f t="shared" si="4"/>
        <v>0.8235294118</v>
      </c>
      <c r="P1470" s="9">
        <f>IFERROR(__xludf.DUMMYFUNCTION("GOOGLEFINANCE(A1470, ""pe"")"),12.33)</f>
        <v>12.33</v>
      </c>
      <c r="Q1470" s="9">
        <f>IFERROR(__xludf.DUMMYFUNCTION("IFERROR(GOOGLEFINANCE(A1470, ""volume"") / GOOGLEFINANCE(A1470, ""volumeavg""), 0)"),0.0)</f>
        <v>0</v>
      </c>
      <c r="R1470" s="9">
        <f>IFERROR(__xludf.DUMMYFUNCTION("AVERAGE(INDEX(GOOGLEFINANCE(A1470, ""price"", TODAY()-30, TODAY()), 0, 2))"),127.90565217391305)</f>
        <v>127.9056522</v>
      </c>
      <c r="S1470" s="9">
        <f>IFERROR(__xludf.DUMMYFUNCTION("AVERAGE(INDEX(GOOGLEFINANCE(A1470, ""price"", TODAY()-75, TODAY()), 0, 2))"),130.48018867924526)</f>
        <v>130.4801887</v>
      </c>
      <c r="T1470" s="9">
        <f>IFERROR(__xludf.DUMMYFUNCTION("AVERAGE(INDEX(GOOGLEFINANCE(A1470, ""price"", TODAY()-300, TODAY()), 0, 2))"),121.13845771144283)</f>
        <v>121.1384577</v>
      </c>
      <c r="U1470" s="9">
        <f t="shared" si="5"/>
        <v>0.03982895001</v>
      </c>
      <c r="V1470" s="15">
        <f>IFERROR(__xludf.DUMMYFUNCTION("LET(hist, GOOGLEFINANCE(A1470,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rs))))))"),59.43084050297813)</f>
        <v>59.4308405</v>
      </c>
      <c r="W1470" s="16" t="str">
        <f>IFERROR(__xludf.DUMMYFUNCTION("IFERROR(GOOGLEFINANCE(A1470, ""volume"") / GOOGLEFINANCE(A1470, ""volumeavg""), )"),"")</f>
        <v/>
      </c>
      <c r="X1470" s="9">
        <f>IFERROR(__xludf.DUMMYFUNCTION("B1470 * GOOGLEFINANCE(A1470, ""volume"")"),9134307.0)</f>
        <v>9134307</v>
      </c>
      <c r="Y1470" s="9">
        <f>IFERROR(__xludf.DUMMYFUNCTION("IFERROR(((B1470 - GOOGLEFINANCE(A1470, ""priceopen"")) / GOOGLEFINANCE(A1470, ""priceopen"")) * GOOGLEFINANCE(A1470, ""volume""), 0)"),-1514.9779411764707)</f>
        <v>-1514.977941</v>
      </c>
    </row>
    <row r="1471">
      <c r="A1471" s="4" t="s">
        <v>3263</v>
      </c>
      <c r="B1471" s="7">
        <f>IFERROR(__xludf.DUMMYFUNCTION("GOOGLEFINANCE(A1471, ""price"")"),36.15)</f>
        <v>36.15</v>
      </c>
      <c r="C1471" s="7">
        <f>IFERROR(__xludf.DUMMYFUNCTION("GOOGLEFINANCE(A1471, ""changepct"")"),-0.8)</f>
        <v>-0.8</v>
      </c>
      <c r="D1471" s="9">
        <f>IFERROR(__xludf.DUMMYFUNCTION("GOOGLEFINANCE(A1471, ""priceopen"")"),36.95)</f>
        <v>36.95</v>
      </c>
      <c r="E1471" s="9">
        <f>IFERROR(__xludf.DUMMYFUNCTION("GOOGLEFINANCE(A1471, ""high"")"),36.95)</f>
        <v>36.95</v>
      </c>
      <c r="F1471" s="9">
        <f>IFERROR(__xludf.DUMMYFUNCTION("GOOGLEFINANCE(A1471, ""low"")"),36.0)</f>
        <v>36</v>
      </c>
      <c r="G1471" s="9">
        <f>IFERROR(__xludf.DUMMYFUNCTION("GOOGLEFINANCE(A1471, ""price"")"),36.15)</f>
        <v>36.15</v>
      </c>
      <c r="H1471" s="9">
        <f>IFERROR(__xludf.DUMMYFUNCTION("MAX(INDEX(GOOGLEFINANCE(A1471, ""high"", TODAY()-30, TODAY()), 0, 2))"),39.5)</f>
        <v>39.5</v>
      </c>
      <c r="I1471" s="9">
        <f>IFERROR(__xludf.DUMMYFUNCTION("MIN(INDEX(GOOGLEFINANCE(A1471, ""low"", TODAY()-30, TODAY()), 0, 2))"),35.29)</f>
        <v>35.29</v>
      </c>
      <c r="J1471" s="9">
        <f>IFERROR(__xludf.DUMMYFUNCTION("GOOGLEFINANCE(A1471, ""high52"")"),82.97)</f>
        <v>82.97</v>
      </c>
      <c r="K1471" s="9">
        <f>IFERROR(__xludf.DUMMYFUNCTION("GOOGLEFINANCE(A1471, ""low52"")"),29.97)</f>
        <v>29.97</v>
      </c>
      <c r="L1471" s="9">
        <f t="shared" si="1"/>
        <v>0.5643003495</v>
      </c>
      <c r="M1471" s="9">
        <f t="shared" si="2"/>
        <v>0.2062062062</v>
      </c>
      <c r="N1471" s="9">
        <f t="shared" si="3"/>
        <v>0.02638888889</v>
      </c>
      <c r="O1471" s="9">
        <f t="shared" si="4"/>
        <v>0.2042755344</v>
      </c>
      <c r="P1471" s="9" t="str">
        <f>IFERROR(__xludf.DUMMYFUNCTION("GOOGLEFINANCE(A1471, ""pe"")"),"#N/A")</f>
        <v>#N/A</v>
      </c>
      <c r="Q1471" s="9">
        <f>IFERROR(__xludf.DUMMYFUNCTION("IFERROR(GOOGLEFINANCE(A1471, ""volume"") / GOOGLEFINANCE(A1471, ""volumeavg""), 0)"),0.0)</f>
        <v>0</v>
      </c>
      <c r="R1471" s="9">
        <f>IFERROR(__xludf.DUMMYFUNCTION("AVERAGE(INDEX(GOOGLEFINANCE(A1471, ""price"", TODAY()-30, TODAY()), 0, 2))"),37.20086956521738)</f>
        <v>37.20086957</v>
      </c>
      <c r="S1471" s="9">
        <f>IFERROR(__xludf.DUMMYFUNCTION("AVERAGE(INDEX(GOOGLEFINANCE(A1471, ""price"", TODAY()-75, TODAY()), 0, 2))"),39.522264150943386)</f>
        <v>39.52226415</v>
      </c>
      <c r="T1471" s="9">
        <f>IFERROR(__xludf.DUMMYFUNCTION("AVERAGE(INDEX(GOOGLEFINANCE(A1471, ""price"", TODAY()-300, TODAY()), 0, 2))"),41.85688118811881)</f>
        <v>41.85688119</v>
      </c>
      <c r="U1471" s="9">
        <f t="shared" si="5"/>
        <v>-0.02824852154</v>
      </c>
      <c r="V1471" s="15">
        <f>IFERROR(__xludf.DUMMYFUNCTION("LET(hist, GOOGLEFINANCE(A1471,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rs))))))"),48.02431610942245)</f>
        <v>48.02431611</v>
      </c>
      <c r="W1471" s="16" t="str">
        <f>IFERROR(__xludf.DUMMYFUNCTION("IFERROR(GOOGLEFINANCE(A1471, ""volume"") / GOOGLEFINANCE(A1471, ""volumeavg""), )"),"")</f>
        <v/>
      </c>
      <c r="X1471" s="9">
        <f>IFERROR(__xludf.DUMMYFUNCTION("B1471 * GOOGLEFINANCE(A1471, ""volume"")"),7069819.35)</f>
        <v>7069819.35</v>
      </c>
      <c r="Y1471" s="9">
        <f>IFERROR(__xludf.DUMMYFUNCTION("IFERROR(((B1471 - GOOGLEFINANCE(A1471, ""priceopen"")) / GOOGLEFINANCE(A1471, ""priceopen"")) * GOOGLEFINANCE(A1471, ""volume""), 0)"),-4234.240866035205)</f>
        <v>-4234.240866</v>
      </c>
    </row>
    <row r="1472">
      <c r="A1472" s="4" t="s">
        <v>3264</v>
      </c>
      <c r="B1472" s="7">
        <f>IFERROR(__xludf.DUMMYFUNCTION("GOOGLEFINANCE(A1472, ""price"")"),405.0)</f>
        <v>405</v>
      </c>
      <c r="C1472" s="7">
        <f>IFERROR(__xludf.DUMMYFUNCTION("GOOGLEFINANCE(A1472, ""changepct"")"),0.71)</f>
        <v>0.71</v>
      </c>
      <c r="D1472" s="9">
        <f>IFERROR(__xludf.DUMMYFUNCTION("GOOGLEFINANCE(A1472, ""priceopen"")"),449.9)</f>
        <v>449.9</v>
      </c>
      <c r="E1472" s="9">
        <f>IFERROR(__xludf.DUMMYFUNCTION("GOOGLEFINANCE(A1472, ""high"")"),449.9)</f>
        <v>449.9</v>
      </c>
      <c r="F1472" s="9">
        <f>IFERROR(__xludf.DUMMYFUNCTION("GOOGLEFINANCE(A1472, ""low"")"),404.0)</f>
        <v>404</v>
      </c>
      <c r="G1472" s="9">
        <f>IFERROR(__xludf.DUMMYFUNCTION("GOOGLEFINANCE(A1472, ""price"")"),405.0)</f>
        <v>405</v>
      </c>
      <c r="H1472" s="9">
        <f>IFERROR(__xludf.DUMMYFUNCTION("MAX(INDEX(GOOGLEFINANCE(A1472, ""high"", TODAY()-30, TODAY()), 0, 2))"),449.9)</f>
        <v>449.9</v>
      </c>
      <c r="I1472" s="9">
        <f>IFERROR(__xludf.DUMMYFUNCTION("MIN(INDEX(GOOGLEFINANCE(A1472, ""low"", TODAY()-30, TODAY()), 0, 2))"),384.0)</f>
        <v>384</v>
      </c>
      <c r="J1472" s="9">
        <f>IFERROR(__xludf.DUMMYFUNCTION("GOOGLEFINANCE(A1472, ""high52"")"),482.39)</f>
        <v>482.39</v>
      </c>
      <c r="K1472" s="9">
        <f>IFERROR(__xludf.DUMMYFUNCTION("GOOGLEFINANCE(A1472, ""low52"")"),282.3)</f>
        <v>282.3</v>
      </c>
      <c r="L1472" s="9">
        <f t="shared" si="1"/>
        <v>0.1604303572</v>
      </c>
      <c r="M1472" s="9">
        <f t="shared" si="2"/>
        <v>0.4346439957</v>
      </c>
      <c r="N1472" s="9">
        <f t="shared" si="3"/>
        <v>0.1136138614</v>
      </c>
      <c r="O1472" s="9">
        <f t="shared" si="4"/>
        <v>0.3186646434</v>
      </c>
      <c r="P1472" s="9">
        <f>IFERROR(__xludf.DUMMYFUNCTION("GOOGLEFINANCE(A1472, ""pe"")"),44.17)</f>
        <v>44.17</v>
      </c>
      <c r="Q1472" s="9">
        <f>IFERROR(__xludf.DUMMYFUNCTION("IFERROR(GOOGLEFINANCE(A1472, ""volume"") / GOOGLEFINANCE(A1472, ""volumeavg""), 0)"),0.0)</f>
        <v>0</v>
      </c>
      <c r="R1472" s="9">
        <f>IFERROR(__xludf.DUMMYFUNCTION("AVERAGE(INDEX(GOOGLEFINANCE(A1472, ""price"", TODAY()-30, TODAY()), 0, 2))"),394.20869565217396)</f>
        <v>394.2086957</v>
      </c>
      <c r="S1472" s="9">
        <f>IFERROR(__xludf.DUMMYFUNCTION("AVERAGE(INDEX(GOOGLEFINANCE(A1472, ""price"", TODAY()-75, TODAY()), 0, 2))"),399.00849056603766)</f>
        <v>399.0084906</v>
      </c>
      <c r="T1472" s="9">
        <f>IFERROR(__xludf.DUMMYFUNCTION("AVERAGE(INDEX(GOOGLEFINANCE(A1472, ""price"", TODAY()-300, TODAY()), 0, 2))"),380.3810945273631)</f>
        <v>380.3810945</v>
      </c>
      <c r="U1472" s="9">
        <f t="shared" si="5"/>
        <v>0.02737459743</v>
      </c>
      <c r="V1472" s="15">
        <f>IFERROR(__xludf.DUMMYFUNCTION("LET(hist, GOOGLEFINANCE(A1472,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rs))))))"),63.36088154269974)</f>
        <v>63.36088154</v>
      </c>
      <c r="W1472" s="16" t="str">
        <f>IFERROR(__xludf.DUMMYFUNCTION("IFERROR(GOOGLEFINANCE(A1472, ""volume"") / GOOGLEFINANCE(A1472, ""volumeavg""), )"),"")</f>
        <v/>
      </c>
      <c r="X1472" s="9">
        <f>IFERROR(__xludf.DUMMYFUNCTION("B1472 * GOOGLEFINANCE(A1472, ""volume"")"),7554465.0)</f>
        <v>7554465</v>
      </c>
      <c r="Y1472" s="9">
        <f>IFERROR(__xludf.DUMMYFUNCTION("IFERROR(((B1472 - GOOGLEFINANCE(A1472, ""priceopen"")) / GOOGLEFINANCE(A1472, ""priceopen"")) * GOOGLEFINANCE(A1472, ""volume""), 0)"),-1861.568570793509)</f>
        <v>-1861.568571</v>
      </c>
    </row>
    <row r="1473">
      <c r="A1473" s="4" t="s">
        <v>3265</v>
      </c>
      <c r="B1473" s="7">
        <f>IFERROR(__xludf.DUMMYFUNCTION("GOOGLEFINANCE(A1473, ""price"")"),172.9)</f>
        <v>172.9</v>
      </c>
      <c r="C1473" s="7">
        <f>IFERROR(__xludf.DUMMYFUNCTION("GOOGLEFINANCE(A1473, ""changepct"")"),-0.84)</f>
        <v>-0.84</v>
      </c>
      <c r="D1473" s="9">
        <f>IFERROR(__xludf.DUMMYFUNCTION("GOOGLEFINANCE(A1473, ""priceopen"")"),172.4)</f>
        <v>172.4</v>
      </c>
      <c r="E1473" s="9">
        <f>IFERROR(__xludf.DUMMYFUNCTION("GOOGLEFINANCE(A1473, ""high"")"),173.88)</f>
        <v>173.88</v>
      </c>
      <c r="F1473" s="9">
        <f>IFERROR(__xludf.DUMMYFUNCTION("GOOGLEFINANCE(A1473, ""low"")"),169.0)</f>
        <v>169</v>
      </c>
      <c r="G1473" s="9">
        <f>IFERROR(__xludf.DUMMYFUNCTION("GOOGLEFINANCE(A1473, ""price"")"),172.9)</f>
        <v>172.9</v>
      </c>
      <c r="H1473" s="9">
        <f>IFERROR(__xludf.DUMMYFUNCTION("MAX(INDEX(GOOGLEFINANCE(A1473, ""high"", TODAY()-30, TODAY()), 0, 2))"),216.0)</f>
        <v>216</v>
      </c>
      <c r="I1473" s="9">
        <f>IFERROR(__xludf.DUMMYFUNCTION("MIN(INDEX(GOOGLEFINANCE(A1473, ""low"", TODAY()-30, TODAY()), 0, 2))"),166.0)</f>
        <v>166</v>
      </c>
      <c r="J1473" s="9">
        <f>IFERROR(__xludf.DUMMYFUNCTION("GOOGLEFINANCE(A1473, ""high52"")"),219.0)</f>
        <v>219</v>
      </c>
      <c r="K1473" s="9">
        <f>IFERROR(__xludf.DUMMYFUNCTION("GOOGLEFINANCE(A1473, ""low52"")"),107.0)</f>
        <v>107</v>
      </c>
      <c r="L1473" s="9">
        <f t="shared" si="1"/>
        <v>0.2105022831</v>
      </c>
      <c r="M1473" s="9">
        <f t="shared" si="2"/>
        <v>0.6158878505</v>
      </c>
      <c r="N1473" s="9">
        <f t="shared" si="3"/>
        <v>0.02887573964</v>
      </c>
      <c r="O1473" s="9">
        <f t="shared" si="4"/>
        <v>0.138</v>
      </c>
      <c r="P1473" s="9">
        <f>IFERROR(__xludf.DUMMYFUNCTION("GOOGLEFINANCE(A1473, ""pe"")"),33.25)</f>
        <v>33.25</v>
      </c>
      <c r="Q1473" s="9">
        <f>IFERROR(__xludf.DUMMYFUNCTION("IFERROR(GOOGLEFINANCE(A1473, ""volume"") / GOOGLEFINANCE(A1473, ""volumeavg""), 0)"),0.0)</f>
        <v>0</v>
      </c>
      <c r="R1473" s="9">
        <f>IFERROR(__xludf.DUMMYFUNCTION("AVERAGE(INDEX(GOOGLEFINANCE(A1473, ""price"", TODAY()-30, TODAY()), 0, 2))"),194.4873913043478)</f>
        <v>194.4873913</v>
      </c>
      <c r="S1473" s="9">
        <f>IFERROR(__xludf.DUMMYFUNCTION("AVERAGE(INDEX(GOOGLEFINANCE(A1473, ""price"", TODAY()-75, TODAY()), 0, 2))"),191.4764150943396)</f>
        <v>191.4764151</v>
      </c>
      <c r="T1473" s="9">
        <f>IFERROR(__xludf.DUMMYFUNCTION("AVERAGE(INDEX(GOOGLEFINANCE(A1473, ""price"", TODAY()-300, TODAY()), 0, 2))"),156.24039603960398)</f>
        <v>156.240396</v>
      </c>
      <c r="U1473" s="9">
        <f t="shared" si="5"/>
        <v>-0.1109963538</v>
      </c>
      <c r="V1473" s="15">
        <f>IFERROR(__xludf.DUMMYFUNCTION("LET(hist, GOOGLEFINANCE(A1473,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rs))))))"),25.584993231483296)</f>
        <v>25.58499323</v>
      </c>
      <c r="W1473" s="16" t="str">
        <f>IFERROR(__xludf.DUMMYFUNCTION("IFERROR(GOOGLEFINANCE(A1473, ""volume"") / GOOGLEFINANCE(A1473, ""volumeavg""), )"),"")</f>
        <v/>
      </c>
      <c r="X1473" s="9">
        <f>IFERROR(__xludf.DUMMYFUNCTION("B1473 * GOOGLEFINANCE(A1473, ""volume"")"),1.41954358E7)</f>
        <v>14195435.8</v>
      </c>
      <c r="Y1473" s="9">
        <f>IFERROR(__xludf.DUMMYFUNCTION("IFERROR(((B1473 - GOOGLEFINANCE(A1473, ""priceopen"")) / GOOGLEFINANCE(A1473, ""priceopen"")) * GOOGLEFINANCE(A1473, ""volume""), 0)"),238.11484918793502)</f>
        <v>238.1148492</v>
      </c>
    </row>
    <row r="1474">
      <c r="A1474" s="4" t="s">
        <v>3266</v>
      </c>
      <c r="B1474" s="7">
        <f>IFERROR(__xludf.DUMMYFUNCTION("GOOGLEFINANCE(A1474, ""price"")"),85.35)</f>
        <v>85.35</v>
      </c>
      <c r="C1474" s="7">
        <f>IFERROR(__xludf.DUMMYFUNCTION("GOOGLEFINANCE(A1474, ""changepct"")"),-0.88)</f>
        <v>-0.88</v>
      </c>
      <c r="D1474" s="9">
        <f>IFERROR(__xludf.DUMMYFUNCTION("GOOGLEFINANCE(A1474, ""priceopen"")"),86.2)</f>
        <v>86.2</v>
      </c>
      <c r="E1474" s="9">
        <f>IFERROR(__xludf.DUMMYFUNCTION("GOOGLEFINANCE(A1474, ""high"")"),86.8)</f>
        <v>86.8</v>
      </c>
      <c r="F1474" s="9">
        <f>IFERROR(__xludf.DUMMYFUNCTION("GOOGLEFINANCE(A1474, ""low"")"),85.0)</f>
        <v>85</v>
      </c>
      <c r="G1474" s="9">
        <f>IFERROR(__xludf.DUMMYFUNCTION("GOOGLEFINANCE(A1474, ""price"")"),85.35)</f>
        <v>85.35</v>
      </c>
      <c r="H1474" s="9">
        <f>IFERROR(__xludf.DUMMYFUNCTION("MAX(INDEX(GOOGLEFINANCE(A1474, ""high"", TODAY()-30, TODAY()), 0, 2))"),97.8)</f>
        <v>97.8</v>
      </c>
      <c r="I1474" s="9">
        <f>IFERROR(__xludf.DUMMYFUNCTION("MIN(INDEX(GOOGLEFINANCE(A1474, ""low"", TODAY()-30, TODAY()), 0, 2))"),85.0)</f>
        <v>85</v>
      </c>
      <c r="J1474" s="9">
        <f>IFERROR(__xludf.DUMMYFUNCTION("GOOGLEFINANCE(A1474, ""high52"")"),147.29)</f>
        <v>147.29</v>
      </c>
      <c r="K1474" s="9">
        <f>IFERROR(__xludf.DUMMYFUNCTION("GOOGLEFINANCE(A1474, ""low52"")"),77.02)</f>
        <v>77.02</v>
      </c>
      <c r="L1474" s="9">
        <f t="shared" si="1"/>
        <v>0.4205309254</v>
      </c>
      <c r="M1474" s="9">
        <f t="shared" si="2"/>
        <v>0.1081537263</v>
      </c>
      <c r="N1474" s="9">
        <f t="shared" si="3"/>
        <v>0.02117647059</v>
      </c>
      <c r="O1474" s="9">
        <f t="shared" si="4"/>
        <v>0.02734375</v>
      </c>
      <c r="P1474" s="9">
        <f>IFERROR(__xludf.DUMMYFUNCTION("GOOGLEFINANCE(A1474, ""pe"")"),22.4)</f>
        <v>22.4</v>
      </c>
      <c r="Q1474" s="9">
        <f>IFERROR(__xludf.DUMMYFUNCTION("IFERROR(GOOGLEFINANCE(A1474, ""volume"") / GOOGLEFINANCE(A1474, ""volumeavg""), 0)"),0.0)</f>
        <v>0</v>
      </c>
      <c r="R1474" s="9">
        <f>IFERROR(__xludf.DUMMYFUNCTION("AVERAGE(INDEX(GOOGLEFINANCE(A1474, ""price"", TODAY()-30, TODAY()), 0, 2))"),90.94782608695652)</f>
        <v>90.94782609</v>
      </c>
      <c r="S1474" s="9">
        <f>IFERROR(__xludf.DUMMYFUNCTION("AVERAGE(INDEX(GOOGLEFINANCE(A1474, ""price"", TODAY()-75, TODAY()), 0, 2))"),94.7432075471698)</f>
        <v>94.74320755</v>
      </c>
      <c r="T1474" s="9">
        <f>IFERROR(__xludf.DUMMYFUNCTION("AVERAGE(INDEX(GOOGLEFINANCE(A1474, ""price"", TODAY()-300, TODAY()), 0, 2))"),107.11782178217825)</f>
        <v>107.1178218</v>
      </c>
      <c r="U1474" s="9">
        <f t="shared" si="5"/>
        <v>-0.06154986136</v>
      </c>
      <c r="V1474" s="15">
        <f>IFERROR(__xludf.DUMMYFUNCTION("LET(hist, GOOGLEFINANCE(A1474,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rs))))))"),35.863671572424494)</f>
        <v>35.86367157</v>
      </c>
      <c r="W1474" s="16" t="str">
        <f>IFERROR(__xludf.DUMMYFUNCTION("IFERROR(GOOGLEFINANCE(A1474, ""volume"") / GOOGLEFINANCE(A1474, ""volumeavg""), )"),"")</f>
        <v/>
      </c>
      <c r="X1474" s="9">
        <f>IFERROR(__xludf.DUMMYFUNCTION("B1474 * GOOGLEFINANCE(A1474, ""volume"")"),3451554.0)</f>
        <v>3451554</v>
      </c>
      <c r="Y1474" s="9">
        <f>IFERROR(__xludf.DUMMYFUNCTION("IFERROR(((B1474 - GOOGLEFINANCE(A1474, ""priceopen"")) / GOOGLEFINANCE(A1474, ""priceopen"")) * GOOGLEFINANCE(A1474, ""volume""), 0)"),-398.77030162413394)</f>
        <v>-398.7703016</v>
      </c>
    </row>
    <row r="1475">
      <c r="A1475" s="4" t="s">
        <v>3267</v>
      </c>
      <c r="B1475" s="7">
        <f>IFERROR(__xludf.DUMMYFUNCTION("GOOGLEFINANCE(A1475, ""price"")"),96.7)</f>
        <v>96.7</v>
      </c>
      <c r="C1475" s="7">
        <f>IFERROR(__xludf.DUMMYFUNCTION("GOOGLEFINANCE(A1475, ""changepct"")"),-7.46)</f>
        <v>-7.46</v>
      </c>
      <c r="D1475" s="9">
        <f>IFERROR(__xludf.DUMMYFUNCTION("GOOGLEFINANCE(A1475, ""priceopen"")"),102.07)</f>
        <v>102.07</v>
      </c>
      <c r="E1475" s="9">
        <f>IFERROR(__xludf.DUMMYFUNCTION("GOOGLEFINANCE(A1475, ""high"")"),103.09)</f>
        <v>103.09</v>
      </c>
      <c r="F1475" s="9">
        <f>IFERROR(__xludf.DUMMYFUNCTION("GOOGLEFINANCE(A1475, ""low"")"),95.8)</f>
        <v>95.8</v>
      </c>
      <c r="G1475" s="9">
        <f>IFERROR(__xludf.DUMMYFUNCTION("GOOGLEFINANCE(A1475, ""price"")"),96.7)</f>
        <v>96.7</v>
      </c>
      <c r="H1475" s="9">
        <f>IFERROR(__xludf.DUMMYFUNCTION("MAX(INDEX(GOOGLEFINANCE(A1475, ""high"", TODAY()-30, TODAY()), 0, 2))"),107.9)</f>
        <v>107.9</v>
      </c>
      <c r="I1475" s="9">
        <f>IFERROR(__xludf.DUMMYFUNCTION("MIN(INDEX(GOOGLEFINANCE(A1475, ""low"", TODAY()-30, TODAY()), 0, 2))"),84.66)</f>
        <v>84.66</v>
      </c>
      <c r="J1475" s="9">
        <f>IFERROR(__xludf.DUMMYFUNCTION("GOOGLEFINANCE(A1475, ""high52"")"),132.45)</f>
        <v>132.45</v>
      </c>
      <c r="K1475" s="9">
        <f>IFERROR(__xludf.DUMMYFUNCTION("GOOGLEFINANCE(A1475, ""low52"")"),68.55)</f>
        <v>68.55</v>
      </c>
      <c r="L1475" s="9">
        <f t="shared" si="1"/>
        <v>0.2699131748</v>
      </c>
      <c r="M1475" s="9">
        <f t="shared" si="2"/>
        <v>0.4106491612</v>
      </c>
      <c r="N1475" s="9">
        <f t="shared" si="3"/>
        <v>0.0760960334</v>
      </c>
      <c r="O1475" s="9">
        <f t="shared" si="4"/>
        <v>0.5180722892</v>
      </c>
      <c r="P1475" s="9" t="str">
        <f>IFERROR(__xludf.DUMMYFUNCTION("GOOGLEFINANCE(A1475, ""pe"")"),"#N/A")</f>
        <v>#N/A</v>
      </c>
      <c r="Q1475" s="9">
        <f>IFERROR(__xludf.DUMMYFUNCTION("IFERROR(GOOGLEFINANCE(A1475, ""volume"") / GOOGLEFINANCE(A1475, ""volumeavg""), 0)"),0.0)</f>
        <v>0</v>
      </c>
      <c r="R1475" s="9">
        <f>IFERROR(__xludf.DUMMYFUNCTION("AVERAGE(INDEX(GOOGLEFINANCE(A1475, ""price"", TODAY()-30, TODAY()), 0, 2))"),90.02347826086958)</f>
        <v>90.02347826</v>
      </c>
      <c r="S1475" s="9">
        <f>IFERROR(__xludf.DUMMYFUNCTION("AVERAGE(INDEX(GOOGLEFINANCE(A1475, ""price"", TODAY()-75, TODAY()), 0, 2))"),90.40830188679246)</f>
        <v>90.40830189</v>
      </c>
      <c r="T1475" s="9">
        <f>IFERROR(__xludf.DUMMYFUNCTION("AVERAGE(INDEX(GOOGLEFINANCE(A1475, ""price"", TODAY()-300, TODAY()), 0, 2))"),96.99995049504949)</f>
        <v>96.9999505</v>
      </c>
      <c r="U1475" s="9">
        <f t="shared" si="5"/>
        <v>0.07416422769</v>
      </c>
      <c r="V1475" s="15">
        <f>IFERROR(__xludf.DUMMYFUNCTION("LET(hist, GOOGLEFINANCE(A1475,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rs))))))"),60.425043078690386)</f>
        <v>60.42504308</v>
      </c>
      <c r="W1475" s="16" t="str">
        <f>IFERROR(__xludf.DUMMYFUNCTION("IFERROR(GOOGLEFINANCE(A1475, ""volume"") / GOOGLEFINANCE(A1475, ""volumeavg""), )"),"")</f>
        <v/>
      </c>
      <c r="X1475" s="9">
        <f>IFERROR(__xludf.DUMMYFUNCTION("B1475 * GOOGLEFINANCE(A1475, ""volume"")"),5.75863972E7)</f>
        <v>57586397.2</v>
      </c>
      <c r="Y1475" s="9">
        <f>IFERROR(__xludf.DUMMYFUNCTION("IFERROR(((B1475 - GOOGLEFINANCE(A1475, ""priceopen"")) / GOOGLEFINANCE(A1475, ""priceopen"")) * GOOGLEFINANCE(A1475, ""volume""), 0)"),-31330.6644459684)</f>
        <v>-31330.66445</v>
      </c>
    </row>
    <row r="1476">
      <c r="A1476" s="4" t="s">
        <v>3268</v>
      </c>
      <c r="B1476" s="7">
        <f>IFERROR(__xludf.DUMMYFUNCTION("GOOGLEFINANCE(A1476, ""price"")"),1021.0)</f>
        <v>1021</v>
      </c>
      <c r="C1476" s="7">
        <f>IFERROR(__xludf.DUMMYFUNCTION("GOOGLEFINANCE(A1476, ""changepct"")"),3.12)</f>
        <v>3.12</v>
      </c>
      <c r="D1476" s="9">
        <f>IFERROR(__xludf.DUMMYFUNCTION("GOOGLEFINANCE(A1476, ""priceopen"")"),1010.0)</f>
        <v>1010</v>
      </c>
      <c r="E1476" s="9">
        <f>IFERROR(__xludf.DUMMYFUNCTION("GOOGLEFINANCE(A1476, ""high"")"),1035.0)</f>
        <v>1035</v>
      </c>
      <c r="F1476" s="9">
        <f>IFERROR(__xludf.DUMMYFUNCTION("GOOGLEFINANCE(A1476, ""low"")"),985.0)</f>
        <v>985</v>
      </c>
      <c r="G1476" s="9">
        <f>IFERROR(__xludf.DUMMYFUNCTION("GOOGLEFINANCE(A1476, ""price"")"),1021.0)</f>
        <v>1021</v>
      </c>
      <c r="H1476" s="9">
        <f>IFERROR(__xludf.DUMMYFUNCTION("MAX(INDEX(GOOGLEFINANCE(A1476, ""high"", TODAY()-30, TODAY()), 0, 2))"),1096.75)</f>
        <v>1096.75</v>
      </c>
      <c r="I1476" s="9">
        <f>IFERROR(__xludf.DUMMYFUNCTION("MIN(INDEX(GOOGLEFINANCE(A1476, ""low"", TODAY()-30, TODAY()), 0, 2))"),924.0)</f>
        <v>924</v>
      </c>
      <c r="J1476" s="9">
        <f>IFERROR(__xludf.DUMMYFUNCTION("GOOGLEFINANCE(A1476, ""high52"")"),1790.0)</f>
        <v>1790</v>
      </c>
      <c r="K1476" s="9">
        <f>IFERROR(__xludf.DUMMYFUNCTION("GOOGLEFINANCE(A1476, ""low52"")"),679.15)</f>
        <v>679.15</v>
      </c>
      <c r="L1476" s="9">
        <f t="shared" si="1"/>
        <v>0.4296089385</v>
      </c>
      <c r="M1476" s="9">
        <f t="shared" si="2"/>
        <v>0.5033497755</v>
      </c>
      <c r="N1476" s="9">
        <f t="shared" si="3"/>
        <v>0.05076142132</v>
      </c>
      <c r="O1476" s="9">
        <f t="shared" si="4"/>
        <v>0.5615050651</v>
      </c>
      <c r="P1476" s="9">
        <f>IFERROR(__xludf.DUMMYFUNCTION("GOOGLEFINANCE(A1476, ""pe"")"),16.04)</f>
        <v>16.04</v>
      </c>
      <c r="Q1476" s="9">
        <f>IFERROR(__xludf.DUMMYFUNCTION("IFERROR(GOOGLEFINANCE(A1476, ""volume"") / GOOGLEFINANCE(A1476, ""volumeavg""), 0)"),0.0)</f>
        <v>0</v>
      </c>
      <c r="R1476" s="9">
        <f>IFERROR(__xludf.DUMMYFUNCTION("AVERAGE(INDEX(GOOGLEFINANCE(A1476, ""price"", TODAY()-30, TODAY()), 0, 2))"),983.9478260869563)</f>
        <v>983.9478261</v>
      </c>
      <c r="S1476" s="9">
        <f>IFERROR(__xludf.DUMMYFUNCTION("AVERAGE(INDEX(GOOGLEFINANCE(A1476, ""price"", TODAY()-75, TODAY()), 0, 2))"),954.5103773584906)</f>
        <v>954.5103774</v>
      </c>
      <c r="T1476" s="9">
        <f>IFERROR(__xludf.DUMMYFUNCTION("AVERAGE(INDEX(GOOGLEFINANCE(A1476, ""price"", TODAY()-300, TODAY()), 0, 2))"),1077.090841584159)</f>
        <v>1077.090842</v>
      </c>
      <c r="U1476" s="9">
        <f t="shared" si="5"/>
        <v>0.03765664493</v>
      </c>
      <c r="V1476" s="15">
        <f>IFERROR(__xludf.DUMMYFUNCTION("LET(hist, GOOGLEFINANCE(A1476,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rs))))))"),61.119515885022686)</f>
        <v>61.11951589</v>
      </c>
      <c r="W1476" s="16" t="str">
        <f>IFERROR(__xludf.DUMMYFUNCTION("IFERROR(GOOGLEFINANCE(A1476, ""volume"") / GOOGLEFINANCE(A1476, ""volumeavg""), )"),"")</f>
        <v/>
      </c>
      <c r="X1476" s="9">
        <f>IFERROR(__xludf.DUMMYFUNCTION("B1476 * GOOGLEFINANCE(A1476, ""volume"")"),8345654.0)</f>
        <v>8345654</v>
      </c>
      <c r="Y1476" s="9">
        <f>IFERROR(__xludf.DUMMYFUNCTION("IFERROR(((B1476 - GOOGLEFINANCE(A1476, ""priceopen"")) / GOOGLEFINANCE(A1476, ""priceopen"")) * GOOGLEFINANCE(A1476, ""volume""), 0)"),89.02376237623761)</f>
        <v>89.02376238</v>
      </c>
    </row>
    <row r="1477">
      <c r="A1477" s="4" t="s">
        <v>3269</v>
      </c>
      <c r="B1477" s="7">
        <f>IFERROR(__xludf.DUMMYFUNCTION("GOOGLEFINANCE(A1477, ""price"")"),223.8)</f>
        <v>223.8</v>
      </c>
      <c r="C1477" s="7">
        <f>IFERROR(__xludf.DUMMYFUNCTION("GOOGLEFINANCE(A1477, ""changepct"")"),0.67)</f>
        <v>0.67</v>
      </c>
      <c r="D1477" s="9">
        <f>IFERROR(__xludf.DUMMYFUNCTION("GOOGLEFINANCE(A1477, ""priceopen"")"),223.95)</f>
        <v>223.95</v>
      </c>
      <c r="E1477" s="9">
        <f>IFERROR(__xludf.DUMMYFUNCTION("GOOGLEFINANCE(A1477, ""high"")"),224.8)</f>
        <v>224.8</v>
      </c>
      <c r="F1477" s="9">
        <f>IFERROR(__xludf.DUMMYFUNCTION("GOOGLEFINANCE(A1477, ""low"")"),216.05)</f>
        <v>216.05</v>
      </c>
      <c r="G1477" s="9">
        <f>IFERROR(__xludf.DUMMYFUNCTION("GOOGLEFINANCE(A1477, ""price"")"),223.8)</f>
        <v>223.8</v>
      </c>
      <c r="H1477" s="9">
        <f>IFERROR(__xludf.DUMMYFUNCTION("MAX(INDEX(GOOGLEFINANCE(A1477, ""high"", TODAY()-30, TODAY()), 0, 2))"),264.0)</f>
        <v>264</v>
      </c>
      <c r="I1477" s="9">
        <f>IFERROR(__xludf.DUMMYFUNCTION("MIN(INDEX(GOOGLEFINANCE(A1477, ""low"", TODAY()-30, TODAY()), 0, 2))"),216.05)</f>
        <v>216.05</v>
      </c>
      <c r="J1477" s="9">
        <f>IFERROR(__xludf.DUMMYFUNCTION("GOOGLEFINANCE(A1477, ""high52"")"),361.95)</f>
        <v>361.95</v>
      </c>
      <c r="K1477" s="9">
        <f>IFERROR(__xludf.DUMMYFUNCTION("GOOGLEFINANCE(A1477, ""low52"")"),155.0)</f>
        <v>155</v>
      </c>
      <c r="L1477" s="9">
        <f t="shared" si="1"/>
        <v>0.3816825528</v>
      </c>
      <c r="M1477" s="9">
        <f t="shared" si="2"/>
        <v>0.4438709677</v>
      </c>
      <c r="N1477" s="9">
        <f t="shared" si="3"/>
        <v>0.04049988429</v>
      </c>
      <c r="O1477" s="9">
        <f t="shared" si="4"/>
        <v>0.1616266945</v>
      </c>
      <c r="P1477" s="9">
        <f>IFERROR(__xludf.DUMMYFUNCTION("GOOGLEFINANCE(A1477, ""pe"")"),31.17)</f>
        <v>31.17</v>
      </c>
      <c r="Q1477" s="9">
        <f>IFERROR(__xludf.DUMMYFUNCTION("IFERROR(GOOGLEFINANCE(A1477, ""volume"") / GOOGLEFINANCE(A1477, ""volumeavg""), 0)"),0.0)</f>
        <v>0</v>
      </c>
      <c r="R1477" s="9">
        <f>IFERROR(__xludf.DUMMYFUNCTION("AVERAGE(INDEX(GOOGLEFINANCE(A1477, ""price"", TODAY()-30, TODAY()), 0, 2))"),243.83869565217387)</f>
        <v>243.8386957</v>
      </c>
      <c r="S1477" s="9">
        <f>IFERROR(__xludf.DUMMYFUNCTION("AVERAGE(INDEX(GOOGLEFINANCE(A1477, ""price"", TODAY()-75, TODAY()), 0, 2))"),239.3022641509433)</f>
        <v>239.3022642</v>
      </c>
      <c r="T1477" s="9">
        <f>IFERROR(__xludf.DUMMYFUNCTION("AVERAGE(INDEX(GOOGLEFINANCE(A1477, ""price"", TODAY()-300, TODAY()), 0, 2))"),248.03292079207924)</f>
        <v>248.0329208</v>
      </c>
      <c r="U1477" s="9">
        <f t="shared" si="5"/>
        <v>-0.08218012977</v>
      </c>
      <c r="V1477" s="15">
        <f>IFERROR(__xludf.DUMMYFUNCTION("LET(hist, GOOGLEFINANCE(A1477,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rs))))))"),31.011398588746175)</f>
        <v>31.01139859</v>
      </c>
      <c r="W1477" s="16" t="str">
        <f>IFERROR(__xludf.DUMMYFUNCTION("IFERROR(GOOGLEFINANCE(A1477, ""volume"") / GOOGLEFINANCE(A1477, ""volumeavg""), )"),"")</f>
        <v/>
      </c>
      <c r="X1477" s="9">
        <f>IFERROR(__xludf.DUMMYFUNCTION("B1477 * GOOGLEFINANCE(A1477, ""volume"")"),8082537.0)</f>
        <v>8082537</v>
      </c>
      <c r="Y1477" s="9">
        <f>IFERROR(__xludf.DUMMYFUNCTION("IFERROR(((B1477 - GOOGLEFINANCE(A1477, ""priceopen"")) / GOOGLEFINANCE(A1477, ""priceopen"")) * GOOGLEFINANCE(A1477, ""volume""), 0)"),-24.18955123911221)</f>
        <v>-24.18955124</v>
      </c>
    </row>
    <row r="1478">
      <c r="A1478" s="4" t="s">
        <v>3270</v>
      </c>
      <c r="B1478" s="7">
        <f>IFERROR(__xludf.DUMMYFUNCTION("GOOGLEFINANCE(A1478, ""price"")"),566.5)</f>
        <v>566.5</v>
      </c>
      <c r="C1478" s="7">
        <f>IFERROR(__xludf.DUMMYFUNCTION("GOOGLEFINANCE(A1478, ""changepct"")"),-0.56)</f>
        <v>-0.56</v>
      </c>
      <c r="D1478" s="9">
        <f>IFERROR(__xludf.DUMMYFUNCTION("GOOGLEFINANCE(A1478, ""priceopen"")"),563.7)</f>
        <v>563.7</v>
      </c>
      <c r="E1478" s="9">
        <f>IFERROR(__xludf.DUMMYFUNCTION("GOOGLEFINANCE(A1478, ""high"")"),571.3)</f>
        <v>571.3</v>
      </c>
      <c r="F1478" s="9">
        <f>IFERROR(__xludf.DUMMYFUNCTION("GOOGLEFINANCE(A1478, ""low"")"),563.7)</f>
        <v>563.7</v>
      </c>
      <c r="G1478" s="9">
        <f>IFERROR(__xludf.DUMMYFUNCTION("GOOGLEFINANCE(A1478, ""price"")"),566.5)</f>
        <v>566.5</v>
      </c>
      <c r="H1478" s="9">
        <f>IFERROR(__xludf.DUMMYFUNCTION("MAX(INDEX(GOOGLEFINANCE(A1478, ""high"", TODAY()-30, TODAY()), 0, 2))"),675.9)</f>
        <v>675.9</v>
      </c>
      <c r="I1478" s="9">
        <f>IFERROR(__xludf.DUMMYFUNCTION("MIN(INDEX(GOOGLEFINANCE(A1478, ""low"", TODAY()-30, TODAY()), 0, 2))"),560.0)</f>
        <v>560</v>
      </c>
      <c r="J1478" s="9">
        <f>IFERROR(__xludf.DUMMYFUNCTION("GOOGLEFINANCE(A1478, ""high52"")"),899.0)</f>
        <v>899</v>
      </c>
      <c r="K1478" s="9">
        <f>IFERROR(__xludf.DUMMYFUNCTION("GOOGLEFINANCE(A1478, ""low52"")"),517.0)</f>
        <v>517</v>
      </c>
      <c r="L1478" s="9">
        <f t="shared" si="1"/>
        <v>0.3698553949</v>
      </c>
      <c r="M1478" s="9">
        <f t="shared" si="2"/>
        <v>0.09574468085</v>
      </c>
      <c r="N1478" s="9">
        <f t="shared" si="3"/>
        <v>0.01348234877</v>
      </c>
      <c r="O1478" s="9">
        <f t="shared" si="4"/>
        <v>0.05608283003</v>
      </c>
      <c r="P1478" s="9">
        <f>IFERROR(__xludf.DUMMYFUNCTION("GOOGLEFINANCE(A1478, ""pe"")"),23.25)</f>
        <v>23.25</v>
      </c>
      <c r="Q1478" s="9">
        <f>IFERROR(__xludf.DUMMYFUNCTION("IFERROR(GOOGLEFINANCE(A1478, ""volume"") / GOOGLEFINANCE(A1478, ""volumeavg""), 0)"),0.0)</f>
        <v>0</v>
      </c>
      <c r="R1478" s="9">
        <f>IFERROR(__xludf.DUMMYFUNCTION("AVERAGE(INDEX(GOOGLEFINANCE(A1478, ""price"", TODAY()-30, TODAY()), 0, 2))"),601.2434782608697)</f>
        <v>601.2434783</v>
      </c>
      <c r="S1478" s="9">
        <f>IFERROR(__xludf.DUMMYFUNCTION("AVERAGE(INDEX(GOOGLEFINANCE(A1478, ""price"", TODAY()-75, TODAY()), 0, 2))"),617.8735849056603)</f>
        <v>617.8735849</v>
      </c>
      <c r="T1478" s="9">
        <f>IFERROR(__xludf.DUMMYFUNCTION("AVERAGE(INDEX(GOOGLEFINANCE(A1478, ""price"", TODAY()-300, TODAY()), 0, 2))"),658.5089108910896)</f>
        <v>658.5089109</v>
      </c>
      <c r="U1478" s="9">
        <f t="shared" si="5"/>
        <v>-0.05778603763</v>
      </c>
      <c r="V1478" s="15">
        <f>IFERROR(__xludf.DUMMYFUNCTION("LET(hist, GOOGLEFINANCE(A1478,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rs))))))"),46.50112866817152)</f>
        <v>46.50112867</v>
      </c>
      <c r="W1478" s="16" t="str">
        <f>IFERROR(__xludf.DUMMYFUNCTION("IFERROR(GOOGLEFINANCE(A1478, ""volume"") / GOOGLEFINANCE(A1478, ""volumeavg""), )"),"")</f>
        <v/>
      </c>
      <c r="X1478" s="9">
        <f>IFERROR(__xludf.DUMMYFUNCTION("B1478 * GOOGLEFINANCE(A1478, ""volume"")"),9753997.0)</f>
        <v>9753997</v>
      </c>
      <c r="Y1478" s="9">
        <f>IFERROR(__xludf.DUMMYFUNCTION("IFERROR(((B1478 - GOOGLEFINANCE(A1478, ""priceopen"")) / GOOGLEFINANCE(A1478, ""priceopen"")) * GOOGLEFINANCE(A1478, ""volume""), 0)"),85.52492460528511)</f>
        <v>85.52492461</v>
      </c>
    </row>
    <row r="1479">
      <c r="A1479" s="4" t="s">
        <v>3271</v>
      </c>
      <c r="B1479" s="7">
        <f>IFERROR(__xludf.DUMMYFUNCTION("GOOGLEFINANCE(A1479, ""price"")"),145.3)</f>
        <v>145.3</v>
      </c>
      <c r="C1479" s="7">
        <f>IFERROR(__xludf.DUMMYFUNCTION("GOOGLEFINANCE(A1479, ""changepct"")"),-2.17)</f>
        <v>-2.17</v>
      </c>
      <c r="D1479" s="9">
        <f>IFERROR(__xludf.DUMMYFUNCTION("GOOGLEFINANCE(A1479, ""priceopen"")"),152.99)</f>
        <v>152.99</v>
      </c>
      <c r="E1479" s="9">
        <f>IFERROR(__xludf.DUMMYFUNCTION("GOOGLEFINANCE(A1479, ""high"")"),152.99)</f>
        <v>152.99</v>
      </c>
      <c r="F1479" s="9">
        <f>IFERROR(__xludf.DUMMYFUNCTION("GOOGLEFINANCE(A1479, ""low"")"),142.81)</f>
        <v>142.81</v>
      </c>
      <c r="G1479" s="9">
        <f>IFERROR(__xludf.DUMMYFUNCTION("GOOGLEFINANCE(A1479, ""price"")"),145.3)</f>
        <v>145.3</v>
      </c>
      <c r="H1479" s="9">
        <f>IFERROR(__xludf.DUMMYFUNCTION("MAX(INDEX(GOOGLEFINANCE(A1479, ""high"", TODAY()-30, TODAY()), 0, 2))"),155.0)</f>
        <v>155</v>
      </c>
      <c r="I1479" s="9">
        <f>IFERROR(__xludf.DUMMYFUNCTION("MIN(INDEX(GOOGLEFINANCE(A1479, ""low"", TODAY()-30, TODAY()), 0, 2))"),110.05)</f>
        <v>110.05</v>
      </c>
      <c r="J1479" s="9">
        <f>IFERROR(__xludf.DUMMYFUNCTION("GOOGLEFINANCE(A1479, ""high52"")"),155.0)</f>
        <v>155</v>
      </c>
      <c r="K1479" s="9">
        <f>IFERROR(__xludf.DUMMYFUNCTION("GOOGLEFINANCE(A1479, ""low52"")"),75.47)</f>
        <v>75.47</v>
      </c>
      <c r="L1479" s="9">
        <f t="shared" si="1"/>
        <v>0.06258064516</v>
      </c>
      <c r="M1479" s="9">
        <f t="shared" si="2"/>
        <v>0.9252683185</v>
      </c>
      <c r="N1479" s="9">
        <f t="shared" si="3"/>
        <v>0.07128352356</v>
      </c>
      <c r="O1479" s="9">
        <f t="shared" si="4"/>
        <v>0.7842046719</v>
      </c>
      <c r="P1479" s="9">
        <f>IFERROR(__xludf.DUMMYFUNCTION("GOOGLEFINANCE(A1479, ""pe"")"),115.11)</f>
        <v>115.11</v>
      </c>
      <c r="Q1479" s="9">
        <f>IFERROR(__xludf.DUMMYFUNCTION("IFERROR(GOOGLEFINANCE(A1479, ""volume"") / GOOGLEFINANCE(A1479, ""volumeavg""), 0)"),0.0)</f>
        <v>0</v>
      </c>
      <c r="R1479" s="9">
        <f>IFERROR(__xludf.DUMMYFUNCTION("AVERAGE(INDEX(GOOGLEFINANCE(A1479, ""price"", TODAY()-30, TODAY()), 0, 2))"),133.68173913043475)</f>
        <v>133.6817391</v>
      </c>
      <c r="S1479" s="9">
        <f>IFERROR(__xludf.DUMMYFUNCTION("AVERAGE(INDEX(GOOGLEFINANCE(A1479, ""price"", TODAY()-75, TODAY()), 0, 2))"),120.22226415094343)</f>
        <v>120.2222642</v>
      </c>
      <c r="T1479" s="9">
        <f>IFERROR(__xludf.DUMMYFUNCTION("AVERAGE(INDEX(GOOGLEFINANCE(A1479, ""price"", TODAY()-300, TODAY()), 0, 2))"),107.89233830845767)</f>
        <v>107.8923383</v>
      </c>
      <c r="U1479" s="9">
        <f t="shared" si="5"/>
        <v>0.08690985729</v>
      </c>
      <c r="V1479" s="15">
        <f>IFERROR(__xludf.DUMMYFUNCTION("LET(hist, GOOGLEFINANCE(A1479,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rs))))))"),65.2838427947598)</f>
        <v>65.28384279</v>
      </c>
      <c r="W1479" s="16" t="str">
        <f>IFERROR(__xludf.DUMMYFUNCTION("IFERROR(GOOGLEFINANCE(A1479, ""volume"") / GOOGLEFINANCE(A1479, ""volumeavg""), )"),"")</f>
        <v/>
      </c>
      <c r="X1479" s="9">
        <f>IFERROR(__xludf.DUMMYFUNCTION("B1479 * GOOGLEFINANCE(A1479, ""volume"")"),4.00699622E7)</f>
        <v>40069962.2</v>
      </c>
      <c r="Y1479" s="9">
        <f>IFERROR(__xludf.DUMMYFUNCTION("IFERROR(((B1479 - GOOGLEFINANCE(A1479, ""priceopen"")) / GOOGLEFINANCE(A1479, ""priceopen"")) * GOOGLEFINANCE(A1479, ""volume""), 0)"),-13861.703771488328)</f>
        <v>-13861.70377</v>
      </c>
    </row>
    <row r="1480">
      <c r="A1480" s="4" t="s">
        <v>3272</v>
      </c>
      <c r="B1480" s="7">
        <f>IFERROR(__xludf.DUMMYFUNCTION("GOOGLEFINANCE(A1480, ""price"")"),457.0)</f>
        <v>457</v>
      </c>
      <c r="C1480" s="7">
        <f>IFERROR(__xludf.DUMMYFUNCTION("GOOGLEFINANCE(A1480, ""changepct"")"),-0.51)</f>
        <v>-0.51</v>
      </c>
      <c r="D1480" s="9">
        <f>IFERROR(__xludf.DUMMYFUNCTION("GOOGLEFINANCE(A1480, ""priceopen"")"),459.35)</f>
        <v>459.35</v>
      </c>
      <c r="E1480" s="9">
        <f>IFERROR(__xludf.DUMMYFUNCTION("GOOGLEFINANCE(A1480, ""high"")"),461.05)</f>
        <v>461.05</v>
      </c>
      <c r="F1480" s="9">
        <f>IFERROR(__xludf.DUMMYFUNCTION("GOOGLEFINANCE(A1480, ""low"")"),451.0)</f>
        <v>451</v>
      </c>
      <c r="G1480" s="9">
        <f>IFERROR(__xludf.DUMMYFUNCTION("GOOGLEFINANCE(A1480, ""price"")"),457.0)</f>
        <v>457</v>
      </c>
      <c r="H1480" s="9">
        <f>IFERROR(__xludf.DUMMYFUNCTION("MAX(INDEX(GOOGLEFINANCE(A1480, ""high"", TODAY()-30, TODAY()), 0, 2))"),538.3)</f>
        <v>538.3</v>
      </c>
      <c r="I1480" s="9">
        <f>IFERROR(__xludf.DUMMYFUNCTION("MIN(INDEX(GOOGLEFINANCE(A1480, ""low"", TODAY()-30, TODAY()), 0, 2))"),451.0)</f>
        <v>451</v>
      </c>
      <c r="J1480" s="9">
        <f>IFERROR(__xludf.DUMMYFUNCTION("GOOGLEFINANCE(A1480, ""high52"")"),739.35)</f>
        <v>739.35</v>
      </c>
      <c r="K1480" s="9">
        <f>IFERROR(__xludf.DUMMYFUNCTION("GOOGLEFINANCE(A1480, ""low52"")"),336.2)</f>
        <v>336.2</v>
      </c>
      <c r="L1480" s="9">
        <f t="shared" si="1"/>
        <v>0.3818894975</v>
      </c>
      <c r="M1480" s="9">
        <f t="shared" si="2"/>
        <v>0.3593099346</v>
      </c>
      <c r="N1480" s="9">
        <f t="shared" si="3"/>
        <v>0.02228381375</v>
      </c>
      <c r="O1480" s="9">
        <f t="shared" si="4"/>
        <v>0.06872852234</v>
      </c>
      <c r="P1480" s="9">
        <f>IFERROR(__xludf.DUMMYFUNCTION("GOOGLEFINANCE(A1480, ""pe"")"),676.45)</f>
        <v>676.45</v>
      </c>
      <c r="Q1480" s="9">
        <f>IFERROR(__xludf.DUMMYFUNCTION("IFERROR(GOOGLEFINANCE(A1480, ""volume"") / GOOGLEFINANCE(A1480, ""volumeavg""), 0)"),0.0)</f>
        <v>0</v>
      </c>
      <c r="R1480" s="9">
        <f>IFERROR(__xludf.DUMMYFUNCTION("AVERAGE(INDEX(GOOGLEFINANCE(A1480, ""price"", TODAY()-30, TODAY()), 0, 2))"),494.9326086956522)</f>
        <v>494.9326087</v>
      </c>
      <c r="S1480" s="9">
        <f>IFERROR(__xludf.DUMMYFUNCTION("AVERAGE(INDEX(GOOGLEFINANCE(A1480, ""price"", TODAY()-75, TODAY()), 0, 2))"),488.5603773584905)</f>
        <v>488.5603774</v>
      </c>
      <c r="T1480" s="9">
        <f>IFERROR(__xludf.DUMMYFUNCTION("AVERAGE(INDEX(GOOGLEFINANCE(A1480, ""price"", TODAY()-300, TODAY()), 0, 2))"),469.13490099009914)</f>
        <v>469.134901</v>
      </c>
      <c r="U1480" s="9">
        <f t="shared" si="5"/>
        <v>-0.07664196707</v>
      </c>
      <c r="V1480" s="15">
        <f>IFERROR(__xludf.DUMMYFUNCTION("LET(hist, GOOGLEFINANCE(A1480,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rs))))))"),34.51403887688987)</f>
        <v>34.51403888</v>
      </c>
      <c r="W1480" s="16" t="str">
        <f>IFERROR(__xludf.DUMMYFUNCTION("IFERROR(GOOGLEFINANCE(A1480, ""volume"") / GOOGLEFINANCE(A1480, ""volumeavg""), )"),"")</f>
        <v/>
      </c>
      <c r="X1480" s="9">
        <f>IFERROR(__xludf.DUMMYFUNCTION("B1480 * GOOGLEFINANCE(A1480, ""volume"")"),2.1406337E7)</f>
        <v>21406337</v>
      </c>
      <c r="Y1480" s="9">
        <f>IFERROR(__xludf.DUMMYFUNCTION("IFERROR(((B1480 - GOOGLEFINANCE(A1480, ""priceopen"")) / GOOGLEFINANCE(A1480, ""priceopen"")) * GOOGLEFINANCE(A1480, ""volume""), 0)"),-239.63502775661493)</f>
        <v>-239.6350278</v>
      </c>
    </row>
    <row r="1481">
      <c r="A1481" s="4" t="s">
        <v>3273</v>
      </c>
      <c r="B1481" s="7">
        <f>IFERROR(__xludf.DUMMYFUNCTION("GOOGLEFINANCE(A1481, ""price"")"),66.0)</f>
        <v>66</v>
      </c>
      <c r="C1481" s="7">
        <f>IFERROR(__xludf.DUMMYFUNCTION("GOOGLEFINANCE(A1481, ""changepct"")"),-3.24)</f>
        <v>-3.24</v>
      </c>
      <c r="D1481" s="9">
        <f>IFERROR(__xludf.DUMMYFUNCTION("GOOGLEFINANCE(A1481, ""priceopen"")"),69.2)</f>
        <v>69.2</v>
      </c>
      <c r="E1481" s="9">
        <f>IFERROR(__xludf.DUMMYFUNCTION("GOOGLEFINANCE(A1481, ""high"")"),69.98)</f>
        <v>69.98</v>
      </c>
      <c r="F1481" s="9">
        <f>IFERROR(__xludf.DUMMYFUNCTION("GOOGLEFINANCE(A1481, ""low"")"),64.8)</f>
        <v>64.8</v>
      </c>
      <c r="G1481" s="9">
        <f>IFERROR(__xludf.DUMMYFUNCTION("GOOGLEFINANCE(A1481, ""price"")"),66.0)</f>
        <v>66</v>
      </c>
      <c r="H1481" s="9">
        <f>IFERROR(__xludf.DUMMYFUNCTION("MAX(INDEX(GOOGLEFINANCE(A1481, ""high"", TODAY()-30, TODAY()), 0, 2))"),83.9)</f>
        <v>83.9</v>
      </c>
      <c r="I1481" s="9">
        <f>IFERROR(__xludf.DUMMYFUNCTION("MIN(INDEX(GOOGLEFINANCE(A1481, ""low"", TODAY()-30, TODAY()), 0, 2))"),63.5)</f>
        <v>63.5</v>
      </c>
      <c r="J1481" s="9">
        <f>IFERROR(__xludf.DUMMYFUNCTION("GOOGLEFINANCE(A1481, ""high52"")"),83.9)</f>
        <v>83.9</v>
      </c>
      <c r="K1481" s="9">
        <f>IFERROR(__xludf.DUMMYFUNCTION("GOOGLEFINANCE(A1481, ""low52"")"),30.11)</f>
        <v>30.11</v>
      </c>
      <c r="L1481" s="9">
        <f t="shared" si="1"/>
        <v>0.2133492253</v>
      </c>
      <c r="M1481" s="9">
        <f t="shared" si="2"/>
        <v>1.191962803</v>
      </c>
      <c r="N1481" s="9">
        <f t="shared" si="3"/>
        <v>0.0799382716</v>
      </c>
      <c r="O1481" s="9">
        <f t="shared" si="4"/>
        <v>0.1225490196</v>
      </c>
      <c r="P1481" s="9">
        <f>IFERROR(__xludf.DUMMYFUNCTION("GOOGLEFINANCE(A1481, ""pe"")"),132.0)</f>
        <v>132</v>
      </c>
      <c r="Q1481" s="9">
        <f>IFERROR(__xludf.DUMMYFUNCTION("IFERROR(GOOGLEFINANCE(A1481, ""volume"") / GOOGLEFINANCE(A1481, ""volumeavg""), 0)"),0.0)</f>
        <v>0</v>
      </c>
      <c r="R1481" s="9">
        <f>IFERROR(__xludf.DUMMYFUNCTION("AVERAGE(INDEX(GOOGLEFINANCE(A1481, ""price"", TODAY()-30, TODAY()), 0, 2))"),71.63173913043477)</f>
        <v>71.63173913</v>
      </c>
      <c r="S1481" s="9">
        <f>IFERROR(__xludf.DUMMYFUNCTION("AVERAGE(INDEX(GOOGLEFINANCE(A1481, ""price"", TODAY()-75, TODAY()), 0, 2))"),61.01132075471698)</f>
        <v>61.01132075</v>
      </c>
      <c r="T1481" s="9">
        <f>IFERROR(__xludf.DUMMYFUNCTION("AVERAGE(INDEX(GOOGLEFINANCE(A1481, ""price"", TODAY()-300, TODAY()), 0, 2))"),44.335643564356424)</f>
        <v>44.33564356</v>
      </c>
      <c r="U1481" s="9">
        <f t="shared" si="5"/>
        <v>-0.07862072314</v>
      </c>
      <c r="V1481" s="15">
        <f>IFERROR(__xludf.DUMMYFUNCTION("LET(hist, GOOGLEFINANCE(A1481,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rs))))))"),27.05636743215028)</f>
        <v>27.05636743</v>
      </c>
      <c r="W1481" s="16" t="str">
        <f>IFERROR(__xludf.DUMMYFUNCTION("IFERROR(GOOGLEFINANCE(A1481, ""volume"") / GOOGLEFINANCE(A1481, ""volumeavg""), )"),"")</f>
        <v/>
      </c>
      <c r="X1481" s="9">
        <f>IFERROR(__xludf.DUMMYFUNCTION("B1481 * GOOGLEFINANCE(A1481, ""volume"")"),1.7669124E7)</f>
        <v>17669124</v>
      </c>
      <c r="Y1481" s="9">
        <f>IFERROR(__xludf.DUMMYFUNCTION("IFERROR(((B1481 - GOOGLEFINANCE(A1481, ""priceopen"")) / GOOGLEFINANCE(A1481, ""priceopen"")) * GOOGLEFINANCE(A1481, ""volume""), 0)"),-12379.838150289028)</f>
        <v>-12379.83815</v>
      </c>
    </row>
    <row r="1482">
      <c r="A1482" s="4" t="s">
        <v>3274</v>
      </c>
      <c r="B1482" s="7">
        <f>IFERROR(__xludf.DUMMYFUNCTION("GOOGLEFINANCE(A1482, ""price"")"),129.5)</f>
        <v>129.5</v>
      </c>
      <c r="C1482" s="7">
        <f>IFERROR(__xludf.DUMMYFUNCTION("GOOGLEFINANCE(A1482, ""changepct"")"),-0.32)</f>
        <v>-0.32</v>
      </c>
      <c r="D1482" s="9">
        <f>IFERROR(__xludf.DUMMYFUNCTION("GOOGLEFINANCE(A1482, ""priceopen"")"),132.99)</f>
        <v>132.99</v>
      </c>
      <c r="E1482" s="9">
        <f>IFERROR(__xludf.DUMMYFUNCTION("GOOGLEFINANCE(A1482, ""high"")"),132.99)</f>
        <v>132.99</v>
      </c>
      <c r="F1482" s="9">
        <f>IFERROR(__xludf.DUMMYFUNCTION("GOOGLEFINANCE(A1482, ""low"")"),129.1)</f>
        <v>129.1</v>
      </c>
      <c r="G1482" s="9">
        <f>IFERROR(__xludf.DUMMYFUNCTION("GOOGLEFINANCE(A1482, ""price"")"),129.5)</f>
        <v>129.5</v>
      </c>
      <c r="H1482" s="9">
        <f>IFERROR(__xludf.DUMMYFUNCTION("MAX(INDEX(GOOGLEFINANCE(A1482, ""high"", TODAY()-30, TODAY()), 0, 2))"),137.98)</f>
        <v>137.98</v>
      </c>
      <c r="I1482" s="9">
        <f>IFERROR(__xludf.DUMMYFUNCTION("MIN(INDEX(GOOGLEFINANCE(A1482, ""low"", TODAY()-30, TODAY()), 0, 2))"),120.1)</f>
        <v>120.1</v>
      </c>
      <c r="J1482" s="9">
        <f>IFERROR(__xludf.DUMMYFUNCTION("GOOGLEFINANCE(A1482, ""high52"")"),155.36)</f>
        <v>155.36</v>
      </c>
      <c r="K1482" s="9">
        <f>IFERROR(__xludf.DUMMYFUNCTION("GOOGLEFINANCE(A1482, ""low52"")"),103.0)</f>
        <v>103</v>
      </c>
      <c r="L1482" s="9">
        <f t="shared" si="1"/>
        <v>0.1664521112</v>
      </c>
      <c r="M1482" s="9">
        <f t="shared" si="2"/>
        <v>0.2572815534</v>
      </c>
      <c r="N1482" s="9">
        <f t="shared" si="3"/>
        <v>0.03013168087</v>
      </c>
      <c r="O1482" s="9">
        <f t="shared" si="4"/>
        <v>0.5257270694</v>
      </c>
      <c r="P1482" s="9">
        <f>IFERROR(__xludf.DUMMYFUNCTION("GOOGLEFINANCE(A1482, ""pe"")"),38.31)</f>
        <v>38.31</v>
      </c>
      <c r="Q1482" s="9">
        <f>IFERROR(__xludf.DUMMYFUNCTION("IFERROR(GOOGLEFINANCE(A1482, ""volume"") / GOOGLEFINANCE(A1482, ""volumeavg""), 0)"),0.0)</f>
        <v>0</v>
      </c>
      <c r="R1482" s="9">
        <f>IFERROR(__xludf.DUMMYFUNCTION("AVERAGE(INDEX(GOOGLEFINANCE(A1482, ""price"", TODAY()-30, TODAY()), 0, 2))"),130.23608695652175)</f>
        <v>130.236087</v>
      </c>
      <c r="S1482" s="9">
        <f>IFERROR(__xludf.DUMMYFUNCTION("AVERAGE(INDEX(GOOGLEFINANCE(A1482, ""price"", TODAY()-75, TODAY()), 0, 2))"),132.7335849056604)</f>
        <v>132.7335849</v>
      </c>
      <c r="T1482" s="9">
        <f>IFERROR(__xludf.DUMMYFUNCTION("AVERAGE(INDEX(GOOGLEFINANCE(A1482, ""price"", TODAY()-300, TODAY()), 0, 2))"),135.29198019801984)</f>
        <v>135.2919802</v>
      </c>
      <c r="U1482" s="9">
        <f t="shared" si="5"/>
        <v>-0.005651943127</v>
      </c>
      <c r="V1482" s="15">
        <f>IFERROR(__xludf.DUMMYFUNCTION("LET(hist, GOOGLEFINANCE(A1482,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rs))))))"),47.205588822355274)</f>
        <v>47.20558882</v>
      </c>
      <c r="W1482" s="16" t="str">
        <f>IFERROR(__xludf.DUMMYFUNCTION("IFERROR(GOOGLEFINANCE(A1482, ""volume"") / GOOGLEFINANCE(A1482, ""volumeavg""), )"),"")</f>
        <v/>
      </c>
      <c r="X1482" s="9">
        <f>IFERROR(__xludf.DUMMYFUNCTION("B1482 * GOOGLEFINANCE(A1482, ""volume"")"),2074978.5)</f>
        <v>2074978.5</v>
      </c>
      <c r="Y1482" s="9">
        <f>IFERROR(__xludf.DUMMYFUNCTION("IFERROR(((B1482 - GOOGLEFINANCE(A1482, ""priceopen"")) / GOOGLEFINANCE(A1482, ""priceopen"")) * GOOGLEFINANCE(A1482, ""volume""), 0)"),-420.48477329122596)</f>
        <v>-420.4847733</v>
      </c>
    </row>
    <row r="1483">
      <c r="A1483" s="4" t="s">
        <v>3275</v>
      </c>
      <c r="B1483" s="7">
        <f>IFERROR(__xludf.DUMMYFUNCTION("GOOGLEFINANCE(A1483, ""price"")"),280.2)</f>
        <v>280.2</v>
      </c>
      <c r="C1483" s="7">
        <f>IFERROR(__xludf.DUMMYFUNCTION("GOOGLEFINANCE(A1483, ""changepct"")"),0.07)</f>
        <v>0.07</v>
      </c>
      <c r="D1483" s="9">
        <f>IFERROR(__xludf.DUMMYFUNCTION("GOOGLEFINANCE(A1483, ""priceopen"")"),279.85)</f>
        <v>279.85</v>
      </c>
      <c r="E1483" s="9">
        <f>IFERROR(__xludf.DUMMYFUNCTION("GOOGLEFINANCE(A1483, ""high"")"),284.4)</f>
        <v>284.4</v>
      </c>
      <c r="F1483" s="9">
        <f>IFERROR(__xludf.DUMMYFUNCTION("GOOGLEFINANCE(A1483, ""low"")"),273.15)</f>
        <v>273.15</v>
      </c>
      <c r="G1483" s="9">
        <f>IFERROR(__xludf.DUMMYFUNCTION("GOOGLEFINANCE(A1483, ""price"")"),280.2)</f>
        <v>280.2</v>
      </c>
      <c r="H1483" s="9">
        <f>IFERROR(__xludf.DUMMYFUNCTION("MAX(INDEX(GOOGLEFINANCE(A1483, ""high"", TODAY()-30, TODAY()), 0, 2))"),285.0)</f>
        <v>285</v>
      </c>
      <c r="I1483" s="9">
        <f>IFERROR(__xludf.DUMMYFUNCTION("MIN(INDEX(GOOGLEFINANCE(A1483, ""low"", TODAY()-30, TODAY()), 0, 2))"),253.1)</f>
        <v>253.1</v>
      </c>
      <c r="J1483" s="9">
        <f>IFERROR(__xludf.DUMMYFUNCTION("GOOGLEFINANCE(A1483, ""high52"")"),386.5)</f>
        <v>386.5</v>
      </c>
      <c r="K1483" s="9">
        <f>IFERROR(__xludf.DUMMYFUNCTION("GOOGLEFINANCE(A1483, ""low52"")"),210.65)</f>
        <v>210.65</v>
      </c>
      <c r="L1483" s="9">
        <f t="shared" si="1"/>
        <v>0.2750323415</v>
      </c>
      <c r="M1483" s="9">
        <f t="shared" si="2"/>
        <v>0.330168526</v>
      </c>
      <c r="N1483" s="9">
        <f t="shared" si="3"/>
        <v>0.04118616145</v>
      </c>
      <c r="O1483" s="9">
        <f t="shared" si="4"/>
        <v>0.8495297806</v>
      </c>
      <c r="P1483" s="9">
        <f>IFERROR(__xludf.DUMMYFUNCTION("GOOGLEFINANCE(A1483, ""pe"")"),15.74)</f>
        <v>15.74</v>
      </c>
      <c r="Q1483" s="9">
        <f>IFERROR(__xludf.DUMMYFUNCTION("IFERROR(GOOGLEFINANCE(A1483, ""volume"") / GOOGLEFINANCE(A1483, ""volumeavg""), 0)"),0.0)</f>
        <v>0</v>
      </c>
      <c r="R1483" s="9">
        <f>IFERROR(__xludf.DUMMYFUNCTION("AVERAGE(INDEX(GOOGLEFINANCE(A1483, ""price"", TODAY()-30, TODAY()), 0, 2))"),264.72826086956525)</f>
        <v>264.7282609</v>
      </c>
      <c r="S1483" s="9">
        <f>IFERROR(__xludf.DUMMYFUNCTION("AVERAGE(INDEX(GOOGLEFINANCE(A1483, ""price"", TODAY()-75, TODAY()), 0, 2))"),267.6405660377359)</f>
        <v>267.640566</v>
      </c>
      <c r="T1483" s="9">
        <f>IFERROR(__xludf.DUMMYFUNCTION("AVERAGE(INDEX(GOOGLEFINANCE(A1483, ""price"", TODAY()-300, TODAY()), 0, 2))"),255.13706467661686)</f>
        <v>255.1370647</v>
      </c>
      <c r="U1483" s="9">
        <f t="shared" si="5"/>
        <v>0.05844385137</v>
      </c>
      <c r="V1483" s="15">
        <f>IFERROR(__xludf.DUMMYFUNCTION("LET(hist, GOOGLEFINANCE(A1483,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rs))))))"),69.63350785340319)</f>
        <v>69.63350785</v>
      </c>
      <c r="W1483" s="16" t="str">
        <f>IFERROR(__xludf.DUMMYFUNCTION("IFERROR(GOOGLEFINANCE(A1483, ""volume"") / GOOGLEFINANCE(A1483, ""volumeavg""), )"),"")</f>
        <v/>
      </c>
      <c r="X1483" s="9">
        <f>IFERROR(__xludf.DUMMYFUNCTION("B1483 * GOOGLEFINANCE(A1483, ""volume"")"),2.9740428E7)</f>
        <v>29740428</v>
      </c>
      <c r="Y1483" s="9">
        <f>IFERROR(__xludf.DUMMYFUNCTION("IFERROR(((B1483 - GOOGLEFINANCE(A1483, ""priceopen"")) / GOOGLEFINANCE(A1483, ""priceopen"")) * GOOGLEFINANCE(A1483, ""volume""), 0)"),132.74611398962435)</f>
        <v>132.746114</v>
      </c>
    </row>
    <row r="1484">
      <c r="A1484" s="4" t="s">
        <v>3276</v>
      </c>
      <c r="B1484" s="7">
        <f>IFERROR(__xludf.DUMMYFUNCTION("GOOGLEFINANCE(A1484, ""price"")"),543.2)</f>
        <v>543.2</v>
      </c>
      <c r="C1484" s="7">
        <f>IFERROR(__xludf.DUMMYFUNCTION("GOOGLEFINANCE(A1484, ""changepct"")"),1.14)</f>
        <v>1.14</v>
      </c>
      <c r="D1484" s="9">
        <f>IFERROR(__xludf.DUMMYFUNCTION("GOOGLEFINANCE(A1484, ""priceopen"")"),529.4)</f>
        <v>529.4</v>
      </c>
      <c r="E1484" s="9">
        <f>IFERROR(__xludf.DUMMYFUNCTION("GOOGLEFINANCE(A1484, ""high"")"),549.7)</f>
        <v>549.7</v>
      </c>
      <c r="F1484" s="9">
        <f>IFERROR(__xludf.DUMMYFUNCTION("GOOGLEFINANCE(A1484, ""low"")"),502.0)</f>
        <v>502</v>
      </c>
      <c r="G1484" s="9">
        <f>IFERROR(__xludf.DUMMYFUNCTION("GOOGLEFINANCE(A1484, ""price"")"),543.2)</f>
        <v>543.2</v>
      </c>
      <c r="H1484" s="9">
        <f>IFERROR(__xludf.DUMMYFUNCTION("MAX(INDEX(GOOGLEFINANCE(A1484, ""high"", TODAY()-30, TODAY()), 0, 2))"),555.0)</f>
        <v>555</v>
      </c>
      <c r="I1484" s="9">
        <f>IFERROR(__xludf.DUMMYFUNCTION("MIN(INDEX(GOOGLEFINANCE(A1484, ""low"", TODAY()-30, TODAY()), 0, 2))"),412.85)</f>
        <v>412.85</v>
      </c>
      <c r="J1484" s="9">
        <f>IFERROR(__xludf.DUMMYFUNCTION("GOOGLEFINANCE(A1484, ""high52"")"),573.0)</f>
        <v>573</v>
      </c>
      <c r="K1484" s="9">
        <f>IFERROR(__xludf.DUMMYFUNCTION("GOOGLEFINANCE(A1484, ""low52"")"),364.05)</f>
        <v>364.05</v>
      </c>
      <c r="L1484" s="9">
        <f t="shared" si="1"/>
        <v>0.0520069808</v>
      </c>
      <c r="M1484" s="9">
        <f t="shared" si="2"/>
        <v>0.4921027331</v>
      </c>
      <c r="N1484" s="9">
        <f t="shared" si="3"/>
        <v>0.09501992032</v>
      </c>
      <c r="O1484" s="9">
        <f t="shared" si="4"/>
        <v>0.916989096</v>
      </c>
      <c r="P1484" s="9">
        <f>IFERROR(__xludf.DUMMYFUNCTION("GOOGLEFINANCE(A1484, ""pe"")"),34.12)</f>
        <v>34.12</v>
      </c>
      <c r="Q1484" s="9">
        <f>IFERROR(__xludf.DUMMYFUNCTION("IFERROR(GOOGLEFINANCE(A1484, ""volume"") / GOOGLEFINANCE(A1484, ""volumeavg""), 0)"),0.0)</f>
        <v>0</v>
      </c>
      <c r="R1484" s="9">
        <f>IFERROR(__xludf.DUMMYFUNCTION("AVERAGE(INDEX(GOOGLEFINANCE(A1484, ""price"", TODAY()-30, TODAY()), 0, 2))"),447.0391304347826)</f>
        <v>447.0391304</v>
      </c>
      <c r="S1484" s="9">
        <f>IFERROR(__xludf.DUMMYFUNCTION("AVERAGE(INDEX(GOOGLEFINANCE(A1484, ""price"", TODAY()-75, TODAY()), 0, 2))"),424.761320754717)</f>
        <v>424.7613208</v>
      </c>
      <c r="T1484" s="9">
        <f>IFERROR(__xludf.DUMMYFUNCTION("AVERAGE(INDEX(GOOGLEFINANCE(A1484, ""price"", TODAY()-300, TODAY()), 0, 2))"),465.3410891089109)</f>
        <v>465.3410891</v>
      </c>
      <c r="U1484" s="9">
        <f t="shared" si="5"/>
        <v>0.2151061574</v>
      </c>
      <c r="V1484" s="15">
        <f>IFERROR(__xludf.DUMMYFUNCTION("LET(hist, GOOGLEFINANCE(A1484,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rs))))))"),91.29662522202487)</f>
        <v>91.29662522</v>
      </c>
      <c r="W1484" s="16" t="str">
        <f>IFERROR(__xludf.DUMMYFUNCTION("IFERROR(GOOGLEFINANCE(A1484, ""volume"") / GOOGLEFINANCE(A1484, ""volumeavg""), )"),"")</f>
        <v/>
      </c>
      <c r="X1484" s="9">
        <f>IFERROR(__xludf.DUMMYFUNCTION("B1484 * GOOGLEFINANCE(A1484, ""volume"")"),1.9846246560000002E8)</f>
        <v>198462465.6</v>
      </c>
      <c r="Y1484" s="9">
        <f>IFERROR(__xludf.DUMMYFUNCTION("IFERROR(((B1484 - GOOGLEFINANCE(A1484, ""priceopen"")) / GOOGLEFINANCE(A1484, ""priceopen"")) * GOOGLEFINANCE(A1484, ""volume""), 0)"),9523.87684170764)</f>
        <v>9523.876842</v>
      </c>
    </row>
    <row r="1485">
      <c r="A1485" s="4" t="s">
        <v>3277</v>
      </c>
      <c r="B1485" s="7">
        <f>IFERROR(__xludf.DUMMYFUNCTION("GOOGLEFINANCE(A1485, ""price"")"),690.0)</f>
        <v>690</v>
      </c>
      <c r="C1485" s="7">
        <f>IFERROR(__xludf.DUMMYFUNCTION("GOOGLEFINANCE(A1485, ""changepct"")"),0.15)</f>
        <v>0.15</v>
      </c>
      <c r="D1485" s="9">
        <f>IFERROR(__xludf.DUMMYFUNCTION("GOOGLEFINANCE(A1485, ""priceopen"")"),687.95)</f>
        <v>687.95</v>
      </c>
      <c r="E1485" s="9">
        <f>IFERROR(__xludf.DUMMYFUNCTION("GOOGLEFINANCE(A1485, ""high"")"),696.75)</f>
        <v>696.75</v>
      </c>
      <c r="F1485" s="9">
        <f>IFERROR(__xludf.DUMMYFUNCTION("GOOGLEFINANCE(A1485, ""low"")"),678.05)</f>
        <v>678.05</v>
      </c>
      <c r="G1485" s="9">
        <f>IFERROR(__xludf.DUMMYFUNCTION("GOOGLEFINANCE(A1485, ""price"")"),690.0)</f>
        <v>690</v>
      </c>
      <c r="H1485" s="9">
        <f>IFERROR(__xludf.DUMMYFUNCTION("MAX(INDEX(GOOGLEFINANCE(A1485, ""high"", TODAY()-30, TODAY()), 0, 2))"),700.0)</f>
        <v>700</v>
      </c>
      <c r="I1485" s="9">
        <f>IFERROR(__xludf.DUMMYFUNCTION("MIN(INDEX(GOOGLEFINANCE(A1485, ""low"", TODAY()-30, TODAY()), 0, 2))"),592.2)</f>
        <v>592.2</v>
      </c>
      <c r="J1485" s="9">
        <f>IFERROR(__xludf.DUMMYFUNCTION("GOOGLEFINANCE(A1485, ""high52"")"),977.0)</f>
        <v>977</v>
      </c>
      <c r="K1485" s="9">
        <f>IFERROR(__xludf.DUMMYFUNCTION("GOOGLEFINANCE(A1485, ""low52"")"),483.1)</f>
        <v>483.1</v>
      </c>
      <c r="L1485" s="9">
        <f t="shared" si="1"/>
        <v>0.2937563971</v>
      </c>
      <c r="M1485" s="9">
        <f t="shared" si="2"/>
        <v>0.4282757193</v>
      </c>
      <c r="N1485" s="9">
        <f t="shared" si="3"/>
        <v>0.02757908709</v>
      </c>
      <c r="O1485" s="9">
        <f t="shared" si="4"/>
        <v>0.9072356215</v>
      </c>
      <c r="P1485" s="9">
        <f>IFERROR(__xludf.DUMMYFUNCTION("GOOGLEFINANCE(A1485, ""pe"")"),18.98)</f>
        <v>18.98</v>
      </c>
      <c r="Q1485" s="9">
        <f>IFERROR(__xludf.DUMMYFUNCTION("IFERROR(GOOGLEFINANCE(A1485, ""volume"") / GOOGLEFINANCE(A1485, ""volumeavg""), 0)"),0.0)</f>
        <v>0</v>
      </c>
      <c r="R1485" s="9">
        <f>IFERROR(__xludf.DUMMYFUNCTION("AVERAGE(INDEX(GOOGLEFINANCE(A1485, ""price"", TODAY()-30, TODAY()), 0, 2))"),630.3826086956522)</f>
        <v>630.3826087</v>
      </c>
      <c r="S1485" s="9">
        <f>IFERROR(__xludf.DUMMYFUNCTION("AVERAGE(INDEX(GOOGLEFINANCE(A1485, ""price"", TODAY()-75, TODAY()), 0, 2))"),634.3292452830188)</f>
        <v>634.3292453</v>
      </c>
      <c r="T1485" s="9">
        <f>IFERROR(__xludf.DUMMYFUNCTION("AVERAGE(INDEX(GOOGLEFINANCE(A1485, ""price"", TODAY()-300, TODAY()), 0, 2))"),629.5975247524754)</f>
        <v>629.5975248</v>
      </c>
      <c r="U1485" s="9">
        <f t="shared" si="5"/>
        <v>0.094573344</v>
      </c>
      <c r="V1485" s="15">
        <f>IFERROR(__xludf.DUMMYFUNCTION("LET(hist, GOOGLEFINANCE(A1485,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rs))))))"),80.22401120056003)</f>
        <v>80.2240112</v>
      </c>
      <c r="W1485" s="16" t="str">
        <f>IFERROR(__xludf.DUMMYFUNCTION("IFERROR(GOOGLEFINANCE(A1485, ""volume"") / GOOGLEFINANCE(A1485, ""volumeavg""), )"),"")</f>
        <v/>
      </c>
      <c r="X1485" s="9">
        <f>IFERROR(__xludf.DUMMYFUNCTION("B1485 * GOOGLEFINANCE(A1485, ""volume"")"),2.571354E7)</f>
        <v>25713540</v>
      </c>
      <c r="Y1485" s="9">
        <f>IFERROR(__xludf.DUMMYFUNCTION("IFERROR(((B1485 - GOOGLEFINANCE(A1485, ""priceopen"")) / GOOGLEFINANCE(A1485, ""priceopen"")) * GOOGLEFINANCE(A1485, ""volume""), 0)"),111.04775056326521)</f>
        <v>111.0477506</v>
      </c>
    </row>
    <row r="1486">
      <c r="A1486" s="4" t="s">
        <v>3278</v>
      </c>
      <c r="B1486" s="7">
        <f>IFERROR(__xludf.DUMMYFUNCTION("GOOGLEFINANCE(A1486, ""price"")"),90.68)</f>
        <v>90.68</v>
      </c>
      <c r="C1486" s="7">
        <f>IFERROR(__xludf.DUMMYFUNCTION("GOOGLEFINANCE(A1486, ""changepct"")"),0.86)</f>
        <v>0.86</v>
      </c>
      <c r="D1486" s="9">
        <f>IFERROR(__xludf.DUMMYFUNCTION("GOOGLEFINANCE(A1486, ""priceopen"")"),89.91)</f>
        <v>89.91</v>
      </c>
      <c r="E1486" s="9">
        <f>IFERROR(__xludf.DUMMYFUNCTION("GOOGLEFINANCE(A1486, ""high"")"),94.69)</f>
        <v>94.69</v>
      </c>
      <c r="F1486" s="9">
        <f>IFERROR(__xludf.DUMMYFUNCTION("GOOGLEFINANCE(A1486, ""low"")"),89.8)</f>
        <v>89.8</v>
      </c>
      <c r="G1486" s="9">
        <f>IFERROR(__xludf.DUMMYFUNCTION("GOOGLEFINANCE(A1486, ""price"")"),90.68)</f>
        <v>90.68</v>
      </c>
      <c r="H1486" s="9">
        <f>IFERROR(__xludf.DUMMYFUNCTION("MAX(INDEX(GOOGLEFINANCE(A1486, ""high"", TODAY()-30, TODAY()), 0, 2))"),101.59)</f>
        <v>101.59</v>
      </c>
      <c r="I1486" s="9">
        <f>IFERROR(__xludf.DUMMYFUNCTION("MIN(INDEX(GOOGLEFINANCE(A1486, ""low"", TODAY()-30, TODAY()), 0, 2))"),82.35)</f>
        <v>82.35</v>
      </c>
      <c r="J1486" s="9">
        <f>IFERROR(__xludf.DUMMYFUNCTION("GOOGLEFINANCE(A1486, ""high52"")"),148.39)</f>
        <v>148.39</v>
      </c>
      <c r="K1486" s="9">
        <f>IFERROR(__xludf.DUMMYFUNCTION("GOOGLEFINANCE(A1486, ""low52"")"),65.0)</f>
        <v>65</v>
      </c>
      <c r="L1486" s="9">
        <f t="shared" si="1"/>
        <v>0.3889076083</v>
      </c>
      <c r="M1486" s="9">
        <f t="shared" si="2"/>
        <v>0.3950769231</v>
      </c>
      <c r="N1486" s="9">
        <f t="shared" si="3"/>
        <v>0.05445434298</v>
      </c>
      <c r="O1486" s="9">
        <f t="shared" si="4"/>
        <v>0.432952183</v>
      </c>
      <c r="P1486" s="9">
        <f>IFERROR(__xludf.DUMMYFUNCTION("GOOGLEFINANCE(A1486, ""pe"")"),9.2)</f>
        <v>9.2</v>
      </c>
      <c r="Q1486" s="9">
        <f>IFERROR(__xludf.DUMMYFUNCTION("IFERROR(GOOGLEFINANCE(A1486, ""volume"") / GOOGLEFINANCE(A1486, ""volumeavg""), 0)"),0.0)</f>
        <v>0</v>
      </c>
      <c r="R1486" s="9">
        <f>IFERROR(__xludf.DUMMYFUNCTION("AVERAGE(INDEX(GOOGLEFINANCE(A1486, ""price"", TODAY()-30, TODAY()), 0, 2))"),91.79391304347826)</f>
        <v>91.79391304</v>
      </c>
      <c r="S1486" s="9">
        <f>IFERROR(__xludf.DUMMYFUNCTION("AVERAGE(INDEX(GOOGLEFINANCE(A1486, ""price"", TODAY()-75, TODAY()), 0, 2))"),86.8392452830189)</f>
        <v>86.83924528</v>
      </c>
      <c r="T1486" s="9">
        <f>IFERROR(__xludf.DUMMYFUNCTION("AVERAGE(INDEX(GOOGLEFINANCE(A1486, ""price"", TODAY()-300, TODAY()), 0, 2))"),89.37608910891093)</f>
        <v>89.37608911</v>
      </c>
      <c r="U1486" s="9">
        <f t="shared" si="5"/>
        <v>-0.01213493364</v>
      </c>
      <c r="V1486" s="15">
        <f>IFERROR(__xludf.DUMMYFUNCTION("LET(hist, GOOGLEFINANCE(A1486,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rs))))))"),44.68654434250765)</f>
        <v>44.68654434</v>
      </c>
      <c r="W1486" s="16" t="str">
        <f>IFERROR(__xludf.DUMMYFUNCTION("IFERROR(GOOGLEFINANCE(A1486, ""volume"") / GOOGLEFINANCE(A1486, ""volumeavg""), )"),"")</f>
        <v/>
      </c>
      <c r="X1486" s="9">
        <f>IFERROR(__xludf.DUMMYFUNCTION("B1486 * GOOGLEFINANCE(A1486, ""volume"")"),2.5119538840000004E7)</f>
        <v>25119538.84</v>
      </c>
      <c r="Y1486" s="9">
        <f>IFERROR(__xludf.DUMMYFUNCTION("IFERROR(((B1486 - GOOGLEFINANCE(A1486, ""priceopen"")) / GOOGLEFINANCE(A1486, ""priceopen"")) * GOOGLEFINANCE(A1486, ""volume""), 0)"),2372.372483594738)</f>
        <v>2372.372484</v>
      </c>
    </row>
    <row r="1487">
      <c r="A1487" s="4" t="s">
        <v>3279</v>
      </c>
      <c r="B1487" s="7">
        <f>IFERROR(__xludf.DUMMYFUNCTION("GOOGLEFINANCE(A1487, ""price"")"),112.52)</f>
        <v>112.52</v>
      </c>
      <c r="C1487" s="7">
        <f>IFERROR(__xludf.DUMMYFUNCTION("GOOGLEFINANCE(A1487, ""changepct"")"),4.99)</f>
        <v>4.99</v>
      </c>
      <c r="D1487" s="9">
        <f>IFERROR(__xludf.DUMMYFUNCTION("GOOGLEFINANCE(A1487, ""priceopen"")"),109.0)</f>
        <v>109</v>
      </c>
      <c r="E1487" s="9">
        <f>IFERROR(__xludf.DUMMYFUNCTION("GOOGLEFINANCE(A1487, ""high"")"),112.52)</f>
        <v>112.52</v>
      </c>
      <c r="F1487" s="9">
        <f>IFERROR(__xludf.DUMMYFUNCTION("GOOGLEFINANCE(A1487, ""low"")"),104.99)</f>
        <v>104.99</v>
      </c>
      <c r="G1487" s="9">
        <f>IFERROR(__xludf.DUMMYFUNCTION("GOOGLEFINANCE(A1487, ""price"")"),112.52)</f>
        <v>112.52</v>
      </c>
      <c r="H1487" s="9">
        <f>IFERROR(__xludf.DUMMYFUNCTION("MAX(INDEX(GOOGLEFINANCE(A1487, ""high"", TODAY()-30, TODAY()), 0, 2))"),122.5)</f>
        <v>122.5</v>
      </c>
      <c r="I1487" s="9">
        <f>IFERROR(__xludf.DUMMYFUNCTION("MIN(INDEX(GOOGLEFINANCE(A1487, ""low"", TODAY()-30, TODAY()), 0, 2))"),85.61)</f>
        <v>85.61</v>
      </c>
      <c r="J1487" s="9">
        <f>IFERROR(__xludf.DUMMYFUNCTION("GOOGLEFINANCE(A1487, ""high52"")"),122.5)</f>
        <v>122.5</v>
      </c>
      <c r="K1487" s="9">
        <f>IFERROR(__xludf.DUMMYFUNCTION("GOOGLEFINANCE(A1487, ""low52"")"),60.11)</f>
        <v>60.11</v>
      </c>
      <c r="L1487" s="9">
        <f t="shared" si="1"/>
        <v>0.08146938776</v>
      </c>
      <c r="M1487" s="9">
        <f t="shared" si="2"/>
        <v>0.8719015139</v>
      </c>
      <c r="N1487" s="9">
        <f t="shared" si="3"/>
        <v>0.0717211163</v>
      </c>
      <c r="O1487" s="9">
        <f t="shared" si="4"/>
        <v>0.7294659799</v>
      </c>
      <c r="P1487" s="9">
        <f>IFERROR(__xludf.DUMMYFUNCTION("GOOGLEFINANCE(A1487, ""pe"")"),17.2)</f>
        <v>17.2</v>
      </c>
      <c r="Q1487" s="9">
        <f>IFERROR(__xludf.DUMMYFUNCTION("IFERROR(GOOGLEFINANCE(A1487, ""volume"") / GOOGLEFINANCE(A1487, ""volumeavg""), 0)"),0.0)</f>
        <v>0</v>
      </c>
      <c r="R1487" s="9">
        <f>IFERROR(__xludf.DUMMYFUNCTION("AVERAGE(INDEX(GOOGLEFINANCE(A1487, ""price"", TODAY()-30, TODAY()), 0, 2))"),100.96434782608695)</f>
        <v>100.9643478</v>
      </c>
      <c r="S1487" s="9">
        <f>IFERROR(__xludf.DUMMYFUNCTION("AVERAGE(INDEX(GOOGLEFINANCE(A1487, ""price"", TODAY()-75, TODAY()), 0, 2))"),92.11937500000003)</f>
        <v>92.119375</v>
      </c>
      <c r="T1487" s="9">
        <f>IFERROR(__xludf.DUMMYFUNCTION("AVERAGE(INDEX(GOOGLEFINANCE(A1487, ""price"", TODAY()-300, TODAY()), 0, 2))"),76.6378191489362)</f>
        <v>76.63781915</v>
      </c>
      <c r="U1487" s="9">
        <f t="shared" si="5"/>
        <v>0.1144527987</v>
      </c>
      <c r="V1487" s="15">
        <f>IFERROR(__xludf.DUMMYFUNCTION("LET(hist, GOOGLEFINANCE(A1487,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rs))))))"),63.42835708927233)</f>
        <v>63.42835709</v>
      </c>
      <c r="W1487" s="16" t="str">
        <f>IFERROR(__xludf.DUMMYFUNCTION("IFERROR(GOOGLEFINANCE(A1487, ""volume"") / GOOGLEFINANCE(A1487, ""volumeavg""), )"),"")</f>
        <v/>
      </c>
      <c r="X1487" s="9">
        <f>IFERROR(__xludf.DUMMYFUNCTION("B1487 * GOOGLEFINANCE(A1487, ""volume"")"),5293840.96)</f>
        <v>5293840.96</v>
      </c>
      <c r="Y1487" s="9">
        <f>IFERROR(__xludf.DUMMYFUNCTION("IFERROR(((B1487 - GOOGLEFINANCE(A1487, ""priceopen"")) / GOOGLEFINANCE(A1487, ""priceopen"")) * GOOGLEFINANCE(A1487, ""volume""), 0)"),1519.3482568807324)</f>
        <v>1519.348257</v>
      </c>
    </row>
    <row r="1488">
      <c r="A1488" s="4" t="s">
        <v>3280</v>
      </c>
      <c r="B1488" s="7">
        <f>IFERROR(__xludf.DUMMYFUNCTION("GOOGLEFINANCE(A1488, ""price"")"),141.6)</f>
        <v>141.6</v>
      </c>
      <c r="C1488" s="7">
        <f>IFERROR(__xludf.DUMMYFUNCTION("GOOGLEFINANCE(A1488, ""changepct"")"),-1.31)</f>
        <v>-1.31</v>
      </c>
      <c r="D1488" s="9">
        <f>IFERROR(__xludf.DUMMYFUNCTION("GOOGLEFINANCE(A1488, ""priceopen"")"),144.88)</f>
        <v>144.88</v>
      </c>
      <c r="E1488" s="9">
        <f>IFERROR(__xludf.DUMMYFUNCTION("GOOGLEFINANCE(A1488, ""high"")"),144.88)</f>
        <v>144.88</v>
      </c>
      <c r="F1488" s="9">
        <f>IFERROR(__xludf.DUMMYFUNCTION("GOOGLEFINANCE(A1488, ""low"")"),141.55)</f>
        <v>141.55</v>
      </c>
      <c r="G1488" s="9">
        <f>IFERROR(__xludf.DUMMYFUNCTION("GOOGLEFINANCE(A1488, ""price"")"),141.6)</f>
        <v>141.6</v>
      </c>
      <c r="H1488" s="9">
        <f>IFERROR(__xludf.DUMMYFUNCTION("MAX(INDEX(GOOGLEFINANCE(A1488, ""high"", TODAY()-30, TODAY()), 0, 2))"),166.38)</f>
        <v>166.38</v>
      </c>
      <c r="I1488" s="9">
        <f>IFERROR(__xludf.DUMMYFUNCTION("MIN(INDEX(GOOGLEFINANCE(A1488, ""low"", TODAY()-30, TODAY()), 0, 2))"),141.55)</f>
        <v>141.55</v>
      </c>
      <c r="J1488" s="9">
        <f>IFERROR(__xludf.DUMMYFUNCTION("GOOGLEFINANCE(A1488, ""high52"")"),339.35)</f>
        <v>339.35</v>
      </c>
      <c r="K1488" s="9">
        <f>IFERROR(__xludf.DUMMYFUNCTION("GOOGLEFINANCE(A1488, ""low52"")"),123.0)</f>
        <v>123</v>
      </c>
      <c r="L1488" s="9">
        <f t="shared" si="1"/>
        <v>0.5827316929</v>
      </c>
      <c r="M1488" s="9">
        <f t="shared" si="2"/>
        <v>0.1512195122</v>
      </c>
      <c r="N1488" s="9">
        <f t="shared" si="3"/>
        <v>0.02352525609</v>
      </c>
      <c r="O1488" s="9">
        <f t="shared" si="4"/>
        <v>0.002013693113</v>
      </c>
      <c r="P1488" s="9">
        <f>IFERROR(__xludf.DUMMYFUNCTION("GOOGLEFINANCE(A1488, ""pe"")"),66.79)</f>
        <v>66.79</v>
      </c>
      <c r="Q1488" s="9">
        <f>IFERROR(__xludf.DUMMYFUNCTION("IFERROR(GOOGLEFINANCE(A1488, ""volume"") / GOOGLEFINANCE(A1488, ""volumeavg""), 0)"),0.0)</f>
        <v>0</v>
      </c>
      <c r="R1488" s="9">
        <f>IFERROR(__xludf.DUMMYFUNCTION("AVERAGE(INDEX(GOOGLEFINANCE(A1488, ""price"", TODAY()-30, TODAY()), 0, 2))"),154.00000000000003)</f>
        <v>154</v>
      </c>
      <c r="S1488" s="9">
        <f>IFERROR(__xludf.DUMMYFUNCTION("AVERAGE(INDEX(GOOGLEFINANCE(A1488, ""price"", TODAY()-75, TODAY()), 0, 2))"),150.68811320754716)</f>
        <v>150.6881132</v>
      </c>
      <c r="T1488" s="9">
        <f>IFERROR(__xludf.DUMMYFUNCTION("AVERAGE(INDEX(GOOGLEFINANCE(A1488, ""price"", TODAY()-300, TODAY()), 0, 2))"),179.5028217821784)</f>
        <v>179.5028218</v>
      </c>
      <c r="U1488" s="9">
        <f t="shared" si="5"/>
        <v>-0.08051948052</v>
      </c>
      <c r="V1488" s="15">
        <f>IFERROR(__xludf.DUMMYFUNCTION("LET(hist, GOOGLEFINANCE(A1488,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rs))))))"),26.20258114978492)</f>
        <v>26.20258115</v>
      </c>
      <c r="W1488" s="16" t="str">
        <f>IFERROR(__xludf.DUMMYFUNCTION("IFERROR(GOOGLEFINANCE(A1488, ""volume"") / GOOGLEFINANCE(A1488, ""volumeavg""), )"),"")</f>
        <v/>
      </c>
      <c r="X1488" s="9">
        <f>IFERROR(__xludf.DUMMYFUNCTION("B1488 * GOOGLEFINANCE(A1488, ""volume"")"),9457464.0)</f>
        <v>9457464</v>
      </c>
      <c r="Y1488" s="9">
        <f>IFERROR(__xludf.DUMMYFUNCTION("IFERROR(((B1488 - GOOGLEFINANCE(A1488, ""priceopen"")) / GOOGLEFINANCE(A1488, ""priceopen"")) * GOOGLEFINANCE(A1488, ""volume""), 0)"),-1512.0872446162346)</f>
        <v>-1512.087245</v>
      </c>
    </row>
    <row r="1489">
      <c r="A1489" s="4" t="s">
        <v>3281</v>
      </c>
      <c r="B1489" s="7">
        <f>IFERROR(__xludf.DUMMYFUNCTION("GOOGLEFINANCE(A1489, ""price"")"),90.6)</f>
        <v>90.6</v>
      </c>
      <c r="C1489" s="7">
        <f>IFERROR(__xludf.DUMMYFUNCTION("GOOGLEFINANCE(A1489, ""changepct"")"),2.56)</f>
        <v>2.56</v>
      </c>
      <c r="D1489" s="9">
        <f>IFERROR(__xludf.DUMMYFUNCTION("GOOGLEFINANCE(A1489, ""priceopen"")"),87.9)</f>
        <v>87.9</v>
      </c>
      <c r="E1489" s="9">
        <f>IFERROR(__xludf.DUMMYFUNCTION("GOOGLEFINANCE(A1489, ""high"")"),92.6)</f>
        <v>92.6</v>
      </c>
      <c r="F1489" s="9">
        <f>IFERROR(__xludf.DUMMYFUNCTION("GOOGLEFINANCE(A1489, ""low"")"),87.51)</f>
        <v>87.51</v>
      </c>
      <c r="G1489" s="9">
        <f>IFERROR(__xludf.DUMMYFUNCTION("GOOGLEFINANCE(A1489, ""price"")"),90.6)</f>
        <v>90.6</v>
      </c>
      <c r="H1489" s="9">
        <f>IFERROR(__xludf.DUMMYFUNCTION("MAX(INDEX(GOOGLEFINANCE(A1489, ""high"", TODAY()-30, TODAY()), 0, 2))"),92.6)</f>
        <v>92.6</v>
      </c>
      <c r="I1489" s="9">
        <f>IFERROR(__xludf.DUMMYFUNCTION("MIN(INDEX(GOOGLEFINANCE(A1489, ""low"", TODAY()-30, TODAY()), 0, 2))"),83.11)</f>
        <v>83.11</v>
      </c>
      <c r="J1489" s="9">
        <f>IFERROR(__xludf.DUMMYFUNCTION("GOOGLEFINANCE(A1489, ""high52"")"),150.0)</f>
        <v>150</v>
      </c>
      <c r="K1489" s="9">
        <f>IFERROR(__xludf.DUMMYFUNCTION("GOOGLEFINANCE(A1489, ""low52"")"),59.16)</f>
        <v>59.16</v>
      </c>
      <c r="L1489" s="9">
        <f t="shared" si="1"/>
        <v>0.396</v>
      </c>
      <c r="M1489" s="9">
        <f t="shared" si="2"/>
        <v>0.5314401623</v>
      </c>
      <c r="N1489" s="9">
        <f t="shared" si="3"/>
        <v>0.05816478117</v>
      </c>
      <c r="O1489" s="9">
        <f t="shared" si="4"/>
        <v>0.789251844</v>
      </c>
      <c r="P1489" s="9">
        <f>IFERROR(__xludf.DUMMYFUNCTION("GOOGLEFINANCE(A1489, ""pe"")"),35.67)</f>
        <v>35.67</v>
      </c>
      <c r="Q1489" s="9">
        <f>IFERROR(__xludf.DUMMYFUNCTION("IFERROR(GOOGLEFINANCE(A1489, ""volume"") / GOOGLEFINANCE(A1489, ""volumeavg""), 0)"),0.0)</f>
        <v>0</v>
      </c>
      <c r="R1489" s="9">
        <f>IFERROR(__xludf.DUMMYFUNCTION("AVERAGE(INDEX(GOOGLEFINANCE(A1489, ""price"", TODAY()-30, TODAY()), 0, 2))"),87.44391304347828)</f>
        <v>87.44391304</v>
      </c>
      <c r="S1489" s="9">
        <f>IFERROR(__xludf.DUMMYFUNCTION("AVERAGE(INDEX(GOOGLEFINANCE(A1489, ""price"", TODAY()-75, TODAY()), 0, 2))"),90.22113207547169)</f>
        <v>90.22113208</v>
      </c>
      <c r="T1489" s="9">
        <f>IFERROR(__xludf.DUMMYFUNCTION("AVERAGE(INDEX(GOOGLEFINANCE(A1489, ""price"", TODAY()-300, TODAY()), 0, 2))"),97.06663366336639)</f>
        <v>97.06663366</v>
      </c>
      <c r="U1489" s="9">
        <f t="shared" si="5"/>
        <v>0.03609270041</v>
      </c>
      <c r="V1489" s="15">
        <f>IFERROR(__xludf.DUMMYFUNCTION("LET(hist, GOOGLEFINANCE(A1489,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rs))))))"),58.69695158398092)</f>
        <v>58.69695158</v>
      </c>
      <c r="W1489" s="16" t="str">
        <f>IFERROR(__xludf.DUMMYFUNCTION("IFERROR(GOOGLEFINANCE(A1489, ""volume"") / GOOGLEFINANCE(A1489, ""volumeavg""), )"),"")</f>
        <v/>
      </c>
      <c r="X1489" s="9">
        <f>IFERROR(__xludf.DUMMYFUNCTION("B1489 * GOOGLEFINANCE(A1489, ""volume"")"),1172726.4)</f>
        <v>1172726.4</v>
      </c>
      <c r="Y1489" s="9">
        <f>IFERROR(__xludf.DUMMYFUNCTION("IFERROR(((B1489 - GOOGLEFINANCE(A1489, ""priceopen"")) / GOOGLEFINANCE(A1489, ""priceopen"")) * GOOGLEFINANCE(A1489, ""volume""), 0)"),397.59726962457165)</f>
        <v>397.5972696</v>
      </c>
    </row>
    <row r="1490">
      <c r="A1490" s="4" t="s">
        <v>3282</v>
      </c>
      <c r="B1490" s="7">
        <f>IFERROR(__xludf.DUMMYFUNCTION("GOOGLEFINANCE(A1490, ""price"")"),75.2)</f>
        <v>75.2</v>
      </c>
      <c r="C1490" s="7">
        <f>IFERROR(__xludf.DUMMYFUNCTION("GOOGLEFINANCE(A1490, ""changepct"")"),-0.8)</f>
        <v>-0.8</v>
      </c>
      <c r="D1490" s="9">
        <f>IFERROR(__xludf.DUMMYFUNCTION("GOOGLEFINANCE(A1490, ""priceopen"")"),76.4)</f>
        <v>76.4</v>
      </c>
      <c r="E1490" s="9">
        <f>IFERROR(__xludf.DUMMYFUNCTION("GOOGLEFINANCE(A1490, ""high"")"),76.68)</f>
        <v>76.68</v>
      </c>
      <c r="F1490" s="9">
        <f>IFERROR(__xludf.DUMMYFUNCTION("GOOGLEFINANCE(A1490, ""low"")"),74.8)</f>
        <v>74.8</v>
      </c>
      <c r="G1490" s="9">
        <f>IFERROR(__xludf.DUMMYFUNCTION("GOOGLEFINANCE(A1490, ""price"")"),75.2)</f>
        <v>75.2</v>
      </c>
      <c r="H1490" s="9">
        <f>IFERROR(__xludf.DUMMYFUNCTION("MAX(INDEX(GOOGLEFINANCE(A1490, ""high"", TODAY()-30, TODAY()), 0, 2))"),86.5)</f>
        <v>86.5</v>
      </c>
      <c r="I1490" s="9">
        <f>IFERROR(__xludf.DUMMYFUNCTION("MIN(INDEX(GOOGLEFINANCE(A1490, ""low"", TODAY()-30, TODAY()), 0, 2))"),73.12)</f>
        <v>73.12</v>
      </c>
      <c r="J1490" s="9">
        <f>IFERROR(__xludf.DUMMYFUNCTION("GOOGLEFINANCE(A1490, ""high52"")"),142.59)</f>
        <v>142.59</v>
      </c>
      <c r="K1490" s="9">
        <f>IFERROR(__xludf.DUMMYFUNCTION("GOOGLEFINANCE(A1490, ""low52"")"),66.4)</f>
        <v>66.4</v>
      </c>
      <c r="L1490" s="9">
        <f t="shared" si="1"/>
        <v>0.4726137878</v>
      </c>
      <c r="M1490" s="9">
        <f t="shared" si="2"/>
        <v>0.1325301205</v>
      </c>
      <c r="N1490" s="9">
        <f t="shared" si="3"/>
        <v>0.02513368984</v>
      </c>
      <c r="O1490" s="9">
        <f t="shared" si="4"/>
        <v>0.1554559043</v>
      </c>
      <c r="P1490" s="9">
        <f>IFERROR(__xludf.DUMMYFUNCTION("GOOGLEFINANCE(A1490, ""pe"")"),18.25)</f>
        <v>18.25</v>
      </c>
      <c r="Q1490" s="9">
        <f>IFERROR(__xludf.DUMMYFUNCTION("IFERROR(GOOGLEFINANCE(A1490, ""volume"") / GOOGLEFINANCE(A1490, ""volumeavg""), 0)"),0.0)</f>
        <v>0</v>
      </c>
      <c r="R1490" s="9">
        <f>IFERROR(__xludf.DUMMYFUNCTION("AVERAGE(INDEX(GOOGLEFINANCE(A1490, ""price"", TODAY()-30, TODAY()), 0, 2))"),78.26304347826088)</f>
        <v>78.26304348</v>
      </c>
      <c r="S1490" s="9">
        <f>IFERROR(__xludf.DUMMYFUNCTION("AVERAGE(INDEX(GOOGLEFINANCE(A1490, ""price"", TODAY()-75, TODAY()), 0, 2))"),79.7411320754717)</f>
        <v>79.74113208</v>
      </c>
      <c r="T1490" s="9">
        <f>IFERROR(__xludf.DUMMYFUNCTION("AVERAGE(INDEX(GOOGLEFINANCE(A1490, ""price"", TODAY()-300, TODAY()), 0, 2))"),84.27402298850573)</f>
        <v>84.27402299</v>
      </c>
      <c r="U1490" s="9">
        <f t="shared" si="5"/>
        <v>-0.03913780173</v>
      </c>
      <c r="V1490" s="15">
        <f>IFERROR(__xludf.DUMMYFUNCTION("LET(hist, GOOGLEFINANCE(A1490,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rs))))))"),51.24752475247524)</f>
        <v>51.24752475</v>
      </c>
      <c r="W1490" s="16" t="str">
        <f>IFERROR(__xludf.DUMMYFUNCTION("IFERROR(GOOGLEFINANCE(A1490, ""volume"") / GOOGLEFINANCE(A1490, ""volumeavg""), )"),"")</f>
        <v/>
      </c>
      <c r="X1490" s="9">
        <f>IFERROR(__xludf.DUMMYFUNCTION("B1490 * GOOGLEFINANCE(A1490, ""volume"")"),2.46986128E7)</f>
        <v>24698612.8</v>
      </c>
      <c r="Y1490" s="9">
        <f>IFERROR(__xludf.DUMMYFUNCTION("IFERROR(((B1490 - GOOGLEFINANCE(A1490, ""priceopen"")) / GOOGLEFINANCE(A1490, ""priceopen"")) * GOOGLEFINANCE(A1490, ""volume""), 0)"),-5158.727748691112)</f>
        <v>-5158.727749</v>
      </c>
    </row>
    <row r="1491">
      <c r="A1491" s="4" t="s">
        <v>3283</v>
      </c>
      <c r="B1491" s="7">
        <f>IFERROR(__xludf.DUMMYFUNCTION("GOOGLEFINANCE(A1491, ""price"")"),68.5)</f>
        <v>68.5</v>
      </c>
      <c r="C1491" s="7">
        <f>IFERROR(__xludf.DUMMYFUNCTION("GOOGLEFINANCE(A1491, ""changepct"")"),-1.08)</f>
        <v>-1.08</v>
      </c>
      <c r="D1491" s="9">
        <f>IFERROR(__xludf.DUMMYFUNCTION("GOOGLEFINANCE(A1491, ""priceopen"")"),69.89)</f>
        <v>69.89</v>
      </c>
      <c r="E1491" s="9">
        <f>IFERROR(__xludf.DUMMYFUNCTION("GOOGLEFINANCE(A1491, ""high"")"),69.89)</f>
        <v>69.89</v>
      </c>
      <c r="F1491" s="9">
        <f>IFERROR(__xludf.DUMMYFUNCTION("GOOGLEFINANCE(A1491, ""low"")"),68.06)</f>
        <v>68.06</v>
      </c>
      <c r="G1491" s="9">
        <f>IFERROR(__xludf.DUMMYFUNCTION("GOOGLEFINANCE(A1491, ""price"")"),68.5)</f>
        <v>68.5</v>
      </c>
      <c r="H1491" s="9">
        <f>IFERROR(__xludf.DUMMYFUNCTION("MAX(INDEX(GOOGLEFINANCE(A1491, ""high"", TODAY()-30, TODAY()), 0, 2))"),76.0)</f>
        <v>76</v>
      </c>
      <c r="I1491" s="9">
        <f>IFERROR(__xludf.DUMMYFUNCTION("MIN(INDEX(GOOGLEFINANCE(A1491, ""low"", TODAY()-30, TODAY()), 0, 2))"),57.3)</f>
        <v>57.3</v>
      </c>
      <c r="J1491" s="9">
        <f>IFERROR(__xludf.DUMMYFUNCTION("GOOGLEFINANCE(A1491, ""high52"")"),81.9)</f>
        <v>81.9</v>
      </c>
      <c r="K1491" s="9">
        <f>IFERROR(__xludf.DUMMYFUNCTION("GOOGLEFINANCE(A1491, ""low52"")"),42.81)</f>
        <v>42.81</v>
      </c>
      <c r="L1491" s="9">
        <f t="shared" si="1"/>
        <v>0.1636141636</v>
      </c>
      <c r="M1491" s="9">
        <f t="shared" si="2"/>
        <v>0.6000934361</v>
      </c>
      <c r="N1491" s="9">
        <f t="shared" si="3"/>
        <v>0.02688803996</v>
      </c>
      <c r="O1491" s="9">
        <f t="shared" si="4"/>
        <v>0.5989304813</v>
      </c>
      <c r="P1491" s="9">
        <f>IFERROR(__xludf.DUMMYFUNCTION("GOOGLEFINANCE(A1491, ""pe"")"),12.57)</f>
        <v>12.57</v>
      </c>
      <c r="Q1491" s="9">
        <f>IFERROR(__xludf.DUMMYFUNCTION("IFERROR(GOOGLEFINANCE(A1491, ""volume"") / GOOGLEFINANCE(A1491, ""volumeavg""), 0)"),0.0)</f>
        <v>0</v>
      </c>
      <c r="R1491" s="9">
        <f>IFERROR(__xludf.DUMMYFUNCTION("AVERAGE(INDEX(GOOGLEFINANCE(A1491, ""price"", TODAY()-30, TODAY()), 0, 2))"),67.64391304347825)</f>
        <v>67.64391304</v>
      </c>
      <c r="S1491" s="9">
        <f>IFERROR(__xludf.DUMMYFUNCTION("AVERAGE(INDEX(GOOGLEFINANCE(A1491, ""price"", TODAY()-75, TODAY()), 0, 2))"),66.95245283018868)</f>
        <v>66.95245283</v>
      </c>
      <c r="T1491" s="9">
        <f>IFERROR(__xludf.DUMMYFUNCTION("AVERAGE(INDEX(GOOGLEFINANCE(A1491, ""price"", TODAY()-300, TODAY()), 0, 2))"),59.12960396039607)</f>
        <v>59.12960396</v>
      </c>
      <c r="U1491" s="9">
        <f t="shared" si="5"/>
        <v>0.01265578702</v>
      </c>
      <c r="V1491" s="15">
        <f>IFERROR(__xludf.DUMMYFUNCTION("LET(hist, GOOGLEFINANCE(A1491,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rs))))))"),53.94077448747153)</f>
        <v>53.94077449</v>
      </c>
      <c r="W1491" s="16" t="str">
        <f>IFERROR(__xludf.DUMMYFUNCTION("IFERROR(GOOGLEFINANCE(A1491, ""volume"") / GOOGLEFINANCE(A1491, ""volumeavg""), )"),"")</f>
        <v/>
      </c>
      <c r="X1491" s="9">
        <f>IFERROR(__xludf.DUMMYFUNCTION("B1491 * GOOGLEFINANCE(A1491, ""volume"")"),2868711.5)</f>
        <v>2868711.5</v>
      </c>
      <c r="Y1491" s="9">
        <f>IFERROR(__xludf.DUMMYFUNCTION("IFERROR(((B1491 - GOOGLEFINANCE(A1491, ""priceopen"")) / GOOGLEFINANCE(A1491, ""priceopen"")) * GOOGLEFINANCE(A1491, ""volume""), 0)"),-832.9061382171988)</f>
        <v>-832.9061382</v>
      </c>
    </row>
    <row r="1492">
      <c r="A1492" s="4" t="s">
        <v>3284</v>
      </c>
      <c r="B1492" s="7">
        <f>IFERROR(__xludf.DUMMYFUNCTION("GOOGLEFINANCE(A1492, ""price"")"),159.0)</f>
        <v>159</v>
      </c>
      <c r="C1492" s="7">
        <f>IFERROR(__xludf.DUMMYFUNCTION("GOOGLEFINANCE(A1492, ""changepct"")"),0.63)</f>
        <v>0.63</v>
      </c>
      <c r="D1492" s="9">
        <f>IFERROR(__xludf.DUMMYFUNCTION("GOOGLEFINANCE(A1492, ""priceopen"")"),158.1)</f>
        <v>158.1</v>
      </c>
      <c r="E1492" s="9">
        <f>IFERROR(__xludf.DUMMYFUNCTION("GOOGLEFINANCE(A1492, ""high"")"),162.77)</f>
        <v>162.77</v>
      </c>
      <c r="F1492" s="9">
        <f>IFERROR(__xludf.DUMMYFUNCTION("GOOGLEFINANCE(A1492, ""low"")"),156.01)</f>
        <v>156.01</v>
      </c>
      <c r="G1492" s="9">
        <f>IFERROR(__xludf.DUMMYFUNCTION("GOOGLEFINANCE(A1492, ""price"")"),159.0)</f>
        <v>159</v>
      </c>
      <c r="H1492" s="9">
        <f>IFERROR(__xludf.DUMMYFUNCTION("MAX(INDEX(GOOGLEFINANCE(A1492, ""high"", TODAY()-30, TODAY()), 0, 2))"),163.0)</f>
        <v>163</v>
      </c>
      <c r="I1492" s="9">
        <f>IFERROR(__xludf.DUMMYFUNCTION("MIN(INDEX(GOOGLEFINANCE(A1492, ""low"", TODAY()-30, TODAY()), 0, 2))"),127.15)</f>
        <v>127.15</v>
      </c>
      <c r="J1492" s="9">
        <f>IFERROR(__xludf.DUMMYFUNCTION("GOOGLEFINANCE(A1492, ""high52"")"),167.25)</f>
        <v>167.25</v>
      </c>
      <c r="K1492" s="9">
        <f>IFERROR(__xludf.DUMMYFUNCTION("GOOGLEFINANCE(A1492, ""low52"")"),110.0)</f>
        <v>110</v>
      </c>
      <c r="L1492" s="9">
        <f t="shared" si="1"/>
        <v>0.04932735426</v>
      </c>
      <c r="M1492" s="9">
        <f t="shared" si="2"/>
        <v>0.4454545455</v>
      </c>
      <c r="N1492" s="9">
        <f t="shared" si="3"/>
        <v>0.04333055573</v>
      </c>
      <c r="O1492" s="9">
        <f t="shared" si="4"/>
        <v>0.8884239888</v>
      </c>
      <c r="P1492" s="9">
        <f>IFERROR(__xludf.DUMMYFUNCTION("GOOGLEFINANCE(A1492, ""pe"")"),14.66)</f>
        <v>14.66</v>
      </c>
      <c r="Q1492" s="9">
        <f>IFERROR(__xludf.DUMMYFUNCTION("IFERROR(GOOGLEFINANCE(A1492, ""volume"") / GOOGLEFINANCE(A1492, ""volumeavg""), 0)"),0.0)</f>
        <v>0</v>
      </c>
      <c r="R1492" s="9">
        <f>IFERROR(__xludf.DUMMYFUNCTION("AVERAGE(INDEX(GOOGLEFINANCE(A1492, ""price"", TODAY()-30, TODAY()), 0, 2))"),145.62695652173915)</f>
        <v>145.6269565</v>
      </c>
      <c r="S1492" s="9">
        <f>IFERROR(__xludf.DUMMYFUNCTION("AVERAGE(INDEX(GOOGLEFINANCE(A1492, ""price"", TODAY()-75, TODAY()), 0, 2))"),143.19603773584907)</f>
        <v>143.1960377</v>
      </c>
      <c r="T1492" s="9">
        <f>IFERROR(__xludf.DUMMYFUNCTION("AVERAGE(INDEX(GOOGLEFINANCE(A1492, ""price"", TODAY()-300, TODAY()), 0, 2))"),133.44534653465342)</f>
        <v>133.4453465</v>
      </c>
      <c r="U1492" s="9">
        <f t="shared" si="5"/>
        <v>0.09183082444</v>
      </c>
      <c r="V1492" s="15">
        <f>IFERROR(__xludf.DUMMYFUNCTION("LET(hist, GOOGLEFINANCE(A1492,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rs))))))"),70.68672652268864)</f>
        <v>70.68672652</v>
      </c>
      <c r="W1492" s="16" t="str">
        <f>IFERROR(__xludf.DUMMYFUNCTION("IFERROR(GOOGLEFINANCE(A1492, ""volume"") / GOOGLEFINANCE(A1492, ""volumeavg""), )"),"")</f>
        <v/>
      </c>
      <c r="X1492" s="9">
        <f>IFERROR(__xludf.DUMMYFUNCTION("B1492 * GOOGLEFINANCE(A1492, ""volume"")"),7.3601895E7)</f>
        <v>73601895</v>
      </c>
      <c r="Y1492" s="9">
        <f>IFERROR(__xludf.DUMMYFUNCTION("IFERROR(((B1492 - GOOGLEFINANCE(A1492, ""priceopen"")) / GOOGLEFINANCE(A1492, ""priceopen"")) * GOOGLEFINANCE(A1492, ""volume""), 0)"),2635.132827324495)</f>
        <v>2635.132827</v>
      </c>
    </row>
    <row r="1493">
      <c r="A1493" s="4" t="s">
        <v>3285</v>
      </c>
      <c r="B1493" s="7">
        <f>IFERROR(__xludf.DUMMYFUNCTION("GOOGLEFINANCE(A1493, ""price"")"),503.0)</f>
        <v>503</v>
      </c>
      <c r="C1493" s="7">
        <f>IFERROR(__xludf.DUMMYFUNCTION("GOOGLEFINANCE(A1493, ""changepct"")"),-2.69)</f>
        <v>-2.69</v>
      </c>
      <c r="D1493" s="9">
        <f>IFERROR(__xludf.DUMMYFUNCTION("GOOGLEFINANCE(A1493, ""priceopen"")"),517.5)</f>
        <v>517.5</v>
      </c>
      <c r="E1493" s="9">
        <f>IFERROR(__xludf.DUMMYFUNCTION("GOOGLEFINANCE(A1493, ""high"")"),519.85)</f>
        <v>519.85</v>
      </c>
      <c r="F1493" s="9">
        <f>IFERROR(__xludf.DUMMYFUNCTION("GOOGLEFINANCE(A1493, ""low"")"),503.0)</f>
        <v>503</v>
      </c>
      <c r="G1493" s="9">
        <f>IFERROR(__xludf.DUMMYFUNCTION("GOOGLEFINANCE(A1493, ""price"")"),503.0)</f>
        <v>503</v>
      </c>
      <c r="H1493" s="9">
        <f>IFERROR(__xludf.DUMMYFUNCTION("MAX(INDEX(GOOGLEFINANCE(A1493, ""high"", TODAY()-30, TODAY()), 0, 2))"),566.0)</f>
        <v>566</v>
      </c>
      <c r="I1493" s="9">
        <f>IFERROR(__xludf.DUMMYFUNCTION("MIN(INDEX(GOOGLEFINANCE(A1493, ""low"", TODAY()-30, TODAY()), 0, 2))"),481.1)</f>
        <v>481.1</v>
      </c>
      <c r="J1493" s="9">
        <f>IFERROR(__xludf.DUMMYFUNCTION("GOOGLEFINANCE(A1493, ""high52"")"),596.0)</f>
        <v>596</v>
      </c>
      <c r="K1493" s="9">
        <f>IFERROR(__xludf.DUMMYFUNCTION("GOOGLEFINANCE(A1493, ""low52"")"),357.05)</f>
        <v>357.05</v>
      </c>
      <c r="L1493" s="9">
        <f t="shared" si="1"/>
        <v>0.1560402685</v>
      </c>
      <c r="M1493" s="9">
        <f t="shared" si="2"/>
        <v>0.4087662792</v>
      </c>
      <c r="N1493" s="9">
        <f t="shared" si="3"/>
        <v>0.03349900596</v>
      </c>
      <c r="O1493" s="9">
        <f t="shared" si="4"/>
        <v>0.25795053</v>
      </c>
      <c r="P1493" s="9">
        <f>IFERROR(__xludf.DUMMYFUNCTION("GOOGLEFINANCE(A1493, ""pe"")"),26.22)</f>
        <v>26.22</v>
      </c>
      <c r="Q1493" s="9">
        <f>IFERROR(__xludf.DUMMYFUNCTION("IFERROR(GOOGLEFINANCE(A1493, ""volume"") / GOOGLEFINANCE(A1493, ""volumeavg""), 0)"),0.0)</f>
        <v>0</v>
      </c>
      <c r="R1493" s="9">
        <f>IFERROR(__xludf.DUMMYFUNCTION("AVERAGE(INDEX(GOOGLEFINANCE(A1493, ""price"", TODAY()-30, TODAY()), 0, 2))"),515.1913043478261)</f>
        <v>515.1913043</v>
      </c>
      <c r="S1493" s="9">
        <f>IFERROR(__xludf.DUMMYFUNCTION("AVERAGE(INDEX(GOOGLEFINANCE(A1493, ""price"", TODAY()-75, TODAY()), 0, 2))"),511.0056603773585)</f>
        <v>511.0056604</v>
      </c>
      <c r="T1493" s="9">
        <f>IFERROR(__xludf.DUMMYFUNCTION("AVERAGE(INDEX(GOOGLEFINANCE(A1493, ""price"", TODAY()-300, TODAY()), 0, 2))"),469.64375000000007)</f>
        <v>469.64375</v>
      </c>
      <c r="U1493" s="9">
        <f t="shared" si="5"/>
        <v>-0.02366364542</v>
      </c>
      <c r="V1493" s="15">
        <f>IFERROR(__xludf.DUMMYFUNCTION("LET(hist, GOOGLEFINANCE(A1493,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rs))))))"),43.74999999999997)</f>
        <v>43.75</v>
      </c>
      <c r="W1493" s="16" t="str">
        <f>IFERROR(__xludf.DUMMYFUNCTION("IFERROR(GOOGLEFINANCE(A1493, ""volume"") / GOOGLEFINANCE(A1493, ""volumeavg""), )"),"")</f>
        <v/>
      </c>
      <c r="X1493" s="9">
        <f>IFERROR(__xludf.DUMMYFUNCTION("B1493 * GOOGLEFINANCE(A1493, ""volume"")"),3332375.0)</f>
        <v>3332375</v>
      </c>
      <c r="Y1493" s="9">
        <f>IFERROR(__xludf.DUMMYFUNCTION("IFERROR(((B1493 - GOOGLEFINANCE(A1493, ""priceopen"")) / GOOGLEFINANCE(A1493, ""priceopen"")) * GOOGLEFINANCE(A1493, ""volume""), 0)"),-185.6280193236715)</f>
        <v>-185.6280193</v>
      </c>
    </row>
    <row r="1494">
      <c r="A1494" s="4" t="s">
        <v>3286</v>
      </c>
      <c r="B1494" s="7">
        <f>IFERROR(__xludf.DUMMYFUNCTION("GOOGLEFINANCE(A1494, ""price"")"),679.95)</f>
        <v>679.95</v>
      </c>
      <c r="C1494" s="7">
        <f>IFERROR(__xludf.DUMMYFUNCTION("GOOGLEFINANCE(A1494, ""changepct"")"),0.04)</f>
        <v>0.04</v>
      </c>
      <c r="D1494" s="9">
        <f>IFERROR(__xludf.DUMMYFUNCTION("GOOGLEFINANCE(A1494, ""priceopen"")"),710.0)</f>
        <v>710</v>
      </c>
      <c r="E1494" s="9">
        <f>IFERROR(__xludf.DUMMYFUNCTION("GOOGLEFINANCE(A1494, ""high"")"),710.0)</f>
        <v>710</v>
      </c>
      <c r="F1494" s="9">
        <f>IFERROR(__xludf.DUMMYFUNCTION("GOOGLEFINANCE(A1494, ""low"")"),677.0)</f>
        <v>677</v>
      </c>
      <c r="G1494" s="9">
        <f>IFERROR(__xludf.DUMMYFUNCTION("GOOGLEFINANCE(A1494, ""price"")"),679.95)</f>
        <v>679.95</v>
      </c>
      <c r="H1494" s="9">
        <f>IFERROR(__xludf.DUMMYFUNCTION("MAX(INDEX(GOOGLEFINANCE(A1494, ""high"", TODAY()-30, TODAY()), 0, 2))"),798.7)</f>
        <v>798.7</v>
      </c>
      <c r="I1494" s="9">
        <f>IFERROR(__xludf.DUMMYFUNCTION("MIN(INDEX(GOOGLEFINANCE(A1494, ""low"", TODAY()-30, TODAY()), 0, 2))"),660.0)</f>
        <v>660</v>
      </c>
      <c r="J1494" s="9">
        <f>IFERROR(__xludf.DUMMYFUNCTION("GOOGLEFINANCE(A1494, ""high52"")"),798.7)</f>
        <v>798.7</v>
      </c>
      <c r="K1494" s="9">
        <f>IFERROR(__xludf.DUMMYFUNCTION("GOOGLEFINANCE(A1494, ""low52"")"),580.0)</f>
        <v>580</v>
      </c>
      <c r="L1494" s="9">
        <f t="shared" si="1"/>
        <v>0.1486791035</v>
      </c>
      <c r="M1494" s="9">
        <f t="shared" si="2"/>
        <v>0.1723275862</v>
      </c>
      <c r="N1494" s="9">
        <f t="shared" si="3"/>
        <v>0.04874446086</v>
      </c>
      <c r="O1494" s="9">
        <f t="shared" si="4"/>
        <v>0.1438356164</v>
      </c>
      <c r="P1494" s="9" t="str">
        <f>IFERROR(__xludf.DUMMYFUNCTION("GOOGLEFINANCE(A1494, ""pe"")"),"#N/A")</f>
        <v>#N/A</v>
      </c>
      <c r="Q1494" s="9">
        <f>IFERROR(__xludf.DUMMYFUNCTION("IFERROR(GOOGLEFINANCE(A1494, ""volume"") / GOOGLEFINANCE(A1494, ""volumeavg""), 0)"),0.0)</f>
        <v>0</v>
      </c>
      <c r="R1494" s="9">
        <f>IFERROR(__xludf.DUMMYFUNCTION("AVERAGE(INDEX(GOOGLEFINANCE(A1494, ""price"", TODAY()-30, TODAY()), 0, 2))"),692.4956521739131)</f>
        <v>692.4956522</v>
      </c>
      <c r="S1494" s="9">
        <f>IFERROR(__xludf.DUMMYFUNCTION("AVERAGE(INDEX(GOOGLEFINANCE(A1494, ""price"", TODAY()-75, TODAY()), 0, 2))"),693.9669811320755)</f>
        <v>693.9669811</v>
      </c>
      <c r="T1494" s="9">
        <f>IFERROR(__xludf.DUMMYFUNCTION("AVERAGE(INDEX(GOOGLEFINANCE(A1494, ""price"", TODAY()-300, TODAY()), 0, 2))"),689.5718749999999)</f>
        <v>689.571875</v>
      </c>
      <c r="U1494" s="9">
        <f t="shared" si="5"/>
        <v>-0.01811657898</v>
      </c>
      <c r="V1494" s="15">
        <f>IFERROR(__xludf.DUMMYFUNCTION("LET(hist, GOOGLEFINANCE(A1494,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rs))))))"),38.62010938157344)</f>
        <v>38.62010938</v>
      </c>
      <c r="W1494" s="16" t="str">
        <f>IFERROR(__xludf.DUMMYFUNCTION("IFERROR(GOOGLEFINANCE(A1494, ""volume"") / GOOGLEFINANCE(A1494, ""volumeavg""), )"),"")</f>
        <v/>
      </c>
      <c r="X1494" s="9">
        <f>IFERROR(__xludf.DUMMYFUNCTION("B1494 * GOOGLEFINANCE(A1494, ""volume"")"),45556.65)</f>
        <v>45556.65</v>
      </c>
      <c r="Y1494" s="9">
        <f>IFERROR(__xludf.DUMMYFUNCTION("IFERROR(((B1494 - GOOGLEFINANCE(A1494, ""priceopen"")) / GOOGLEFINANCE(A1494, ""priceopen"")) * GOOGLEFINANCE(A1494, ""volume""), 0)"),-2.8357042253521083)</f>
        <v>-2.835704225</v>
      </c>
    </row>
    <row r="1495">
      <c r="A1495" s="4" t="s">
        <v>3287</v>
      </c>
      <c r="B1495" s="7">
        <f>IFERROR(__xludf.DUMMYFUNCTION("GOOGLEFINANCE(A1495, ""price"")"),61.0)</f>
        <v>61</v>
      </c>
      <c r="C1495" s="7">
        <f>IFERROR(__xludf.DUMMYFUNCTION("GOOGLEFINANCE(A1495, ""changepct"")"),1.63)</f>
        <v>1.63</v>
      </c>
      <c r="D1495" s="9">
        <f>IFERROR(__xludf.DUMMYFUNCTION("GOOGLEFINANCE(A1495, ""priceopen"")"),60.54)</f>
        <v>60.54</v>
      </c>
      <c r="E1495" s="9">
        <f>IFERROR(__xludf.DUMMYFUNCTION("GOOGLEFINANCE(A1495, ""high"")"),62.0)</f>
        <v>62</v>
      </c>
      <c r="F1495" s="9">
        <f>IFERROR(__xludf.DUMMYFUNCTION("GOOGLEFINANCE(A1495, ""low"")"),59.5)</f>
        <v>59.5</v>
      </c>
      <c r="G1495" s="9">
        <f>IFERROR(__xludf.DUMMYFUNCTION("GOOGLEFINANCE(A1495, ""price"")"),61.0)</f>
        <v>61</v>
      </c>
      <c r="H1495" s="9">
        <f>IFERROR(__xludf.DUMMYFUNCTION("MAX(INDEX(GOOGLEFINANCE(A1495, ""high"", TODAY()-30, TODAY()), 0, 2))"),67.27)</f>
        <v>67.27</v>
      </c>
      <c r="I1495" s="9">
        <f>IFERROR(__xludf.DUMMYFUNCTION("MIN(INDEX(GOOGLEFINANCE(A1495, ""low"", TODAY()-30, TODAY()), 0, 2))"),57.55)</f>
        <v>57.55</v>
      </c>
      <c r="J1495" s="9">
        <f>IFERROR(__xludf.DUMMYFUNCTION("GOOGLEFINANCE(A1495, ""high52"")"),134.9)</f>
        <v>134.9</v>
      </c>
      <c r="K1495" s="9">
        <f>IFERROR(__xludf.DUMMYFUNCTION("GOOGLEFINANCE(A1495, ""low52"")"),48.02)</f>
        <v>48.02</v>
      </c>
      <c r="L1495" s="9">
        <f t="shared" si="1"/>
        <v>0.547813195</v>
      </c>
      <c r="M1495" s="9">
        <f t="shared" si="2"/>
        <v>0.27030404</v>
      </c>
      <c r="N1495" s="9">
        <f t="shared" si="3"/>
        <v>0.04201680672</v>
      </c>
      <c r="O1495" s="9">
        <f t="shared" si="4"/>
        <v>0.3549382716</v>
      </c>
      <c r="P1495" s="9">
        <f>IFERROR(__xludf.DUMMYFUNCTION("GOOGLEFINANCE(A1495, ""pe"")"),32.8)</f>
        <v>32.8</v>
      </c>
      <c r="Q1495" s="9">
        <f>IFERROR(__xludf.DUMMYFUNCTION("IFERROR(GOOGLEFINANCE(A1495, ""volume"") / GOOGLEFINANCE(A1495, ""volumeavg""), 0)"),0.0)</f>
        <v>0</v>
      </c>
      <c r="R1495" s="9">
        <f>IFERROR(__xludf.DUMMYFUNCTION("AVERAGE(INDEX(GOOGLEFINANCE(A1495, ""price"", TODAY()-30, TODAY()), 0, 2))"),61.79956521739132)</f>
        <v>61.79956522</v>
      </c>
      <c r="S1495" s="9">
        <f>IFERROR(__xludf.DUMMYFUNCTION("AVERAGE(INDEX(GOOGLEFINANCE(A1495, ""price"", TODAY()-75, TODAY()), 0, 2))"),63.75018867924527)</f>
        <v>63.75018868</v>
      </c>
      <c r="T1495" s="9">
        <f>IFERROR(__xludf.DUMMYFUNCTION("AVERAGE(INDEX(GOOGLEFINANCE(A1495, ""price"", TODAY()-300, TODAY()), 0, 2))"),80.30920398009951)</f>
        <v>80.30920398</v>
      </c>
      <c r="U1495" s="9">
        <f t="shared" si="5"/>
        <v>-0.01293803952</v>
      </c>
      <c r="V1495" s="15">
        <f>IFERROR(__xludf.DUMMYFUNCTION("LET(hist, GOOGLEFINANCE(A1495,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rs))))))"),44.849785407725335)</f>
        <v>44.84978541</v>
      </c>
      <c r="W1495" s="16" t="str">
        <f>IFERROR(__xludf.DUMMYFUNCTION("IFERROR(GOOGLEFINANCE(A1495, ""volume"") / GOOGLEFINANCE(A1495, ""volumeavg""), )"),"")</f>
        <v/>
      </c>
      <c r="X1495" s="9">
        <f>IFERROR(__xludf.DUMMYFUNCTION("B1495 * GOOGLEFINANCE(A1495, ""volume"")"),809531.0)</f>
        <v>809531</v>
      </c>
      <c r="Y1495" s="9">
        <f>IFERROR(__xludf.DUMMYFUNCTION("IFERROR(((B1495 - GOOGLEFINANCE(A1495, ""priceopen"")) / GOOGLEFINANCE(A1495, ""priceopen"")) * GOOGLEFINANCE(A1495, ""volume""), 0)"),100.83680211430477)</f>
        <v>100.8368021</v>
      </c>
    </row>
    <row r="1496">
      <c r="A1496" s="4" t="s">
        <v>3288</v>
      </c>
      <c r="B1496" s="7">
        <f>IFERROR(__xludf.DUMMYFUNCTION("GOOGLEFINANCE(A1496, ""price"")"),134.0)</f>
        <v>134</v>
      </c>
      <c r="C1496" s="7">
        <f>IFERROR(__xludf.DUMMYFUNCTION("GOOGLEFINANCE(A1496, ""changepct"")"),-4.33)</f>
        <v>-4.33</v>
      </c>
      <c r="D1496" s="9">
        <f>IFERROR(__xludf.DUMMYFUNCTION("GOOGLEFINANCE(A1496, ""priceopen"")"),141.09)</f>
        <v>141.09</v>
      </c>
      <c r="E1496" s="9">
        <f>IFERROR(__xludf.DUMMYFUNCTION("GOOGLEFINANCE(A1496, ""high"")"),141.09)</f>
        <v>141.09</v>
      </c>
      <c r="F1496" s="9">
        <f>IFERROR(__xludf.DUMMYFUNCTION("GOOGLEFINANCE(A1496, ""low"")"),133.2)</f>
        <v>133.2</v>
      </c>
      <c r="G1496" s="9">
        <f>IFERROR(__xludf.DUMMYFUNCTION("GOOGLEFINANCE(A1496, ""price"")"),134.0)</f>
        <v>134</v>
      </c>
      <c r="H1496" s="9">
        <f>IFERROR(__xludf.DUMMYFUNCTION("MAX(INDEX(GOOGLEFINANCE(A1496, ""high"", TODAY()-30, TODAY()), 0, 2))"),155.99)</f>
        <v>155.99</v>
      </c>
      <c r="I1496" s="9">
        <f>IFERROR(__xludf.DUMMYFUNCTION("MIN(INDEX(GOOGLEFINANCE(A1496, ""low"", TODAY()-30, TODAY()), 0, 2))"),133.2)</f>
        <v>133.2</v>
      </c>
      <c r="J1496" s="9">
        <f>IFERROR(__xludf.DUMMYFUNCTION("GOOGLEFINANCE(A1496, ""high52"")"),187.88)</f>
        <v>187.88</v>
      </c>
      <c r="K1496" s="9">
        <f>IFERROR(__xludf.DUMMYFUNCTION("GOOGLEFINANCE(A1496, ""low52"")"),110.0)</f>
        <v>110</v>
      </c>
      <c r="L1496" s="9">
        <f t="shared" si="1"/>
        <v>0.286778795</v>
      </c>
      <c r="M1496" s="9">
        <f t="shared" si="2"/>
        <v>0.2181818182</v>
      </c>
      <c r="N1496" s="9">
        <f t="shared" si="3"/>
        <v>0.05923423423</v>
      </c>
      <c r="O1496" s="9">
        <f t="shared" si="4"/>
        <v>0.0351031154</v>
      </c>
      <c r="P1496" s="9">
        <f>IFERROR(__xludf.DUMMYFUNCTION("GOOGLEFINANCE(A1496, ""pe"")"),19.73)</f>
        <v>19.73</v>
      </c>
      <c r="Q1496" s="9">
        <f>IFERROR(__xludf.DUMMYFUNCTION("IFERROR(GOOGLEFINANCE(A1496, ""volume"") / GOOGLEFINANCE(A1496, ""volumeavg""), 0)"),0.0)</f>
        <v>0</v>
      </c>
      <c r="R1496" s="9">
        <f>IFERROR(__xludf.DUMMYFUNCTION("AVERAGE(INDEX(GOOGLEFINANCE(A1496, ""price"", TODAY()-30, TODAY()), 0, 2))"),145.45782608695654)</f>
        <v>145.4578261</v>
      </c>
      <c r="S1496" s="9">
        <f>IFERROR(__xludf.DUMMYFUNCTION("AVERAGE(INDEX(GOOGLEFINANCE(A1496, ""price"", TODAY()-75, TODAY()), 0, 2))"),140.37150943396225)</f>
        <v>140.3715094</v>
      </c>
      <c r="T1496" s="9">
        <f>IFERROR(__xludf.DUMMYFUNCTION("AVERAGE(INDEX(GOOGLEFINANCE(A1496, ""price"", TODAY()-300, TODAY()), 0, 2))"),145.91811881188124)</f>
        <v>145.9181188</v>
      </c>
      <c r="U1496" s="9">
        <f t="shared" si="5"/>
        <v>-0.07877077772</v>
      </c>
      <c r="V1496" s="15">
        <f>IFERROR(__xludf.DUMMYFUNCTION("LET(hist, GOOGLEFINANCE(A1496,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rs))))))"),36.23693379790941)</f>
        <v>36.2369338</v>
      </c>
      <c r="W1496" s="16" t="str">
        <f>IFERROR(__xludf.DUMMYFUNCTION("IFERROR(GOOGLEFINANCE(A1496, ""volume"") / GOOGLEFINANCE(A1496, ""volumeavg""), )"),"")</f>
        <v/>
      </c>
      <c r="X1496" s="9">
        <f>IFERROR(__xludf.DUMMYFUNCTION("B1496 * GOOGLEFINANCE(A1496, ""volume"")"),3.3846122E7)</f>
        <v>33846122</v>
      </c>
      <c r="Y1496" s="9">
        <f>IFERROR(__xludf.DUMMYFUNCTION("IFERROR(((B1496 - GOOGLEFINANCE(A1496, ""priceopen"")) / GOOGLEFINANCE(A1496, ""priceopen"")) * GOOGLEFINANCE(A1496, ""volume""), 0)"),-12692.703026437031)</f>
        <v>-12692.70303</v>
      </c>
    </row>
    <row r="1497">
      <c r="A1497" s="4" t="s">
        <v>3289</v>
      </c>
      <c r="B1497" s="7">
        <f>IFERROR(__xludf.DUMMYFUNCTION("GOOGLEFINANCE(A1497, ""price"")"),226.55)</f>
        <v>226.55</v>
      </c>
      <c r="C1497" s="7">
        <f>IFERROR(__xludf.DUMMYFUNCTION("GOOGLEFINANCE(A1497, ""changepct"")"),-7.0)</f>
        <v>-7</v>
      </c>
      <c r="D1497" s="9">
        <f>IFERROR(__xludf.DUMMYFUNCTION("GOOGLEFINANCE(A1497, ""priceopen"")"),247.39)</f>
        <v>247.39</v>
      </c>
      <c r="E1497" s="9">
        <f>IFERROR(__xludf.DUMMYFUNCTION("GOOGLEFINANCE(A1497, ""high"")"),247.39)</f>
        <v>247.39</v>
      </c>
      <c r="F1497" s="9">
        <f>IFERROR(__xludf.DUMMYFUNCTION("GOOGLEFINANCE(A1497, ""low"")"),226.55)</f>
        <v>226.55</v>
      </c>
      <c r="G1497" s="9">
        <f>IFERROR(__xludf.DUMMYFUNCTION("GOOGLEFINANCE(A1497, ""price"")"),226.55)</f>
        <v>226.55</v>
      </c>
      <c r="H1497" s="9">
        <f>IFERROR(__xludf.DUMMYFUNCTION("MAX(INDEX(GOOGLEFINANCE(A1497, ""high"", TODAY()-30, TODAY()), 0, 2))"),252.9)</f>
        <v>252.9</v>
      </c>
      <c r="I1497" s="9">
        <f>IFERROR(__xludf.DUMMYFUNCTION("MIN(INDEX(GOOGLEFINANCE(A1497, ""low"", TODAY()-30, TODAY()), 0, 2))"),214.0)</f>
        <v>214</v>
      </c>
      <c r="J1497" s="9">
        <f>IFERROR(__xludf.DUMMYFUNCTION("GOOGLEFINANCE(A1497, ""high52"")"),272.0)</f>
        <v>272</v>
      </c>
      <c r="K1497" s="9">
        <f>IFERROR(__xludf.DUMMYFUNCTION("GOOGLEFINANCE(A1497, ""low52"")"),131.45)</f>
        <v>131.45</v>
      </c>
      <c r="L1497" s="9">
        <f t="shared" si="1"/>
        <v>0.1670955882</v>
      </c>
      <c r="M1497" s="9">
        <f t="shared" si="2"/>
        <v>0.7234689996</v>
      </c>
      <c r="N1497" s="9">
        <f t="shared" si="3"/>
        <v>0.0919885235</v>
      </c>
      <c r="O1497" s="9">
        <f t="shared" si="4"/>
        <v>0.322622108</v>
      </c>
      <c r="P1497" s="9">
        <f>IFERROR(__xludf.DUMMYFUNCTION("GOOGLEFINANCE(A1497, ""pe"")"),22.79)</f>
        <v>22.79</v>
      </c>
      <c r="Q1497" s="9">
        <f>IFERROR(__xludf.DUMMYFUNCTION("IFERROR(GOOGLEFINANCE(A1497, ""volume"") / GOOGLEFINANCE(A1497, ""volumeavg""), 0)"),0.0)</f>
        <v>0</v>
      </c>
      <c r="R1497" s="9">
        <f>IFERROR(__xludf.DUMMYFUNCTION("AVERAGE(INDEX(GOOGLEFINANCE(A1497, ""price"", TODAY()-30, TODAY()), 0, 2))"),230.44521739130434)</f>
        <v>230.4452174</v>
      </c>
      <c r="S1497" s="9">
        <f>IFERROR(__xludf.DUMMYFUNCTION("AVERAGE(INDEX(GOOGLEFINANCE(A1497, ""price"", TODAY()-75, TODAY()), 0, 2))"),234.40283018867927)</f>
        <v>234.4028302</v>
      </c>
      <c r="T1497" s="9">
        <f>IFERROR(__xludf.DUMMYFUNCTION("AVERAGE(INDEX(GOOGLEFINANCE(A1497, ""price"", TODAY()-300, TODAY()), 0, 2))"),201.63613861386142)</f>
        <v>201.6361386</v>
      </c>
      <c r="U1497" s="9">
        <f t="shared" si="5"/>
        <v>-0.01690300817</v>
      </c>
      <c r="V1497" s="15">
        <f>IFERROR(__xludf.DUMMYFUNCTION("LET(hist, GOOGLEFINANCE(A1497,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rs))))))"),47.560821883272425)</f>
        <v>47.56082188</v>
      </c>
      <c r="W1497" s="16" t="str">
        <f>IFERROR(__xludf.DUMMYFUNCTION("IFERROR(GOOGLEFINANCE(A1497, ""volume"") / GOOGLEFINANCE(A1497, ""volumeavg""), )"),"")</f>
        <v/>
      </c>
      <c r="X1497" s="9">
        <f>IFERROR(__xludf.DUMMYFUNCTION("B1497 * GOOGLEFINANCE(A1497, ""volume"")"),2.1748346900000002E7)</f>
        <v>21748346.9</v>
      </c>
      <c r="Y1497" s="9">
        <f>IFERROR(__xludf.DUMMYFUNCTION("IFERROR(((B1497 - GOOGLEFINANCE(A1497, ""priceopen"")) / GOOGLEFINANCE(A1497, ""priceopen"")) * GOOGLEFINANCE(A1497, ""volume""), 0)"),-8086.819677432385)</f>
        <v>-8086.819677</v>
      </c>
    </row>
    <row r="1498">
      <c r="A1498" s="4" t="s">
        <v>3290</v>
      </c>
      <c r="B1498" s="7">
        <f>IFERROR(__xludf.DUMMYFUNCTION("GOOGLEFINANCE(A1498, ""price"")"),309.0)</f>
        <v>309</v>
      </c>
      <c r="C1498" s="7">
        <f>IFERROR(__xludf.DUMMYFUNCTION("GOOGLEFINANCE(A1498, ""changepct"")"),0.5)</f>
        <v>0.5</v>
      </c>
      <c r="D1498" s="9">
        <f>IFERROR(__xludf.DUMMYFUNCTION("GOOGLEFINANCE(A1498, ""priceopen"")"),322.8)</f>
        <v>322.8</v>
      </c>
      <c r="E1498" s="9">
        <f>IFERROR(__xludf.DUMMYFUNCTION("GOOGLEFINANCE(A1498, ""high"")"),322.8)</f>
        <v>322.8</v>
      </c>
      <c r="F1498" s="9">
        <f>IFERROR(__xludf.DUMMYFUNCTION("GOOGLEFINANCE(A1498, ""low"")"),292.1)</f>
        <v>292.1</v>
      </c>
      <c r="G1498" s="9">
        <f>IFERROR(__xludf.DUMMYFUNCTION("GOOGLEFINANCE(A1498, ""price"")"),309.0)</f>
        <v>309</v>
      </c>
      <c r="H1498" s="9">
        <f>IFERROR(__xludf.DUMMYFUNCTION("MAX(INDEX(GOOGLEFINANCE(A1498, ""high"", TODAY()-30, TODAY()), 0, 2))"),322.8)</f>
        <v>322.8</v>
      </c>
      <c r="I1498" s="9">
        <f>IFERROR(__xludf.DUMMYFUNCTION("MIN(INDEX(GOOGLEFINANCE(A1498, ""low"", TODAY()-30, TODAY()), 0, 2))"),248.5)</f>
        <v>248.5</v>
      </c>
      <c r="J1498" s="9">
        <f>IFERROR(__xludf.DUMMYFUNCTION("GOOGLEFINANCE(A1498, ""high52"")"),362.7)</f>
        <v>362.7</v>
      </c>
      <c r="K1498" s="9">
        <f>IFERROR(__xludf.DUMMYFUNCTION("GOOGLEFINANCE(A1498, ""low52"")"),114.0)</f>
        <v>114</v>
      </c>
      <c r="L1498" s="9">
        <f t="shared" si="1"/>
        <v>0.1480562448</v>
      </c>
      <c r="M1498" s="9">
        <f t="shared" si="2"/>
        <v>1.710526316</v>
      </c>
      <c r="N1498" s="9">
        <f t="shared" si="3"/>
        <v>0.1051009928</v>
      </c>
      <c r="O1498" s="9">
        <f t="shared" si="4"/>
        <v>0.8142664872</v>
      </c>
      <c r="P1498" s="9">
        <f>IFERROR(__xludf.DUMMYFUNCTION("GOOGLEFINANCE(A1498, ""pe"")"),13.82)</f>
        <v>13.82</v>
      </c>
      <c r="Q1498" s="9">
        <f>IFERROR(__xludf.DUMMYFUNCTION("IFERROR(GOOGLEFINANCE(A1498, ""volume"") / GOOGLEFINANCE(A1498, ""volumeavg""), 0)"),0.0)</f>
        <v>0</v>
      </c>
      <c r="R1498" s="9">
        <f>IFERROR(__xludf.DUMMYFUNCTION("AVERAGE(INDEX(GOOGLEFINANCE(A1498, ""price"", TODAY()-30, TODAY()), 0, 2))"),285.47173913043474)</f>
        <v>285.4717391</v>
      </c>
      <c r="S1498" s="9">
        <f>IFERROR(__xludf.DUMMYFUNCTION("AVERAGE(INDEX(GOOGLEFINANCE(A1498, ""price"", TODAY()-75, TODAY()), 0, 2))"),300.6660377358491)</f>
        <v>300.6660377</v>
      </c>
      <c r="T1498" s="9">
        <f>IFERROR(__xludf.DUMMYFUNCTION("AVERAGE(INDEX(GOOGLEFINANCE(A1498, ""price"", TODAY()-300, TODAY()), 0, 2))"),188.24900990099016)</f>
        <v>188.2490099</v>
      </c>
      <c r="U1498" s="9">
        <f t="shared" si="5"/>
        <v>0.08241887951</v>
      </c>
      <c r="V1498" s="15">
        <f>IFERROR(__xludf.DUMMYFUNCTION("LET(hist, GOOGLEFINANCE(A1498,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rs))))))"),59.60539979231567)</f>
        <v>59.60539979</v>
      </c>
      <c r="W1498" s="16" t="str">
        <f>IFERROR(__xludf.DUMMYFUNCTION("IFERROR(GOOGLEFINANCE(A1498, ""volume"") / GOOGLEFINANCE(A1498, ""volumeavg""), )"),"")</f>
        <v/>
      </c>
      <c r="X1498" s="9">
        <f>IFERROR(__xludf.DUMMYFUNCTION("B1498 * GOOGLEFINANCE(A1498, ""volume"")"),8.9927961E7)</f>
        <v>89927961</v>
      </c>
      <c r="Y1498" s="9">
        <f>IFERROR(__xludf.DUMMYFUNCTION("IFERROR(((B1498 - GOOGLEFINANCE(A1498, ""priceopen"")) / GOOGLEFINANCE(A1498, ""priceopen"")) * GOOGLEFINANCE(A1498, ""volume""), 0)"),-12441.760223048337)</f>
        <v>-12441.76022</v>
      </c>
    </row>
    <row r="1499">
      <c r="A1499" s="105" t="s">
        <v>3291</v>
      </c>
      <c r="B1499" s="106">
        <f>IFERROR(__xludf.DUMMYFUNCTION("GOOGLEFINANCE(A1499, ""price"")"),76.55)</f>
        <v>76.55</v>
      </c>
      <c r="C1499" s="106">
        <f>IFERROR(__xludf.DUMMYFUNCTION("GOOGLEFINANCE(A1499, ""changepct"")"),-0.52)</f>
        <v>-0.52</v>
      </c>
      <c r="D1499" s="9">
        <f>IFERROR(__xludf.DUMMYFUNCTION("GOOGLEFINANCE(A1499, ""priceopen"")"),76.95)</f>
        <v>76.95</v>
      </c>
      <c r="E1499" s="9">
        <f>IFERROR(__xludf.DUMMYFUNCTION("GOOGLEFINANCE(A1499, ""high"")"),76.95)</f>
        <v>76.95</v>
      </c>
      <c r="F1499" s="9">
        <f>IFERROR(__xludf.DUMMYFUNCTION("GOOGLEFINANCE(A1499, ""low"")"),75.42)</f>
        <v>75.42</v>
      </c>
      <c r="G1499" s="9">
        <f>IFERROR(__xludf.DUMMYFUNCTION("GOOGLEFINANCE(A1499, ""price"")"),76.55)</f>
        <v>76.55</v>
      </c>
      <c r="H1499" s="9">
        <f>IFERROR(__xludf.DUMMYFUNCTION("MAX(INDEX(GOOGLEFINANCE(A1499, ""high"", TODAY()-30, TODAY()), 0, 2))"),85.0)</f>
        <v>85</v>
      </c>
      <c r="I1499" s="9">
        <f>IFERROR(__xludf.DUMMYFUNCTION("MIN(INDEX(GOOGLEFINANCE(A1499, ""low"", TODAY()-30, TODAY()), 0, 2))"),74.63)</f>
        <v>74.63</v>
      </c>
      <c r="J1499" s="9">
        <f>IFERROR(__xludf.DUMMYFUNCTION("GOOGLEFINANCE(A1499, ""high52"")"),134.5)</f>
        <v>134.5</v>
      </c>
      <c r="K1499" s="9">
        <f>IFERROR(__xludf.DUMMYFUNCTION("GOOGLEFINANCE(A1499, ""low52"")"),58.75)</f>
        <v>58.75</v>
      </c>
      <c r="L1499" s="9">
        <f t="shared" si="1"/>
        <v>0.4308550186</v>
      </c>
      <c r="M1499" s="9">
        <f t="shared" si="2"/>
        <v>0.3029787234</v>
      </c>
      <c r="N1499" s="9">
        <f t="shared" si="3"/>
        <v>0.02028639618</v>
      </c>
      <c r="O1499" s="9">
        <f t="shared" si="4"/>
        <v>0.1851494696</v>
      </c>
      <c r="P1499" s="9" t="str">
        <f>IFERROR(__xludf.DUMMYFUNCTION("GOOGLEFINANCE(A1499, ""pe"")"),"#N/A")</f>
        <v>#N/A</v>
      </c>
      <c r="Q1499" s="9">
        <f>IFERROR(__xludf.DUMMYFUNCTION("IFERROR(GOOGLEFINANCE(A1499, ""volume"") / GOOGLEFINANCE(A1499, ""volumeavg""), 0)"),0.0)</f>
        <v>0</v>
      </c>
      <c r="R1499" s="9">
        <f>IFERROR(__xludf.DUMMYFUNCTION("AVERAGE(INDEX(GOOGLEFINANCE(A1499, ""price"", TODAY()-30, TODAY()), 0, 2))"),77.95043478260871)</f>
        <v>77.95043478</v>
      </c>
      <c r="S1499" s="9">
        <f>IFERROR(__xludf.DUMMYFUNCTION("AVERAGE(INDEX(GOOGLEFINANCE(A1499, ""price"", TODAY()-75, TODAY()), 0, 2))"),79.92113207547168)</f>
        <v>79.92113208</v>
      </c>
      <c r="T1499" s="9">
        <f>IFERROR(__xludf.DUMMYFUNCTION("AVERAGE(INDEX(GOOGLEFINANCE(A1499, ""price"", TODAY()-300, TODAY()), 0, 2))"),82.5422277227723)</f>
        <v>82.54222772</v>
      </c>
      <c r="U1499" s="9">
        <f t="shared" si="5"/>
        <v>-0.01796570842</v>
      </c>
      <c r="V1499" s="15">
        <f>IFERROR(__xludf.DUMMYFUNCTION("LET(hist, GOOGLEFINANCE(A1499,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rs))))))"),52.53239104829207)</f>
        <v>52.53239105</v>
      </c>
      <c r="W1499" s="16" t="str">
        <f>IFERROR(__xludf.DUMMYFUNCTION("IFERROR(GOOGLEFINANCE(A1499, ""volume"") / GOOGLEFINANCE(A1499, ""volumeavg""), )"),"")</f>
        <v/>
      </c>
      <c r="X1499" s="9">
        <f>IFERROR(__xludf.DUMMYFUNCTION("B1499 * GOOGLEFINANCE(A1499, ""volume"")"),7777020.699999999)</f>
        <v>7777020.7</v>
      </c>
      <c r="Y1499" s="9">
        <f>IFERROR(__xludf.DUMMYFUNCTION("IFERROR(((B1499 - GOOGLEFINANCE(A1499, ""priceopen"")) / GOOGLEFINANCE(A1499, ""priceopen"")) * GOOGLEFINANCE(A1499, ""volume""), 0)"),-528.103963612743)</f>
        <v>-528.1039636</v>
      </c>
    </row>
    <row r="1500">
      <c r="A1500" s="4" t="s">
        <v>3292</v>
      </c>
      <c r="B1500" s="7">
        <f>IFERROR(__xludf.DUMMYFUNCTION("GOOGLEFINANCE(A1500, ""price"")"),157.0)</f>
        <v>157</v>
      </c>
      <c r="C1500" s="7">
        <f>IFERROR(__xludf.DUMMYFUNCTION("GOOGLEFINANCE(A1500, ""changepct"")"),-0.78)</f>
        <v>-0.78</v>
      </c>
      <c r="D1500" s="9">
        <f>IFERROR(__xludf.DUMMYFUNCTION("GOOGLEFINANCE(A1500, ""priceopen"")"),158.0)</f>
        <v>158</v>
      </c>
      <c r="E1500" s="9">
        <f>IFERROR(__xludf.DUMMYFUNCTION("GOOGLEFINANCE(A1500, ""high"")"),161.7)</f>
        <v>161.7</v>
      </c>
      <c r="F1500" s="9">
        <f>IFERROR(__xludf.DUMMYFUNCTION("GOOGLEFINANCE(A1500, ""low"")"),156.5)</f>
        <v>156.5</v>
      </c>
      <c r="G1500" s="9">
        <f>IFERROR(__xludf.DUMMYFUNCTION("GOOGLEFINANCE(A1500, ""price"")"),157.0)</f>
        <v>157</v>
      </c>
      <c r="H1500" s="9">
        <f>IFERROR(__xludf.DUMMYFUNCTION("MAX(INDEX(GOOGLEFINANCE(A1500, ""high"", TODAY()-30, TODAY()), 0, 2))"),170.54)</f>
        <v>170.54</v>
      </c>
      <c r="I1500" s="9">
        <f>IFERROR(__xludf.DUMMYFUNCTION("MIN(INDEX(GOOGLEFINANCE(A1500, ""low"", TODAY()-30, TODAY()), 0, 2))"),155.0)</f>
        <v>155</v>
      </c>
      <c r="J1500" s="9">
        <f>IFERROR(__xludf.DUMMYFUNCTION("GOOGLEFINANCE(A1500, ""high52"")"),194.89)</f>
        <v>194.89</v>
      </c>
      <c r="K1500" s="9">
        <f>IFERROR(__xludf.DUMMYFUNCTION("GOOGLEFINANCE(A1500, ""low52"")"),147.26)</f>
        <v>147.26</v>
      </c>
      <c r="L1500" s="9">
        <f t="shared" si="1"/>
        <v>0.1944173636</v>
      </c>
      <c r="M1500" s="9">
        <f t="shared" si="2"/>
        <v>0.0661415184</v>
      </c>
      <c r="N1500" s="9">
        <f t="shared" si="3"/>
        <v>0.03322683706</v>
      </c>
      <c r="O1500" s="9">
        <f t="shared" si="4"/>
        <v>0.1287001287</v>
      </c>
      <c r="P1500" s="9" t="str">
        <f>IFERROR(__xludf.DUMMYFUNCTION("GOOGLEFINANCE(A1500, ""pe"")"),"#N/A")</f>
        <v>#N/A</v>
      </c>
      <c r="Q1500" s="9">
        <f>IFERROR(__xludf.DUMMYFUNCTION("IFERROR(GOOGLEFINANCE(A1500, ""volume"") / GOOGLEFINANCE(A1500, ""volumeavg""), 0)"),0.0)</f>
        <v>0</v>
      </c>
      <c r="R1500" s="9">
        <f>IFERROR(__xludf.DUMMYFUNCTION("AVERAGE(INDEX(GOOGLEFINANCE(A1500, ""price"", TODAY()-30, TODAY()), 0, 2))"),158.7804347826087)</f>
        <v>158.7804348</v>
      </c>
      <c r="S1500" s="9">
        <f>IFERROR(__xludf.DUMMYFUNCTION("AVERAGE(INDEX(GOOGLEFINANCE(A1500, ""price"", TODAY()-75, TODAY()), 0, 2))"),160.14773584905663)</f>
        <v>160.1477358</v>
      </c>
      <c r="T1500" s="9">
        <f>IFERROR(__xludf.DUMMYFUNCTION("AVERAGE(INDEX(GOOGLEFINANCE(A1500, ""price"", TODAY()-300, TODAY()), 0, 2))"),163.24711442786062)</f>
        <v>163.2471144</v>
      </c>
      <c r="U1500" s="9">
        <f t="shared" si="5"/>
        <v>-0.01121318748</v>
      </c>
      <c r="V1500" s="15">
        <f>IFERROR(__xludf.DUMMYFUNCTION("LET(hist, GOOGLEFINANCE(A1500,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rs))))))"),49.24506387921019)</f>
        <v>49.24506388</v>
      </c>
      <c r="W1500" s="16" t="str">
        <f>IFERROR(__xludf.DUMMYFUNCTION("IFERROR(GOOGLEFINANCE(A1500, ""volume"") / GOOGLEFINANCE(A1500, ""volumeavg""), )"),"")</f>
        <v/>
      </c>
      <c r="X1500" s="9">
        <f>IFERROR(__xludf.DUMMYFUNCTION("B1500 * GOOGLEFINANCE(A1500, ""volume"")"),381824.0)</f>
        <v>381824</v>
      </c>
      <c r="Y1500" s="9">
        <f>IFERROR(__xludf.DUMMYFUNCTION("IFERROR(((B1500 - GOOGLEFINANCE(A1500, ""priceopen"")) / GOOGLEFINANCE(A1500, ""priceopen"")) * GOOGLEFINANCE(A1500, ""volume""), 0)"),-15.39240506329114)</f>
        <v>-15.39240506</v>
      </c>
    </row>
    <row r="1501">
      <c r="A1501" s="4" t="s">
        <v>3293</v>
      </c>
      <c r="B1501" s="7">
        <f>IFERROR(__xludf.DUMMYFUNCTION("GOOGLEFINANCE(A1501, ""price"")"),349.0)</f>
        <v>349</v>
      </c>
      <c r="C1501" s="7">
        <f>IFERROR(__xludf.DUMMYFUNCTION("GOOGLEFINANCE(A1501, ""changepct"")"),0.09)</f>
        <v>0.09</v>
      </c>
      <c r="D1501" s="9">
        <f>IFERROR(__xludf.DUMMYFUNCTION("GOOGLEFINANCE(A1501, ""priceopen"")"),355.9)</f>
        <v>355.9</v>
      </c>
      <c r="E1501" s="9">
        <f>IFERROR(__xludf.DUMMYFUNCTION("GOOGLEFINANCE(A1501, ""high"")"),356.8)</f>
        <v>356.8</v>
      </c>
      <c r="F1501" s="9">
        <f>IFERROR(__xludf.DUMMYFUNCTION("GOOGLEFINANCE(A1501, ""low"")"),342.6)</f>
        <v>342.6</v>
      </c>
      <c r="G1501" s="9">
        <f>IFERROR(__xludf.DUMMYFUNCTION("GOOGLEFINANCE(A1501, ""price"")"),349.0)</f>
        <v>349</v>
      </c>
      <c r="H1501" s="9">
        <f>IFERROR(__xludf.DUMMYFUNCTION("MAX(INDEX(GOOGLEFINANCE(A1501, ""high"", TODAY()-30, TODAY()), 0, 2))"),410.15)</f>
        <v>410.15</v>
      </c>
      <c r="I1501" s="9">
        <f>IFERROR(__xludf.DUMMYFUNCTION("MIN(INDEX(GOOGLEFINANCE(A1501, ""low"", TODAY()-30, TODAY()), 0, 2))"),322.1)</f>
        <v>322.1</v>
      </c>
      <c r="J1501" s="9">
        <f>IFERROR(__xludf.DUMMYFUNCTION("GOOGLEFINANCE(A1501, ""high52"")"),478.0)</f>
        <v>478</v>
      </c>
      <c r="K1501" s="9">
        <f>IFERROR(__xludf.DUMMYFUNCTION("GOOGLEFINANCE(A1501, ""low52"")"),222.35)</f>
        <v>222.35</v>
      </c>
      <c r="L1501" s="9">
        <f t="shared" si="1"/>
        <v>0.269874477</v>
      </c>
      <c r="M1501" s="9">
        <f t="shared" si="2"/>
        <v>0.5695974814</v>
      </c>
      <c r="N1501" s="9">
        <f t="shared" si="3"/>
        <v>0.04144775248</v>
      </c>
      <c r="O1501" s="9">
        <f t="shared" si="4"/>
        <v>0.305508234</v>
      </c>
      <c r="P1501" s="9" t="str">
        <f>IFERROR(__xludf.DUMMYFUNCTION("GOOGLEFINANCE(A1501, ""pe"")"),"#N/A")</f>
        <v>#N/A</v>
      </c>
      <c r="Q1501" s="9">
        <f>IFERROR(__xludf.DUMMYFUNCTION("IFERROR(GOOGLEFINANCE(A1501, ""volume"") / GOOGLEFINANCE(A1501, ""volumeavg""), 0)"),0.0)</f>
        <v>0</v>
      </c>
      <c r="R1501" s="9">
        <f>IFERROR(__xludf.DUMMYFUNCTION("AVERAGE(INDEX(GOOGLEFINANCE(A1501, ""price"", TODAY()-30, TODAY()), 0, 2))"),355.82173913043476)</f>
        <v>355.8217391</v>
      </c>
      <c r="S1501" s="9">
        <f>IFERROR(__xludf.DUMMYFUNCTION("AVERAGE(INDEX(GOOGLEFINANCE(A1501, ""price"", TODAY()-75, TODAY()), 0, 2))"),326.8094339622642)</f>
        <v>326.809434</v>
      </c>
      <c r="T1501" s="9">
        <f>IFERROR(__xludf.DUMMYFUNCTION("AVERAGE(INDEX(GOOGLEFINANCE(A1501, ""price"", TODAY()-300, TODAY()), 0, 2))"),310.61732673267323)</f>
        <v>310.6173267</v>
      </c>
      <c r="U1501" s="9">
        <f t="shared" si="5"/>
        <v>-0.01917178851</v>
      </c>
      <c r="V1501" s="15">
        <f>IFERROR(__xludf.DUMMYFUNCTION("LET(hist, GOOGLEFINANCE(A1501,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rs))))))"),44.59833795013848)</f>
        <v>44.59833795</v>
      </c>
      <c r="W1501" s="16" t="str">
        <f>IFERROR(__xludf.DUMMYFUNCTION("IFERROR(GOOGLEFINANCE(A1501, ""volume"") / GOOGLEFINANCE(A1501, ""volumeavg""), )"),"")</f>
        <v/>
      </c>
      <c r="X1501" s="9">
        <f>IFERROR(__xludf.DUMMYFUNCTION("B1501 * GOOGLEFINANCE(A1501, ""volume"")"),5596564.0)</f>
        <v>5596564</v>
      </c>
      <c r="Y1501" s="9">
        <f>IFERROR(__xludf.DUMMYFUNCTION("IFERROR(((B1501 - GOOGLEFINANCE(A1501, ""priceopen"")) / GOOGLEFINANCE(A1501, ""priceopen"")) * GOOGLEFINANCE(A1501, ""volume""), 0)"),-310.89744310199393)</f>
        <v>-310.8974431</v>
      </c>
    </row>
    <row r="1502">
      <c r="A1502" s="4" t="s">
        <v>3294</v>
      </c>
      <c r="B1502" s="7">
        <f>IFERROR(__xludf.DUMMYFUNCTION("GOOGLEFINANCE(A1502, ""price"")"),106.15)</f>
        <v>106.15</v>
      </c>
      <c r="C1502" s="7">
        <f>IFERROR(__xludf.DUMMYFUNCTION("GOOGLEFINANCE(A1502, ""changepct"")"),2.29)</f>
        <v>2.29</v>
      </c>
      <c r="D1502" s="9">
        <f>IFERROR(__xludf.DUMMYFUNCTION("GOOGLEFINANCE(A1502, ""priceopen"")"),114.0)</f>
        <v>114</v>
      </c>
      <c r="E1502" s="9">
        <f>IFERROR(__xludf.DUMMYFUNCTION("GOOGLEFINANCE(A1502, ""high"")"),120.89)</f>
        <v>120.89</v>
      </c>
      <c r="F1502" s="9">
        <f>IFERROR(__xludf.DUMMYFUNCTION("GOOGLEFINANCE(A1502, ""low"")"),105.11)</f>
        <v>105.11</v>
      </c>
      <c r="G1502" s="9">
        <f>IFERROR(__xludf.DUMMYFUNCTION("GOOGLEFINANCE(A1502, ""price"")"),106.15)</f>
        <v>106.15</v>
      </c>
      <c r="H1502" s="9">
        <f>IFERROR(__xludf.DUMMYFUNCTION("MAX(INDEX(GOOGLEFINANCE(A1502, ""high"", TODAY()-30, TODAY()), 0, 2))"),120.89)</f>
        <v>120.89</v>
      </c>
      <c r="I1502" s="9">
        <f>IFERROR(__xludf.DUMMYFUNCTION("MIN(INDEX(GOOGLEFINANCE(A1502, ""low"", TODAY()-30, TODAY()), 0, 2))"),93.0)</f>
        <v>93</v>
      </c>
      <c r="J1502" s="9">
        <f>IFERROR(__xludf.DUMMYFUNCTION("GOOGLEFINANCE(A1502, ""high52"")"),129.89)</f>
        <v>129.89</v>
      </c>
      <c r="K1502" s="9">
        <f>IFERROR(__xludf.DUMMYFUNCTION("GOOGLEFINANCE(A1502, ""low52"")"),78.67)</f>
        <v>78.67</v>
      </c>
      <c r="L1502" s="9">
        <f t="shared" si="1"/>
        <v>0.1827700362</v>
      </c>
      <c r="M1502" s="9">
        <f t="shared" si="2"/>
        <v>0.3493072327</v>
      </c>
      <c r="N1502" s="9">
        <f t="shared" si="3"/>
        <v>0.1501284369</v>
      </c>
      <c r="O1502" s="9">
        <f t="shared" si="4"/>
        <v>0.4714951596</v>
      </c>
      <c r="P1502" s="9">
        <f>IFERROR(__xludf.DUMMYFUNCTION("GOOGLEFINANCE(A1502, ""pe"")"),9.8)</f>
        <v>9.8</v>
      </c>
      <c r="Q1502" s="9">
        <f>IFERROR(__xludf.DUMMYFUNCTION("IFERROR(GOOGLEFINANCE(A1502, ""volume"") / GOOGLEFINANCE(A1502, ""volumeavg""), 0)"),0.0)</f>
        <v>0</v>
      </c>
      <c r="R1502" s="9">
        <f>IFERROR(__xludf.DUMMYFUNCTION("AVERAGE(INDEX(GOOGLEFINANCE(A1502, ""price"", TODAY()-30, TODAY()), 0, 2))"),96.91478260869565)</f>
        <v>96.91478261</v>
      </c>
      <c r="S1502" s="9">
        <f>IFERROR(__xludf.DUMMYFUNCTION("AVERAGE(INDEX(GOOGLEFINANCE(A1502, ""price"", TODAY()-75, TODAY()), 0, 2))"),94.19245283018871)</f>
        <v>94.19245283</v>
      </c>
      <c r="T1502" s="9">
        <f>IFERROR(__xludf.DUMMYFUNCTION("AVERAGE(INDEX(GOOGLEFINANCE(A1502, ""price"", TODAY()-300, TODAY()), 0, 2))"),96.31891089108912)</f>
        <v>96.31891089</v>
      </c>
      <c r="U1502" s="9">
        <f t="shared" si="5"/>
        <v>0.0952921437</v>
      </c>
      <c r="V1502" s="15">
        <f>IFERROR(__xludf.DUMMYFUNCTION("LET(hist, GOOGLEFINANCE(A1502,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rs))))))"),75.97690941385437)</f>
        <v>75.97690941</v>
      </c>
      <c r="W1502" s="16" t="str">
        <f>IFERROR(__xludf.DUMMYFUNCTION("IFERROR(GOOGLEFINANCE(A1502, ""volume"") / GOOGLEFINANCE(A1502, ""volumeavg""), )"),"")</f>
        <v/>
      </c>
      <c r="X1502" s="9">
        <f>IFERROR(__xludf.DUMMYFUNCTION("B1502 * GOOGLEFINANCE(A1502, ""volume"")"),5.9392612785E8)</f>
        <v>593926127.9</v>
      </c>
      <c r="Y1502" s="9">
        <f>IFERROR(__xludf.DUMMYFUNCTION("IFERROR(((B1502 - GOOGLEFINANCE(A1502, ""priceopen"")) / GOOGLEFINANCE(A1502, ""priceopen"")) * GOOGLEFINANCE(A1502, ""volume""), 0)"),-385280.68552631553)</f>
        <v>-385280.6855</v>
      </c>
    </row>
    <row r="1503">
      <c r="A1503" s="4" t="s">
        <v>3295</v>
      </c>
      <c r="B1503" s="7">
        <f>IFERROR(__xludf.DUMMYFUNCTION("GOOGLEFINANCE(A1503, ""price"")"),271.0)</f>
        <v>271</v>
      </c>
      <c r="C1503" s="7">
        <f>IFERROR(__xludf.DUMMYFUNCTION("GOOGLEFINANCE(A1503, ""changepct"")"),3.75)</f>
        <v>3.75</v>
      </c>
      <c r="D1503" s="9">
        <f>IFERROR(__xludf.DUMMYFUNCTION("GOOGLEFINANCE(A1503, ""priceopen"")"),267.7)</f>
        <v>267.7</v>
      </c>
      <c r="E1503" s="9">
        <f>IFERROR(__xludf.DUMMYFUNCTION("GOOGLEFINANCE(A1503, ""high"")"),277.0)</f>
        <v>277</v>
      </c>
      <c r="F1503" s="9">
        <f>IFERROR(__xludf.DUMMYFUNCTION("GOOGLEFINANCE(A1503, ""low"")"),263.6)</f>
        <v>263.6</v>
      </c>
      <c r="G1503" s="9">
        <f>IFERROR(__xludf.DUMMYFUNCTION("GOOGLEFINANCE(A1503, ""price"")"),271.0)</f>
        <v>271</v>
      </c>
      <c r="H1503" s="9">
        <f>IFERROR(__xludf.DUMMYFUNCTION("MAX(INDEX(GOOGLEFINANCE(A1503, ""high"", TODAY()-30, TODAY()), 0, 2))"),277.0)</f>
        <v>277</v>
      </c>
      <c r="I1503" s="9">
        <f>IFERROR(__xludf.DUMMYFUNCTION("MIN(INDEX(GOOGLEFINANCE(A1503, ""low"", TODAY()-30, TODAY()), 0, 2))"),248.25)</f>
        <v>248.25</v>
      </c>
      <c r="J1503" s="9">
        <f>IFERROR(__xludf.DUMMYFUNCTION("GOOGLEFINANCE(A1503, ""high52"")"),339.0)</f>
        <v>339</v>
      </c>
      <c r="K1503" s="9">
        <f>IFERROR(__xludf.DUMMYFUNCTION("GOOGLEFINANCE(A1503, ""low52"")"),198.81)</f>
        <v>198.81</v>
      </c>
      <c r="L1503" s="9">
        <f t="shared" si="1"/>
        <v>0.2005899705</v>
      </c>
      <c r="M1503" s="9">
        <f t="shared" si="2"/>
        <v>0.3631105075</v>
      </c>
      <c r="N1503" s="9">
        <f t="shared" si="3"/>
        <v>0.05083459788</v>
      </c>
      <c r="O1503" s="9">
        <f t="shared" si="4"/>
        <v>0.7913043478</v>
      </c>
      <c r="P1503" s="9">
        <f>IFERROR(__xludf.DUMMYFUNCTION("GOOGLEFINANCE(A1503, ""pe"")"),41.69)</f>
        <v>41.69</v>
      </c>
      <c r="Q1503" s="9">
        <f>IFERROR(__xludf.DUMMYFUNCTION("IFERROR(GOOGLEFINANCE(A1503, ""volume"") / GOOGLEFINANCE(A1503, ""volumeavg""), 0)"),0.0)</f>
        <v>0</v>
      </c>
      <c r="R1503" s="9">
        <f>IFERROR(__xludf.DUMMYFUNCTION("AVERAGE(INDEX(GOOGLEFINANCE(A1503, ""price"", TODAY()-30, TODAY()), 0, 2))"),257.2217391304348)</f>
        <v>257.2217391</v>
      </c>
      <c r="S1503" s="9">
        <f>IFERROR(__xludf.DUMMYFUNCTION("AVERAGE(INDEX(GOOGLEFINANCE(A1503, ""price"", TODAY()-75, TODAY()), 0, 2))"),248.7356603773585)</f>
        <v>248.7356604</v>
      </c>
      <c r="T1503" s="9">
        <f>IFERROR(__xludf.DUMMYFUNCTION("AVERAGE(INDEX(GOOGLEFINANCE(A1503, ""price"", TODAY()-300, TODAY()), 0, 2))"),253.34014851485156)</f>
        <v>253.3401485</v>
      </c>
      <c r="U1503" s="9">
        <f t="shared" si="5"/>
        <v>0.05356569362</v>
      </c>
      <c r="V1503" s="15">
        <f>IFERROR(__xludf.DUMMYFUNCTION("LET(hist, GOOGLEFINANCE(A1503,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rs))))))"),72.45179063360871)</f>
        <v>72.45179063</v>
      </c>
      <c r="W1503" s="16" t="str">
        <f>IFERROR(__xludf.DUMMYFUNCTION("IFERROR(GOOGLEFINANCE(A1503, ""volume"") / GOOGLEFINANCE(A1503, ""volumeavg""), )"),"")</f>
        <v/>
      </c>
      <c r="X1503" s="9">
        <f>IFERROR(__xludf.DUMMYFUNCTION("B1503 * GOOGLEFINANCE(A1503, ""volume"")"),1.5177084E7)</f>
        <v>15177084</v>
      </c>
      <c r="Y1503" s="9">
        <f>IFERROR(__xludf.DUMMYFUNCTION("IFERROR(((B1503 - GOOGLEFINANCE(A1503, ""priceopen"")) / GOOGLEFINANCE(A1503, ""priceopen"")) * GOOGLEFINANCE(A1503, ""volume""), 0)"),690.3742995890947)</f>
        <v>690.3742996</v>
      </c>
    </row>
    <row r="1504">
      <c r="A1504" s="4" t="s">
        <v>3296</v>
      </c>
      <c r="B1504" s="7">
        <f>IFERROR(__xludf.DUMMYFUNCTION("GOOGLEFINANCE(A1504, ""price"")"),332.6)</f>
        <v>332.6</v>
      </c>
      <c r="C1504" s="7">
        <f>IFERROR(__xludf.DUMMYFUNCTION("GOOGLEFINANCE(A1504, ""changepct"")"),1.37)</f>
        <v>1.37</v>
      </c>
      <c r="D1504" s="9">
        <f>IFERROR(__xludf.DUMMYFUNCTION("GOOGLEFINANCE(A1504, ""priceopen"")"),340.0)</f>
        <v>340</v>
      </c>
      <c r="E1504" s="9">
        <f>IFERROR(__xludf.DUMMYFUNCTION("GOOGLEFINANCE(A1504, ""high"")"),340.1)</f>
        <v>340.1</v>
      </c>
      <c r="F1504" s="9">
        <f>IFERROR(__xludf.DUMMYFUNCTION("GOOGLEFINANCE(A1504, ""low"")"),324.0)</f>
        <v>324</v>
      </c>
      <c r="G1504" s="9">
        <f>IFERROR(__xludf.DUMMYFUNCTION("GOOGLEFINANCE(A1504, ""price"")"),332.6)</f>
        <v>332.6</v>
      </c>
      <c r="H1504" s="9">
        <f>IFERROR(__xludf.DUMMYFUNCTION("MAX(INDEX(GOOGLEFINANCE(A1504, ""high"", TODAY()-30, TODAY()), 0, 2))"),353.95)</f>
        <v>353.95</v>
      </c>
      <c r="I1504" s="9">
        <f>IFERROR(__xludf.DUMMYFUNCTION("MIN(INDEX(GOOGLEFINANCE(A1504, ""low"", TODAY()-30, TODAY()), 0, 2))"),296.6)</f>
        <v>296.6</v>
      </c>
      <c r="J1504" s="9">
        <f>IFERROR(__xludf.DUMMYFUNCTION("GOOGLEFINANCE(A1504, ""high52"")"),420.0)</f>
        <v>420</v>
      </c>
      <c r="K1504" s="9">
        <f>IFERROR(__xludf.DUMMYFUNCTION("GOOGLEFINANCE(A1504, ""low52"")"),211.0)</f>
        <v>211</v>
      </c>
      <c r="L1504" s="9">
        <f t="shared" si="1"/>
        <v>0.2080952381</v>
      </c>
      <c r="M1504" s="9">
        <f t="shared" si="2"/>
        <v>0.5763033175</v>
      </c>
      <c r="N1504" s="9">
        <f t="shared" si="3"/>
        <v>0.04969135802</v>
      </c>
      <c r="O1504" s="9">
        <f t="shared" si="4"/>
        <v>0.6277244987</v>
      </c>
      <c r="P1504" s="9">
        <f>IFERROR(__xludf.DUMMYFUNCTION("GOOGLEFINANCE(A1504, ""pe"")"),13.66)</f>
        <v>13.66</v>
      </c>
      <c r="Q1504" s="9">
        <f>IFERROR(__xludf.DUMMYFUNCTION("IFERROR(GOOGLEFINANCE(A1504, ""volume"") / GOOGLEFINANCE(A1504, ""volumeavg""), 0)"),0.0)</f>
        <v>0</v>
      </c>
      <c r="R1504" s="9">
        <f>IFERROR(__xludf.DUMMYFUNCTION("AVERAGE(INDEX(GOOGLEFINANCE(A1504, ""price"", TODAY()-30, TODAY()), 0, 2))"),325.0391304347827)</f>
        <v>325.0391304</v>
      </c>
      <c r="S1504" s="9">
        <f>IFERROR(__xludf.DUMMYFUNCTION("AVERAGE(INDEX(GOOGLEFINANCE(A1504, ""price"", TODAY()-75, TODAY()), 0, 2))"),319.6707547169811)</f>
        <v>319.6707547</v>
      </c>
      <c r="T1504" s="9">
        <f>IFERROR(__xludf.DUMMYFUNCTION("AVERAGE(INDEX(GOOGLEFINANCE(A1504, ""price"", TODAY()-300, TODAY()), 0, 2))"),320.2373267326734)</f>
        <v>320.2373267</v>
      </c>
      <c r="U1504" s="9">
        <f t="shared" si="5"/>
        <v>0.02326141334</v>
      </c>
      <c r="V1504" s="15">
        <f>IFERROR(__xludf.DUMMYFUNCTION("LET(hist, GOOGLEFINANCE(A1504,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rs))))))"),51.515151515151516)</f>
        <v>51.51515152</v>
      </c>
      <c r="W1504" s="16" t="str">
        <f>IFERROR(__xludf.DUMMYFUNCTION("IFERROR(GOOGLEFINANCE(A1504, ""volume"") / GOOGLEFINANCE(A1504, ""volumeavg""), )"),"")</f>
        <v/>
      </c>
      <c r="X1504" s="9">
        <f>IFERROR(__xludf.DUMMYFUNCTION("B1504 * GOOGLEFINANCE(A1504, ""volume"")"),1.6248175200000001E7)</f>
        <v>16248175.2</v>
      </c>
      <c r="Y1504" s="9">
        <f>IFERROR(__xludf.DUMMYFUNCTION("IFERROR(((B1504 - GOOGLEFINANCE(A1504, ""priceopen"")) / GOOGLEFINANCE(A1504, ""priceopen"")) * GOOGLEFINANCE(A1504, ""volume""), 0)"),-1063.2494117647025)</f>
        <v>-1063.249412</v>
      </c>
    </row>
    <row r="1505">
      <c r="A1505" s="4" t="s">
        <v>3297</v>
      </c>
      <c r="B1505" s="7">
        <f>IFERROR(__xludf.DUMMYFUNCTION("GOOGLEFINANCE(A1505, ""price"")"),81.51)</f>
        <v>81.51</v>
      </c>
      <c r="C1505" s="7">
        <f>IFERROR(__xludf.DUMMYFUNCTION("GOOGLEFINANCE(A1505, ""changepct"")"),-1.16)</f>
        <v>-1.16</v>
      </c>
      <c r="D1505" s="9">
        <f>IFERROR(__xludf.DUMMYFUNCTION("GOOGLEFINANCE(A1505, ""priceopen"")"),82.8)</f>
        <v>82.8</v>
      </c>
      <c r="E1505" s="9">
        <f>IFERROR(__xludf.DUMMYFUNCTION("GOOGLEFINANCE(A1505, ""high"")"),82.8)</f>
        <v>82.8</v>
      </c>
      <c r="F1505" s="9">
        <f>IFERROR(__xludf.DUMMYFUNCTION("GOOGLEFINANCE(A1505, ""low"")"),81.0)</f>
        <v>81</v>
      </c>
      <c r="G1505" s="9">
        <f>IFERROR(__xludf.DUMMYFUNCTION("GOOGLEFINANCE(A1505, ""price"")"),81.51)</f>
        <v>81.51</v>
      </c>
      <c r="H1505" s="9">
        <f>IFERROR(__xludf.DUMMYFUNCTION("MAX(INDEX(GOOGLEFINANCE(A1505, ""high"", TODAY()-30, TODAY()), 0, 2))"),92.4)</f>
        <v>92.4</v>
      </c>
      <c r="I1505" s="9">
        <f>IFERROR(__xludf.DUMMYFUNCTION("MIN(INDEX(GOOGLEFINANCE(A1505, ""low"", TODAY()-30, TODAY()), 0, 2))"),81.0)</f>
        <v>81</v>
      </c>
      <c r="J1505" s="9">
        <f>IFERROR(__xludf.DUMMYFUNCTION("GOOGLEFINANCE(A1505, ""high52"")"),128.0)</f>
        <v>128</v>
      </c>
      <c r="K1505" s="9">
        <f>IFERROR(__xludf.DUMMYFUNCTION("GOOGLEFINANCE(A1505, ""low52"")"),71.05)</f>
        <v>71.05</v>
      </c>
      <c r="L1505" s="9">
        <f t="shared" si="1"/>
        <v>0.363203125</v>
      </c>
      <c r="M1505" s="9">
        <f t="shared" si="2"/>
        <v>0.1472202674</v>
      </c>
      <c r="N1505" s="9">
        <f t="shared" si="3"/>
        <v>0.02222222222</v>
      </c>
      <c r="O1505" s="9">
        <f t="shared" si="4"/>
        <v>0.04473684211</v>
      </c>
      <c r="P1505" s="9">
        <f>IFERROR(__xludf.DUMMYFUNCTION("GOOGLEFINANCE(A1505, ""pe"")"),37.07)</f>
        <v>37.07</v>
      </c>
      <c r="Q1505" s="9">
        <f>IFERROR(__xludf.DUMMYFUNCTION("IFERROR(GOOGLEFINANCE(A1505, ""volume"") / GOOGLEFINANCE(A1505, ""volumeavg""), 0)"),0.0)</f>
        <v>0</v>
      </c>
      <c r="R1505" s="9">
        <f>IFERROR(__xludf.DUMMYFUNCTION("AVERAGE(INDEX(GOOGLEFINANCE(A1505, ""price"", TODAY()-30, TODAY()), 0, 2))"),85.25260869565219)</f>
        <v>85.2526087</v>
      </c>
      <c r="S1505" s="9">
        <f>IFERROR(__xludf.DUMMYFUNCTION("AVERAGE(INDEX(GOOGLEFINANCE(A1505, ""price"", TODAY()-75, TODAY()), 0, 2))"),85.84867924528301)</f>
        <v>85.84867925</v>
      </c>
      <c r="T1505" s="9">
        <f>IFERROR(__xludf.DUMMYFUNCTION("AVERAGE(INDEX(GOOGLEFINANCE(A1505, ""price"", TODAY()-300, TODAY()), 0, 2))"),88.1693069306931)</f>
        <v>88.16930693</v>
      </c>
      <c r="U1505" s="9">
        <f t="shared" si="5"/>
        <v>-0.04390022491</v>
      </c>
      <c r="V1505" s="15">
        <f>IFERROR(__xludf.DUMMYFUNCTION("LET(hist, GOOGLEFINANCE(A1505,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rs))))))"),44.17808219178082)</f>
        <v>44.17808219</v>
      </c>
      <c r="W1505" s="16" t="str">
        <f>IFERROR(__xludf.DUMMYFUNCTION("IFERROR(GOOGLEFINANCE(A1505, ""volume"") / GOOGLEFINANCE(A1505, ""volumeavg""), )"),"")</f>
        <v/>
      </c>
      <c r="X1505" s="9">
        <f>IFERROR(__xludf.DUMMYFUNCTION("B1505 * GOOGLEFINANCE(A1505, ""volume"")"),2642554.2)</f>
        <v>2642554.2</v>
      </c>
      <c r="Y1505" s="9">
        <f>IFERROR(__xludf.DUMMYFUNCTION("IFERROR(((B1505 - GOOGLEFINANCE(A1505, ""priceopen"")) / GOOGLEFINANCE(A1505, ""priceopen"")) * GOOGLEFINANCE(A1505, ""volume""), 0)"),-505.0942028985476)</f>
        <v>-505.0942029</v>
      </c>
    </row>
    <row r="1506">
      <c r="A1506" s="4" t="s">
        <v>3298</v>
      </c>
      <c r="B1506" s="7">
        <f>IFERROR(__xludf.DUMMYFUNCTION("GOOGLEFINANCE(A1506, ""price"")"),687.9)</f>
        <v>687.9</v>
      </c>
      <c r="C1506" s="7">
        <f>IFERROR(__xludf.DUMMYFUNCTION("GOOGLEFINANCE(A1506, ""changepct"")"),-1.67)</f>
        <v>-1.67</v>
      </c>
      <c r="D1506" s="9">
        <f>IFERROR(__xludf.DUMMYFUNCTION("GOOGLEFINANCE(A1506, ""priceopen"")"),710.0)</f>
        <v>710</v>
      </c>
      <c r="E1506" s="9">
        <f>IFERROR(__xludf.DUMMYFUNCTION("GOOGLEFINANCE(A1506, ""high"")"),710.0)</f>
        <v>710</v>
      </c>
      <c r="F1506" s="9">
        <f>IFERROR(__xludf.DUMMYFUNCTION("GOOGLEFINANCE(A1506, ""low"")"),672.15)</f>
        <v>672.15</v>
      </c>
      <c r="G1506" s="9">
        <f>IFERROR(__xludf.DUMMYFUNCTION("GOOGLEFINANCE(A1506, ""price"")"),687.9)</f>
        <v>687.9</v>
      </c>
      <c r="H1506" s="9">
        <f>IFERROR(__xludf.DUMMYFUNCTION("MAX(INDEX(GOOGLEFINANCE(A1506, ""high"", TODAY()-30, TODAY()), 0, 2))"),791.0)</f>
        <v>791</v>
      </c>
      <c r="I1506" s="9">
        <f>IFERROR(__xludf.DUMMYFUNCTION("MIN(INDEX(GOOGLEFINANCE(A1506, ""low"", TODAY()-30, TODAY()), 0, 2))"),672.15)</f>
        <v>672.15</v>
      </c>
      <c r="J1506" s="9">
        <f>IFERROR(__xludf.DUMMYFUNCTION("GOOGLEFINANCE(A1506, ""high52"")"),1036.7)</f>
        <v>1036.7</v>
      </c>
      <c r="K1506" s="9">
        <f>IFERROR(__xludf.DUMMYFUNCTION("GOOGLEFINANCE(A1506, ""low52"")"),381.0)</f>
        <v>381</v>
      </c>
      <c r="L1506" s="9">
        <f t="shared" si="1"/>
        <v>0.3364522041</v>
      </c>
      <c r="M1506" s="9">
        <f t="shared" si="2"/>
        <v>0.805511811</v>
      </c>
      <c r="N1506" s="9">
        <f t="shared" si="3"/>
        <v>0.05631183516</v>
      </c>
      <c r="O1506" s="9">
        <f t="shared" si="4"/>
        <v>0.1325199832</v>
      </c>
      <c r="P1506" s="9">
        <f>IFERROR(__xludf.DUMMYFUNCTION("GOOGLEFINANCE(A1506, ""pe"")"),23.92)</f>
        <v>23.92</v>
      </c>
      <c r="Q1506" s="9">
        <f>IFERROR(__xludf.DUMMYFUNCTION("IFERROR(GOOGLEFINANCE(A1506, ""volume"") / GOOGLEFINANCE(A1506, ""volumeavg""), 0)"),0.0)</f>
        <v>0</v>
      </c>
      <c r="R1506" s="9">
        <f>IFERROR(__xludf.DUMMYFUNCTION("AVERAGE(INDEX(GOOGLEFINANCE(A1506, ""price"", TODAY()-30, TODAY()), 0, 2))"),733.2195652173913)</f>
        <v>733.2195652</v>
      </c>
      <c r="S1506" s="9">
        <f>IFERROR(__xludf.DUMMYFUNCTION("AVERAGE(INDEX(GOOGLEFINANCE(A1506, ""price"", TODAY()-75, TODAY()), 0, 2))"),736.6735849056603)</f>
        <v>736.6735849</v>
      </c>
      <c r="T1506" s="9">
        <f>IFERROR(__xludf.DUMMYFUNCTION("AVERAGE(INDEX(GOOGLEFINANCE(A1506, ""price"", TODAY()-300, TODAY()), 0, 2))"),740.2539603960396)</f>
        <v>740.2539604</v>
      </c>
      <c r="U1506" s="9">
        <f t="shared" si="5"/>
        <v>-0.06180899606</v>
      </c>
      <c r="V1506" s="15">
        <f>IFERROR(__xludf.DUMMYFUNCTION("LET(hist, GOOGLEFINANCE(A1506,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rs))))))"),20.563847429519072)</f>
        <v>20.56384743</v>
      </c>
      <c r="W1506" s="16" t="str">
        <f>IFERROR(__xludf.DUMMYFUNCTION("IFERROR(GOOGLEFINANCE(A1506, ""volume"") / GOOGLEFINANCE(A1506, ""volumeavg""), )"),"")</f>
        <v/>
      </c>
      <c r="X1506" s="9">
        <f>IFERROR(__xludf.DUMMYFUNCTION("B1506 * GOOGLEFINANCE(A1506, ""volume"")"),1.17651537E7)</f>
        <v>11765153.7</v>
      </c>
      <c r="Y1506" s="9">
        <f>IFERROR(__xludf.DUMMYFUNCTION("IFERROR(((B1506 - GOOGLEFINANCE(A1506, ""priceopen"")) / GOOGLEFINANCE(A1506, ""priceopen"")) * GOOGLEFINANCE(A1506, ""volume""), 0)"),-532.3609859154935)</f>
        <v>-532.3609859</v>
      </c>
    </row>
    <row r="1507">
      <c r="A1507" s="4" t="s">
        <v>3299</v>
      </c>
      <c r="B1507" s="7">
        <f>IFERROR(__xludf.DUMMYFUNCTION("GOOGLEFINANCE(A1507, ""price"")"),88.3)</f>
        <v>88.3</v>
      </c>
      <c r="C1507" s="7">
        <f>IFERROR(__xludf.DUMMYFUNCTION("GOOGLEFINANCE(A1507, ""changepct"")"),2.36)</f>
        <v>2.36</v>
      </c>
      <c r="D1507" s="9">
        <f>IFERROR(__xludf.DUMMYFUNCTION("GOOGLEFINANCE(A1507, ""priceopen"")"),87.99)</f>
        <v>87.99</v>
      </c>
      <c r="E1507" s="9">
        <f>IFERROR(__xludf.DUMMYFUNCTION("GOOGLEFINANCE(A1507, ""high"")"),89.99)</f>
        <v>89.99</v>
      </c>
      <c r="F1507" s="9">
        <f>IFERROR(__xludf.DUMMYFUNCTION("GOOGLEFINANCE(A1507, ""low"")"),87.11)</f>
        <v>87.11</v>
      </c>
      <c r="G1507" s="9">
        <f>IFERROR(__xludf.DUMMYFUNCTION("GOOGLEFINANCE(A1507, ""price"")"),88.3)</f>
        <v>88.3</v>
      </c>
      <c r="H1507" s="9">
        <f>IFERROR(__xludf.DUMMYFUNCTION("MAX(INDEX(GOOGLEFINANCE(A1507, ""high"", TODAY()-30, TODAY()), 0, 2))"),97.84)</f>
        <v>97.84</v>
      </c>
      <c r="I1507" s="9">
        <f>IFERROR(__xludf.DUMMYFUNCTION("MIN(INDEX(GOOGLEFINANCE(A1507, ""low"", TODAY()-30, TODAY()), 0, 2))"),85.53)</f>
        <v>85.53</v>
      </c>
      <c r="J1507" s="9">
        <f>IFERROR(__xludf.DUMMYFUNCTION("GOOGLEFINANCE(A1507, ""high52"")"),144.0)</f>
        <v>144</v>
      </c>
      <c r="K1507" s="9">
        <f>IFERROR(__xludf.DUMMYFUNCTION("GOOGLEFINANCE(A1507, ""low52"")"),71.5)</f>
        <v>71.5</v>
      </c>
      <c r="L1507" s="9">
        <f t="shared" si="1"/>
        <v>0.3868055556</v>
      </c>
      <c r="M1507" s="9">
        <f t="shared" si="2"/>
        <v>0.234965035</v>
      </c>
      <c r="N1507" s="9">
        <f t="shared" si="3"/>
        <v>0.03306164619</v>
      </c>
      <c r="O1507" s="9">
        <f t="shared" si="4"/>
        <v>0.2250203087</v>
      </c>
      <c r="P1507" s="9">
        <f>IFERROR(__xludf.DUMMYFUNCTION("GOOGLEFINANCE(A1507, ""pe"")"),42.05)</f>
        <v>42.05</v>
      </c>
      <c r="Q1507" s="9">
        <f>IFERROR(__xludf.DUMMYFUNCTION("IFERROR(GOOGLEFINANCE(A1507, ""volume"") / GOOGLEFINANCE(A1507, ""volumeavg""), 0)"),0.0)</f>
        <v>0</v>
      </c>
      <c r="R1507" s="9">
        <f>IFERROR(__xludf.DUMMYFUNCTION("AVERAGE(INDEX(GOOGLEFINANCE(A1507, ""price"", TODAY()-30, TODAY()), 0, 2))"),88.5878260869565)</f>
        <v>88.58782609</v>
      </c>
      <c r="S1507" s="9">
        <f>IFERROR(__xludf.DUMMYFUNCTION("AVERAGE(INDEX(GOOGLEFINANCE(A1507, ""price"", TODAY()-75, TODAY()), 0, 2))"),87.6111320754717)</f>
        <v>87.61113208</v>
      </c>
      <c r="T1507" s="9">
        <f>IFERROR(__xludf.DUMMYFUNCTION("AVERAGE(INDEX(GOOGLEFINANCE(A1507, ""price"", TODAY()-300, TODAY()), 0, 2))"),92.77589108910891)</f>
        <v>92.77589109</v>
      </c>
      <c r="U1507" s="9">
        <f t="shared" si="5"/>
        <v>-0.003249047862</v>
      </c>
      <c r="V1507" s="15">
        <f>IFERROR(__xludf.DUMMYFUNCTION("LET(hist, GOOGLEFINANCE(A1507,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rs))))))"),50.34777956126274)</f>
        <v>50.34777956</v>
      </c>
      <c r="W1507" s="16" t="str">
        <f>IFERROR(__xludf.DUMMYFUNCTION("IFERROR(GOOGLEFINANCE(A1507, ""volume"") / GOOGLEFINANCE(A1507, ""volumeavg""), )"),"")</f>
        <v/>
      </c>
      <c r="X1507" s="9">
        <f>IFERROR(__xludf.DUMMYFUNCTION("B1507 * GOOGLEFINANCE(A1507, ""volume"")"),9048807.4)</f>
        <v>9048807.4</v>
      </c>
      <c r="Y1507" s="9">
        <f>IFERROR(__xludf.DUMMYFUNCTION("IFERROR(((B1507 - GOOGLEFINANCE(A1507, ""priceopen"")) / GOOGLEFINANCE(A1507, ""priceopen"")) * GOOGLEFINANCE(A1507, ""volume""), 0)"),361.0430730764886)</f>
        <v>361.0430731</v>
      </c>
    </row>
    <row r="1508">
      <c r="A1508" s="4" t="s">
        <v>3300</v>
      </c>
      <c r="B1508" s="7">
        <f>IFERROR(__xludf.DUMMYFUNCTION("GOOGLEFINANCE(A1508, ""price"")"),74.93)</f>
        <v>74.93</v>
      </c>
      <c r="C1508" s="7">
        <f>IFERROR(__xludf.DUMMYFUNCTION("GOOGLEFINANCE(A1508, ""changepct"")"),0.23)</f>
        <v>0.23</v>
      </c>
      <c r="D1508" s="9">
        <f>IFERROR(__xludf.DUMMYFUNCTION("GOOGLEFINANCE(A1508, ""priceopen"")"),74.83)</f>
        <v>74.83</v>
      </c>
      <c r="E1508" s="9">
        <f>IFERROR(__xludf.DUMMYFUNCTION("GOOGLEFINANCE(A1508, ""high"")"),75.27)</f>
        <v>75.27</v>
      </c>
      <c r="F1508" s="9">
        <f>IFERROR(__xludf.DUMMYFUNCTION("GOOGLEFINANCE(A1508, ""low"")"),74.3)</f>
        <v>74.3</v>
      </c>
      <c r="G1508" s="9">
        <f>IFERROR(__xludf.DUMMYFUNCTION("GOOGLEFINANCE(A1508, ""price"")"),74.93)</f>
        <v>74.93</v>
      </c>
      <c r="H1508" s="9">
        <f>IFERROR(__xludf.DUMMYFUNCTION("MAX(INDEX(GOOGLEFINANCE(A1508, ""high"", TODAY()-30, TODAY()), 0, 2))"),84.8)</f>
        <v>84.8</v>
      </c>
      <c r="I1508" s="9">
        <f>IFERROR(__xludf.DUMMYFUNCTION("MIN(INDEX(GOOGLEFINANCE(A1508, ""low"", TODAY()-30, TODAY()), 0, 2))"),70.38)</f>
        <v>70.38</v>
      </c>
      <c r="J1508" s="9">
        <f>IFERROR(__xludf.DUMMYFUNCTION("GOOGLEFINANCE(A1508, ""high52"")"),120.0)</f>
        <v>120</v>
      </c>
      <c r="K1508" s="9">
        <f>IFERROR(__xludf.DUMMYFUNCTION("GOOGLEFINANCE(A1508, ""low52"")"),56.97)</f>
        <v>56.97</v>
      </c>
      <c r="L1508" s="9">
        <f t="shared" si="1"/>
        <v>0.3755833333</v>
      </c>
      <c r="M1508" s="9">
        <f t="shared" si="2"/>
        <v>0.3152536423</v>
      </c>
      <c r="N1508" s="9">
        <f t="shared" si="3"/>
        <v>0.0130551817</v>
      </c>
      <c r="O1508" s="9">
        <f t="shared" si="4"/>
        <v>0.3155339806</v>
      </c>
      <c r="P1508" s="9">
        <f>IFERROR(__xludf.DUMMYFUNCTION("GOOGLEFINANCE(A1508, ""pe"")"),20.36)</f>
        <v>20.36</v>
      </c>
      <c r="Q1508" s="9">
        <f>IFERROR(__xludf.DUMMYFUNCTION("IFERROR(GOOGLEFINANCE(A1508, ""volume"") / GOOGLEFINANCE(A1508, ""volumeavg""), 0)"),0.0)</f>
        <v>0</v>
      </c>
      <c r="R1508" s="9">
        <f>IFERROR(__xludf.DUMMYFUNCTION("AVERAGE(INDEX(GOOGLEFINANCE(A1508, ""price"", TODAY()-30, TODAY()), 0, 2))"),76.26869565217392)</f>
        <v>76.26869565</v>
      </c>
      <c r="S1508" s="9">
        <f>IFERROR(__xludf.DUMMYFUNCTION("AVERAGE(INDEX(GOOGLEFINANCE(A1508, ""price"", TODAY()-75, TODAY()), 0, 2))"),72.17245283018867)</f>
        <v>72.17245283</v>
      </c>
      <c r="T1508" s="9">
        <f>IFERROR(__xludf.DUMMYFUNCTION("AVERAGE(INDEX(GOOGLEFINANCE(A1508, ""price"", TODAY()-300, TODAY()), 0, 2))"),80.17252475247528)</f>
        <v>80.17252475</v>
      </c>
      <c r="U1508" s="9">
        <f t="shared" si="5"/>
        <v>-0.01755236065</v>
      </c>
      <c r="V1508" s="15">
        <f>IFERROR(__xludf.DUMMYFUNCTION("LET(hist, GOOGLEFINANCE(A1508,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rs))))))"),22.71604938271605)</f>
        <v>22.71604938</v>
      </c>
      <c r="W1508" s="16" t="str">
        <f>IFERROR(__xludf.DUMMYFUNCTION("IFERROR(GOOGLEFINANCE(A1508, ""volume"") / GOOGLEFINANCE(A1508, ""volumeavg""), )"),"")</f>
        <v/>
      </c>
      <c r="X1508" s="9">
        <f>IFERROR(__xludf.DUMMYFUNCTION("B1508 * GOOGLEFINANCE(A1508, ""volume"")"),3547036.3400000003)</f>
        <v>3547036.34</v>
      </c>
      <c r="Y1508" s="9">
        <f>IFERROR(__xludf.DUMMYFUNCTION("IFERROR(((B1508 - GOOGLEFINANCE(A1508, ""priceopen"")) / GOOGLEFINANCE(A1508, ""priceopen"")) * GOOGLEFINANCE(A1508, ""volume""), 0)"),63.260724308437844)</f>
        <v>63.26072431</v>
      </c>
    </row>
    <row r="1509">
      <c r="A1509" s="4" t="s">
        <v>3301</v>
      </c>
      <c r="B1509" s="7">
        <f>IFERROR(__xludf.DUMMYFUNCTION("GOOGLEFINANCE(A1509, ""price"")"),268.3)</f>
        <v>268.3</v>
      </c>
      <c r="C1509" s="7">
        <f>IFERROR(__xludf.DUMMYFUNCTION("GOOGLEFINANCE(A1509, ""changepct"")"),0.28)</f>
        <v>0.28</v>
      </c>
      <c r="D1509" s="9">
        <f>IFERROR(__xludf.DUMMYFUNCTION("GOOGLEFINANCE(A1509, ""priceopen"")"),270.2)</f>
        <v>270.2</v>
      </c>
      <c r="E1509" s="9">
        <f>IFERROR(__xludf.DUMMYFUNCTION("GOOGLEFINANCE(A1509, ""high"")"),275.0)</f>
        <v>275</v>
      </c>
      <c r="F1509" s="9">
        <f>IFERROR(__xludf.DUMMYFUNCTION("GOOGLEFINANCE(A1509, ""low"")"),254.2)</f>
        <v>254.2</v>
      </c>
      <c r="G1509" s="9">
        <f>IFERROR(__xludf.DUMMYFUNCTION("GOOGLEFINANCE(A1509, ""price"")"),268.3)</f>
        <v>268.3</v>
      </c>
      <c r="H1509" s="9">
        <f>IFERROR(__xludf.DUMMYFUNCTION("MAX(INDEX(GOOGLEFINANCE(A1509, ""high"", TODAY()-30, TODAY()), 0, 2))"),282.77)</f>
        <v>282.77</v>
      </c>
      <c r="I1509" s="9">
        <f>IFERROR(__xludf.DUMMYFUNCTION("MIN(INDEX(GOOGLEFINANCE(A1509, ""low"", TODAY()-30, TODAY()), 0, 2))"),173.2)</f>
        <v>173.2</v>
      </c>
      <c r="J1509" s="9">
        <f>IFERROR(__xludf.DUMMYFUNCTION("GOOGLEFINANCE(A1509, ""high52"")"),282.77)</f>
        <v>282.77</v>
      </c>
      <c r="K1509" s="9">
        <f>IFERROR(__xludf.DUMMYFUNCTION("GOOGLEFINANCE(A1509, ""low52"")"),133.0)</f>
        <v>133</v>
      </c>
      <c r="L1509" s="9">
        <f t="shared" si="1"/>
        <v>0.05117233087</v>
      </c>
      <c r="M1509" s="9">
        <f t="shared" si="2"/>
        <v>1.017293233</v>
      </c>
      <c r="N1509" s="9">
        <f t="shared" si="3"/>
        <v>0.08182533438</v>
      </c>
      <c r="O1509" s="9">
        <f t="shared" si="4"/>
        <v>0.8679383043</v>
      </c>
      <c r="P1509" s="9">
        <f>IFERROR(__xludf.DUMMYFUNCTION("GOOGLEFINANCE(A1509, ""pe"")"),37.9)</f>
        <v>37.9</v>
      </c>
      <c r="Q1509" s="9">
        <f>IFERROR(__xludf.DUMMYFUNCTION("IFERROR(GOOGLEFINANCE(A1509, ""volume"") / GOOGLEFINANCE(A1509, ""volumeavg""), 0)"),0.0)</f>
        <v>0</v>
      </c>
      <c r="R1509" s="9">
        <f>IFERROR(__xludf.DUMMYFUNCTION("AVERAGE(INDEX(GOOGLEFINANCE(A1509, ""price"", TODAY()-30, TODAY()), 0, 2))"),206.78304347826088)</f>
        <v>206.7830435</v>
      </c>
      <c r="S1509" s="9">
        <f>IFERROR(__xludf.DUMMYFUNCTION("AVERAGE(INDEX(GOOGLEFINANCE(A1509, ""price"", TODAY()-75, TODAY()), 0, 2))"),185.1688679245283)</f>
        <v>185.1688679</v>
      </c>
      <c r="T1509" s="9">
        <f>IFERROR(__xludf.DUMMYFUNCTION("AVERAGE(INDEX(GOOGLEFINANCE(A1509, ""price"", TODAY()-300, TODAY()), 0, 2))"),161.95287128712872)</f>
        <v>161.9528713</v>
      </c>
      <c r="U1509" s="9">
        <f t="shared" si="5"/>
        <v>0.2974951693</v>
      </c>
      <c r="V1509" s="15">
        <f>IFERROR(__xludf.DUMMYFUNCTION("LET(hist, GOOGLEFINANCE(A1509,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rs))))))"),87.68477067319876)</f>
        <v>87.68477067</v>
      </c>
      <c r="W1509" s="16" t="str">
        <f>IFERROR(__xludf.DUMMYFUNCTION("IFERROR(GOOGLEFINANCE(A1509, ""volume"") / GOOGLEFINANCE(A1509, ""volumeavg""), )"),"")</f>
        <v/>
      </c>
      <c r="X1509" s="9">
        <f>IFERROR(__xludf.DUMMYFUNCTION("B1509 * GOOGLEFINANCE(A1509, ""volume"")"),1.28910101E8)</f>
        <v>128910101</v>
      </c>
      <c r="Y1509" s="9">
        <f>IFERROR(__xludf.DUMMYFUNCTION("IFERROR(((B1509 - GOOGLEFINANCE(A1509, ""priceopen"")) / GOOGLEFINANCE(A1509, ""priceopen"")) * GOOGLEFINANCE(A1509, ""volume""), 0)"),-3378.582531458139)</f>
        <v>-3378.582531</v>
      </c>
    </row>
    <row r="1510">
      <c r="A1510" s="4" t="s">
        <v>3302</v>
      </c>
      <c r="B1510" s="7">
        <f>IFERROR(__xludf.DUMMYFUNCTION("GOOGLEFINANCE(A1510, ""price"")"),308.0)</f>
        <v>308</v>
      </c>
      <c r="C1510" s="7">
        <f>IFERROR(__xludf.DUMMYFUNCTION("GOOGLEFINANCE(A1510, ""changepct"")"),-1.35)</f>
        <v>-1.35</v>
      </c>
      <c r="D1510" s="9">
        <f>IFERROR(__xludf.DUMMYFUNCTION("GOOGLEFINANCE(A1510, ""priceopen"")"),312.2)</f>
        <v>312.2</v>
      </c>
      <c r="E1510" s="9">
        <f>IFERROR(__xludf.DUMMYFUNCTION("GOOGLEFINANCE(A1510, ""high"")"),312.2)</f>
        <v>312.2</v>
      </c>
      <c r="F1510" s="9">
        <f>IFERROR(__xludf.DUMMYFUNCTION("GOOGLEFINANCE(A1510, ""low"")"),306.0)</f>
        <v>306</v>
      </c>
      <c r="G1510" s="9">
        <f>IFERROR(__xludf.DUMMYFUNCTION("GOOGLEFINANCE(A1510, ""price"")"),308.0)</f>
        <v>308</v>
      </c>
      <c r="H1510" s="9">
        <f>IFERROR(__xludf.DUMMYFUNCTION("MAX(INDEX(GOOGLEFINANCE(A1510, ""high"", TODAY()-30, TODAY()), 0, 2))"),336.1)</f>
        <v>336.1</v>
      </c>
      <c r="I1510" s="9">
        <f>IFERROR(__xludf.DUMMYFUNCTION("MIN(INDEX(GOOGLEFINANCE(A1510, ""low"", TODAY()-30, TODAY()), 0, 2))"),306.0)</f>
        <v>306</v>
      </c>
      <c r="J1510" s="9">
        <f>IFERROR(__xludf.DUMMYFUNCTION("GOOGLEFINANCE(A1510, ""high52"")"),593.4)</f>
        <v>593.4</v>
      </c>
      <c r="K1510" s="9">
        <f>IFERROR(__xludf.DUMMYFUNCTION("GOOGLEFINANCE(A1510, ""low52"")"),269.4)</f>
        <v>269.4</v>
      </c>
      <c r="L1510" s="9">
        <f t="shared" si="1"/>
        <v>0.4809571958</v>
      </c>
      <c r="M1510" s="9">
        <f t="shared" si="2"/>
        <v>0.143281366</v>
      </c>
      <c r="N1510" s="9">
        <f t="shared" si="3"/>
        <v>0.02026143791</v>
      </c>
      <c r="O1510" s="9">
        <f t="shared" si="4"/>
        <v>0.06644518272</v>
      </c>
      <c r="P1510" s="9">
        <f>IFERROR(__xludf.DUMMYFUNCTION("GOOGLEFINANCE(A1510, ""pe"")"),26.24)</f>
        <v>26.24</v>
      </c>
      <c r="Q1510" s="9">
        <f>IFERROR(__xludf.DUMMYFUNCTION("IFERROR(GOOGLEFINANCE(A1510, ""volume"") / GOOGLEFINANCE(A1510, ""volumeavg""), 0)"),0.0)</f>
        <v>0</v>
      </c>
      <c r="R1510" s="9">
        <f>IFERROR(__xludf.DUMMYFUNCTION("AVERAGE(INDEX(GOOGLEFINANCE(A1510, ""price"", TODAY()-30, TODAY()), 0, 2))"),316.9217391304348)</f>
        <v>316.9217391</v>
      </c>
      <c r="S1510" s="9">
        <f>IFERROR(__xludf.DUMMYFUNCTION("AVERAGE(INDEX(GOOGLEFINANCE(A1510, ""price"", TODAY()-75, TODAY()), 0, 2))"),323.0358490566038)</f>
        <v>323.0358491</v>
      </c>
      <c r="T1510" s="9">
        <f>IFERROR(__xludf.DUMMYFUNCTION("AVERAGE(INDEX(GOOGLEFINANCE(A1510, ""price"", TODAY()-300, TODAY()), 0, 2))"),363.9873762376239)</f>
        <v>363.9873762</v>
      </c>
      <c r="U1510" s="9">
        <f t="shared" si="5"/>
        <v>-0.02815123745</v>
      </c>
      <c r="V1510" s="15">
        <f>IFERROR(__xludf.DUMMYFUNCTION("LET(hist, GOOGLEFINANCE(A1510,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rs))))))"),45.37815126050417)</f>
        <v>45.37815126</v>
      </c>
      <c r="W1510" s="16" t="str">
        <f>IFERROR(__xludf.DUMMYFUNCTION("IFERROR(GOOGLEFINANCE(A1510, ""volume"") / GOOGLEFINANCE(A1510, ""volumeavg""), )"),"")</f>
        <v/>
      </c>
      <c r="X1510" s="9">
        <f>IFERROR(__xludf.DUMMYFUNCTION("B1510 * GOOGLEFINANCE(A1510, ""volume"")"),5995220.0)</f>
        <v>5995220</v>
      </c>
      <c r="Y1510" s="9">
        <f>IFERROR(__xludf.DUMMYFUNCTION("IFERROR(((B1510 - GOOGLEFINANCE(A1510, ""priceopen"")) / GOOGLEFINANCE(A1510, ""priceopen"")) * GOOGLEFINANCE(A1510, ""volume""), 0)"),-261.8609865470845)</f>
        <v>-261.8609865</v>
      </c>
    </row>
    <row r="1511">
      <c r="A1511" s="4" t="s">
        <v>3303</v>
      </c>
      <c r="B1511" s="7">
        <f>IFERROR(__xludf.DUMMYFUNCTION("GOOGLEFINANCE(A1511, ""price"")"),41.18)</f>
        <v>41.18</v>
      </c>
      <c r="C1511" s="7">
        <f>IFERROR(__xludf.DUMMYFUNCTION("GOOGLEFINANCE(A1511, ""changepct"")"),-1.62)</f>
        <v>-1.62</v>
      </c>
      <c r="D1511" s="9">
        <f>IFERROR(__xludf.DUMMYFUNCTION("GOOGLEFINANCE(A1511, ""priceopen"")"),42.02)</f>
        <v>42.02</v>
      </c>
      <c r="E1511" s="9">
        <f>IFERROR(__xludf.DUMMYFUNCTION("GOOGLEFINANCE(A1511, ""high"")"),42.5)</f>
        <v>42.5</v>
      </c>
      <c r="F1511" s="9">
        <f>IFERROR(__xludf.DUMMYFUNCTION("GOOGLEFINANCE(A1511, ""low"")"),40.0)</f>
        <v>40</v>
      </c>
      <c r="G1511" s="9">
        <f>IFERROR(__xludf.DUMMYFUNCTION("GOOGLEFINANCE(A1511, ""price"")"),41.18)</f>
        <v>41.18</v>
      </c>
      <c r="H1511" s="9">
        <f>IFERROR(__xludf.DUMMYFUNCTION("MAX(INDEX(GOOGLEFINANCE(A1511, ""high"", TODAY()-30, TODAY()), 0, 2))"),53.49)</f>
        <v>53.49</v>
      </c>
      <c r="I1511" s="9">
        <f>IFERROR(__xludf.DUMMYFUNCTION("MIN(INDEX(GOOGLEFINANCE(A1511, ""low"", TODAY()-30, TODAY()), 0, 2))"),40.0)</f>
        <v>40</v>
      </c>
      <c r="J1511" s="9">
        <f>IFERROR(__xludf.DUMMYFUNCTION("GOOGLEFINANCE(A1511, ""high52"")"),53.49)</f>
        <v>53.49</v>
      </c>
      <c r="K1511" s="9">
        <f>IFERROR(__xludf.DUMMYFUNCTION("GOOGLEFINANCE(A1511, ""low52"")"),32.06)</f>
        <v>32.06</v>
      </c>
      <c r="L1511" s="9">
        <f t="shared" si="1"/>
        <v>0.2301364741</v>
      </c>
      <c r="M1511" s="9">
        <f t="shared" si="2"/>
        <v>0.2844666251</v>
      </c>
      <c r="N1511" s="9">
        <f t="shared" si="3"/>
        <v>0.0625</v>
      </c>
      <c r="O1511" s="9">
        <f t="shared" si="4"/>
        <v>0.08747220163</v>
      </c>
      <c r="P1511" s="9">
        <f>IFERROR(__xludf.DUMMYFUNCTION("GOOGLEFINANCE(A1511, ""pe"")"),9.09)</f>
        <v>9.09</v>
      </c>
      <c r="Q1511" s="9">
        <f>IFERROR(__xludf.DUMMYFUNCTION("IFERROR(GOOGLEFINANCE(A1511, ""volume"") / GOOGLEFINANCE(A1511, ""volumeavg""), 0)"),0.0)</f>
        <v>0</v>
      </c>
      <c r="R1511" s="9">
        <f>IFERROR(__xludf.DUMMYFUNCTION("AVERAGE(INDEX(GOOGLEFINANCE(A1511, ""price"", TODAY()-30, TODAY()), 0, 2))"),44.418695652173916)</f>
        <v>44.41869565</v>
      </c>
      <c r="S1511" s="9">
        <f>IFERROR(__xludf.DUMMYFUNCTION("AVERAGE(INDEX(GOOGLEFINANCE(A1511, ""price"", TODAY()-75, TODAY()), 0, 2))"),40.827358490566034)</f>
        <v>40.82735849</v>
      </c>
      <c r="T1511" s="9">
        <f>IFERROR(__xludf.DUMMYFUNCTION("AVERAGE(INDEX(GOOGLEFINANCE(A1511, ""price"", TODAY()-300, TODAY()), 0, 2))"),38.59737500000001)</f>
        <v>38.597375</v>
      </c>
      <c r="U1511" s="9">
        <f t="shared" si="5"/>
        <v>-0.0729128941</v>
      </c>
      <c r="V1511" s="15">
        <f>IFERROR(__xludf.DUMMYFUNCTION("LET(hist, GOOGLEFINANCE(A1511,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rs))))))"),25.30730296456977)</f>
        <v>25.30730296</v>
      </c>
      <c r="W1511" s="16" t="str">
        <f>IFERROR(__xludf.DUMMYFUNCTION("IFERROR(GOOGLEFINANCE(A1511, ""volume"") / GOOGLEFINANCE(A1511, ""volumeavg""), )"),"")</f>
        <v/>
      </c>
      <c r="X1511" s="9">
        <f>IFERROR(__xludf.DUMMYFUNCTION("B1511 * GOOGLEFINANCE(A1511, ""volume"")"),1.566598386E7)</f>
        <v>15665983.86</v>
      </c>
      <c r="Y1511" s="9">
        <f>IFERROR(__xludf.DUMMYFUNCTION("IFERROR(((B1511 - GOOGLEFINANCE(A1511, ""priceopen"")) / GOOGLEFINANCE(A1511, ""priceopen"")) * GOOGLEFINANCE(A1511, ""volume""), 0)"),-7604.918610185656)</f>
        <v>-7604.91861</v>
      </c>
    </row>
    <row r="1512">
      <c r="A1512" s="4" t="s">
        <v>3304</v>
      </c>
      <c r="B1512" s="7">
        <f>IFERROR(__xludf.DUMMYFUNCTION("GOOGLEFINANCE(A1512, ""price"")"),252.1)</f>
        <v>252.1</v>
      </c>
      <c r="C1512" s="7">
        <f>IFERROR(__xludf.DUMMYFUNCTION("GOOGLEFINANCE(A1512, ""changepct"")"),-0.31)</f>
        <v>-0.31</v>
      </c>
      <c r="D1512" s="9">
        <f>IFERROR(__xludf.DUMMYFUNCTION("GOOGLEFINANCE(A1512, ""priceopen"")"),251.9)</f>
        <v>251.9</v>
      </c>
      <c r="E1512" s="9">
        <f>IFERROR(__xludf.DUMMYFUNCTION("GOOGLEFINANCE(A1512, ""high"")"),255.98)</f>
        <v>255.98</v>
      </c>
      <c r="F1512" s="9">
        <f>IFERROR(__xludf.DUMMYFUNCTION("GOOGLEFINANCE(A1512, ""low"")"),248.21)</f>
        <v>248.21</v>
      </c>
      <c r="G1512" s="9">
        <f>IFERROR(__xludf.DUMMYFUNCTION("GOOGLEFINANCE(A1512, ""price"")"),252.1)</f>
        <v>252.1</v>
      </c>
      <c r="H1512" s="9">
        <f>IFERROR(__xludf.DUMMYFUNCTION("MAX(INDEX(GOOGLEFINANCE(A1512, ""high"", TODAY()-30, TODAY()), 0, 2))"),263.0)</f>
        <v>263</v>
      </c>
      <c r="I1512" s="9">
        <f>IFERROR(__xludf.DUMMYFUNCTION("MIN(INDEX(GOOGLEFINANCE(A1512, ""low"", TODAY()-30, TODAY()), 0, 2))"),219.42)</f>
        <v>219.42</v>
      </c>
      <c r="J1512" s="9">
        <f>IFERROR(__xludf.DUMMYFUNCTION("GOOGLEFINANCE(A1512, ""high52"")"),299.0)</f>
        <v>299</v>
      </c>
      <c r="K1512" s="9">
        <f>IFERROR(__xludf.DUMMYFUNCTION("GOOGLEFINANCE(A1512, ""low52"")"),181.1)</f>
        <v>181.1</v>
      </c>
      <c r="L1512" s="9">
        <f t="shared" si="1"/>
        <v>0.1568561873</v>
      </c>
      <c r="M1512" s="9">
        <f t="shared" si="2"/>
        <v>0.3920485919</v>
      </c>
      <c r="N1512" s="9">
        <f t="shared" si="3"/>
        <v>0.03130413763</v>
      </c>
      <c r="O1512" s="9">
        <f t="shared" si="4"/>
        <v>0.7498852685</v>
      </c>
      <c r="P1512" s="9">
        <f>IFERROR(__xludf.DUMMYFUNCTION("GOOGLEFINANCE(A1512, ""pe"")"),9.59)</f>
        <v>9.59</v>
      </c>
      <c r="Q1512" s="9">
        <f>IFERROR(__xludf.DUMMYFUNCTION("IFERROR(GOOGLEFINANCE(A1512, ""volume"") / GOOGLEFINANCE(A1512, ""volumeavg""), 0)"),0.0)</f>
        <v>0</v>
      </c>
      <c r="R1512" s="9">
        <f>IFERROR(__xludf.DUMMYFUNCTION("AVERAGE(INDEX(GOOGLEFINANCE(A1512, ""price"", TODAY()-30, TODAY()), 0, 2))"),238.08956521739128)</f>
        <v>238.0895652</v>
      </c>
      <c r="S1512" s="9">
        <f>IFERROR(__xludf.DUMMYFUNCTION("AVERAGE(INDEX(GOOGLEFINANCE(A1512, ""price"", TODAY()-75, TODAY()), 0, 2))"),236.04867924528298)</f>
        <v>236.0486792</v>
      </c>
      <c r="T1512" s="9">
        <f>IFERROR(__xludf.DUMMYFUNCTION("AVERAGE(INDEX(GOOGLEFINANCE(A1512, ""price"", TODAY()-300, TODAY()), 0, 2))"),234.7901980198021)</f>
        <v>234.790198</v>
      </c>
      <c r="U1512" s="9">
        <f t="shared" si="5"/>
        <v>0.05884522814</v>
      </c>
      <c r="V1512" s="15">
        <f>IFERROR(__xludf.DUMMYFUNCTION("LET(hist, GOOGLEFINANCE(A1512,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rs))))))"),69.24270639354438)</f>
        <v>69.24270639</v>
      </c>
      <c r="W1512" s="16" t="str">
        <f>IFERROR(__xludf.DUMMYFUNCTION("IFERROR(GOOGLEFINANCE(A1512, ""volume"") / GOOGLEFINANCE(A1512, ""volumeavg""), )"),"")</f>
        <v/>
      </c>
      <c r="X1512" s="9">
        <f>IFERROR(__xludf.DUMMYFUNCTION("B1512 * GOOGLEFINANCE(A1512, ""volume"")"),1.87156519E7)</f>
        <v>18715651.9</v>
      </c>
      <c r="Y1512" s="9">
        <f>IFERROR(__xludf.DUMMYFUNCTION("IFERROR(((B1512 - GOOGLEFINANCE(A1512, ""priceopen"")) / GOOGLEFINANCE(A1512, ""priceopen"")) * GOOGLEFINANCE(A1512, ""volume""), 0)"),58.94323144104468)</f>
        <v>58.94323144</v>
      </c>
    </row>
    <row r="1513">
      <c r="A1513" s="4" t="s">
        <v>3305</v>
      </c>
      <c r="B1513" s="7">
        <f>IFERROR(__xludf.DUMMYFUNCTION("GOOGLEFINANCE(A1513, ""price"")"),72.24)</f>
        <v>72.24</v>
      </c>
      <c r="C1513" s="7">
        <f>IFERROR(__xludf.DUMMYFUNCTION("GOOGLEFINANCE(A1513, ""changepct"")"),0.98)</f>
        <v>0.98</v>
      </c>
      <c r="D1513" s="9">
        <f>IFERROR(__xludf.DUMMYFUNCTION("GOOGLEFINANCE(A1513, ""priceopen"")"),73.3)</f>
        <v>73.3</v>
      </c>
      <c r="E1513" s="9">
        <f>IFERROR(__xludf.DUMMYFUNCTION("GOOGLEFINANCE(A1513, ""high"")"),74.62)</f>
        <v>74.62</v>
      </c>
      <c r="F1513" s="9">
        <f>IFERROR(__xludf.DUMMYFUNCTION("GOOGLEFINANCE(A1513, ""low"")"),71.02)</f>
        <v>71.02</v>
      </c>
      <c r="G1513" s="9">
        <f>IFERROR(__xludf.DUMMYFUNCTION("GOOGLEFINANCE(A1513, ""price"")"),72.24)</f>
        <v>72.24</v>
      </c>
      <c r="H1513" s="9">
        <f>IFERROR(__xludf.DUMMYFUNCTION("MAX(INDEX(GOOGLEFINANCE(A1513, ""high"", TODAY()-30, TODAY()), 0, 2))"),75.5)</f>
        <v>75.5</v>
      </c>
      <c r="I1513" s="9">
        <f>IFERROR(__xludf.DUMMYFUNCTION("MIN(INDEX(GOOGLEFINANCE(A1513, ""low"", TODAY()-30, TODAY()), 0, 2))"),61.7)</f>
        <v>61.7</v>
      </c>
      <c r="J1513" s="9">
        <f>IFERROR(__xludf.DUMMYFUNCTION("GOOGLEFINANCE(A1513, ""high52"")"),101.9)</f>
        <v>101.9</v>
      </c>
      <c r="K1513" s="9">
        <f>IFERROR(__xludf.DUMMYFUNCTION("GOOGLEFINANCE(A1513, ""low52"")"),50.01)</f>
        <v>50.01</v>
      </c>
      <c r="L1513" s="9">
        <f t="shared" si="1"/>
        <v>0.2910696762</v>
      </c>
      <c r="M1513" s="9">
        <f t="shared" si="2"/>
        <v>0.4445110978</v>
      </c>
      <c r="N1513" s="9">
        <f t="shared" si="3"/>
        <v>0.05068994649</v>
      </c>
      <c r="O1513" s="9">
        <f t="shared" si="4"/>
        <v>0.7637681159</v>
      </c>
      <c r="P1513" s="9">
        <f>IFERROR(__xludf.DUMMYFUNCTION("GOOGLEFINANCE(A1513, ""pe"")"),11.39)</f>
        <v>11.39</v>
      </c>
      <c r="Q1513" s="9">
        <f>IFERROR(__xludf.DUMMYFUNCTION("IFERROR(GOOGLEFINANCE(A1513, ""volume"") / GOOGLEFINANCE(A1513, ""volumeavg""), 0)"),0.0)</f>
        <v>0</v>
      </c>
      <c r="R1513" s="9">
        <f>IFERROR(__xludf.DUMMYFUNCTION("AVERAGE(INDEX(GOOGLEFINANCE(A1513, ""price"", TODAY()-30, TODAY()), 0, 2))"),67.76260869565215)</f>
        <v>67.7626087</v>
      </c>
      <c r="S1513" s="9">
        <f>IFERROR(__xludf.DUMMYFUNCTION("AVERAGE(INDEX(GOOGLEFINANCE(A1513, ""price"", TODAY()-75, TODAY()), 0, 2))"),61.5511320754717)</f>
        <v>61.55113208</v>
      </c>
      <c r="T1513" s="9">
        <f>IFERROR(__xludf.DUMMYFUNCTION("AVERAGE(INDEX(GOOGLEFINANCE(A1513, ""price"", TODAY()-300, TODAY()), 0, 2))"),68.1922772277228)</f>
        <v>68.19227723</v>
      </c>
      <c r="U1513" s="9">
        <f t="shared" si="5"/>
        <v>0.06607465962</v>
      </c>
      <c r="V1513" s="15">
        <f>IFERROR(__xludf.DUMMYFUNCTION("LET(hist, GOOGLEFINANCE(A1513,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rs))))))"),69.6261682242991)</f>
        <v>69.62616822</v>
      </c>
      <c r="W1513" s="16" t="str">
        <f>IFERROR(__xludf.DUMMYFUNCTION("IFERROR(GOOGLEFINANCE(A1513, ""volume"") / GOOGLEFINANCE(A1513, ""volumeavg""), )"),"")</f>
        <v/>
      </c>
      <c r="X1513" s="9">
        <f>IFERROR(__xludf.DUMMYFUNCTION("B1513 * GOOGLEFINANCE(A1513, ""volume"")"),1.3325903303999999E8)</f>
        <v>133259033</v>
      </c>
      <c r="Y1513" s="9">
        <f>IFERROR(__xludf.DUMMYFUNCTION("IFERROR(((B1513 - GOOGLEFINANCE(A1513, ""priceopen"")) / GOOGLEFINANCE(A1513, ""priceopen"")) * GOOGLEFINANCE(A1513, ""volume""), 0)"),-26676.006275579864)</f>
        <v>-26676.00628</v>
      </c>
    </row>
    <row r="1514">
      <c r="A1514" s="4" t="s">
        <v>3306</v>
      </c>
      <c r="B1514" s="7">
        <f>IFERROR(__xludf.DUMMYFUNCTION("GOOGLEFINANCE(A1514, ""price"")"),53.0)</f>
        <v>53</v>
      </c>
      <c r="C1514" s="7">
        <f>IFERROR(__xludf.DUMMYFUNCTION("GOOGLEFINANCE(A1514, ""changepct"")"),0.17)</f>
        <v>0.17</v>
      </c>
      <c r="D1514" s="9">
        <f>IFERROR(__xludf.DUMMYFUNCTION("GOOGLEFINANCE(A1514, ""priceopen"")"),52.5)</f>
        <v>52.5</v>
      </c>
      <c r="E1514" s="9">
        <f>IFERROR(__xludf.DUMMYFUNCTION("GOOGLEFINANCE(A1514, ""high"")"),54.45)</f>
        <v>54.45</v>
      </c>
      <c r="F1514" s="9">
        <f>IFERROR(__xludf.DUMMYFUNCTION("GOOGLEFINANCE(A1514, ""low"")"),52.5)</f>
        <v>52.5</v>
      </c>
      <c r="G1514" s="9">
        <f>IFERROR(__xludf.DUMMYFUNCTION("GOOGLEFINANCE(A1514, ""price"")"),53.0)</f>
        <v>53</v>
      </c>
      <c r="H1514" s="9">
        <f>IFERROR(__xludf.DUMMYFUNCTION("MAX(INDEX(GOOGLEFINANCE(A1514, ""high"", TODAY()-30, TODAY()), 0, 2))"),60.5)</f>
        <v>60.5</v>
      </c>
      <c r="I1514" s="9">
        <f>IFERROR(__xludf.DUMMYFUNCTION("MIN(INDEX(GOOGLEFINANCE(A1514, ""low"", TODAY()-30, TODAY()), 0, 2))"),52.11)</f>
        <v>52.11</v>
      </c>
      <c r="J1514" s="9">
        <f>IFERROR(__xludf.DUMMYFUNCTION("GOOGLEFINANCE(A1514, ""high52"")"),73.12)</f>
        <v>73.12</v>
      </c>
      <c r="K1514" s="9">
        <f>IFERROR(__xludf.DUMMYFUNCTION("GOOGLEFINANCE(A1514, ""low52"")"),48.81)</f>
        <v>48.81</v>
      </c>
      <c r="L1514" s="9">
        <f t="shared" si="1"/>
        <v>0.2751641138</v>
      </c>
      <c r="M1514" s="9">
        <f t="shared" si="2"/>
        <v>0.08584306495</v>
      </c>
      <c r="N1514" s="9">
        <f t="shared" si="3"/>
        <v>0.03714285714</v>
      </c>
      <c r="O1514" s="9">
        <f t="shared" si="4"/>
        <v>0.1060786651</v>
      </c>
      <c r="P1514" s="9">
        <f>IFERROR(__xludf.DUMMYFUNCTION("GOOGLEFINANCE(A1514, ""pe"")"),45.73)</f>
        <v>45.73</v>
      </c>
      <c r="Q1514" s="9">
        <f>IFERROR(__xludf.DUMMYFUNCTION("IFERROR(GOOGLEFINANCE(A1514, ""volume"") / GOOGLEFINANCE(A1514, ""volumeavg""), 0)"),0.0)</f>
        <v>0</v>
      </c>
      <c r="R1514" s="9">
        <f>IFERROR(__xludf.DUMMYFUNCTION("AVERAGE(INDEX(GOOGLEFINANCE(A1514, ""price"", TODAY()-30, TODAY()), 0, 2))"),55.22347826086957)</f>
        <v>55.22347826</v>
      </c>
      <c r="S1514" s="9">
        <f>IFERROR(__xludf.DUMMYFUNCTION("AVERAGE(INDEX(GOOGLEFINANCE(A1514, ""price"", TODAY()-75, TODAY()), 0, 2))"),56.43377358490564)</f>
        <v>56.43377358</v>
      </c>
      <c r="T1514" s="9">
        <f>IFERROR(__xludf.DUMMYFUNCTION("AVERAGE(INDEX(GOOGLEFINANCE(A1514, ""price"", TODAY()-300, TODAY()), 0, 2))"),60.670148514851526)</f>
        <v>60.67014851</v>
      </c>
      <c r="U1514" s="9">
        <f t="shared" si="5"/>
        <v>-0.04026327806</v>
      </c>
      <c r="V1514" s="15">
        <f>IFERROR(__xludf.DUMMYFUNCTION("LET(hist, GOOGLEFINANCE(A1514,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rs))))))"),37.65786452353617)</f>
        <v>37.65786452</v>
      </c>
      <c r="W1514" s="16" t="str">
        <f>IFERROR(__xludf.DUMMYFUNCTION("IFERROR(GOOGLEFINANCE(A1514, ""volume"") / GOOGLEFINANCE(A1514, ""volumeavg""), )"),"")</f>
        <v/>
      </c>
      <c r="X1514" s="9">
        <f>IFERROR(__xludf.DUMMYFUNCTION("B1514 * GOOGLEFINANCE(A1514, ""volume"")"),1152114.0)</f>
        <v>1152114</v>
      </c>
      <c r="Y1514" s="9">
        <f>IFERROR(__xludf.DUMMYFUNCTION("IFERROR(((B1514 - GOOGLEFINANCE(A1514, ""priceopen"")) / GOOGLEFINANCE(A1514, ""priceopen"")) * GOOGLEFINANCE(A1514, ""volume""), 0)"),207.02857142857144)</f>
        <v>207.0285714</v>
      </c>
    </row>
    <row r="1515">
      <c r="A1515" s="4" t="s">
        <v>3307</v>
      </c>
      <c r="B1515" s="7">
        <f>IFERROR(__xludf.DUMMYFUNCTION("GOOGLEFINANCE(A1515, ""price"")"),87.0)</f>
        <v>87</v>
      </c>
      <c r="C1515" s="7">
        <f>IFERROR(__xludf.DUMMYFUNCTION("GOOGLEFINANCE(A1515, ""changepct"")"),0.53)</f>
        <v>0.53</v>
      </c>
      <c r="D1515" s="9">
        <f>IFERROR(__xludf.DUMMYFUNCTION("GOOGLEFINANCE(A1515, ""priceopen"")"),86.0)</f>
        <v>86</v>
      </c>
      <c r="E1515" s="9">
        <f>IFERROR(__xludf.DUMMYFUNCTION("GOOGLEFINANCE(A1515, ""high"")"),89.44)</f>
        <v>89.44</v>
      </c>
      <c r="F1515" s="9">
        <f>IFERROR(__xludf.DUMMYFUNCTION("GOOGLEFINANCE(A1515, ""low"")"),85.1)</f>
        <v>85.1</v>
      </c>
      <c r="G1515" s="9">
        <f>IFERROR(__xludf.DUMMYFUNCTION("GOOGLEFINANCE(A1515, ""price"")"),87.0)</f>
        <v>87</v>
      </c>
      <c r="H1515" s="9">
        <f>IFERROR(__xludf.DUMMYFUNCTION("MAX(INDEX(GOOGLEFINANCE(A1515, ""high"", TODAY()-30, TODAY()), 0, 2))"),91.9)</f>
        <v>91.9</v>
      </c>
      <c r="I1515" s="9">
        <f>IFERROR(__xludf.DUMMYFUNCTION("MIN(INDEX(GOOGLEFINANCE(A1515, ""low"", TODAY()-30, TODAY()), 0, 2))"),75.0)</f>
        <v>75</v>
      </c>
      <c r="J1515" s="9">
        <f>IFERROR(__xludf.DUMMYFUNCTION("GOOGLEFINANCE(A1515, ""high52"")"),145.7)</f>
        <v>145.7</v>
      </c>
      <c r="K1515" s="9">
        <f>IFERROR(__xludf.DUMMYFUNCTION("GOOGLEFINANCE(A1515, ""low52"")"),57.27)</f>
        <v>57.27</v>
      </c>
      <c r="L1515" s="9">
        <f t="shared" si="1"/>
        <v>0.4028826356</v>
      </c>
      <c r="M1515" s="9">
        <f t="shared" si="2"/>
        <v>0.5191199581</v>
      </c>
      <c r="N1515" s="9">
        <f t="shared" si="3"/>
        <v>0.05099882491</v>
      </c>
      <c r="O1515" s="9">
        <f t="shared" si="4"/>
        <v>0.7100591716</v>
      </c>
      <c r="P1515" s="9">
        <f>IFERROR(__xludf.DUMMYFUNCTION("GOOGLEFINANCE(A1515, ""pe"")"),14.97)</f>
        <v>14.97</v>
      </c>
      <c r="Q1515" s="9">
        <f>IFERROR(__xludf.DUMMYFUNCTION("IFERROR(GOOGLEFINANCE(A1515, ""volume"") / GOOGLEFINANCE(A1515, ""volumeavg""), 0)"),0.0)</f>
        <v>0</v>
      </c>
      <c r="R1515" s="9">
        <f>IFERROR(__xludf.DUMMYFUNCTION("AVERAGE(INDEX(GOOGLEFINANCE(A1515, ""price"", TODAY()-30, TODAY()), 0, 2))"),81.94826086956523)</f>
        <v>81.94826087</v>
      </c>
      <c r="S1515" s="9">
        <f>IFERROR(__xludf.DUMMYFUNCTION("AVERAGE(INDEX(GOOGLEFINANCE(A1515, ""price"", TODAY()-75, TODAY()), 0, 2))"),81.59849056603773)</f>
        <v>81.59849057</v>
      </c>
      <c r="T1515" s="9">
        <f>IFERROR(__xludf.DUMMYFUNCTION("AVERAGE(INDEX(GOOGLEFINANCE(A1515, ""price"", TODAY()-300, TODAY()), 0, 2))"),77.29742574257425)</f>
        <v>77.29742574</v>
      </c>
      <c r="U1515" s="9">
        <f t="shared" si="5"/>
        <v>0.0616454709</v>
      </c>
      <c r="V1515" s="15">
        <f>IFERROR(__xludf.DUMMYFUNCTION("LET(hist, GOOGLEFINANCE(A1515,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rs))))))"),65.71988246816846)</f>
        <v>65.71988247</v>
      </c>
      <c r="W1515" s="16" t="str">
        <f>IFERROR(__xludf.DUMMYFUNCTION("IFERROR(GOOGLEFINANCE(A1515, ""volume"") / GOOGLEFINANCE(A1515, ""volumeavg""), )"),"")</f>
        <v/>
      </c>
      <c r="X1515" s="9">
        <f>IFERROR(__xludf.DUMMYFUNCTION("B1515 * GOOGLEFINANCE(A1515, ""volume"")"),1.9289118E7)</f>
        <v>19289118</v>
      </c>
      <c r="Y1515" s="9">
        <f>IFERROR(__xludf.DUMMYFUNCTION("IFERROR(((B1515 - GOOGLEFINANCE(A1515, ""priceopen"")) / GOOGLEFINANCE(A1515, ""priceopen"")) * GOOGLEFINANCE(A1515, ""volume""), 0)"),2578.06976744186)</f>
        <v>2578.069767</v>
      </c>
    </row>
    <row r="1516">
      <c r="A1516" s="4" t="s">
        <v>3308</v>
      </c>
      <c r="B1516" s="7">
        <f>IFERROR(__xludf.DUMMYFUNCTION("GOOGLEFINANCE(A1516, ""price"")"),272.0)</f>
        <v>272</v>
      </c>
      <c r="C1516" s="7">
        <f>IFERROR(__xludf.DUMMYFUNCTION("GOOGLEFINANCE(A1516, ""changepct"")"),-5.49)</f>
        <v>-5.49</v>
      </c>
      <c r="D1516" s="9">
        <f>IFERROR(__xludf.DUMMYFUNCTION("GOOGLEFINANCE(A1516, ""priceopen"")"),289.6)</f>
        <v>289.6</v>
      </c>
      <c r="E1516" s="9">
        <f>IFERROR(__xludf.DUMMYFUNCTION("GOOGLEFINANCE(A1516, ""high"")"),290.7)</f>
        <v>290.7</v>
      </c>
      <c r="F1516" s="9">
        <f>IFERROR(__xludf.DUMMYFUNCTION("GOOGLEFINANCE(A1516, ""low"")"),264.81)</f>
        <v>264.81</v>
      </c>
      <c r="G1516" s="9">
        <f>IFERROR(__xludf.DUMMYFUNCTION("GOOGLEFINANCE(A1516, ""price"")"),272.0)</f>
        <v>272</v>
      </c>
      <c r="H1516" s="9">
        <f>IFERROR(__xludf.DUMMYFUNCTION("MAX(INDEX(GOOGLEFINANCE(A1516, ""high"", TODAY()-30, TODAY()), 0, 2))"),308.9)</f>
        <v>308.9</v>
      </c>
      <c r="I1516" s="9">
        <f>IFERROR(__xludf.DUMMYFUNCTION("MIN(INDEX(GOOGLEFINANCE(A1516, ""low"", TODAY()-30, TODAY()), 0, 2))"),233.22)</f>
        <v>233.22</v>
      </c>
      <c r="J1516" s="9">
        <f>IFERROR(__xludf.DUMMYFUNCTION("GOOGLEFINANCE(A1516, ""high52"")"),380.6)</f>
        <v>380.6</v>
      </c>
      <c r="K1516" s="9">
        <f>IFERROR(__xludf.DUMMYFUNCTION("GOOGLEFINANCE(A1516, ""low52"")"),186.99)</f>
        <v>186.99</v>
      </c>
      <c r="L1516" s="9">
        <f t="shared" si="1"/>
        <v>0.2853389385</v>
      </c>
      <c r="M1516" s="9">
        <f t="shared" si="2"/>
        <v>0.4546232419</v>
      </c>
      <c r="N1516" s="9">
        <f t="shared" si="3"/>
        <v>0.09776821117</v>
      </c>
      <c r="O1516" s="9">
        <f t="shared" si="4"/>
        <v>0.5124207188</v>
      </c>
      <c r="P1516" s="9" t="str">
        <f>IFERROR(__xludf.DUMMYFUNCTION("GOOGLEFINANCE(A1516, ""pe"")"),"#N/A")</f>
        <v>#N/A</v>
      </c>
      <c r="Q1516" s="9">
        <f>IFERROR(__xludf.DUMMYFUNCTION("IFERROR(GOOGLEFINANCE(A1516, ""volume"") / GOOGLEFINANCE(A1516, ""volumeavg""), 0)"),0.0)</f>
        <v>0</v>
      </c>
      <c r="R1516" s="9">
        <f>IFERROR(__xludf.DUMMYFUNCTION("AVERAGE(INDEX(GOOGLEFINANCE(A1516, ""price"", TODAY()-30, TODAY()), 0, 2))"),250.15521739130438)</f>
        <v>250.1552174</v>
      </c>
      <c r="S1516" s="9">
        <f>IFERROR(__xludf.DUMMYFUNCTION("AVERAGE(INDEX(GOOGLEFINANCE(A1516, ""price"", TODAY()-75, TODAY()), 0, 2))"),243.7983018867924)</f>
        <v>243.7983019</v>
      </c>
      <c r="T1516" s="9">
        <f>IFERROR(__xludf.DUMMYFUNCTION("AVERAGE(INDEX(GOOGLEFINANCE(A1516, ""price"", TODAY()-300, TODAY()), 0, 2))"),259.55881188118803)</f>
        <v>259.5588119</v>
      </c>
      <c r="U1516" s="9">
        <f t="shared" si="5"/>
        <v>0.08732491305</v>
      </c>
      <c r="V1516" s="15">
        <f>IFERROR(__xludf.DUMMYFUNCTION("LET(hist, GOOGLEFINANCE(A1516,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rs))))))"),66.31764705882354)</f>
        <v>66.31764706</v>
      </c>
      <c r="W1516" s="16" t="str">
        <f>IFERROR(__xludf.DUMMYFUNCTION("IFERROR(GOOGLEFINANCE(A1516, ""volume"") / GOOGLEFINANCE(A1516, ""volumeavg""), )"),"")</f>
        <v/>
      </c>
      <c r="X1516" s="9">
        <f>IFERROR(__xludf.DUMMYFUNCTION("B1516 * GOOGLEFINANCE(A1516, ""volume"")"),9685376.0)</f>
        <v>9685376</v>
      </c>
      <c r="Y1516" s="9">
        <f>IFERROR(__xludf.DUMMYFUNCTION("IFERROR(((B1516 - GOOGLEFINANCE(A1516, ""priceopen"")) / GOOGLEFINANCE(A1516, ""priceopen"")) * GOOGLEFINANCE(A1516, ""volume""), 0)"),-2164.0220994475167)</f>
        <v>-2164.022099</v>
      </c>
    </row>
    <row r="1517">
      <c r="A1517" s="4" t="s">
        <v>3309</v>
      </c>
      <c r="B1517" s="7">
        <f>IFERROR(__xludf.DUMMYFUNCTION("GOOGLEFINANCE(A1517, ""price"")"),621.45)</f>
        <v>621.45</v>
      </c>
      <c r="C1517" s="7">
        <f>IFERROR(__xludf.DUMMYFUNCTION("GOOGLEFINANCE(A1517, ""changepct"")"),-0.72)</f>
        <v>-0.72</v>
      </c>
      <c r="D1517" s="9">
        <f>IFERROR(__xludf.DUMMYFUNCTION("GOOGLEFINANCE(A1517, ""priceopen"")"),628.0)</f>
        <v>628</v>
      </c>
      <c r="E1517" s="9">
        <f>IFERROR(__xludf.DUMMYFUNCTION("GOOGLEFINANCE(A1517, ""high"")"),634.0)</f>
        <v>634</v>
      </c>
      <c r="F1517" s="9">
        <f>IFERROR(__xludf.DUMMYFUNCTION("GOOGLEFINANCE(A1517, ""low"")"),620.0)</f>
        <v>620</v>
      </c>
      <c r="G1517" s="9">
        <f>IFERROR(__xludf.DUMMYFUNCTION("GOOGLEFINANCE(A1517, ""price"")"),621.45)</f>
        <v>621.45</v>
      </c>
      <c r="H1517" s="9">
        <f>IFERROR(__xludf.DUMMYFUNCTION("MAX(INDEX(GOOGLEFINANCE(A1517, ""high"", TODAY()-30, TODAY()), 0, 2))"),646.7)</f>
        <v>646.7</v>
      </c>
      <c r="I1517" s="9">
        <f>IFERROR(__xludf.DUMMYFUNCTION("MIN(INDEX(GOOGLEFINANCE(A1517, ""low"", TODAY()-30, TODAY()), 0, 2))"),600.0)</f>
        <v>600</v>
      </c>
      <c r="J1517" s="9">
        <f>IFERROR(__xludf.DUMMYFUNCTION("GOOGLEFINANCE(A1517, ""high52"")"),729.5)</f>
        <v>729.5</v>
      </c>
      <c r="K1517" s="9">
        <f>IFERROR(__xludf.DUMMYFUNCTION("GOOGLEFINANCE(A1517, ""low52"")"),500.0)</f>
        <v>500</v>
      </c>
      <c r="L1517" s="9">
        <f t="shared" si="1"/>
        <v>0.1481151474</v>
      </c>
      <c r="M1517" s="9">
        <f t="shared" si="2"/>
        <v>0.2429</v>
      </c>
      <c r="N1517" s="9">
        <f t="shared" si="3"/>
        <v>0.02258064516</v>
      </c>
      <c r="O1517" s="9">
        <f t="shared" si="4"/>
        <v>0.4593147752</v>
      </c>
      <c r="P1517" s="9">
        <f>IFERROR(__xludf.DUMMYFUNCTION("GOOGLEFINANCE(A1517, ""pe"")"),13.29)</f>
        <v>13.29</v>
      </c>
      <c r="Q1517" s="9">
        <f>IFERROR(__xludf.DUMMYFUNCTION("IFERROR(GOOGLEFINANCE(A1517, ""volume"") / GOOGLEFINANCE(A1517, ""volumeavg""), 0)"),0.0)</f>
        <v>0</v>
      </c>
      <c r="R1517" s="9">
        <f>IFERROR(__xludf.DUMMYFUNCTION("AVERAGE(INDEX(GOOGLEFINANCE(A1517, ""price"", TODAY()-30, TODAY()), 0, 2))"),602.4956521739131)</f>
        <v>602.4956522</v>
      </c>
      <c r="S1517" s="9">
        <f>IFERROR(__xludf.DUMMYFUNCTION("AVERAGE(INDEX(GOOGLEFINANCE(A1517, ""price"", TODAY()-75, TODAY()), 0, 2))"),596.5886792452831)</f>
        <v>596.5886792</v>
      </c>
      <c r="T1517" s="9">
        <f>IFERROR(__xludf.DUMMYFUNCTION("AVERAGE(INDEX(GOOGLEFINANCE(A1517, ""price"", TODAY()-300, TODAY()), 0, 2))"),579.4079207920789)</f>
        <v>579.4079208</v>
      </c>
      <c r="U1517" s="9">
        <f t="shared" si="5"/>
        <v>0.03145972549</v>
      </c>
      <c r="V1517" s="15">
        <f>IFERROR(__xludf.DUMMYFUNCTION("LET(hist, GOOGLEFINANCE(A1517,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rs))))))"),76.25329815303397)</f>
        <v>76.25329815</v>
      </c>
      <c r="W1517" s="16" t="str">
        <f>IFERROR(__xludf.DUMMYFUNCTION("IFERROR(GOOGLEFINANCE(A1517, ""volume"") / GOOGLEFINANCE(A1517, ""volumeavg""), )"),"")</f>
        <v/>
      </c>
      <c r="X1517" s="9">
        <f>IFERROR(__xludf.DUMMYFUNCTION("B1517 * GOOGLEFINANCE(A1517, ""volume"")"),1.267447275E7)</f>
        <v>12674472.75</v>
      </c>
      <c r="Y1517" s="9">
        <f>IFERROR(__xludf.DUMMYFUNCTION("IFERROR(((B1517 - GOOGLEFINANCE(A1517, ""priceopen"")) / GOOGLEFINANCE(A1517, ""priceopen"")) * GOOGLEFINANCE(A1517, ""volume""), 0)"),-212.71855095541255)</f>
        <v>-212.718551</v>
      </c>
    </row>
    <row r="1518">
      <c r="A1518" s="4" t="s">
        <v>3310</v>
      </c>
      <c r="B1518" s="7">
        <f>IFERROR(__xludf.DUMMYFUNCTION("GOOGLEFINANCE(A1518, ""price"")"),59.5)</f>
        <v>59.5</v>
      </c>
      <c r="C1518" s="7">
        <f>IFERROR(__xludf.DUMMYFUNCTION("GOOGLEFINANCE(A1518, ""changepct"")"),-0.75)</f>
        <v>-0.75</v>
      </c>
      <c r="D1518" s="9">
        <f>IFERROR(__xludf.DUMMYFUNCTION("GOOGLEFINANCE(A1518, ""priceopen"")"),59.91)</f>
        <v>59.91</v>
      </c>
      <c r="E1518" s="9">
        <f>IFERROR(__xludf.DUMMYFUNCTION("GOOGLEFINANCE(A1518, ""high"")"),59.91)</f>
        <v>59.91</v>
      </c>
      <c r="F1518" s="9">
        <f>IFERROR(__xludf.DUMMYFUNCTION("GOOGLEFINANCE(A1518, ""low"")"),58.5)</f>
        <v>58.5</v>
      </c>
      <c r="G1518" s="9">
        <f>IFERROR(__xludf.DUMMYFUNCTION("GOOGLEFINANCE(A1518, ""price"")"),59.5)</f>
        <v>59.5</v>
      </c>
      <c r="H1518" s="9">
        <f>IFERROR(__xludf.DUMMYFUNCTION("MAX(INDEX(GOOGLEFINANCE(A1518, ""high"", TODAY()-30, TODAY()), 0, 2))"),67.0)</f>
        <v>67</v>
      </c>
      <c r="I1518" s="9">
        <f>IFERROR(__xludf.DUMMYFUNCTION("MIN(INDEX(GOOGLEFINANCE(A1518, ""low"", TODAY()-30, TODAY()), 0, 2))"),57.0)</f>
        <v>57</v>
      </c>
      <c r="J1518" s="9">
        <f>IFERROR(__xludf.DUMMYFUNCTION("GOOGLEFINANCE(A1518, ""high52"")"),177.9)</f>
        <v>177.9</v>
      </c>
      <c r="K1518" s="9">
        <f>IFERROR(__xludf.DUMMYFUNCTION("GOOGLEFINANCE(A1518, ""low52"")"),51.89)</f>
        <v>51.89</v>
      </c>
      <c r="L1518" s="9">
        <f t="shared" si="1"/>
        <v>0.6655424396</v>
      </c>
      <c r="M1518" s="9">
        <f t="shared" si="2"/>
        <v>0.1466563885</v>
      </c>
      <c r="N1518" s="9">
        <f t="shared" si="3"/>
        <v>0.0241025641</v>
      </c>
      <c r="O1518" s="9">
        <f t="shared" si="4"/>
        <v>0.25</v>
      </c>
      <c r="P1518" s="9" t="str">
        <f>IFERROR(__xludf.DUMMYFUNCTION("GOOGLEFINANCE(A1518, ""pe"")"),"#N/A")</f>
        <v>#N/A</v>
      </c>
      <c r="Q1518" s="9">
        <f>IFERROR(__xludf.DUMMYFUNCTION("IFERROR(GOOGLEFINANCE(A1518, ""volume"") / GOOGLEFINANCE(A1518, ""volumeavg""), 0)"),0.0)</f>
        <v>0</v>
      </c>
      <c r="R1518" s="9">
        <f>IFERROR(__xludf.DUMMYFUNCTION("AVERAGE(INDEX(GOOGLEFINANCE(A1518, ""price"", TODAY()-30, TODAY()), 0, 2))"),60.747391304347836)</f>
        <v>60.7473913</v>
      </c>
      <c r="S1518" s="9">
        <f>IFERROR(__xludf.DUMMYFUNCTION("AVERAGE(INDEX(GOOGLEFINANCE(A1518, ""price"", TODAY()-75, TODAY()), 0, 2))"),63.36566037735848)</f>
        <v>63.36566038</v>
      </c>
      <c r="T1518" s="9">
        <f>IFERROR(__xludf.DUMMYFUNCTION("AVERAGE(INDEX(GOOGLEFINANCE(A1518, ""price"", TODAY()-300, TODAY()), 0, 2))"),95.02391089108913)</f>
        <v>95.02391089</v>
      </c>
      <c r="U1518" s="9">
        <f t="shared" si="5"/>
        <v>-0.02053407196</v>
      </c>
      <c r="V1518" s="15">
        <f>IFERROR(__xludf.DUMMYFUNCTION("LET(hist, GOOGLEFINANCE(A1518,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rs))))))"),48.13829787234042)</f>
        <v>48.13829787</v>
      </c>
      <c r="W1518" s="16" t="str">
        <f>IFERROR(__xludf.DUMMYFUNCTION("IFERROR(GOOGLEFINANCE(A1518, ""volume"") / GOOGLEFINANCE(A1518, ""volumeavg""), )"),"")</f>
        <v/>
      </c>
      <c r="X1518" s="9">
        <f>IFERROR(__xludf.DUMMYFUNCTION("B1518 * GOOGLEFINANCE(A1518, ""volume"")"),214616.5)</f>
        <v>214616.5</v>
      </c>
      <c r="Y1518" s="9">
        <f>IFERROR(__xludf.DUMMYFUNCTION("IFERROR(((B1518 - GOOGLEFINANCE(A1518, ""priceopen"")) / GOOGLEFINANCE(A1518, ""priceopen"")) * GOOGLEFINANCE(A1518, ""volume""), 0)"),-24.684860624269533)</f>
        <v>-24.68486062</v>
      </c>
    </row>
    <row r="1519">
      <c r="A1519" s="4" t="s">
        <v>3311</v>
      </c>
      <c r="B1519" s="7">
        <f>IFERROR(__xludf.DUMMYFUNCTION("GOOGLEFINANCE(A1519, ""price"")"),112.25)</f>
        <v>112.25</v>
      </c>
      <c r="C1519" s="7">
        <f>IFERROR(__xludf.DUMMYFUNCTION("GOOGLEFINANCE(A1519, ""changepct"")"),-3.85)</f>
        <v>-3.85</v>
      </c>
      <c r="D1519" s="9">
        <f>IFERROR(__xludf.DUMMYFUNCTION("GOOGLEFINANCE(A1519, ""priceopen"")"),115.85)</f>
        <v>115.85</v>
      </c>
      <c r="E1519" s="9">
        <f>IFERROR(__xludf.DUMMYFUNCTION("GOOGLEFINANCE(A1519, ""high"")"),116.0)</f>
        <v>116</v>
      </c>
      <c r="F1519" s="9">
        <f>IFERROR(__xludf.DUMMYFUNCTION("GOOGLEFINANCE(A1519, ""low"")"),110.91)</f>
        <v>110.91</v>
      </c>
      <c r="G1519" s="9">
        <f>IFERROR(__xludf.DUMMYFUNCTION("GOOGLEFINANCE(A1519, ""price"")"),112.25)</f>
        <v>112.25</v>
      </c>
      <c r="H1519" s="9">
        <f>IFERROR(__xludf.DUMMYFUNCTION("MAX(INDEX(GOOGLEFINANCE(A1519, ""high"", TODAY()-30, TODAY()), 0, 2))"),129.99)</f>
        <v>129.99</v>
      </c>
      <c r="I1519" s="9">
        <f>IFERROR(__xludf.DUMMYFUNCTION("MIN(INDEX(GOOGLEFINANCE(A1519, ""low"", TODAY()-30, TODAY()), 0, 2))"),95.2)</f>
        <v>95.2</v>
      </c>
      <c r="J1519" s="9">
        <f>IFERROR(__xludf.DUMMYFUNCTION("GOOGLEFINANCE(A1519, ""high52"")"),129.99)</f>
        <v>129.99</v>
      </c>
      <c r="K1519" s="9">
        <f>IFERROR(__xludf.DUMMYFUNCTION("GOOGLEFINANCE(A1519, ""low52"")"),68.4)</f>
        <v>68.4</v>
      </c>
      <c r="L1519" s="9">
        <f t="shared" si="1"/>
        <v>0.1364720363</v>
      </c>
      <c r="M1519" s="9">
        <f t="shared" si="2"/>
        <v>0.6410818713</v>
      </c>
      <c r="N1519" s="9">
        <f t="shared" si="3"/>
        <v>0.04589306645</v>
      </c>
      <c r="O1519" s="9">
        <f t="shared" si="4"/>
        <v>0.4900833573</v>
      </c>
      <c r="P1519" s="9">
        <f>IFERROR(__xludf.DUMMYFUNCTION("GOOGLEFINANCE(A1519, ""pe"")"),11.02)</f>
        <v>11.02</v>
      </c>
      <c r="Q1519" s="9">
        <f>IFERROR(__xludf.DUMMYFUNCTION("IFERROR(GOOGLEFINANCE(A1519, ""volume"") / GOOGLEFINANCE(A1519, ""volumeavg""), 0)"),0.0)</f>
        <v>0</v>
      </c>
      <c r="R1519" s="9">
        <f>IFERROR(__xludf.DUMMYFUNCTION("AVERAGE(INDEX(GOOGLEFINANCE(A1519, ""price"", TODAY()-30, TODAY()), 0, 2))"),112.55130434782608)</f>
        <v>112.5513043</v>
      </c>
      <c r="S1519" s="9">
        <f>IFERROR(__xludf.DUMMYFUNCTION("AVERAGE(INDEX(GOOGLEFINANCE(A1519, ""price"", TODAY()-75, TODAY()), 0, 2))"),107.1135849056604)</f>
        <v>107.1135849</v>
      </c>
      <c r="T1519" s="9">
        <f>IFERROR(__xludf.DUMMYFUNCTION("AVERAGE(INDEX(GOOGLEFINANCE(A1519, ""price"", TODAY()-300, TODAY()), 0, 2))"),90.22990049751247)</f>
        <v>90.2299005</v>
      </c>
      <c r="U1519" s="9">
        <f t="shared" si="5"/>
        <v>-0.002677040036</v>
      </c>
      <c r="V1519" s="15">
        <f>IFERROR(__xludf.DUMMYFUNCTION("LET(hist, GOOGLEFINANCE(A1519,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rs))))))"),48.547449967721114)</f>
        <v>48.54744997</v>
      </c>
      <c r="W1519" s="16" t="str">
        <f>IFERROR(__xludf.DUMMYFUNCTION("IFERROR(GOOGLEFINANCE(A1519, ""volume"") / GOOGLEFINANCE(A1519, ""volumeavg""), )"),"")</f>
        <v/>
      </c>
      <c r="X1519" s="9">
        <f>IFERROR(__xludf.DUMMYFUNCTION("B1519 * GOOGLEFINANCE(A1519, ""volume"")"),2.268538825E7)</f>
        <v>22685388.25</v>
      </c>
      <c r="Y1519" s="9">
        <f>IFERROR(__xludf.DUMMYFUNCTION("IFERROR(((B1519 - GOOGLEFINANCE(A1519, ""priceopen"")) / GOOGLEFINANCE(A1519, ""priceopen"")) * GOOGLEFINANCE(A1519, ""volume""), 0)"),-6280.09667673715)</f>
        <v>-6280.096677</v>
      </c>
    </row>
    <row r="1520">
      <c r="A1520" s="4" t="s">
        <v>3312</v>
      </c>
      <c r="B1520" s="7">
        <f>IFERROR(__xludf.DUMMYFUNCTION("GOOGLEFINANCE(A1520, ""price"")"),407.9)</f>
        <v>407.9</v>
      </c>
      <c r="C1520" s="7">
        <f>IFERROR(__xludf.DUMMYFUNCTION("GOOGLEFINANCE(A1520, ""changepct"")"),0.33)</f>
        <v>0.33</v>
      </c>
      <c r="D1520" s="9">
        <f>IFERROR(__xludf.DUMMYFUNCTION("GOOGLEFINANCE(A1520, ""priceopen"")"),406.0)</f>
        <v>406</v>
      </c>
      <c r="E1520" s="9">
        <f>IFERROR(__xludf.DUMMYFUNCTION("GOOGLEFINANCE(A1520, ""high"")"),412.45)</f>
        <v>412.45</v>
      </c>
      <c r="F1520" s="9">
        <f>IFERROR(__xludf.DUMMYFUNCTION("GOOGLEFINANCE(A1520, ""low"")"),404.0)</f>
        <v>404</v>
      </c>
      <c r="G1520" s="9">
        <f>IFERROR(__xludf.DUMMYFUNCTION("GOOGLEFINANCE(A1520, ""price"")"),407.9)</f>
        <v>407.9</v>
      </c>
      <c r="H1520" s="9">
        <f>IFERROR(__xludf.DUMMYFUNCTION("MAX(INDEX(GOOGLEFINANCE(A1520, ""high"", TODAY()-30, TODAY()), 0, 2))"),437.95)</f>
        <v>437.95</v>
      </c>
      <c r="I1520" s="9">
        <f>IFERROR(__xludf.DUMMYFUNCTION("MIN(INDEX(GOOGLEFINANCE(A1520, ""low"", TODAY()-30, TODAY()), 0, 2))"),343.2)</f>
        <v>343.2</v>
      </c>
      <c r="J1520" s="9">
        <f>IFERROR(__xludf.DUMMYFUNCTION("GOOGLEFINANCE(A1520, ""high52"")"),437.95)</f>
        <v>437.95</v>
      </c>
      <c r="K1520" s="9">
        <f>IFERROR(__xludf.DUMMYFUNCTION("GOOGLEFINANCE(A1520, ""low52"")"),268.25)</f>
        <v>268.25</v>
      </c>
      <c r="L1520" s="9">
        <f t="shared" si="1"/>
        <v>0.06861513871</v>
      </c>
      <c r="M1520" s="9">
        <f t="shared" si="2"/>
        <v>0.5205964585</v>
      </c>
      <c r="N1520" s="9">
        <f t="shared" si="3"/>
        <v>0.02091584158</v>
      </c>
      <c r="O1520" s="9">
        <f t="shared" si="4"/>
        <v>0.6828496042</v>
      </c>
      <c r="P1520" s="9" t="str">
        <f>IFERROR(__xludf.DUMMYFUNCTION("GOOGLEFINANCE(A1520, ""pe"")"),"#N/A")</f>
        <v>#N/A</v>
      </c>
      <c r="Q1520" s="9">
        <f>IFERROR(__xludf.DUMMYFUNCTION("IFERROR(GOOGLEFINANCE(A1520, ""volume"") / GOOGLEFINANCE(A1520, ""volumeavg""), 0)"),0.0)</f>
        <v>0</v>
      </c>
      <c r="R1520" s="9">
        <f>IFERROR(__xludf.DUMMYFUNCTION("AVERAGE(INDEX(GOOGLEFINANCE(A1520, ""price"", TODAY()-30, TODAY()), 0, 2))"),377.391304347826)</f>
        <v>377.3913043</v>
      </c>
      <c r="S1520" s="9">
        <f>IFERROR(__xludf.DUMMYFUNCTION("AVERAGE(INDEX(GOOGLEFINANCE(A1520, ""price"", TODAY()-75, TODAY()), 0, 2))"),368.3952830188679)</f>
        <v>368.395283</v>
      </c>
      <c r="T1520" s="9">
        <f>IFERROR(__xludf.DUMMYFUNCTION("AVERAGE(INDEX(GOOGLEFINANCE(A1520, ""price"", TODAY()-300, TODAY()), 0, 2))"),354.94601449275376)</f>
        <v>354.9460145</v>
      </c>
      <c r="U1520" s="9">
        <f t="shared" si="5"/>
        <v>0.08084101382</v>
      </c>
      <c r="V1520" s="15">
        <f>IFERROR(__xludf.DUMMYFUNCTION("LET(hist, GOOGLEFINANCE(A1520,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rs))))))"),69.84126984126983)</f>
        <v>69.84126984</v>
      </c>
      <c r="W1520" s="16" t="str">
        <f>IFERROR(__xludf.DUMMYFUNCTION("IFERROR(GOOGLEFINANCE(A1520, ""volume"") / GOOGLEFINANCE(A1520, ""volumeavg""), )"),"")</f>
        <v/>
      </c>
      <c r="X1520" s="9">
        <f>IFERROR(__xludf.DUMMYFUNCTION("B1520 * GOOGLEFINANCE(A1520, ""volume"")"),2474729.3)</f>
        <v>2474729.3</v>
      </c>
      <c r="Y1520" s="9">
        <f>IFERROR(__xludf.DUMMYFUNCTION("IFERROR(((B1520 - GOOGLEFINANCE(A1520, ""priceopen"")) / GOOGLEFINANCE(A1520, ""priceopen"")) * GOOGLEFINANCE(A1520, ""volume""), 0)"),28.392364532019364)</f>
        <v>28.39236453</v>
      </c>
    </row>
    <row r="1521">
      <c r="A1521" s="4" t="s">
        <v>3313</v>
      </c>
      <c r="B1521" s="7">
        <f>IFERROR(__xludf.DUMMYFUNCTION("GOOGLEFINANCE(A1521, ""price"")"),62.5)</f>
        <v>62.5</v>
      </c>
      <c r="C1521" s="7">
        <f>IFERROR(__xludf.DUMMYFUNCTION("GOOGLEFINANCE(A1521, ""changepct"")"),6.13)</f>
        <v>6.13</v>
      </c>
      <c r="D1521" s="9">
        <f>IFERROR(__xludf.DUMMYFUNCTION("GOOGLEFINANCE(A1521, ""priceopen"")"),60.6)</f>
        <v>60.6</v>
      </c>
      <c r="E1521" s="9">
        <f>IFERROR(__xludf.DUMMYFUNCTION("GOOGLEFINANCE(A1521, ""high"")"),63.7)</f>
        <v>63.7</v>
      </c>
      <c r="F1521" s="9">
        <f>IFERROR(__xludf.DUMMYFUNCTION("GOOGLEFINANCE(A1521, ""low"")"),58.81)</f>
        <v>58.81</v>
      </c>
      <c r="G1521" s="9">
        <f>IFERROR(__xludf.DUMMYFUNCTION("GOOGLEFINANCE(A1521, ""price"")"),62.5)</f>
        <v>62.5</v>
      </c>
      <c r="H1521" s="9">
        <f>IFERROR(__xludf.DUMMYFUNCTION("MAX(INDEX(GOOGLEFINANCE(A1521, ""high"", TODAY()-30, TODAY()), 0, 2))"),67.59)</f>
        <v>67.59</v>
      </c>
      <c r="I1521" s="9">
        <f>IFERROR(__xludf.DUMMYFUNCTION("MIN(INDEX(GOOGLEFINANCE(A1521, ""low"", TODAY()-30, TODAY()), 0, 2))"),51.06)</f>
        <v>51.06</v>
      </c>
      <c r="J1521" s="9">
        <f>IFERROR(__xludf.DUMMYFUNCTION("GOOGLEFINANCE(A1521, ""high52"")"),67.59)</f>
        <v>67.59</v>
      </c>
      <c r="K1521" s="9">
        <f>IFERROR(__xludf.DUMMYFUNCTION("GOOGLEFINANCE(A1521, ""low52"")"),14.37)</f>
        <v>14.37</v>
      </c>
      <c r="L1521" s="9">
        <f t="shared" si="1"/>
        <v>0.07530699808</v>
      </c>
      <c r="M1521" s="9">
        <f t="shared" si="2"/>
        <v>3.3493389</v>
      </c>
      <c r="N1521" s="9">
        <f t="shared" si="3"/>
        <v>0.0831491243</v>
      </c>
      <c r="O1521" s="9">
        <f t="shared" si="4"/>
        <v>0.6920750151</v>
      </c>
      <c r="P1521" s="9" t="str">
        <f>IFERROR(__xludf.DUMMYFUNCTION("GOOGLEFINANCE(A1521, ""pe"")"),"#N/A")</f>
        <v>#N/A</v>
      </c>
      <c r="Q1521" s="9">
        <f>IFERROR(__xludf.DUMMYFUNCTION("IFERROR(GOOGLEFINANCE(A1521, ""volume"") / GOOGLEFINANCE(A1521, ""volumeavg""), 0)"),0.0)</f>
        <v>0</v>
      </c>
      <c r="R1521" s="9">
        <f>IFERROR(__xludf.DUMMYFUNCTION("AVERAGE(INDEX(GOOGLEFINANCE(A1521, ""price"", TODAY()-30, TODAY()), 0, 2))"),57.99913043478262)</f>
        <v>57.99913043</v>
      </c>
      <c r="S1521" s="9">
        <f>IFERROR(__xludf.DUMMYFUNCTION("AVERAGE(INDEX(GOOGLEFINANCE(A1521, ""price"", TODAY()-75, TODAY()), 0, 2))"),58.172641509433944)</f>
        <v>58.17264151</v>
      </c>
      <c r="T1521" s="9">
        <f>IFERROR(__xludf.DUMMYFUNCTION("AVERAGE(INDEX(GOOGLEFINANCE(A1521, ""price"", TODAY()-300, TODAY()), 0, 2))"),47.9022277227723)</f>
        <v>47.90222772</v>
      </c>
      <c r="U1521" s="9">
        <f t="shared" si="5"/>
        <v>0.07760236285</v>
      </c>
      <c r="V1521" s="15">
        <f>IFERROR(__xludf.DUMMYFUNCTION("LET(hist, GOOGLEFINANCE(A1521,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rs))))))"),62.740569668976136)</f>
        <v>62.74056967</v>
      </c>
      <c r="W1521" s="16" t="str">
        <f>IFERROR(__xludf.DUMMYFUNCTION("IFERROR(GOOGLEFINANCE(A1521, ""volume"") / GOOGLEFINANCE(A1521, ""volumeavg""), )"),"")</f>
        <v/>
      </c>
      <c r="X1521" s="9">
        <f>IFERROR(__xludf.DUMMYFUNCTION("B1521 * GOOGLEFINANCE(A1521, ""volume"")"),5.18753125E7)</f>
        <v>51875312.5</v>
      </c>
      <c r="Y1521" s="9">
        <f>IFERROR(__xludf.DUMMYFUNCTION("IFERROR(((B1521 - GOOGLEFINANCE(A1521, ""priceopen"")) / GOOGLEFINANCE(A1521, ""priceopen"")) * GOOGLEFINANCE(A1521, ""volume""), 0)"),26023.259075907572)</f>
        <v>26023.25908</v>
      </c>
    </row>
    <row r="1522">
      <c r="A1522" s="4" t="s">
        <v>3314</v>
      </c>
      <c r="B1522" s="7">
        <f>IFERROR(__xludf.DUMMYFUNCTION("GOOGLEFINANCE(A1522, ""price"")"),496.0)</f>
        <v>496</v>
      </c>
      <c r="C1522" s="7">
        <f>IFERROR(__xludf.DUMMYFUNCTION("GOOGLEFINANCE(A1522, ""changepct"")"),-0.99)</f>
        <v>-0.99</v>
      </c>
      <c r="D1522" s="9">
        <f>IFERROR(__xludf.DUMMYFUNCTION("GOOGLEFINANCE(A1522, ""priceopen"")"),511.0)</f>
        <v>511</v>
      </c>
      <c r="E1522" s="9">
        <f>IFERROR(__xludf.DUMMYFUNCTION("GOOGLEFINANCE(A1522, ""high"")"),511.0)</f>
        <v>511</v>
      </c>
      <c r="F1522" s="9">
        <f>IFERROR(__xludf.DUMMYFUNCTION("GOOGLEFINANCE(A1522, ""low"")"),493.0)</f>
        <v>493</v>
      </c>
      <c r="G1522" s="9">
        <f>IFERROR(__xludf.DUMMYFUNCTION("GOOGLEFINANCE(A1522, ""price"")"),496.0)</f>
        <v>496</v>
      </c>
      <c r="H1522" s="9">
        <f>IFERROR(__xludf.DUMMYFUNCTION("MAX(INDEX(GOOGLEFINANCE(A1522, ""high"", TODAY()-30, TODAY()), 0, 2))"),521.9)</f>
        <v>521.9</v>
      </c>
      <c r="I1522" s="9">
        <f>IFERROR(__xludf.DUMMYFUNCTION("MIN(INDEX(GOOGLEFINANCE(A1522, ""low"", TODAY()-30, TODAY()), 0, 2))"),475.1)</f>
        <v>475.1</v>
      </c>
      <c r="J1522" s="9">
        <f>IFERROR(__xludf.DUMMYFUNCTION("GOOGLEFINANCE(A1522, ""high52"")"),640.0)</f>
        <v>640</v>
      </c>
      <c r="K1522" s="9">
        <f>IFERROR(__xludf.DUMMYFUNCTION("GOOGLEFINANCE(A1522, ""low52"")"),382.4)</f>
        <v>382.4</v>
      </c>
      <c r="L1522" s="9">
        <f t="shared" si="1"/>
        <v>0.225</v>
      </c>
      <c r="M1522" s="9">
        <f t="shared" si="2"/>
        <v>0.2970711297</v>
      </c>
      <c r="N1522" s="9">
        <f t="shared" si="3"/>
        <v>0.03651115619</v>
      </c>
      <c r="O1522" s="9">
        <f t="shared" si="4"/>
        <v>0.4465811966</v>
      </c>
      <c r="P1522" s="9">
        <f>IFERROR(__xludf.DUMMYFUNCTION("GOOGLEFINANCE(A1522, ""pe"")"),9.31)</f>
        <v>9.31</v>
      </c>
      <c r="Q1522" s="9">
        <f>IFERROR(__xludf.DUMMYFUNCTION("IFERROR(GOOGLEFINANCE(A1522, ""volume"") / GOOGLEFINANCE(A1522, ""volumeavg""), 0)"),0.0)</f>
        <v>0</v>
      </c>
      <c r="R1522" s="9">
        <f>IFERROR(__xludf.DUMMYFUNCTION("AVERAGE(INDEX(GOOGLEFINANCE(A1522, ""price"", TODAY()-30, TODAY()), 0, 2))"),491.34347826086963)</f>
        <v>491.3434783</v>
      </c>
      <c r="S1522" s="9">
        <f>IFERROR(__xludf.DUMMYFUNCTION("AVERAGE(INDEX(GOOGLEFINANCE(A1522, ""price"", TODAY()-75, TODAY()), 0, 2))"),494.81603773584897)</f>
        <v>494.8160377</v>
      </c>
      <c r="T1522" s="9">
        <f>IFERROR(__xludf.DUMMYFUNCTION("AVERAGE(INDEX(GOOGLEFINANCE(A1522, ""price"", TODAY()-300, TODAY()), 0, 2))"),494.01608910891105)</f>
        <v>494.0160891</v>
      </c>
      <c r="U1522" s="9">
        <f t="shared" si="5"/>
        <v>0.009477121291</v>
      </c>
      <c r="V1522" s="15">
        <f>IFERROR(__xludf.DUMMYFUNCTION("LET(hist, GOOGLEFINANCE(A1522,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rs))))))"),60.33057851239668)</f>
        <v>60.33057851</v>
      </c>
      <c r="W1522" s="16" t="str">
        <f>IFERROR(__xludf.DUMMYFUNCTION("IFERROR(GOOGLEFINANCE(A1522, ""volume"") / GOOGLEFINANCE(A1522, ""volumeavg""), )"),"")</f>
        <v/>
      </c>
      <c r="X1522" s="9">
        <f>IFERROR(__xludf.DUMMYFUNCTION("B1522 * GOOGLEFINANCE(A1522, ""volume"")"),1.0576704E7)</f>
        <v>10576704</v>
      </c>
      <c r="Y1522" s="9">
        <f>IFERROR(__xludf.DUMMYFUNCTION("IFERROR(((B1522 - GOOGLEFINANCE(A1522, ""priceopen"")) / GOOGLEFINANCE(A1522, ""priceopen"")) * GOOGLEFINANCE(A1522, ""volume""), 0)"),-625.9491193737769)</f>
        <v>-625.9491194</v>
      </c>
    </row>
    <row r="1523">
      <c r="A1523" s="4" t="s">
        <v>3315</v>
      </c>
      <c r="B1523" s="7">
        <f>IFERROR(__xludf.DUMMYFUNCTION("GOOGLEFINANCE(A1523, ""price"")"),743.5)</f>
        <v>743.5</v>
      </c>
      <c r="C1523" s="7">
        <f>IFERROR(__xludf.DUMMYFUNCTION("GOOGLEFINANCE(A1523, ""changepct"")"),-0.34)</f>
        <v>-0.34</v>
      </c>
      <c r="D1523" s="9">
        <f>IFERROR(__xludf.DUMMYFUNCTION("GOOGLEFINANCE(A1523, ""priceopen"")"),732.3)</f>
        <v>732.3</v>
      </c>
      <c r="E1523" s="9">
        <f>IFERROR(__xludf.DUMMYFUNCTION("GOOGLEFINANCE(A1523, ""high"")"),743.5)</f>
        <v>743.5</v>
      </c>
      <c r="F1523" s="9">
        <f>IFERROR(__xludf.DUMMYFUNCTION("GOOGLEFINANCE(A1523, ""low"")"),732.3)</f>
        <v>732.3</v>
      </c>
      <c r="G1523" s="9">
        <f>IFERROR(__xludf.DUMMYFUNCTION("GOOGLEFINANCE(A1523, ""price"")"),743.5)</f>
        <v>743.5</v>
      </c>
      <c r="H1523" s="9">
        <f>IFERROR(__xludf.DUMMYFUNCTION("MAX(INDEX(GOOGLEFINANCE(A1523, ""high"", TODAY()-30, TODAY()), 0, 2))"),806.9)</f>
        <v>806.9</v>
      </c>
      <c r="I1523" s="9">
        <f>IFERROR(__xludf.DUMMYFUNCTION("MIN(INDEX(GOOGLEFINANCE(A1523, ""low"", TODAY()-30, TODAY()), 0, 2))"),651.0)</f>
        <v>651</v>
      </c>
      <c r="J1523" s="9">
        <f>IFERROR(__xludf.DUMMYFUNCTION("GOOGLEFINANCE(A1523, ""high52"")"),897.45)</f>
        <v>897.45</v>
      </c>
      <c r="K1523" s="9">
        <f>IFERROR(__xludf.DUMMYFUNCTION("GOOGLEFINANCE(A1523, ""low52"")"),445.15)</f>
        <v>445.15</v>
      </c>
      <c r="L1523" s="9">
        <f t="shared" si="1"/>
        <v>0.1715415901</v>
      </c>
      <c r="M1523" s="9">
        <f t="shared" si="2"/>
        <v>0.6702235202</v>
      </c>
      <c r="N1523" s="9">
        <f t="shared" si="3"/>
        <v>0.0152942783</v>
      </c>
      <c r="O1523" s="9">
        <f t="shared" si="4"/>
        <v>0.5933290571</v>
      </c>
      <c r="P1523" s="9">
        <f>IFERROR(__xludf.DUMMYFUNCTION("GOOGLEFINANCE(A1523, ""pe"")"),148.11)</f>
        <v>148.11</v>
      </c>
      <c r="Q1523" s="9">
        <f>IFERROR(__xludf.DUMMYFUNCTION("IFERROR(GOOGLEFINANCE(A1523, ""volume"") / GOOGLEFINANCE(A1523, ""volumeavg""), 0)"),0.0)</f>
        <v>0</v>
      </c>
      <c r="R1523" s="9">
        <f>IFERROR(__xludf.DUMMYFUNCTION("AVERAGE(INDEX(GOOGLEFINANCE(A1523, ""price"", TODAY()-30, TODAY()), 0, 2))"),741.6217391304348)</f>
        <v>741.6217391</v>
      </c>
      <c r="S1523" s="9">
        <f>IFERROR(__xludf.DUMMYFUNCTION("AVERAGE(INDEX(GOOGLEFINANCE(A1523, ""price"", TODAY()-75, TODAY()), 0, 2))"),719.6103773584903)</f>
        <v>719.6103774</v>
      </c>
      <c r="T1523" s="9">
        <f>IFERROR(__xludf.DUMMYFUNCTION("AVERAGE(INDEX(GOOGLEFINANCE(A1523, ""price"", TODAY()-300, TODAY()), 0, 2))"),659.942786069652)</f>
        <v>659.9427861</v>
      </c>
      <c r="U1523" s="9">
        <f t="shared" si="5"/>
        <v>0.002532639984</v>
      </c>
      <c r="V1523" s="15">
        <f>IFERROR(__xludf.DUMMYFUNCTION("LET(hist, GOOGLEFINANCE(A1523,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rs))))))"),40.88634739099357)</f>
        <v>40.88634739</v>
      </c>
      <c r="W1523" s="16" t="str">
        <f>IFERROR(__xludf.DUMMYFUNCTION("IFERROR(GOOGLEFINANCE(A1523, ""volume"") / GOOGLEFINANCE(A1523, ""volumeavg""), )"),"")</f>
        <v/>
      </c>
      <c r="X1523" s="9">
        <f>IFERROR(__xludf.DUMMYFUNCTION("B1523 * GOOGLEFINANCE(A1523, ""volume"")"),801493.0)</f>
        <v>801493</v>
      </c>
      <c r="Y1523" s="9">
        <f>IFERROR(__xludf.DUMMYFUNCTION("IFERROR(((B1523 - GOOGLEFINANCE(A1523, ""priceopen"")) / GOOGLEFINANCE(A1523, ""priceopen"")) * GOOGLEFINANCE(A1523, ""volume""), 0)"),16.487232008739657)</f>
        <v>16.48723201</v>
      </c>
    </row>
    <row r="1524">
      <c r="A1524" s="4" t="s">
        <v>3316</v>
      </c>
      <c r="B1524" s="7">
        <f>IFERROR(__xludf.DUMMYFUNCTION("GOOGLEFINANCE(A1524, ""price"")"),150.0)</f>
        <v>150</v>
      </c>
      <c r="C1524" s="7">
        <f>IFERROR(__xludf.DUMMYFUNCTION("GOOGLEFINANCE(A1524, ""changepct"")"),-0.9)</f>
        <v>-0.9</v>
      </c>
      <c r="D1524" s="9">
        <f>IFERROR(__xludf.DUMMYFUNCTION("GOOGLEFINANCE(A1524, ""priceopen"")"),153.9)</f>
        <v>153.9</v>
      </c>
      <c r="E1524" s="9">
        <f>IFERROR(__xludf.DUMMYFUNCTION("GOOGLEFINANCE(A1524, ""high"")"),153.9)</f>
        <v>153.9</v>
      </c>
      <c r="F1524" s="9">
        <f>IFERROR(__xludf.DUMMYFUNCTION("GOOGLEFINANCE(A1524, ""low"")"),148.0)</f>
        <v>148</v>
      </c>
      <c r="G1524" s="9">
        <f>IFERROR(__xludf.DUMMYFUNCTION("GOOGLEFINANCE(A1524, ""price"")"),150.0)</f>
        <v>150</v>
      </c>
      <c r="H1524" s="9">
        <f>IFERROR(__xludf.DUMMYFUNCTION("MAX(INDEX(GOOGLEFINANCE(A1524, ""high"", TODAY()-30, TODAY()), 0, 2))"),170.0)</f>
        <v>170</v>
      </c>
      <c r="I1524" s="9">
        <f>IFERROR(__xludf.DUMMYFUNCTION("MIN(INDEX(GOOGLEFINANCE(A1524, ""low"", TODAY()-30, TODAY()), 0, 2))"),148.0)</f>
        <v>148</v>
      </c>
      <c r="J1524" s="9">
        <f>IFERROR(__xludf.DUMMYFUNCTION("GOOGLEFINANCE(A1524, ""high52"")"),371.4)</f>
        <v>371.4</v>
      </c>
      <c r="K1524" s="9">
        <f>IFERROR(__xludf.DUMMYFUNCTION("GOOGLEFINANCE(A1524, ""low52"")"),125.0)</f>
        <v>125</v>
      </c>
      <c r="L1524" s="9">
        <f t="shared" si="1"/>
        <v>0.5961227787</v>
      </c>
      <c r="M1524" s="9">
        <f t="shared" si="2"/>
        <v>0.2</v>
      </c>
      <c r="N1524" s="9">
        <f t="shared" si="3"/>
        <v>0.03986486486</v>
      </c>
      <c r="O1524" s="9">
        <f t="shared" si="4"/>
        <v>0.09090909091</v>
      </c>
      <c r="P1524" s="9" t="str">
        <f>IFERROR(__xludf.DUMMYFUNCTION("GOOGLEFINANCE(A1524, ""pe"")"),"#N/A")</f>
        <v>#N/A</v>
      </c>
      <c r="Q1524" s="9">
        <f>IFERROR(__xludf.DUMMYFUNCTION("IFERROR(GOOGLEFINANCE(A1524, ""volume"") / GOOGLEFINANCE(A1524, ""volumeavg""), 0)"),0.0)</f>
        <v>0</v>
      </c>
      <c r="R1524" s="9">
        <f>IFERROR(__xludf.DUMMYFUNCTION("AVERAGE(INDEX(GOOGLEFINANCE(A1524, ""price"", TODAY()-30, TODAY()), 0, 2))"),157.6904347826087)</f>
        <v>157.6904348</v>
      </c>
      <c r="S1524" s="9">
        <f>IFERROR(__xludf.DUMMYFUNCTION("AVERAGE(INDEX(GOOGLEFINANCE(A1524, ""price"", TODAY()-75, TODAY()), 0, 2))"),167.45943396226417)</f>
        <v>167.459434</v>
      </c>
      <c r="T1524" s="9">
        <f>IFERROR(__xludf.DUMMYFUNCTION("AVERAGE(INDEX(GOOGLEFINANCE(A1524, ""price"", TODAY()-300, TODAY()), 0, 2))"),209.1050000000001)</f>
        <v>209.105</v>
      </c>
      <c r="U1524" s="9">
        <f t="shared" si="5"/>
        <v>-0.04876919005</v>
      </c>
      <c r="V1524" s="15">
        <f>IFERROR(__xludf.DUMMYFUNCTION("LET(hist, GOOGLEFINANCE(A1524,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rs))))))"),44.564564564564584)</f>
        <v>44.56456456</v>
      </c>
      <c r="W1524" s="16" t="str">
        <f>IFERROR(__xludf.DUMMYFUNCTION("IFERROR(GOOGLEFINANCE(A1524, ""volume"") / GOOGLEFINANCE(A1524, ""volumeavg""), )"),"")</f>
        <v/>
      </c>
      <c r="X1524" s="9">
        <f>IFERROR(__xludf.DUMMYFUNCTION("B1524 * GOOGLEFINANCE(A1524, ""volume"")"),4222200.0)</f>
        <v>4222200</v>
      </c>
      <c r="Y1524" s="9">
        <f>IFERROR(__xludf.DUMMYFUNCTION("IFERROR(((B1524 - GOOGLEFINANCE(A1524, ""priceopen"")) / GOOGLEFINANCE(A1524, ""priceopen"")) * GOOGLEFINANCE(A1524, ""volume""), 0)"),-713.3021442495137)</f>
        <v>-713.3021442</v>
      </c>
    </row>
    <row r="1525">
      <c r="A1525" s="4" t="s">
        <v>3317</v>
      </c>
      <c r="B1525" s="7">
        <f>IFERROR(__xludf.DUMMYFUNCTION("GOOGLEFINANCE(A1525, ""price"")"),150.8)</f>
        <v>150.8</v>
      </c>
      <c r="C1525" s="7">
        <f>IFERROR(__xludf.DUMMYFUNCTION("GOOGLEFINANCE(A1525, ""changepct"")"),-3.26)</f>
        <v>-3.26</v>
      </c>
      <c r="D1525" s="9">
        <f>IFERROR(__xludf.DUMMYFUNCTION("GOOGLEFINANCE(A1525, ""priceopen"")"),158.0)</f>
        <v>158</v>
      </c>
      <c r="E1525" s="9">
        <f>IFERROR(__xludf.DUMMYFUNCTION("GOOGLEFINANCE(A1525, ""high"")"),158.0)</f>
        <v>158</v>
      </c>
      <c r="F1525" s="9">
        <f>IFERROR(__xludf.DUMMYFUNCTION("GOOGLEFINANCE(A1525, ""low"")"),148.09)</f>
        <v>148.09</v>
      </c>
      <c r="G1525" s="9">
        <f>IFERROR(__xludf.DUMMYFUNCTION("GOOGLEFINANCE(A1525, ""price"")"),150.8)</f>
        <v>150.8</v>
      </c>
      <c r="H1525" s="9">
        <f>IFERROR(__xludf.DUMMYFUNCTION("MAX(INDEX(GOOGLEFINANCE(A1525, ""high"", TODAY()-30, TODAY()), 0, 2))"),183.03)</f>
        <v>183.03</v>
      </c>
      <c r="I1525" s="9">
        <f>IFERROR(__xludf.DUMMYFUNCTION("MIN(INDEX(GOOGLEFINANCE(A1525, ""low"", TODAY()-30, TODAY()), 0, 2))"),121.58)</f>
        <v>121.58</v>
      </c>
      <c r="J1525" s="9">
        <f>IFERROR(__xludf.DUMMYFUNCTION("GOOGLEFINANCE(A1525, ""high52"")"),183.03)</f>
        <v>183.03</v>
      </c>
      <c r="K1525" s="9">
        <f>IFERROR(__xludf.DUMMYFUNCTION("GOOGLEFINANCE(A1525, ""low52"")"),75.71)</f>
        <v>75.71</v>
      </c>
      <c r="L1525" s="9">
        <f t="shared" si="1"/>
        <v>0.1760913511</v>
      </c>
      <c r="M1525" s="9">
        <f t="shared" si="2"/>
        <v>0.9918108572</v>
      </c>
      <c r="N1525" s="9">
        <f t="shared" si="3"/>
        <v>0.06691876562</v>
      </c>
      <c r="O1525" s="9">
        <f t="shared" si="4"/>
        <v>0.4755085435</v>
      </c>
      <c r="P1525" s="9">
        <f>IFERROR(__xludf.DUMMYFUNCTION("GOOGLEFINANCE(A1525, ""pe"")"),10.07)</f>
        <v>10.07</v>
      </c>
      <c r="Q1525" s="9">
        <f>IFERROR(__xludf.DUMMYFUNCTION("IFERROR(GOOGLEFINANCE(A1525, ""volume"") / GOOGLEFINANCE(A1525, ""volumeavg""), 0)"),0.0)</f>
        <v>0</v>
      </c>
      <c r="R1525" s="9">
        <f>IFERROR(__xludf.DUMMYFUNCTION("AVERAGE(INDEX(GOOGLEFINANCE(A1525, ""price"", TODAY()-30, TODAY()), 0, 2))"),149.97086956521744)</f>
        <v>149.9708696</v>
      </c>
      <c r="S1525" s="9">
        <f>IFERROR(__xludf.DUMMYFUNCTION("AVERAGE(INDEX(GOOGLEFINANCE(A1525, ""price"", TODAY()-75, TODAY()), 0, 2))"),135.9166037735849)</f>
        <v>135.9166038</v>
      </c>
      <c r="T1525" s="9">
        <f>IFERROR(__xludf.DUMMYFUNCTION("AVERAGE(INDEX(GOOGLEFINANCE(A1525, ""price"", TODAY()-300, TODAY()), 0, 2))"),108.32178217821789)</f>
        <v>108.3217822</v>
      </c>
      <c r="U1525" s="9">
        <f t="shared" si="5"/>
        <v>0.005528609904</v>
      </c>
      <c r="V1525" s="15">
        <f>IFERROR(__xludf.DUMMYFUNCTION("LET(hist, GOOGLEFINANCE(A1525,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rs))))))"),55.92616168045831)</f>
        <v>55.92616168</v>
      </c>
      <c r="W1525" s="16" t="str">
        <f>IFERROR(__xludf.DUMMYFUNCTION("IFERROR(GOOGLEFINANCE(A1525, ""volume"") / GOOGLEFINANCE(A1525, ""volumeavg""), )"),"")</f>
        <v/>
      </c>
      <c r="X1525" s="9">
        <f>IFERROR(__xludf.DUMMYFUNCTION("B1525 * GOOGLEFINANCE(A1525, ""volume"")"),2.0079472400000002E7)</f>
        <v>20079472.4</v>
      </c>
      <c r="Y1525" s="9">
        <f>IFERROR(__xludf.DUMMYFUNCTION("IFERROR(((B1525 - GOOGLEFINANCE(A1525, ""priceopen"")) / GOOGLEFINANCE(A1525, ""priceopen"")) * GOOGLEFINANCE(A1525, ""volume""), 0)"),-6067.731645569611)</f>
        <v>-6067.731646</v>
      </c>
    </row>
    <row r="1526">
      <c r="A1526" s="4" t="s">
        <v>3318</v>
      </c>
      <c r="B1526" s="7">
        <f>IFERROR(__xludf.DUMMYFUNCTION("GOOGLEFINANCE(A1526, ""price"")"),301.35)</f>
        <v>301.35</v>
      </c>
      <c r="C1526" s="7">
        <f>IFERROR(__xludf.DUMMYFUNCTION("GOOGLEFINANCE(A1526, ""changepct"")"),-0.31)</f>
        <v>-0.31</v>
      </c>
      <c r="D1526" s="9">
        <f>IFERROR(__xludf.DUMMYFUNCTION("GOOGLEFINANCE(A1526, ""priceopen"")"),308.8)</f>
        <v>308.8</v>
      </c>
      <c r="E1526" s="9">
        <f>IFERROR(__xludf.DUMMYFUNCTION("GOOGLEFINANCE(A1526, ""high"")"),310.0)</f>
        <v>310</v>
      </c>
      <c r="F1526" s="9">
        <f>IFERROR(__xludf.DUMMYFUNCTION("GOOGLEFINANCE(A1526, ""low"")"),297.5)</f>
        <v>297.5</v>
      </c>
      <c r="G1526" s="9">
        <f>IFERROR(__xludf.DUMMYFUNCTION("GOOGLEFINANCE(A1526, ""price"")"),301.35)</f>
        <v>301.35</v>
      </c>
      <c r="H1526" s="9">
        <f>IFERROR(__xludf.DUMMYFUNCTION("MAX(INDEX(GOOGLEFINANCE(A1526, ""high"", TODAY()-30, TODAY()), 0, 2))"),318.0)</f>
        <v>318</v>
      </c>
      <c r="I1526" s="9">
        <f>IFERROR(__xludf.DUMMYFUNCTION("MIN(INDEX(GOOGLEFINANCE(A1526, ""low"", TODAY()-30, TODAY()), 0, 2))"),255.0)</f>
        <v>255</v>
      </c>
      <c r="J1526" s="9">
        <f>IFERROR(__xludf.DUMMYFUNCTION("GOOGLEFINANCE(A1526, ""high52"")"),318.0)</f>
        <v>318</v>
      </c>
      <c r="K1526" s="9">
        <f>IFERROR(__xludf.DUMMYFUNCTION("GOOGLEFINANCE(A1526, ""low52"")"),167.1)</f>
        <v>167.1</v>
      </c>
      <c r="L1526" s="9">
        <f t="shared" si="1"/>
        <v>0.05235849057</v>
      </c>
      <c r="M1526" s="9">
        <f t="shared" si="2"/>
        <v>0.8034111311</v>
      </c>
      <c r="N1526" s="9">
        <f t="shared" si="3"/>
        <v>0.04201680672</v>
      </c>
      <c r="O1526" s="9">
        <f t="shared" si="4"/>
        <v>0.7357142857</v>
      </c>
      <c r="P1526" s="9">
        <f>IFERROR(__xludf.DUMMYFUNCTION("GOOGLEFINANCE(A1526, ""pe"")"),23.94)</f>
        <v>23.94</v>
      </c>
      <c r="Q1526" s="9">
        <f>IFERROR(__xludf.DUMMYFUNCTION("IFERROR(GOOGLEFINANCE(A1526, ""volume"") / GOOGLEFINANCE(A1526, ""volumeavg""), 0)"),0.0)</f>
        <v>0</v>
      </c>
      <c r="R1526" s="9">
        <f>IFERROR(__xludf.DUMMYFUNCTION("AVERAGE(INDEX(GOOGLEFINANCE(A1526, ""price"", TODAY()-30, TODAY()), 0, 2))"),290.86739130434785)</f>
        <v>290.8673913</v>
      </c>
      <c r="S1526" s="9">
        <f>IFERROR(__xludf.DUMMYFUNCTION("AVERAGE(INDEX(GOOGLEFINANCE(A1526, ""price"", TODAY()-75, TODAY()), 0, 2))"),273.3624528301886)</f>
        <v>273.3624528</v>
      </c>
      <c r="T1526" s="9">
        <f>IFERROR(__xludf.DUMMYFUNCTION("AVERAGE(INDEX(GOOGLEFINANCE(A1526, ""price"", TODAY()-300, TODAY()), 0, 2))"),250.2613861386138)</f>
        <v>250.2613861</v>
      </c>
      <c r="U1526" s="9">
        <f t="shared" si="5"/>
        <v>0.03603913333</v>
      </c>
      <c r="V1526" s="15">
        <f>IFERROR(__xludf.DUMMYFUNCTION("LET(hist, GOOGLEFINANCE(A1526,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rs))))))"),55.12391158740788)</f>
        <v>55.12391159</v>
      </c>
      <c r="W1526" s="16" t="str">
        <f>IFERROR(__xludf.DUMMYFUNCTION("IFERROR(GOOGLEFINANCE(A1526, ""volume"") / GOOGLEFINANCE(A1526, ""volumeavg""), )"),"")</f>
        <v/>
      </c>
      <c r="X1526" s="9">
        <f>IFERROR(__xludf.DUMMYFUNCTION("B1526 * GOOGLEFINANCE(A1526, ""volume"")"),5.9022109650000006E7)</f>
        <v>59022109.65</v>
      </c>
      <c r="Y1526" s="9">
        <f>IFERROR(__xludf.DUMMYFUNCTION("IFERROR(((B1526 - GOOGLEFINANCE(A1526, ""priceopen"")) / GOOGLEFINANCE(A1526, ""priceopen"")) * GOOGLEFINANCE(A1526, ""volume""), 0)"),-4725.2252266839305)</f>
        <v>-4725.225227</v>
      </c>
    </row>
    <row r="1527">
      <c r="A1527" s="4" t="s">
        <v>3319</v>
      </c>
      <c r="B1527" s="7">
        <f>IFERROR(__xludf.DUMMYFUNCTION("GOOGLEFINANCE(A1527, ""price"")"),101.25)</f>
        <v>101.25</v>
      </c>
      <c r="C1527" s="7">
        <f>IFERROR(__xludf.DUMMYFUNCTION("GOOGLEFINANCE(A1527, ""changepct"")"),0.36)</f>
        <v>0.36</v>
      </c>
      <c r="D1527" s="9">
        <f>IFERROR(__xludf.DUMMYFUNCTION("GOOGLEFINANCE(A1527, ""priceopen"")"),101.87)</f>
        <v>101.87</v>
      </c>
      <c r="E1527" s="9">
        <f>IFERROR(__xludf.DUMMYFUNCTION("GOOGLEFINANCE(A1527, ""high"")"),101.87)</f>
        <v>101.87</v>
      </c>
      <c r="F1527" s="9">
        <f>IFERROR(__xludf.DUMMYFUNCTION("GOOGLEFINANCE(A1527, ""low"")"),99.55)</f>
        <v>99.55</v>
      </c>
      <c r="G1527" s="9">
        <f>IFERROR(__xludf.DUMMYFUNCTION("GOOGLEFINANCE(A1527, ""price"")"),101.25)</f>
        <v>101.25</v>
      </c>
      <c r="H1527" s="9">
        <f>IFERROR(__xludf.DUMMYFUNCTION("MAX(INDEX(GOOGLEFINANCE(A1527, ""high"", TODAY()-30, TODAY()), 0, 2))"),111.0)</f>
        <v>111</v>
      </c>
      <c r="I1527" s="9">
        <f>IFERROR(__xludf.DUMMYFUNCTION("MIN(INDEX(GOOGLEFINANCE(A1527, ""low"", TODAY()-30, TODAY()), 0, 2))"),96.02)</f>
        <v>96.02</v>
      </c>
      <c r="J1527" s="9">
        <f>IFERROR(__xludf.DUMMYFUNCTION("GOOGLEFINANCE(A1527, ""high52"")"),114.0)</f>
        <v>114</v>
      </c>
      <c r="K1527" s="9">
        <f>IFERROR(__xludf.DUMMYFUNCTION("GOOGLEFINANCE(A1527, ""low52"")"),68.4)</f>
        <v>68.4</v>
      </c>
      <c r="L1527" s="9">
        <f t="shared" si="1"/>
        <v>0.1118421053</v>
      </c>
      <c r="M1527" s="9">
        <f t="shared" si="2"/>
        <v>0.4802631579</v>
      </c>
      <c r="N1527" s="9">
        <f t="shared" si="3"/>
        <v>0.02330487192</v>
      </c>
      <c r="O1527" s="9">
        <f t="shared" si="4"/>
        <v>0.3491321762</v>
      </c>
      <c r="P1527" s="9">
        <f>IFERROR(__xludf.DUMMYFUNCTION("GOOGLEFINANCE(A1527, ""pe"")"),219.75)</f>
        <v>219.75</v>
      </c>
      <c r="Q1527" s="9">
        <f>IFERROR(__xludf.DUMMYFUNCTION("IFERROR(GOOGLEFINANCE(A1527, ""volume"") / GOOGLEFINANCE(A1527, ""volumeavg""), 0)"),0.0)</f>
        <v>0</v>
      </c>
      <c r="R1527" s="9">
        <f>IFERROR(__xludf.DUMMYFUNCTION("AVERAGE(INDEX(GOOGLEFINANCE(A1527, ""price"", TODAY()-30, TODAY()), 0, 2))"),100.76695652173912)</f>
        <v>100.7669565</v>
      </c>
      <c r="S1527" s="9">
        <f>IFERROR(__xludf.DUMMYFUNCTION("AVERAGE(INDEX(GOOGLEFINANCE(A1527, ""price"", TODAY()-75, TODAY()), 0, 2))"),100.20716981132077)</f>
        <v>100.2071698</v>
      </c>
      <c r="T1527" s="9">
        <f>IFERROR(__xludf.DUMMYFUNCTION("AVERAGE(INDEX(GOOGLEFINANCE(A1527, ""price"", TODAY()-300, TODAY()), 0, 2))"),90.57247524752468)</f>
        <v>90.57247525</v>
      </c>
      <c r="U1527" s="9">
        <f t="shared" si="5"/>
        <v>0.004793669422</v>
      </c>
      <c r="V1527" s="15">
        <f>IFERROR(__xludf.DUMMYFUNCTION("LET(hist, GOOGLEFINANCE(A1527,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rs))))))"),45.748730964466986)</f>
        <v>45.74873096</v>
      </c>
      <c r="W1527" s="16" t="str">
        <f>IFERROR(__xludf.DUMMYFUNCTION("IFERROR(GOOGLEFINANCE(A1527, ""volume"") / GOOGLEFINANCE(A1527, ""volumeavg""), )"),"")</f>
        <v/>
      </c>
      <c r="X1527" s="9">
        <f>IFERROR(__xludf.DUMMYFUNCTION("B1527 * GOOGLEFINANCE(A1527, ""volume"")"),3516412.5)</f>
        <v>3516412.5</v>
      </c>
      <c r="Y1527" s="9">
        <f>IFERROR(__xludf.DUMMYFUNCTION("IFERROR(((B1527 - GOOGLEFINANCE(A1527, ""priceopen"")) / GOOGLEFINANCE(A1527, ""priceopen"")) * GOOGLEFINANCE(A1527, ""volume""), 0)"),-211.37331893590024)</f>
        <v>-211.3733189</v>
      </c>
    </row>
    <row r="1528">
      <c r="A1528" s="4" t="s">
        <v>3320</v>
      </c>
      <c r="B1528" s="7">
        <f>IFERROR(__xludf.DUMMYFUNCTION("GOOGLEFINANCE(A1528, ""price"")"),369.0)</f>
        <v>369</v>
      </c>
      <c r="C1528" s="7">
        <f>IFERROR(__xludf.DUMMYFUNCTION("GOOGLEFINANCE(A1528, ""changepct"")"),-2.65)</f>
        <v>-2.65</v>
      </c>
      <c r="D1528" s="9">
        <f>IFERROR(__xludf.DUMMYFUNCTION("GOOGLEFINANCE(A1528, ""priceopen"")"),376.0)</f>
        <v>376</v>
      </c>
      <c r="E1528" s="9">
        <f>IFERROR(__xludf.DUMMYFUNCTION("GOOGLEFINANCE(A1528, ""high"")"),381.5)</f>
        <v>381.5</v>
      </c>
      <c r="F1528" s="9">
        <f>IFERROR(__xludf.DUMMYFUNCTION("GOOGLEFINANCE(A1528, ""low"")"),357.85)</f>
        <v>357.85</v>
      </c>
      <c r="G1528" s="9">
        <f>IFERROR(__xludf.DUMMYFUNCTION("GOOGLEFINANCE(A1528, ""price"")"),369.0)</f>
        <v>369</v>
      </c>
      <c r="H1528" s="9">
        <f>IFERROR(__xludf.DUMMYFUNCTION("MAX(INDEX(GOOGLEFINANCE(A1528, ""high"", TODAY()-30, TODAY()), 0, 2))"),421.85)</f>
        <v>421.85</v>
      </c>
      <c r="I1528" s="9">
        <f>IFERROR(__xludf.DUMMYFUNCTION("MIN(INDEX(GOOGLEFINANCE(A1528, ""low"", TODAY()-30, TODAY()), 0, 2))"),357.85)</f>
        <v>357.85</v>
      </c>
      <c r="J1528" s="9">
        <f>IFERROR(__xludf.DUMMYFUNCTION("GOOGLEFINANCE(A1528, ""high52"")"),507.8)</f>
        <v>507.8</v>
      </c>
      <c r="K1528" s="9">
        <f>IFERROR(__xludf.DUMMYFUNCTION("GOOGLEFINANCE(A1528, ""low52"")"),350.05)</f>
        <v>350.05</v>
      </c>
      <c r="L1528" s="9">
        <f t="shared" si="1"/>
        <v>0.273335959</v>
      </c>
      <c r="M1528" s="9">
        <f t="shared" si="2"/>
        <v>0.05413512355</v>
      </c>
      <c r="N1528" s="9">
        <f t="shared" si="3"/>
        <v>0.0660891435</v>
      </c>
      <c r="O1528" s="9">
        <f t="shared" si="4"/>
        <v>0.17421875</v>
      </c>
      <c r="P1528" s="9">
        <f>IFERROR(__xludf.DUMMYFUNCTION("GOOGLEFINANCE(A1528, ""pe"")"),20.47)</f>
        <v>20.47</v>
      </c>
      <c r="Q1528" s="9">
        <f>IFERROR(__xludf.DUMMYFUNCTION("IFERROR(GOOGLEFINANCE(A1528, ""volume"") / GOOGLEFINANCE(A1528, ""volumeavg""), 0)"),0.0)</f>
        <v>0</v>
      </c>
      <c r="R1528" s="9">
        <f>IFERROR(__xludf.DUMMYFUNCTION("AVERAGE(INDEX(GOOGLEFINANCE(A1528, ""price"", TODAY()-30, TODAY()), 0, 2))"),392.6739130434782)</f>
        <v>392.673913</v>
      </c>
      <c r="S1528" s="9">
        <f>IFERROR(__xludf.DUMMYFUNCTION("AVERAGE(INDEX(GOOGLEFINANCE(A1528, ""price"", TODAY()-75, TODAY()), 0, 2))"),392.0971698113208)</f>
        <v>392.0971698</v>
      </c>
      <c r="T1528" s="9">
        <f>IFERROR(__xludf.DUMMYFUNCTION("AVERAGE(INDEX(GOOGLEFINANCE(A1528, ""price"", TODAY()-300, TODAY()), 0, 2))"),406.301875)</f>
        <v>406.301875</v>
      </c>
      <c r="U1528" s="9">
        <f t="shared" si="5"/>
        <v>-0.06028898854</v>
      </c>
      <c r="V1528" s="15">
        <f>IFERROR(__xludf.DUMMYFUNCTION("LET(hist, GOOGLEFINANCE(A1528,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rs))))))"),41.025641025641015)</f>
        <v>41.02564103</v>
      </c>
      <c r="W1528" s="16" t="str">
        <f>IFERROR(__xludf.DUMMYFUNCTION("IFERROR(GOOGLEFINANCE(A1528, ""volume"") / GOOGLEFINANCE(A1528, ""volumeavg""), )"),"")</f>
        <v/>
      </c>
      <c r="X1528" s="9">
        <f>IFERROR(__xludf.DUMMYFUNCTION("B1528 * GOOGLEFINANCE(A1528, ""volume"")"),9241236.0)</f>
        <v>9241236</v>
      </c>
      <c r="Y1528" s="9">
        <f>IFERROR(__xludf.DUMMYFUNCTION("IFERROR(((B1528 - GOOGLEFINANCE(A1528, ""priceopen"")) / GOOGLEFINANCE(A1528, ""priceopen"")) * GOOGLEFINANCE(A1528, ""volume""), 0)"),-466.24468085106383)</f>
        <v>-466.2446809</v>
      </c>
    </row>
    <row r="1529">
      <c r="A1529" s="4" t="s">
        <v>3321</v>
      </c>
      <c r="B1529" s="7">
        <f>IFERROR(__xludf.DUMMYFUNCTION("GOOGLEFINANCE(A1529, ""price"")"),173.0)</f>
        <v>173</v>
      </c>
      <c r="C1529" s="7">
        <f>IFERROR(__xludf.DUMMYFUNCTION("GOOGLEFINANCE(A1529, ""changepct"")"),-0.56)</f>
        <v>-0.56</v>
      </c>
      <c r="D1529" s="9">
        <f>IFERROR(__xludf.DUMMYFUNCTION("GOOGLEFINANCE(A1529, ""priceopen"")"),174.9)</f>
        <v>174.9</v>
      </c>
      <c r="E1529" s="9">
        <f>IFERROR(__xludf.DUMMYFUNCTION("GOOGLEFINANCE(A1529, ""high"")"),174.9)</f>
        <v>174.9</v>
      </c>
      <c r="F1529" s="9">
        <f>IFERROR(__xludf.DUMMYFUNCTION("GOOGLEFINANCE(A1529, ""low"")"),173.0)</f>
        <v>173</v>
      </c>
      <c r="G1529" s="9">
        <f>IFERROR(__xludf.DUMMYFUNCTION("GOOGLEFINANCE(A1529, ""price"")"),173.0)</f>
        <v>173</v>
      </c>
      <c r="H1529" s="9">
        <f>IFERROR(__xludf.DUMMYFUNCTION("MAX(INDEX(GOOGLEFINANCE(A1529, ""high"", TODAY()-30, TODAY()), 0, 2))"),190.75)</f>
        <v>190.75</v>
      </c>
      <c r="I1529" s="9">
        <f>IFERROR(__xludf.DUMMYFUNCTION("MIN(INDEX(GOOGLEFINANCE(A1529, ""low"", TODAY()-30, TODAY()), 0, 2))"),169.0)</f>
        <v>169</v>
      </c>
      <c r="J1529" s="9">
        <f>IFERROR(__xludf.DUMMYFUNCTION("GOOGLEFINANCE(A1529, ""high52"")"),223.96)</f>
        <v>223.96</v>
      </c>
      <c r="K1529" s="9">
        <f>IFERROR(__xludf.DUMMYFUNCTION("GOOGLEFINANCE(A1529, ""low52"")"),147.5)</f>
        <v>147.5</v>
      </c>
      <c r="L1529" s="9">
        <f t="shared" si="1"/>
        <v>0.2275406323</v>
      </c>
      <c r="M1529" s="9">
        <f t="shared" si="2"/>
        <v>0.1728813559</v>
      </c>
      <c r="N1529" s="9">
        <f t="shared" si="3"/>
        <v>0.01098265896</v>
      </c>
      <c r="O1529" s="9">
        <f t="shared" si="4"/>
        <v>0.183908046</v>
      </c>
      <c r="P1529" s="9">
        <f>IFERROR(__xludf.DUMMYFUNCTION("GOOGLEFINANCE(A1529, ""pe"")"),8.25)</f>
        <v>8.25</v>
      </c>
      <c r="Q1529" s="9">
        <f>IFERROR(__xludf.DUMMYFUNCTION("IFERROR(GOOGLEFINANCE(A1529, ""volume"") / GOOGLEFINANCE(A1529, ""volumeavg""), 0)"),0.0)</f>
        <v>0</v>
      </c>
      <c r="R1529" s="9">
        <f>IFERROR(__xludf.DUMMYFUNCTION("AVERAGE(INDEX(GOOGLEFINANCE(A1529, ""price"", TODAY()-30, TODAY()), 0, 2))"),182.09086956521736)</f>
        <v>182.0908696</v>
      </c>
      <c r="S1529" s="9">
        <f>IFERROR(__xludf.DUMMYFUNCTION("AVERAGE(INDEX(GOOGLEFINANCE(A1529, ""price"", TODAY()-75, TODAY()), 0, 2))"),185.1775471698113)</f>
        <v>185.1775472</v>
      </c>
      <c r="T1529" s="9">
        <f>IFERROR(__xludf.DUMMYFUNCTION("AVERAGE(INDEX(GOOGLEFINANCE(A1529, ""price"", TODAY()-300, TODAY()), 0, 2))"),187.08831683168327)</f>
        <v>187.0883168</v>
      </c>
      <c r="U1529" s="9">
        <f t="shared" si="5"/>
        <v>-0.0499249061</v>
      </c>
      <c r="V1529" s="15">
        <f>IFERROR(__xludf.DUMMYFUNCTION("LET(hist, GOOGLEFINANCE(A1529,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rs))))))"),27.662037037037095)</f>
        <v>27.66203704</v>
      </c>
      <c r="W1529" s="16" t="str">
        <f>IFERROR(__xludf.DUMMYFUNCTION("IFERROR(GOOGLEFINANCE(A1529, ""volume"") / GOOGLEFINANCE(A1529, ""volumeavg""), )"),"")</f>
        <v/>
      </c>
      <c r="X1529" s="9">
        <f>IFERROR(__xludf.DUMMYFUNCTION("B1529 * GOOGLEFINANCE(A1529, ""volume"")"),3980038.0)</f>
        <v>3980038</v>
      </c>
      <c r="Y1529" s="9">
        <f>IFERROR(__xludf.DUMMYFUNCTION("IFERROR(((B1529 - GOOGLEFINANCE(A1529, ""priceopen"")) / GOOGLEFINANCE(A1529, ""priceopen"")) * GOOGLEFINANCE(A1529, ""volume""), 0)"),-249.92224128073258)</f>
        <v>-249.9222413</v>
      </c>
    </row>
    <row r="1530">
      <c r="A1530" s="4" t="s">
        <v>3322</v>
      </c>
      <c r="B1530" s="7">
        <f>IFERROR(__xludf.DUMMYFUNCTION("GOOGLEFINANCE(A1530, ""price"")"),151.0)</f>
        <v>151</v>
      </c>
      <c r="C1530" s="7">
        <f>IFERROR(__xludf.DUMMYFUNCTION("GOOGLEFINANCE(A1530, ""changepct"")"),3.67)</f>
        <v>3.67</v>
      </c>
      <c r="D1530" s="9">
        <f>IFERROR(__xludf.DUMMYFUNCTION("GOOGLEFINANCE(A1530, ""priceopen"")"),146.0)</f>
        <v>146</v>
      </c>
      <c r="E1530" s="9">
        <f>IFERROR(__xludf.DUMMYFUNCTION("GOOGLEFINANCE(A1530, ""high"")"),153.7)</f>
        <v>153.7</v>
      </c>
      <c r="F1530" s="9">
        <f>IFERROR(__xludf.DUMMYFUNCTION("GOOGLEFINANCE(A1530, ""low"")"),142.0)</f>
        <v>142</v>
      </c>
      <c r="G1530" s="9">
        <f>IFERROR(__xludf.DUMMYFUNCTION("GOOGLEFINANCE(A1530, ""price"")"),151.0)</f>
        <v>151</v>
      </c>
      <c r="H1530" s="9">
        <f>IFERROR(__xludf.DUMMYFUNCTION("MAX(INDEX(GOOGLEFINANCE(A1530, ""high"", TODAY()-30, TODAY()), 0, 2))"),155.47)</f>
        <v>155.47</v>
      </c>
      <c r="I1530" s="9">
        <f>IFERROR(__xludf.DUMMYFUNCTION("MIN(INDEX(GOOGLEFINANCE(A1530, ""low"", TODAY()-30, TODAY()), 0, 2))"),124.61)</f>
        <v>124.61</v>
      </c>
      <c r="J1530" s="9">
        <f>IFERROR(__xludf.DUMMYFUNCTION("GOOGLEFINANCE(A1530, ""high52"")"),174.0)</f>
        <v>174</v>
      </c>
      <c r="K1530" s="9">
        <f>IFERROR(__xludf.DUMMYFUNCTION("GOOGLEFINANCE(A1530, ""low52"")"),94.75)</f>
        <v>94.75</v>
      </c>
      <c r="L1530" s="9">
        <f t="shared" si="1"/>
        <v>0.132183908</v>
      </c>
      <c r="M1530" s="9">
        <f t="shared" si="2"/>
        <v>0.5936675462</v>
      </c>
      <c r="N1530" s="9">
        <f t="shared" si="3"/>
        <v>0.0823943662</v>
      </c>
      <c r="O1530" s="9">
        <f t="shared" si="4"/>
        <v>0.8551523007</v>
      </c>
      <c r="P1530" s="9">
        <f>IFERROR(__xludf.DUMMYFUNCTION("GOOGLEFINANCE(A1530, ""pe"")"),12.26)</f>
        <v>12.26</v>
      </c>
      <c r="Q1530" s="9">
        <f>IFERROR(__xludf.DUMMYFUNCTION("IFERROR(GOOGLEFINANCE(A1530, ""volume"") / GOOGLEFINANCE(A1530, ""volumeavg""), 0)"),0.0)</f>
        <v>0</v>
      </c>
      <c r="R1530" s="9">
        <f>IFERROR(__xludf.DUMMYFUNCTION("AVERAGE(INDEX(GOOGLEFINANCE(A1530, ""price"", TODAY()-30, TODAY()), 0, 2))"),137.52391304347825)</f>
        <v>137.523913</v>
      </c>
      <c r="S1530" s="9">
        <f>IFERROR(__xludf.DUMMYFUNCTION("AVERAGE(INDEX(GOOGLEFINANCE(A1530, ""price"", TODAY()-75, TODAY()), 0, 2))"),129.5716981132075)</f>
        <v>129.5716981</v>
      </c>
      <c r="T1530" s="9">
        <f>IFERROR(__xludf.DUMMYFUNCTION("AVERAGE(INDEX(GOOGLEFINANCE(A1530, ""price"", TODAY()-300, TODAY()), 0, 2))"),127.41782178217821)</f>
        <v>127.4178218</v>
      </c>
      <c r="U1530" s="9">
        <f t="shared" si="5"/>
        <v>0.09799086325</v>
      </c>
      <c r="V1530" s="15">
        <f>IFERROR(__xludf.DUMMYFUNCTION("LET(hist, GOOGLEFINANCE(A1530,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rs))))))"),67.25826193390452)</f>
        <v>67.25826193</v>
      </c>
      <c r="W1530" s="16" t="str">
        <f>IFERROR(__xludf.DUMMYFUNCTION("IFERROR(GOOGLEFINANCE(A1530, ""volume"") / GOOGLEFINANCE(A1530, ""volumeavg""), )"),"")</f>
        <v/>
      </c>
      <c r="X1530" s="9">
        <f>IFERROR(__xludf.DUMMYFUNCTION("B1530 * GOOGLEFINANCE(A1530, ""volume"")"),2.5937723E7)</f>
        <v>25937723</v>
      </c>
      <c r="Y1530" s="9">
        <f>IFERROR(__xludf.DUMMYFUNCTION("IFERROR(((B1530 - GOOGLEFINANCE(A1530, ""priceopen"")) / GOOGLEFINANCE(A1530, ""priceopen"")) * GOOGLEFINANCE(A1530, ""volume""), 0)"),5882.63698630137)</f>
        <v>5882.636986</v>
      </c>
    </row>
    <row r="1531">
      <c r="A1531" s="4" t="s">
        <v>3323</v>
      </c>
      <c r="B1531" s="7">
        <f>IFERROR(__xludf.DUMMYFUNCTION("GOOGLEFINANCE(A1531, ""price"")"),156.4)</f>
        <v>156.4</v>
      </c>
      <c r="C1531" s="7">
        <f>IFERROR(__xludf.DUMMYFUNCTION("GOOGLEFINANCE(A1531, ""changepct"")"),-3.58)</f>
        <v>-3.58</v>
      </c>
      <c r="D1531" s="9">
        <f>IFERROR(__xludf.DUMMYFUNCTION("GOOGLEFINANCE(A1531, ""priceopen"")"),160.05)</f>
        <v>160.05</v>
      </c>
      <c r="E1531" s="9">
        <f>IFERROR(__xludf.DUMMYFUNCTION("GOOGLEFINANCE(A1531, ""high"")"),163.99)</f>
        <v>163.99</v>
      </c>
      <c r="F1531" s="9">
        <f>IFERROR(__xludf.DUMMYFUNCTION("GOOGLEFINANCE(A1531, ""low"")"),154.91)</f>
        <v>154.91</v>
      </c>
      <c r="G1531" s="9">
        <f>IFERROR(__xludf.DUMMYFUNCTION("GOOGLEFINANCE(A1531, ""price"")"),156.4)</f>
        <v>156.4</v>
      </c>
      <c r="H1531" s="9">
        <f>IFERROR(__xludf.DUMMYFUNCTION("MAX(INDEX(GOOGLEFINANCE(A1531, ""high"", TODAY()-30, TODAY()), 0, 2))"),178.71)</f>
        <v>178.71</v>
      </c>
      <c r="I1531" s="9">
        <f>IFERROR(__xludf.DUMMYFUNCTION("MIN(INDEX(GOOGLEFINANCE(A1531, ""low"", TODAY()-30, TODAY()), 0, 2))"),153.0)</f>
        <v>153</v>
      </c>
      <c r="J1531" s="9">
        <f>IFERROR(__xludf.DUMMYFUNCTION("GOOGLEFINANCE(A1531, ""high52"")"),214.79)</f>
        <v>214.79</v>
      </c>
      <c r="K1531" s="9">
        <f>IFERROR(__xludf.DUMMYFUNCTION("GOOGLEFINANCE(A1531, ""low52"")"),129.1)</f>
        <v>129.1</v>
      </c>
      <c r="L1531" s="9">
        <f t="shared" si="1"/>
        <v>0.2718469202</v>
      </c>
      <c r="M1531" s="9">
        <f t="shared" si="2"/>
        <v>0.2114639814</v>
      </c>
      <c r="N1531" s="9">
        <f t="shared" si="3"/>
        <v>0.05861467949</v>
      </c>
      <c r="O1531" s="9">
        <f t="shared" si="4"/>
        <v>0.1322442629</v>
      </c>
      <c r="P1531" s="9">
        <f>IFERROR(__xludf.DUMMYFUNCTION("GOOGLEFINANCE(A1531, ""pe"")"),6.64)</f>
        <v>6.64</v>
      </c>
      <c r="Q1531" s="9">
        <f>IFERROR(__xludf.DUMMYFUNCTION("IFERROR(GOOGLEFINANCE(A1531, ""volume"") / GOOGLEFINANCE(A1531, ""volumeavg""), 0)"),0.0)</f>
        <v>0</v>
      </c>
      <c r="R1531" s="9">
        <f>IFERROR(__xludf.DUMMYFUNCTION("AVERAGE(INDEX(GOOGLEFINANCE(A1531, ""price"", TODAY()-30, TODAY()), 0, 2))"),164.27260869565214)</f>
        <v>164.2726087</v>
      </c>
      <c r="S1531" s="9">
        <f>IFERROR(__xludf.DUMMYFUNCTION("AVERAGE(INDEX(GOOGLEFINANCE(A1531, ""price"", TODAY()-75, TODAY()), 0, 2))"),156.0715094339623)</f>
        <v>156.0715094</v>
      </c>
      <c r="T1531" s="9">
        <f>IFERROR(__xludf.DUMMYFUNCTION("AVERAGE(INDEX(GOOGLEFINANCE(A1531, ""price"", TODAY()-300, TODAY()), 0, 2))"),169.2453465346535)</f>
        <v>169.2453465</v>
      </c>
      <c r="U1531" s="9">
        <f t="shared" si="5"/>
        <v>-0.0479240499</v>
      </c>
      <c r="V1531" s="15">
        <f>IFERROR(__xludf.DUMMYFUNCTION("LET(hist, GOOGLEFINANCE(A1531,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rs))))))"),50.86476692472409)</f>
        <v>50.86476692</v>
      </c>
      <c r="W1531" s="16" t="str">
        <f>IFERROR(__xludf.DUMMYFUNCTION("IFERROR(GOOGLEFINANCE(A1531, ""volume"") / GOOGLEFINANCE(A1531, ""volumeavg""), )"),"")</f>
        <v/>
      </c>
      <c r="X1531" s="9">
        <f>IFERROR(__xludf.DUMMYFUNCTION("B1531 * GOOGLEFINANCE(A1531, ""volume"")"),1.24028328E7)</f>
        <v>12402832.8</v>
      </c>
      <c r="Y1531" s="9">
        <f>IFERROR(__xludf.DUMMYFUNCTION("IFERROR(((B1531 - GOOGLEFINANCE(A1531, ""priceopen"")) / GOOGLEFINANCE(A1531, ""priceopen"")) * GOOGLEFINANCE(A1531, ""volume""), 0)"),-1808.5117150890376)</f>
        <v>-1808.511715</v>
      </c>
    </row>
    <row r="1532">
      <c r="A1532" s="4" t="s">
        <v>3324</v>
      </c>
      <c r="B1532" s="7">
        <f>IFERROR(__xludf.DUMMYFUNCTION("GOOGLEFINANCE(A1532, ""price"")"),185.42)</f>
        <v>185.42</v>
      </c>
      <c r="C1532" s="7">
        <f>IFERROR(__xludf.DUMMYFUNCTION("GOOGLEFINANCE(A1532, ""changepct"")"),-1.17)</f>
        <v>-1.17</v>
      </c>
      <c r="D1532" s="9">
        <f>IFERROR(__xludf.DUMMYFUNCTION("GOOGLEFINANCE(A1532, ""priceopen"")"),188.3)</f>
        <v>188.3</v>
      </c>
      <c r="E1532" s="9">
        <f>IFERROR(__xludf.DUMMYFUNCTION("GOOGLEFINANCE(A1532, ""high"")"),191.73)</f>
        <v>191.73</v>
      </c>
      <c r="F1532" s="9">
        <f>IFERROR(__xludf.DUMMYFUNCTION("GOOGLEFINANCE(A1532, ""low"")"),183.83)</f>
        <v>183.83</v>
      </c>
      <c r="G1532" s="9">
        <f>IFERROR(__xludf.DUMMYFUNCTION("GOOGLEFINANCE(A1532, ""price"")"),185.42)</f>
        <v>185.42</v>
      </c>
      <c r="H1532" s="9">
        <f>IFERROR(__xludf.DUMMYFUNCTION("MAX(INDEX(GOOGLEFINANCE(A1532, ""high"", TODAY()-30, TODAY()), 0, 2))"),222.0)</f>
        <v>222</v>
      </c>
      <c r="I1532" s="9">
        <f>IFERROR(__xludf.DUMMYFUNCTION("MIN(INDEX(GOOGLEFINANCE(A1532, ""low"", TODAY()-30, TODAY()), 0, 2))"),175.5)</f>
        <v>175.5</v>
      </c>
      <c r="J1532" s="9">
        <f>IFERROR(__xludf.DUMMYFUNCTION("GOOGLEFINANCE(A1532, ""high52"")"),222.0)</f>
        <v>222</v>
      </c>
      <c r="K1532" s="9">
        <f>IFERROR(__xludf.DUMMYFUNCTION("GOOGLEFINANCE(A1532, ""low52"")"),161.6)</f>
        <v>161.6</v>
      </c>
      <c r="L1532" s="9">
        <f t="shared" si="1"/>
        <v>0.1647747748</v>
      </c>
      <c r="M1532" s="9">
        <f t="shared" si="2"/>
        <v>0.1474009901</v>
      </c>
      <c r="N1532" s="9">
        <f t="shared" si="3"/>
        <v>0.0429744873</v>
      </c>
      <c r="O1532" s="9">
        <f t="shared" si="4"/>
        <v>0.2133333333</v>
      </c>
      <c r="P1532" s="9">
        <f>IFERROR(__xludf.DUMMYFUNCTION("GOOGLEFINANCE(A1532, ""pe"")"),17.26)</f>
        <v>17.26</v>
      </c>
      <c r="Q1532" s="9">
        <f>IFERROR(__xludf.DUMMYFUNCTION("IFERROR(GOOGLEFINANCE(A1532, ""volume"") / GOOGLEFINANCE(A1532, ""volumeavg""), 0)"),0.0)</f>
        <v>0</v>
      </c>
      <c r="R1532" s="9">
        <f>IFERROR(__xludf.DUMMYFUNCTION("AVERAGE(INDEX(GOOGLEFINANCE(A1532, ""price"", TODAY()-30, TODAY()), 0, 2))"),193.5373913043478)</f>
        <v>193.5373913</v>
      </c>
      <c r="S1532" s="9">
        <f>IFERROR(__xludf.DUMMYFUNCTION("AVERAGE(INDEX(GOOGLEFINANCE(A1532, ""price"", TODAY()-75, TODAY()), 0, 2))"),188.38225806451615)</f>
        <v>188.3822581</v>
      </c>
      <c r="T1532" s="9">
        <f>IFERROR(__xludf.DUMMYFUNCTION("AVERAGE(INDEX(GOOGLEFINANCE(A1532, ""price"", TODAY()-300, TODAY()), 0, 2))"),188.38225806451615)</f>
        <v>188.3822581</v>
      </c>
      <c r="U1532" s="9">
        <f t="shared" si="5"/>
        <v>-0.04194223788</v>
      </c>
      <c r="V1532" s="15">
        <f>IFERROR(__xludf.DUMMYFUNCTION("LET(hist, GOOGLEFINANCE(A1532,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rs))))))"),36.04240282685513)</f>
        <v>36.04240283</v>
      </c>
      <c r="W1532" s="16" t="str">
        <f>IFERROR(__xludf.DUMMYFUNCTION("IFERROR(GOOGLEFINANCE(A1532, ""volume"") / GOOGLEFINANCE(A1532, ""volumeavg""), )"),"")</f>
        <v/>
      </c>
      <c r="X1532" s="9">
        <f>IFERROR(__xludf.DUMMYFUNCTION("B1532 * GOOGLEFINANCE(A1532, ""volume"")"),2.7032752639999997E7)</f>
        <v>27032752.64</v>
      </c>
      <c r="Y1532" s="9">
        <f>IFERROR(__xludf.DUMMYFUNCTION("IFERROR(((B1532 - GOOGLEFINANCE(A1532, ""priceopen"")) / GOOGLEFINANCE(A1532, ""priceopen"")) * GOOGLEFINANCE(A1532, ""volume""), 0)"),-2229.851088688282)</f>
        <v>-2229.851089</v>
      </c>
    </row>
    <row r="1533">
      <c r="A1533" s="4" t="s">
        <v>3325</v>
      </c>
      <c r="B1533" s="7">
        <f>IFERROR(__xludf.DUMMYFUNCTION("GOOGLEFINANCE(A1533, ""price"")"),82.31)</f>
        <v>82.31</v>
      </c>
      <c r="C1533" s="7">
        <f>IFERROR(__xludf.DUMMYFUNCTION("GOOGLEFINANCE(A1533, ""changepct"")"),-3.69)</f>
        <v>-3.69</v>
      </c>
      <c r="D1533" s="9">
        <f>IFERROR(__xludf.DUMMYFUNCTION("GOOGLEFINANCE(A1533, ""priceopen"")"),86.49)</f>
        <v>86.49</v>
      </c>
      <c r="E1533" s="9">
        <f>IFERROR(__xludf.DUMMYFUNCTION("GOOGLEFINANCE(A1533, ""high"")"),87.49)</f>
        <v>87.49</v>
      </c>
      <c r="F1533" s="9">
        <f>IFERROR(__xludf.DUMMYFUNCTION("GOOGLEFINANCE(A1533, ""low"")"),82.16)</f>
        <v>82.16</v>
      </c>
      <c r="G1533" s="9">
        <f>IFERROR(__xludf.DUMMYFUNCTION("GOOGLEFINANCE(A1533, ""price"")"),82.31)</f>
        <v>82.31</v>
      </c>
      <c r="H1533" s="9">
        <f>IFERROR(__xludf.DUMMYFUNCTION("MAX(INDEX(GOOGLEFINANCE(A1533, ""high"", TODAY()-30, TODAY()), 0, 2))"),99.46)</f>
        <v>99.46</v>
      </c>
      <c r="I1533" s="9">
        <f>IFERROR(__xludf.DUMMYFUNCTION("MIN(INDEX(GOOGLEFINANCE(A1533, ""low"", TODAY()-30, TODAY()), 0, 2))"),74.72)</f>
        <v>74.72</v>
      </c>
      <c r="J1533" s="9">
        <f>IFERROR(__xludf.DUMMYFUNCTION("GOOGLEFINANCE(A1533, ""high52"")"),124.81)</f>
        <v>124.81</v>
      </c>
      <c r="K1533" s="9">
        <f>IFERROR(__xludf.DUMMYFUNCTION("GOOGLEFINANCE(A1533, ""low52"")"),58.11)</f>
        <v>58.11</v>
      </c>
      <c r="L1533" s="9">
        <f t="shared" si="1"/>
        <v>0.3405175867</v>
      </c>
      <c r="M1533" s="9">
        <f t="shared" si="2"/>
        <v>0.4164515574</v>
      </c>
      <c r="N1533" s="9">
        <f t="shared" si="3"/>
        <v>0.06487341772</v>
      </c>
      <c r="O1533" s="9">
        <f t="shared" si="4"/>
        <v>0.3067906225</v>
      </c>
      <c r="P1533" s="9">
        <f>IFERROR(__xludf.DUMMYFUNCTION("GOOGLEFINANCE(A1533, ""pe"")"),0.12)</f>
        <v>0.12</v>
      </c>
      <c r="Q1533" s="9">
        <f>IFERROR(__xludf.DUMMYFUNCTION("IFERROR(GOOGLEFINANCE(A1533, ""volume"") / GOOGLEFINANCE(A1533, ""volumeavg""), 0)"),0.0)</f>
        <v>0</v>
      </c>
      <c r="R1533" s="9">
        <f>IFERROR(__xludf.DUMMYFUNCTION("AVERAGE(INDEX(GOOGLEFINANCE(A1533, ""price"", TODAY()-30, TODAY()), 0, 2))"),84.30652173913045)</f>
        <v>84.30652174</v>
      </c>
      <c r="S1533" s="9">
        <f>IFERROR(__xludf.DUMMYFUNCTION("AVERAGE(INDEX(GOOGLEFINANCE(A1533, ""price"", TODAY()-75, TODAY()), 0, 2))"),81.35962264150945)</f>
        <v>81.35962264</v>
      </c>
      <c r="T1533" s="9">
        <f>IFERROR(__xludf.DUMMYFUNCTION("AVERAGE(INDEX(GOOGLEFINANCE(A1533, ""price"", TODAY()-300, TODAY()), 0, 2))"),82.46000000000001)</f>
        <v>82.46</v>
      </c>
      <c r="U1533" s="9">
        <f t="shared" si="5"/>
        <v>-0.0236816998</v>
      </c>
      <c r="V1533" s="15">
        <f>IFERROR(__xludf.DUMMYFUNCTION("LET(hist, GOOGLEFINANCE(A1533,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rs))))))"),48.039757040309226)</f>
        <v>48.03975704</v>
      </c>
      <c r="W1533" s="16" t="str">
        <f>IFERROR(__xludf.DUMMYFUNCTION("IFERROR(GOOGLEFINANCE(A1533, ""volume"") / GOOGLEFINANCE(A1533, ""volumeavg""), )"),"")</f>
        <v/>
      </c>
      <c r="X1533" s="9">
        <f>IFERROR(__xludf.DUMMYFUNCTION("B1533 * GOOGLEFINANCE(A1533, ""volume"")"),3029584.17)</f>
        <v>3029584.17</v>
      </c>
      <c r="Y1533" s="9">
        <f>IFERROR(__xludf.DUMMYFUNCTION("IFERROR(((B1533 - GOOGLEFINANCE(A1533, ""priceopen"")) / GOOGLEFINANCE(A1533, ""priceopen"")) * GOOGLEFINANCE(A1533, ""volume""), 0)"),-1778.8560527228549)</f>
        <v>-1778.856053</v>
      </c>
    </row>
    <row r="1534">
      <c r="A1534" s="4" t="s">
        <v>3326</v>
      </c>
      <c r="B1534" s="7">
        <f>IFERROR(__xludf.DUMMYFUNCTION("GOOGLEFINANCE(A1534, ""price"")"),22.0)</f>
        <v>22</v>
      </c>
      <c r="C1534" s="7">
        <f>IFERROR(__xludf.DUMMYFUNCTION("GOOGLEFINANCE(A1534, ""changepct"")"),-0.54)</f>
        <v>-0.54</v>
      </c>
      <c r="D1534" s="9">
        <f>IFERROR(__xludf.DUMMYFUNCTION("GOOGLEFINANCE(A1534, ""priceopen"")"),22.33)</f>
        <v>22.33</v>
      </c>
      <c r="E1534" s="9">
        <f>IFERROR(__xludf.DUMMYFUNCTION("GOOGLEFINANCE(A1534, ""high"")"),22.45)</f>
        <v>22.45</v>
      </c>
      <c r="F1534" s="9">
        <f>IFERROR(__xludf.DUMMYFUNCTION("GOOGLEFINANCE(A1534, ""low"")"),21.72)</f>
        <v>21.72</v>
      </c>
      <c r="G1534" s="9">
        <f>IFERROR(__xludf.DUMMYFUNCTION("GOOGLEFINANCE(A1534, ""price"")"),22.0)</f>
        <v>22</v>
      </c>
      <c r="H1534" s="9">
        <f>IFERROR(__xludf.DUMMYFUNCTION("MAX(INDEX(GOOGLEFINANCE(A1534, ""high"", TODAY()-30, TODAY()), 0, 2))"),22.98)</f>
        <v>22.98</v>
      </c>
      <c r="I1534" s="9">
        <f>IFERROR(__xludf.DUMMYFUNCTION("MIN(INDEX(GOOGLEFINANCE(A1534, ""low"", TODAY()-30, TODAY()), 0, 2))"),19.56)</f>
        <v>19.56</v>
      </c>
      <c r="J1534" s="9">
        <f>IFERROR(__xludf.DUMMYFUNCTION("GOOGLEFINANCE(A1534, ""high52"")"),39.69)</f>
        <v>39.69</v>
      </c>
      <c r="K1534" s="9">
        <f>IFERROR(__xludf.DUMMYFUNCTION("GOOGLEFINANCE(A1534, ""low52"")"),19.56)</f>
        <v>19.56</v>
      </c>
      <c r="L1534" s="9">
        <f t="shared" si="1"/>
        <v>0.4457042076</v>
      </c>
      <c r="M1534" s="9">
        <f t="shared" si="2"/>
        <v>0.1247443763</v>
      </c>
      <c r="N1534" s="9">
        <f t="shared" si="3"/>
        <v>0.03360957643</v>
      </c>
      <c r="O1534" s="9">
        <f t="shared" si="4"/>
        <v>0.7134502924</v>
      </c>
      <c r="P1534" s="9">
        <f>IFERROR(__xludf.DUMMYFUNCTION("GOOGLEFINANCE(A1534, ""pe"")"),22.07)</f>
        <v>22.07</v>
      </c>
      <c r="Q1534" s="9">
        <f>IFERROR(__xludf.DUMMYFUNCTION("IFERROR(GOOGLEFINANCE(A1534, ""volume"") / GOOGLEFINANCE(A1534, ""volumeavg""), 0)"),0.0)</f>
        <v>0</v>
      </c>
      <c r="R1534" s="9">
        <f>IFERROR(__xludf.DUMMYFUNCTION("AVERAGE(INDEX(GOOGLEFINANCE(A1534, ""price"", TODAY()-30, TODAY()), 0, 2))"),21.214782608695657)</f>
        <v>21.21478261</v>
      </c>
      <c r="S1534" s="9">
        <f>IFERROR(__xludf.DUMMYFUNCTION("AVERAGE(INDEX(GOOGLEFINANCE(A1534, ""price"", TODAY()-75, TODAY()), 0, 2))"),22.72301886792453)</f>
        <v>22.72301887</v>
      </c>
      <c r="T1534" s="9">
        <f>IFERROR(__xludf.DUMMYFUNCTION("AVERAGE(INDEX(GOOGLEFINANCE(A1534, ""price"", TODAY()-300, TODAY()), 0, 2))"),28.972227722772274)</f>
        <v>28.97222772</v>
      </c>
      <c r="U1534" s="9">
        <f t="shared" si="5"/>
        <v>0.03701274747</v>
      </c>
      <c r="V1534" s="15">
        <f>IFERROR(__xludf.DUMMYFUNCTION("LET(hist, GOOGLEFINANCE(A1534,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rs))))))"),72.27414330218076)</f>
        <v>72.2741433</v>
      </c>
      <c r="W1534" s="16" t="str">
        <f>IFERROR(__xludf.DUMMYFUNCTION("IFERROR(GOOGLEFINANCE(A1534, ""volume"") / GOOGLEFINANCE(A1534, ""volumeavg""), )"),"")</f>
        <v/>
      </c>
      <c r="X1534" s="9">
        <f>IFERROR(__xludf.DUMMYFUNCTION("B1534 * GOOGLEFINANCE(A1534, ""volume"")"),2096402.0)</f>
        <v>2096402</v>
      </c>
      <c r="Y1534" s="9">
        <f>IFERROR(__xludf.DUMMYFUNCTION("IFERROR(((B1534 - GOOGLEFINANCE(A1534, ""priceopen"")) / GOOGLEFINANCE(A1534, ""priceopen"")) * GOOGLEFINANCE(A1534, ""volume""), 0)"),-1408.2413793103376)</f>
        <v>-1408.241379</v>
      </c>
    </row>
    <row r="1535">
      <c r="A1535" s="4" t="s">
        <v>3327</v>
      </c>
      <c r="B1535" s="7">
        <f>IFERROR(__xludf.DUMMYFUNCTION("GOOGLEFINANCE(A1535, ""price"")"),18.01)</f>
        <v>18.01</v>
      </c>
      <c r="C1535" s="7">
        <f>IFERROR(__xludf.DUMMYFUNCTION("GOOGLEFINANCE(A1535, ""changepct"")"),2.5)</f>
        <v>2.5</v>
      </c>
      <c r="D1535" s="9">
        <f>IFERROR(__xludf.DUMMYFUNCTION("GOOGLEFINANCE(A1535, ""priceopen"")"),17.45)</f>
        <v>17.45</v>
      </c>
      <c r="E1535" s="9">
        <f>IFERROR(__xludf.DUMMYFUNCTION("GOOGLEFINANCE(A1535, ""high"")"),18.09)</f>
        <v>18.09</v>
      </c>
      <c r="F1535" s="9">
        <f>IFERROR(__xludf.DUMMYFUNCTION("GOOGLEFINANCE(A1535, ""low"")"),17.25)</f>
        <v>17.25</v>
      </c>
      <c r="G1535" s="9">
        <f>IFERROR(__xludf.DUMMYFUNCTION("GOOGLEFINANCE(A1535, ""price"")"),18.01)</f>
        <v>18.01</v>
      </c>
      <c r="H1535" s="9">
        <f>IFERROR(__xludf.DUMMYFUNCTION("MAX(INDEX(GOOGLEFINANCE(A1535, ""high"", TODAY()-30, TODAY()), 0, 2))"),20.49)</f>
        <v>20.49</v>
      </c>
      <c r="I1535" s="9">
        <f>IFERROR(__xludf.DUMMYFUNCTION("MIN(INDEX(GOOGLEFINANCE(A1535, ""low"", TODAY()-30, TODAY()), 0, 2))"),17.25)</f>
        <v>17.25</v>
      </c>
      <c r="J1535" s="9">
        <f>IFERROR(__xludf.DUMMYFUNCTION("GOOGLEFINANCE(A1535, ""high52"")"),72.22)</f>
        <v>72.22</v>
      </c>
      <c r="K1535" s="9">
        <f>IFERROR(__xludf.DUMMYFUNCTION("GOOGLEFINANCE(A1535, ""low52"")"),14.81)</f>
        <v>14.81</v>
      </c>
      <c r="L1535" s="9">
        <f t="shared" si="1"/>
        <v>0.7506230961</v>
      </c>
      <c r="M1535" s="9">
        <f t="shared" si="2"/>
        <v>0.2160702228</v>
      </c>
      <c r="N1535" s="9">
        <f t="shared" si="3"/>
        <v>0.04869565217</v>
      </c>
      <c r="O1535" s="9">
        <f t="shared" si="4"/>
        <v>0.2345679012</v>
      </c>
      <c r="P1535" s="9">
        <f>IFERROR(__xludf.DUMMYFUNCTION("GOOGLEFINANCE(A1535, ""pe"")"),22.05)</f>
        <v>22.05</v>
      </c>
      <c r="Q1535" s="9">
        <f>IFERROR(__xludf.DUMMYFUNCTION("IFERROR(GOOGLEFINANCE(A1535, ""volume"") / GOOGLEFINANCE(A1535, ""volumeavg""), 0)"),0.0)</f>
        <v>0</v>
      </c>
      <c r="R1535" s="9">
        <f>IFERROR(__xludf.DUMMYFUNCTION("AVERAGE(INDEX(GOOGLEFINANCE(A1535, ""price"", TODAY()-30, TODAY()), 0, 2))"),18.49869565217391)</f>
        <v>18.49869565</v>
      </c>
      <c r="S1535" s="9">
        <f>IFERROR(__xludf.DUMMYFUNCTION("AVERAGE(INDEX(GOOGLEFINANCE(A1535, ""price"", TODAY()-75, TODAY()), 0, 2))"),18.504339622641513)</f>
        <v>18.50433962</v>
      </c>
      <c r="T1535" s="9">
        <f>IFERROR(__xludf.DUMMYFUNCTION("AVERAGE(INDEX(GOOGLEFINANCE(A1535, ""price"", TODAY()-300, TODAY()), 0, 2))"),34.94841584158415)</f>
        <v>34.94841584</v>
      </c>
      <c r="U1535" s="9">
        <f t="shared" si="5"/>
        <v>-0.0264178438</v>
      </c>
      <c r="V1535" s="15">
        <f>IFERROR(__xludf.DUMMYFUNCTION("LET(hist, GOOGLEFINANCE(A1535,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rs))))))"),46.153846153846146)</f>
        <v>46.15384615</v>
      </c>
      <c r="W1535" s="16" t="str">
        <f>IFERROR(__xludf.DUMMYFUNCTION("IFERROR(GOOGLEFINANCE(A1535, ""volume"") / GOOGLEFINANCE(A1535, ""volumeavg""), )"),"")</f>
        <v/>
      </c>
      <c r="X1535" s="9">
        <f>IFERROR(__xludf.DUMMYFUNCTION("B1535 * GOOGLEFINANCE(A1535, ""volume"")"),2.5792121000000004E7)</f>
        <v>25792121</v>
      </c>
      <c r="Y1535" s="9">
        <f>IFERROR(__xludf.DUMMYFUNCTION("IFERROR(((B1535 - GOOGLEFINANCE(A1535, ""priceopen"")) / GOOGLEFINANCE(A1535, ""priceopen"")) * GOOGLEFINANCE(A1535, ""volume""), 0)"),45958.51002865348)</f>
        <v>45958.51003</v>
      </c>
    </row>
    <row r="1536">
      <c r="A1536" s="4" t="s">
        <v>3328</v>
      </c>
      <c r="B1536" s="7">
        <f>IFERROR(__xludf.DUMMYFUNCTION("GOOGLEFINANCE(A1536, ""price"")"),125.76)</f>
        <v>125.76</v>
      </c>
      <c r="C1536" s="7">
        <f>IFERROR(__xludf.DUMMYFUNCTION("GOOGLEFINANCE(A1536, ""changepct"")"),-4.99)</f>
        <v>-4.99</v>
      </c>
      <c r="D1536" s="9">
        <f>IFERROR(__xludf.DUMMYFUNCTION("GOOGLEFINANCE(A1536, ""priceopen"")"),129.12)</f>
        <v>129.12</v>
      </c>
      <c r="E1536" s="9">
        <f>IFERROR(__xludf.DUMMYFUNCTION("GOOGLEFINANCE(A1536, ""high"")"),132.4)</f>
        <v>132.4</v>
      </c>
      <c r="F1536" s="9">
        <f>IFERROR(__xludf.DUMMYFUNCTION("GOOGLEFINANCE(A1536, ""low"")"),125.76)</f>
        <v>125.76</v>
      </c>
      <c r="G1536" s="9">
        <f>IFERROR(__xludf.DUMMYFUNCTION("GOOGLEFINANCE(A1536, ""price"")"),125.76)</f>
        <v>125.76</v>
      </c>
      <c r="H1536" s="9">
        <f>IFERROR(__xludf.DUMMYFUNCTION("MAX(INDEX(GOOGLEFINANCE(A1536, ""high"", TODAY()-30, TODAY()), 0, 2))"),139.8)</f>
        <v>139.8</v>
      </c>
      <c r="I1536" s="9">
        <f>IFERROR(__xludf.DUMMYFUNCTION("MIN(INDEX(GOOGLEFINANCE(A1536, ""low"", TODAY()-30, TODAY()), 0, 2))"),123.1)</f>
        <v>123.1</v>
      </c>
      <c r="J1536" s="9">
        <f>IFERROR(__xludf.DUMMYFUNCTION("GOOGLEFINANCE(A1536, ""high52"")"),303.25)</f>
        <v>303.25</v>
      </c>
      <c r="K1536" s="9">
        <f>IFERROR(__xludf.DUMMYFUNCTION("GOOGLEFINANCE(A1536, ""low52"")"),103.94)</f>
        <v>103.94</v>
      </c>
      <c r="L1536" s="9">
        <f t="shared" si="1"/>
        <v>0.5852926628</v>
      </c>
      <c r="M1536" s="9">
        <f t="shared" si="2"/>
        <v>0.2099288051</v>
      </c>
      <c r="N1536" s="9">
        <f t="shared" si="3"/>
        <v>0.05279898219</v>
      </c>
      <c r="O1536" s="9">
        <f t="shared" si="4"/>
        <v>0.1592814371</v>
      </c>
      <c r="P1536" s="9">
        <f>IFERROR(__xludf.DUMMYFUNCTION("GOOGLEFINANCE(A1536, ""pe"")"),13.1)</f>
        <v>13.1</v>
      </c>
      <c r="Q1536" s="9">
        <f>IFERROR(__xludf.DUMMYFUNCTION("IFERROR(GOOGLEFINANCE(A1536, ""volume"") / GOOGLEFINANCE(A1536, ""volumeavg""), 0)"),0.0)</f>
        <v>0</v>
      </c>
      <c r="R1536" s="9">
        <f>IFERROR(__xludf.DUMMYFUNCTION("AVERAGE(INDEX(GOOGLEFINANCE(A1536, ""price"", TODAY()-30, TODAY()), 0, 2))"),131.3221739130435)</f>
        <v>131.3221739</v>
      </c>
      <c r="S1536" s="9">
        <f>IFERROR(__xludf.DUMMYFUNCTION("AVERAGE(INDEX(GOOGLEFINANCE(A1536, ""price"", TODAY()-75, TODAY()), 0, 2))"),131.03169811320754)</f>
        <v>131.0316981</v>
      </c>
      <c r="T1536" s="9">
        <f>IFERROR(__xludf.DUMMYFUNCTION("AVERAGE(INDEX(GOOGLEFINANCE(A1536, ""price"", TODAY()-300, TODAY()), 0, 2))"),165.12460396039606)</f>
        <v>165.124604</v>
      </c>
      <c r="U1536" s="9">
        <f t="shared" si="5"/>
        <v>-0.04235517695</v>
      </c>
      <c r="V1536" s="15">
        <f>IFERROR(__xludf.DUMMYFUNCTION("LET(hist, GOOGLEFINANCE(A1536,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rs))))))"),47.54689754689755)</f>
        <v>47.54689755</v>
      </c>
      <c r="W1536" s="16" t="str">
        <f>IFERROR(__xludf.DUMMYFUNCTION("IFERROR(GOOGLEFINANCE(A1536, ""volume"") / GOOGLEFINANCE(A1536, ""volumeavg""), )"),"")</f>
        <v/>
      </c>
      <c r="X1536" s="9">
        <f>IFERROR(__xludf.DUMMYFUNCTION("B1536 * GOOGLEFINANCE(A1536, ""volume"")"),1.474611456E7)</f>
        <v>14746114.56</v>
      </c>
      <c r="Y1536" s="9">
        <f>IFERROR(__xludf.DUMMYFUNCTION("IFERROR(((B1536 - GOOGLEFINANCE(A1536, ""priceopen"")) / GOOGLEFINANCE(A1536, ""priceopen"")) * GOOGLEFINANCE(A1536, ""volume""), 0)"),-3051.2713754646834)</f>
        <v>-3051.271375</v>
      </c>
    </row>
    <row r="1537">
      <c r="A1537" s="4" t="s">
        <v>3329</v>
      </c>
      <c r="B1537" s="7">
        <f>IFERROR(__xludf.DUMMYFUNCTION("GOOGLEFINANCE(A1537, ""price"")"),523.0)</f>
        <v>523</v>
      </c>
      <c r="C1537" s="7">
        <f>IFERROR(__xludf.DUMMYFUNCTION("GOOGLEFINANCE(A1537, ""changepct"")"),0.6)</f>
        <v>0.6</v>
      </c>
      <c r="D1537" s="9">
        <f>IFERROR(__xludf.DUMMYFUNCTION("GOOGLEFINANCE(A1537, ""priceopen"")"),523.85)</f>
        <v>523.85</v>
      </c>
      <c r="E1537" s="9">
        <f>IFERROR(__xludf.DUMMYFUNCTION("GOOGLEFINANCE(A1537, ""high"")"),527.9)</f>
        <v>527.9</v>
      </c>
      <c r="F1537" s="9">
        <f>IFERROR(__xludf.DUMMYFUNCTION("GOOGLEFINANCE(A1537, ""low"")"),521.05)</f>
        <v>521.05</v>
      </c>
      <c r="G1537" s="9">
        <f>IFERROR(__xludf.DUMMYFUNCTION("GOOGLEFINANCE(A1537, ""price"")"),523.0)</f>
        <v>523</v>
      </c>
      <c r="H1537" s="9">
        <f>IFERROR(__xludf.DUMMYFUNCTION("MAX(INDEX(GOOGLEFINANCE(A1537, ""high"", TODAY()-30, TODAY()), 0, 2))"),574.0)</f>
        <v>574</v>
      </c>
      <c r="I1537" s="9">
        <f>IFERROR(__xludf.DUMMYFUNCTION("MIN(INDEX(GOOGLEFINANCE(A1537, ""low"", TODAY()-30, TODAY()), 0, 2))"),411.2)</f>
        <v>411.2</v>
      </c>
      <c r="J1537" s="9">
        <f>IFERROR(__xludf.DUMMYFUNCTION("GOOGLEFINANCE(A1537, ""high52"")"),574.0)</f>
        <v>574</v>
      </c>
      <c r="K1537" s="9">
        <f>IFERROR(__xludf.DUMMYFUNCTION("GOOGLEFINANCE(A1537, ""low52"")"),333.0)</f>
        <v>333</v>
      </c>
      <c r="L1537" s="9">
        <f t="shared" si="1"/>
        <v>0.08885017422</v>
      </c>
      <c r="M1537" s="9">
        <f t="shared" si="2"/>
        <v>0.5705705706</v>
      </c>
      <c r="N1537" s="9">
        <f t="shared" si="3"/>
        <v>0.01314653104</v>
      </c>
      <c r="O1537" s="9">
        <f t="shared" si="4"/>
        <v>0.6867321867</v>
      </c>
      <c r="P1537" s="9">
        <f>IFERROR(__xludf.DUMMYFUNCTION("GOOGLEFINANCE(A1537, ""pe"")"),14.33)</f>
        <v>14.33</v>
      </c>
      <c r="Q1537" s="9">
        <f>IFERROR(__xludf.DUMMYFUNCTION("IFERROR(GOOGLEFINANCE(A1537, ""volume"") / GOOGLEFINANCE(A1537, ""volumeavg""), 0)"),0.0)</f>
        <v>0</v>
      </c>
      <c r="R1537" s="9">
        <f>IFERROR(__xludf.DUMMYFUNCTION("AVERAGE(INDEX(GOOGLEFINANCE(A1537, ""price"", TODAY()-30, TODAY()), 0, 2))"),475.4065217391304)</f>
        <v>475.4065217</v>
      </c>
      <c r="S1537" s="9">
        <f>IFERROR(__xludf.DUMMYFUNCTION("AVERAGE(INDEX(GOOGLEFINANCE(A1537, ""price"", TODAY()-75, TODAY()), 0, 2))"),458.1452830188679)</f>
        <v>458.145283</v>
      </c>
      <c r="T1537" s="9">
        <f>IFERROR(__xludf.DUMMYFUNCTION("AVERAGE(INDEX(GOOGLEFINANCE(A1537, ""price"", TODAY()-300, TODAY()), 0, 2))"),457.34678217821784)</f>
        <v>457.3467822</v>
      </c>
      <c r="U1537" s="9">
        <f t="shared" si="5"/>
        <v>0.1001111177</v>
      </c>
      <c r="V1537" s="15">
        <f>IFERROR(__xludf.DUMMYFUNCTION("LET(hist, GOOGLEFINANCE(A1537,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rs))))))"),58.89679715302491)</f>
        <v>58.89679715</v>
      </c>
      <c r="W1537" s="16" t="str">
        <f>IFERROR(__xludf.DUMMYFUNCTION("IFERROR(GOOGLEFINANCE(A1537, ""volume"") / GOOGLEFINANCE(A1537, ""volumeavg""), )"),"")</f>
        <v/>
      </c>
      <c r="X1537" s="9">
        <f>IFERROR(__xludf.DUMMYFUNCTION("B1537 * GOOGLEFINANCE(A1537, ""volume"")"),2628075.0)</f>
        <v>2628075</v>
      </c>
      <c r="Y1537" s="9">
        <f>IFERROR(__xludf.DUMMYFUNCTION("IFERROR(((B1537 - GOOGLEFINANCE(A1537, ""priceopen"")) / GOOGLEFINANCE(A1537, ""priceopen"")) * GOOGLEFINANCE(A1537, ""volume""), 0)"),-8.153574496516397)</f>
        <v>-8.153574497</v>
      </c>
    </row>
    <row r="1538">
      <c r="A1538" s="4" t="s">
        <v>3330</v>
      </c>
      <c r="B1538" s="7">
        <f>IFERROR(__xludf.DUMMYFUNCTION("GOOGLEFINANCE(A1538, ""price"")"),117.7)</f>
        <v>117.7</v>
      </c>
      <c r="C1538" s="7">
        <f>IFERROR(__xludf.DUMMYFUNCTION("GOOGLEFINANCE(A1538, ""changepct"")"),-3.69)</f>
        <v>-3.69</v>
      </c>
      <c r="D1538" s="9">
        <f>IFERROR(__xludf.DUMMYFUNCTION("GOOGLEFINANCE(A1538, ""priceopen"")"),122.21)</f>
        <v>122.21</v>
      </c>
      <c r="E1538" s="9">
        <f>IFERROR(__xludf.DUMMYFUNCTION("GOOGLEFINANCE(A1538, ""high"")"),124.9)</f>
        <v>124.9</v>
      </c>
      <c r="F1538" s="9">
        <f>IFERROR(__xludf.DUMMYFUNCTION("GOOGLEFINANCE(A1538, ""low"")"),117.01)</f>
        <v>117.01</v>
      </c>
      <c r="G1538" s="9">
        <f>IFERROR(__xludf.DUMMYFUNCTION("GOOGLEFINANCE(A1538, ""price"")"),117.7)</f>
        <v>117.7</v>
      </c>
      <c r="H1538" s="9">
        <f>IFERROR(__xludf.DUMMYFUNCTION("MAX(INDEX(GOOGLEFINANCE(A1538, ""high"", TODAY()-30, TODAY()), 0, 2))"),141.5)</f>
        <v>141.5</v>
      </c>
      <c r="I1538" s="9">
        <f>IFERROR(__xludf.DUMMYFUNCTION("MIN(INDEX(GOOGLEFINANCE(A1538, ""low"", TODAY()-30, TODAY()), 0, 2))"),106.92)</f>
        <v>106.92</v>
      </c>
      <c r="J1538" s="9">
        <f>IFERROR(__xludf.DUMMYFUNCTION("GOOGLEFINANCE(A1538, ""high52"")"),154.0)</f>
        <v>154</v>
      </c>
      <c r="K1538" s="9">
        <f>IFERROR(__xludf.DUMMYFUNCTION("GOOGLEFINANCE(A1538, ""low52"")"),84.1)</f>
        <v>84.1</v>
      </c>
      <c r="L1538" s="9">
        <f t="shared" si="1"/>
        <v>0.2357142857</v>
      </c>
      <c r="M1538" s="9">
        <f t="shared" si="2"/>
        <v>0.3995243757</v>
      </c>
      <c r="N1538" s="9">
        <f t="shared" si="3"/>
        <v>0.06743013418</v>
      </c>
      <c r="O1538" s="9">
        <f t="shared" si="4"/>
        <v>0.3117408907</v>
      </c>
      <c r="P1538" s="9">
        <f>IFERROR(__xludf.DUMMYFUNCTION("GOOGLEFINANCE(A1538, ""pe"")"),13.75)</f>
        <v>13.75</v>
      </c>
      <c r="Q1538" s="9">
        <f>IFERROR(__xludf.DUMMYFUNCTION("IFERROR(GOOGLEFINANCE(A1538, ""volume"") / GOOGLEFINANCE(A1538, ""volumeavg""), 0)"),0.0)</f>
        <v>0</v>
      </c>
      <c r="R1538" s="9">
        <f>IFERROR(__xludf.DUMMYFUNCTION("AVERAGE(INDEX(GOOGLEFINANCE(A1538, ""price"", TODAY()-30, TODAY()), 0, 2))"),118.19391304347828)</f>
        <v>118.193913</v>
      </c>
      <c r="S1538" s="9">
        <f>IFERROR(__xludf.DUMMYFUNCTION("AVERAGE(INDEX(GOOGLEFINANCE(A1538, ""price"", TODAY()-75, TODAY()), 0, 2))"),110.55339622641512)</f>
        <v>110.5533962</v>
      </c>
      <c r="T1538" s="9">
        <f>IFERROR(__xludf.DUMMYFUNCTION("AVERAGE(INDEX(GOOGLEFINANCE(A1538, ""price"", TODAY()-300, TODAY()), 0, 2))"),116.95678217821775)</f>
        <v>116.9567822</v>
      </c>
      <c r="U1538" s="9">
        <f t="shared" si="5"/>
        <v>-0.004178836547</v>
      </c>
      <c r="V1538" s="15">
        <f>IFERROR(__xludf.DUMMYFUNCTION("LET(hist, GOOGLEFINANCE(A1538,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rs))))))"),58.974948287749946)</f>
        <v>58.97494829</v>
      </c>
      <c r="W1538" s="16" t="str">
        <f>IFERROR(__xludf.DUMMYFUNCTION("IFERROR(GOOGLEFINANCE(A1538, ""volume"") / GOOGLEFINANCE(A1538, ""volumeavg""), )"),"")</f>
        <v/>
      </c>
      <c r="X1538" s="9">
        <f>IFERROR(__xludf.DUMMYFUNCTION("B1538 * GOOGLEFINANCE(A1538, ""volume"")"),5.3811263E7)</f>
        <v>53811263</v>
      </c>
      <c r="Y1538" s="9">
        <f>IFERROR(__xludf.DUMMYFUNCTION("IFERROR(((B1538 - GOOGLEFINANCE(A1538, ""priceopen"")) / GOOGLEFINANCE(A1538, ""priceopen"")) * GOOGLEFINANCE(A1538, ""volume""), 0)"),-16871.998199819947)</f>
        <v>-16871.9982</v>
      </c>
    </row>
    <row r="1539">
      <c r="A1539" s="4" t="s">
        <v>3331</v>
      </c>
      <c r="B1539" s="7">
        <f>IFERROR(__xludf.DUMMYFUNCTION("GOOGLEFINANCE(A1539, ""price"")"),77.55)</f>
        <v>77.55</v>
      </c>
      <c r="C1539" s="7">
        <f>IFERROR(__xludf.DUMMYFUNCTION("GOOGLEFINANCE(A1539, ""changepct"")"),-0.27)</f>
        <v>-0.27</v>
      </c>
      <c r="D1539" s="9">
        <f>IFERROR(__xludf.DUMMYFUNCTION("GOOGLEFINANCE(A1539, ""priceopen"")"),77.83)</f>
        <v>77.83</v>
      </c>
      <c r="E1539" s="9">
        <f>IFERROR(__xludf.DUMMYFUNCTION("GOOGLEFINANCE(A1539, ""high"")"),78.5)</f>
        <v>78.5</v>
      </c>
      <c r="F1539" s="9">
        <f>IFERROR(__xludf.DUMMYFUNCTION("GOOGLEFINANCE(A1539, ""low"")"),77.0)</f>
        <v>77</v>
      </c>
      <c r="G1539" s="9">
        <f>IFERROR(__xludf.DUMMYFUNCTION("GOOGLEFINANCE(A1539, ""price"")"),77.55)</f>
        <v>77.55</v>
      </c>
      <c r="H1539" s="9">
        <f>IFERROR(__xludf.DUMMYFUNCTION("MAX(INDEX(GOOGLEFINANCE(A1539, ""high"", TODAY()-30, TODAY()), 0, 2))"),81.75)</f>
        <v>81.75</v>
      </c>
      <c r="I1539" s="9">
        <f>IFERROR(__xludf.DUMMYFUNCTION("MIN(INDEX(GOOGLEFINANCE(A1539, ""low"", TODAY()-30, TODAY()), 0, 2))"),77.0)</f>
        <v>77</v>
      </c>
      <c r="J1539" s="9">
        <f>IFERROR(__xludf.DUMMYFUNCTION("GOOGLEFINANCE(A1539, ""high52"")"),94.89)</f>
        <v>94.89</v>
      </c>
      <c r="K1539" s="9">
        <f>IFERROR(__xludf.DUMMYFUNCTION("GOOGLEFINANCE(A1539, ""low52"")"),67.0)</f>
        <v>67</v>
      </c>
      <c r="L1539" s="9">
        <f t="shared" si="1"/>
        <v>0.1827379071</v>
      </c>
      <c r="M1539" s="9">
        <f t="shared" si="2"/>
        <v>0.1574626866</v>
      </c>
      <c r="N1539" s="9">
        <f t="shared" si="3"/>
        <v>0.01948051948</v>
      </c>
      <c r="O1539" s="9">
        <f t="shared" si="4"/>
        <v>0.1157894737</v>
      </c>
      <c r="P1539" s="9">
        <f>IFERROR(__xludf.DUMMYFUNCTION("GOOGLEFINANCE(A1539, ""pe"")"),18.94)</f>
        <v>18.94</v>
      </c>
      <c r="Q1539" s="9">
        <f>IFERROR(__xludf.DUMMYFUNCTION("IFERROR(GOOGLEFINANCE(A1539, ""volume"") / GOOGLEFINANCE(A1539, ""volumeavg""), 0)"),0.0)</f>
        <v>0</v>
      </c>
      <c r="R1539" s="9">
        <f>IFERROR(__xludf.DUMMYFUNCTION("AVERAGE(INDEX(GOOGLEFINANCE(A1539, ""price"", TODAY()-30, TODAY()), 0, 2))"),79.47086956521741)</f>
        <v>79.47086957</v>
      </c>
      <c r="S1539" s="9">
        <f>IFERROR(__xludf.DUMMYFUNCTION("AVERAGE(INDEX(GOOGLEFINANCE(A1539, ""price"", TODAY()-75, TODAY()), 0, 2))"),78.78999999999999)</f>
        <v>78.79</v>
      </c>
      <c r="T1539" s="9">
        <f>IFERROR(__xludf.DUMMYFUNCTION("AVERAGE(INDEX(GOOGLEFINANCE(A1539, ""price"", TODAY()-300, TODAY()), 0, 2))"),78.87282178217828)</f>
        <v>78.87282178</v>
      </c>
      <c r="U1539" s="9">
        <f t="shared" si="5"/>
        <v>-0.02417073798</v>
      </c>
      <c r="V1539" s="15">
        <f>IFERROR(__xludf.DUMMYFUNCTION("LET(hist, GOOGLEFINANCE(A1539,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rs))))))"),37.31843575418998)</f>
        <v>37.31843575</v>
      </c>
      <c r="W1539" s="16" t="str">
        <f>IFERROR(__xludf.DUMMYFUNCTION("IFERROR(GOOGLEFINANCE(A1539, ""volume"") / GOOGLEFINANCE(A1539, ""volumeavg""), )"),"")</f>
        <v/>
      </c>
      <c r="X1539" s="9">
        <f>IFERROR(__xludf.DUMMYFUNCTION("B1539 * GOOGLEFINANCE(A1539, ""volume"")"),5037725.55)</f>
        <v>5037725.55</v>
      </c>
      <c r="Y1539" s="9">
        <f>IFERROR(__xludf.DUMMYFUNCTION("IFERROR(((B1539 - GOOGLEFINANCE(A1539, ""priceopen"")) / GOOGLEFINANCE(A1539, ""priceopen"")) * GOOGLEFINANCE(A1539, ""volume""), 0)"),-233.7026853398442)</f>
        <v>-233.7026853</v>
      </c>
    </row>
    <row r="1540">
      <c r="A1540" s="4" t="s">
        <v>3332</v>
      </c>
      <c r="B1540" s="7">
        <f>IFERROR(__xludf.DUMMYFUNCTION("GOOGLEFINANCE(A1540, ""price"")"),143.66)</f>
        <v>143.66</v>
      </c>
      <c r="C1540" s="7">
        <f>IFERROR(__xludf.DUMMYFUNCTION("GOOGLEFINANCE(A1540, ""changepct"")"),0.0)</f>
        <v>0</v>
      </c>
      <c r="D1540" s="9">
        <f>IFERROR(__xludf.DUMMYFUNCTION("GOOGLEFINANCE(A1540, ""priceopen"")"),144.8)</f>
        <v>144.8</v>
      </c>
      <c r="E1540" s="9">
        <f>IFERROR(__xludf.DUMMYFUNCTION("GOOGLEFINANCE(A1540, ""high"")"),144.8)</f>
        <v>144.8</v>
      </c>
      <c r="F1540" s="9">
        <f>IFERROR(__xludf.DUMMYFUNCTION("GOOGLEFINANCE(A1540, ""low"")"),141.1)</f>
        <v>141.1</v>
      </c>
      <c r="G1540" s="9">
        <f>IFERROR(__xludf.DUMMYFUNCTION("GOOGLEFINANCE(A1540, ""price"")"),143.66)</f>
        <v>143.66</v>
      </c>
      <c r="H1540" s="9">
        <f>IFERROR(__xludf.DUMMYFUNCTION("MAX(INDEX(GOOGLEFINANCE(A1540, ""high"", TODAY()-30, TODAY()), 0, 2))"),155.0)</f>
        <v>155</v>
      </c>
      <c r="I1540" s="9">
        <f>IFERROR(__xludf.DUMMYFUNCTION("MIN(INDEX(GOOGLEFINANCE(A1540, ""low"", TODAY()-30, TODAY()), 0, 2))"),140.0)</f>
        <v>140</v>
      </c>
      <c r="J1540" s="9">
        <f>IFERROR(__xludf.DUMMYFUNCTION("GOOGLEFINANCE(A1540, ""high52"")"),345.05)</f>
        <v>345.05</v>
      </c>
      <c r="K1540" s="9">
        <f>IFERROR(__xludf.DUMMYFUNCTION("GOOGLEFINANCE(A1540, ""low52"")"),120.02)</f>
        <v>120.02</v>
      </c>
      <c r="L1540" s="9">
        <f t="shared" si="1"/>
        <v>0.5836545428</v>
      </c>
      <c r="M1540" s="9">
        <f t="shared" si="2"/>
        <v>0.1969671721</v>
      </c>
      <c r="N1540" s="9">
        <f t="shared" si="3"/>
        <v>0.02622253721</v>
      </c>
      <c r="O1540" s="9">
        <f t="shared" si="4"/>
        <v>0.244</v>
      </c>
      <c r="P1540" s="9" t="str">
        <f>IFERROR(__xludf.DUMMYFUNCTION("GOOGLEFINANCE(A1540, ""pe"")"),"#N/A")</f>
        <v>#N/A</v>
      </c>
      <c r="Q1540" s="9">
        <f>IFERROR(__xludf.DUMMYFUNCTION("IFERROR(GOOGLEFINANCE(A1540, ""volume"") / GOOGLEFINANCE(A1540, ""volumeavg""), 0)"),0.0)</f>
        <v>0</v>
      </c>
      <c r="R1540" s="9">
        <f>IFERROR(__xludf.DUMMYFUNCTION("AVERAGE(INDEX(GOOGLEFINANCE(A1540, ""price"", TODAY()-30, TODAY()), 0, 2))"),147.14000000000004)</f>
        <v>147.14</v>
      </c>
      <c r="S1540" s="9">
        <f>IFERROR(__xludf.DUMMYFUNCTION("AVERAGE(INDEX(GOOGLEFINANCE(A1540, ""price"", TODAY()-75, TODAY()), 0, 2))"),142.09735849056602)</f>
        <v>142.0973585</v>
      </c>
      <c r="T1540" s="9">
        <f>IFERROR(__xludf.DUMMYFUNCTION("AVERAGE(INDEX(GOOGLEFINANCE(A1540, ""price"", TODAY()-300, TODAY()), 0, 2))"),178.7505434782608)</f>
        <v>178.7505435</v>
      </c>
      <c r="U1540" s="9">
        <f t="shared" si="5"/>
        <v>-0.02365094468</v>
      </c>
      <c r="V1540" s="15">
        <f>IFERROR(__xludf.DUMMYFUNCTION("LET(hist, GOOGLEFINANCE(A1540,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rs))))))"),47.655259822560225)</f>
        <v>47.65525982</v>
      </c>
      <c r="W1540" s="16" t="str">
        <f>IFERROR(__xludf.DUMMYFUNCTION("IFERROR(GOOGLEFINANCE(A1540, ""volume"") / GOOGLEFINANCE(A1540, ""volumeavg""), )"),"")</f>
        <v/>
      </c>
      <c r="X1540" s="9">
        <f>IFERROR(__xludf.DUMMYFUNCTION("B1540 * GOOGLEFINANCE(A1540, ""volume"")"),1.092778522E7)</f>
        <v>10927785.22</v>
      </c>
      <c r="Y1540" s="9">
        <f>IFERROR(__xludf.DUMMYFUNCTION("IFERROR(((B1540 - GOOGLEFINANCE(A1540, ""priceopen"")) / GOOGLEFINANCE(A1540, ""priceopen"")) * GOOGLEFINANCE(A1540, ""volume""), 0)"),-598.8700276243171)</f>
        <v>-598.8700276</v>
      </c>
    </row>
    <row r="1541">
      <c r="A1541" s="4" t="s">
        <v>3333</v>
      </c>
      <c r="B1541" s="7">
        <f>IFERROR(__xludf.DUMMYFUNCTION("GOOGLEFINANCE(A1541, ""price"")"),149.31)</f>
        <v>149.31</v>
      </c>
      <c r="C1541" s="7">
        <f>IFERROR(__xludf.DUMMYFUNCTION("GOOGLEFINANCE(A1541, ""changepct"")"),-0.74)</f>
        <v>-0.74</v>
      </c>
      <c r="D1541" s="9">
        <f>IFERROR(__xludf.DUMMYFUNCTION("GOOGLEFINANCE(A1541, ""priceopen"")"),151.0)</f>
        <v>151</v>
      </c>
      <c r="E1541" s="9">
        <f>IFERROR(__xludf.DUMMYFUNCTION("GOOGLEFINANCE(A1541, ""high"")"),151.27)</f>
        <v>151.27</v>
      </c>
      <c r="F1541" s="9">
        <f>IFERROR(__xludf.DUMMYFUNCTION("GOOGLEFINANCE(A1541, ""low"")"),148.4)</f>
        <v>148.4</v>
      </c>
      <c r="G1541" s="9">
        <f>IFERROR(__xludf.DUMMYFUNCTION("GOOGLEFINANCE(A1541, ""price"")"),149.31)</f>
        <v>149.31</v>
      </c>
      <c r="H1541" s="9">
        <f>IFERROR(__xludf.DUMMYFUNCTION("MAX(INDEX(GOOGLEFINANCE(A1541, ""high"", TODAY()-30, TODAY()), 0, 2))"),157.43)</f>
        <v>157.43</v>
      </c>
      <c r="I1541" s="9">
        <f>IFERROR(__xludf.DUMMYFUNCTION("MIN(INDEX(GOOGLEFINANCE(A1541, ""low"", TODAY()-30, TODAY()), 0, 2))"),144.42)</f>
        <v>144.42</v>
      </c>
      <c r="J1541" s="9">
        <f>IFERROR(__xludf.DUMMYFUNCTION("GOOGLEFINANCE(A1541, ""high52"")"),185.01)</f>
        <v>185.01</v>
      </c>
      <c r="K1541" s="9">
        <f>IFERROR(__xludf.DUMMYFUNCTION("GOOGLEFINANCE(A1541, ""low52"")"),130.05)</f>
        <v>130.05</v>
      </c>
      <c r="L1541" s="9">
        <f t="shared" si="1"/>
        <v>0.1929625426</v>
      </c>
      <c r="M1541" s="9">
        <f t="shared" si="2"/>
        <v>0.1480968858</v>
      </c>
      <c r="N1541" s="9">
        <f t="shared" si="3"/>
        <v>0.01933962264</v>
      </c>
      <c r="O1541" s="9">
        <f t="shared" si="4"/>
        <v>0.3758647194</v>
      </c>
      <c r="P1541" s="9">
        <f>IFERROR(__xludf.DUMMYFUNCTION("GOOGLEFINANCE(A1541, ""pe"")"),5.19)</f>
        <v>5.19</v>
      </c>
      <c r="Q1541" s="9">
        <f>IFERROR(__xludf.DUMMYFUNCTION("IFERROR(GOOGLEFINANCE(A1541, ""volume"") / GOOGLEFINANCE(A1541, ""volumeavg""), 0)"),0.0)</f>
        <v>0</v>
      </c>
      <c r="R1541" s="9">
        <f>IFERROR(__xludf.DUMMYFUNCTION("AVERAGE(INDEX(GOOGLEFINANCE(A1541, ""price"", TODAY()-30, TODAY()), 0, 2))"),149.39086956521737)</f>
        <v>149.3908696</v>
      </c>
      <c r="S1541" s="9">
        <f>IFERROR(__xludf.DUMMYFUNCTION("AVERAGE(INDEX(GOOGLEFINANCE(A1541, ""price"", TODAY()-75, TODAY()), 0, 2))"),152.55566037735846)</f>
        <v>152.5556604</v>
      </c>
      <c r="T1541" s="9">
        <f>IFERROR(__xludf.DUMMYFUNCTION("AVERAGE(INDEX(GOOGLEFINANCE(A1541, ""price"", TODAY()-300, TODAY()), 0, 2))"),158.56405940594058)</f>
        <v>158.5640594</v>
      </c>
      <c r="U1541" s="9">
        <f t="shared" si="5"/>
        <v>-0.0005413287</v>
      </c>
      <c r="V1541" s="15">
        <f>IFERROR(__xludf.DUMMYFUNCTION("LET(hist, GOOGLEFINANCE(A1541,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rs))))))"),57.985611510791365)</f>
        <v>57.98561151</v>
      </c>
      <c r="W1541" s="16" t="str">
        <f>IFERROR(__xludf.DUMMYFUNCTION("IFERROR(GOOGLEFINANCE(A1541, ""volume"") / GOOGLEFINANCE(A1541, ""volumeavg""), )"),"")</f>
        <v/>
      </c>
      <c r="X1541" s="9">
        <f>IFERROR(__xludf.DUMMYFUNCTION("B1541 * GOOGLEFINANCE(A1541, ""volume"")"),1.201452777E7)</f>
        <v>12014527.77</v>
      </c>
      <c r="Y1541" s="9">
        <f>IFERROR(__xludf.DUMMYFUNCTION("IFERROR(((B1541 - GOOGLEFINANCE(A1541, ""priceopen"")) / GOOGLEFINANCE(A1541, ""priceopen"")) * GOOGLEFINANCE(A1541, ""volume""), 0)"),-900.5909271523166)</f>
        <v>-900.5909272</v>
      </c>
    </row>
    <row r="1542">
      <c r="A1542" s="4" t="s">
        <v>3334</v>
      </c>
      <c r="B1542" s="7">
        <f>IFERROR(__xludf.DUMMYFUNCTION("GOOGLEFINANCE(A1542, ""price"")"),499.85)</f>
        <v>499.85</v>
      </c>
      <c r="C1542" s="7">
        <f>IFERROR(__xludf.DUMMYFUNCTION("GOOGLEFINANCE(A1542, ""changepct"")"),-1.7)</f>
        <v>-1.7</v>
      </c>
      <c r="D1542" s="9">
        <f>IFERROR(__xludf.DUMMYFUNCTION("GOOGLEFINANCE(A1542, ""priceopen"")"),505.0)</f>
        <v>505</v>
      </c>
      <c r="E1542" s="9">
        <f>IFERROR(__xludf.DUMMYFUNCTION("GOOGLEFINANCE(A1542, ""high"")"),513.0)</f>
        <v>513</v>
      </c>
      <c r="F1542" s="9">
        <f>IFERROR(__xludf.DUMMYFUNCTION("GOOGLEFINANCE(A1542, ""low"")"),497.15)</f>
        <v>497.15</v>
      </c>
      <c r="G1542" s="9">
        <f>IFERROR(__xludf.DUMMYFUNCTION("GOOGLEFINANCE(A1542, ""price"")"),499.85)</f>
        <v>499.85</v>
      </c>
      <c r="H1542" s="9">
        <f>IFERROR(__xludf.DUMMYFUNCTION("MAX(INDEX(GOOGLEFINANCE(A1542, ""high"", TODAY()-30, TODAY()), 0, 2))"),560.5)</f>
        <v>560.5</v>
      </c>
      <c r="I1542" s="9">
        <f>IFERROR(__xludf.DUMMYFUNCTION("MIN(INDEX(GOOGLEFINANCE(A1542, ""low"", TODAY()-30, TODAY()), 0, 2))"),490.5)</f>
        <v>490.5</v>
      </c>
      <c r="J1542" s="9">
        <f>IFERROR(__xludf.DUMMYFUNCTION("GOOGLEFINANCE(A1542, ""high52"")"),654.65)</f>
        <v>654.65</v>
      </c>
      <c r="K1542" s="9">
        <f>IFERROR(__xludf.DUMMYFUNCTION("GOOGLEFINANCE(A1542, ""low52"")"),374.5)</f>
        <v>374.5</v>
      </c>
      <c r="L1542" s="9">
        <f t="shared" si="1"/>
        <v>0.2364622317</v>
      </c>
      <c r="M1542" s="9">
        <f t="shared" si="2"/>
        <v>0.3347129506</v>
      </c>
      <c r="N1542" s="9">
        <f t="shared" si="3"/>
        <v>0.03188172584</v>
      </c>
      <c r="O1542" s="9">
        <f t="shared" si="4"/>
        <v>0.1335714286</v>
      </c>
      <c r="P1542" s="9">
        <f>IFERROR(__xludf.DUMMYFUNCTION("GOOGLEFINANCE(A1542, ""pe"")"),26.6)</f>
        <v>26.6</v>
      </c>
      <c r="Q1542" s="9">
        <f>IFERROR(__xludf.DUMMYFUNCTION("IFERROR(GOOGLEFINANCE(A1542, ""volume"") / GOOGLEFINANCE(A1542, ""volumeavg""), 0)"),0.0)</f>
        <v>0</v>
      </c>
      <c r="R1542" s="9">
        <f>IFERROR(__xludf.DUMMYFUNCTION("AVERAGE(INDEX(GOOGLEFINANCE(A1542, ""price"", TODAY()-30, TODAY()), 0, 2))"),515.7065217391304)</f>
        <v>515.7065217</v>
      </c>
      <c r="S1542" s="9">
        <f>IFERROR(__xludf.DUMMYFUNCTION("AVERAGE(INDEX(GOOGLEFINANCE(A1542, ""price"", TODAY()-75, TODAY()), 0, 2))"),512.9669811320755)</f>
        <v>512.9669811</v>
      </c>
      <c r="T1542" s="9">
        <f>IFERROR(__xludf.DUMMYFUNCTION("AVERAGE(INDEX(GOOGLEFINANCE(A1542, ""price"", TODAY()-300, TODAY()), 0, 2))"),487.5591584158416)</f>
        <v>487.5591584</v>
      </c>
      <c r="U1542" s="9">
        <f t="shared" si="5"/>
        <v>-0.03074718095</v>
      </c>
      <c r="V1542" s="15">
        <f>IFERROR(__xludf.DUMMYFUNCTION("LET(hist, GOOGLEFINANCE(A1542,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rs))))))"),31.05994787141617)</f>
        <v>31.05994787</v>
      </c>
      <c r="W1542" s="16" t="str">
        <f>IFERROR(__xludf.DUMMYFUNCTION("IFERROR(GOOGLEFINANCE(A1542, ""volume"") / GOOGLEFINANCE(A1542, ""volumeavg""), )"),"")</f>
        <v/>
      </c>
      <c r="X1542" s="9">
        <f>IFERROR(__xludf.DUMMYFUNCTION("B1542 * GOOGLEFINANCE(A1542, ""volume"")"),9958011.700000001)</f>
        <v>9958011.7</v>
      </c>
      <c r="Y1542" s="9">
        <f>IFERROR(__xludf.DUMMYFUNCTION("IFERROR(((B1542 - GOOGLEFINANCE(A1542, ""priceopen"")) / GOOGLEFINANCE(A1542, ""priceopen"")) * GOOGLEFINANCE(A1542, ""volume""), 0)"),-203.1649504950486)</f>
        <v>-203.1649505</v>
      </c>
    </row>
    <row r="1543">
      <c r="A1543" s="4" t="s">
        <v>3335</v>
      </c>
      <c r="B1543" s="7">
        <f>IFERROR(__xludf.DUMMYFUNCTION("GOOGLEFINANCE(A1543, ""price"")"),1703.2)</f>
        <v>1703.2</v>
      </c>
      <c r="C1543" s="7">
        <f>IFERROR(__xludf.DUMMYFUNCTION("GOOGLEFINANCE(A1543, ""changepct"")"),0.18)</f>
        <v>0.18</v>
      </c>
      <c r="D1543" s="9">
        <f>IFERROR(__xludf.DUMMYFUNCTION("GOOGLEFINANCE(A1543, ""priceopen"")"),1701.5)</f>
        <v>1701.5</v>
      </c>
      <c r="E1543" s="9">
        <f>IFERROR(__xludf.DUMMYFUNCTION("GOOGLEFINANCE(A1543, ""high"")"),1759.0)</f>
        <v>1759</v>
      </c>
      <c r="F1543" s="9">
        <f>IFERROR(__xludf.DUMMYFUNCTION("GOOGLEFINANCE(A1543, ""low"")"),1701.5)</f>
        <v>1701.5</v>
      </c>
      <c r="G1543" s="9">
        <f>IFERROR(__xludf.DUMMYFUNCTION("GOOGLEFINANCE(A1543, ""price"")"),1703.2)</f>
        <v>1703.2</v>
      </c>
      <c r="H1543" s="9">
        <f>IFERROR(__xludf.DUMMYFUNCTION("MAX(INDEX(GOOGLEFINANCE(A1543, ""high"", TODAY()-30, TODAY()), 0, 2))"),1878.9)</f>
        <v>1878.9</v>
      </c>
      <c r="I1543" s="9">
        <f>IFERROR(__xludf.DUMMYFUNCTION("MIN(INDEX(GOOGLEFINANCE(A1543, ""low"", TODAY()-30, TODAY()), 0, 2))"),1600.0)</f>
        <v>1600</v>
      </c>
      <c r="J1543" s="9">
        <f>IFERROR(__xludf.DUMMYFUNCTION("GOOGLEFINANCE(A1543, ""high52"")"),1980.0)</f>
        <v>1980</v>
      </c>
      <c r="K1543" s="9">
        <f>IFERROR(__xludf.DUMMYFUNCTION("GOOGLEFINANCE(A1543, ""low52"")"),812.0)</f>
        <v>812</v>
      </c>
      <c r="L1543" s="9">
        <f t="shared" si="1"/>
        <v>0.1397979798</v>
      </c>
      <c r="M1543" s="9">
        <f t="shared" si="2"/>
        <v>1.097536946</v>
      </c>
      <c r="N1543" s="9">
        <f t="shared" si="3"/>
        <v>0.03379371143</v>
      </c>
      <c r="O1543" s="9">
        <f t="shared" si="4"/>
        <v>0.3700250986</v>
      </c>
      <c r="P1543" s="9">
        <f>IFERROR(__xludf.DUMMYFUNCTION("GOOGLEFINANCE(A1543, ""pe"")"),29.28)</f>
        <v>29.28</v>
      </c>
      <c r="Q1543" s="9">
        <f>IFERROR(__xludf.DUMMYFUNCTION("IFERROR(GOOGLEFINANCE(A1543, ""volume"") / GOOGLEFINANCE(A1543, ""volumeavg""), 0)"),0.0)</f>
        <v>0</v>
      </c>
      <c r="R1543" s="9">
        <f>IFERROR(__xludf.DUMMYFUNCTION("AVERAGE(INDEX(GOOGLEFINANCE(A1543, ""price"", TODAY()-30, TODAY()), 0, 2))"),1734.8173913043472)</f>
        <v>1734.817391</v>
      </c>
      <c r="S1543" s="9">
        <f>IFERROR(__xludf.DUMMYFUNCTION("AVERAGE(INDEX(GOOGLEFINANCE(A1543, ""price"", TODAY()-75, TODAY()), 0, 2))"),1512.292452830189)</f>
        <v>1512.292453</v>
      </c>
      <c r="T1543" s="9">
        <f>IFERROR(__xludf.DUMMYFUNCTION("AVERAGE(INDEX(GOOGLEFINANCE(A1543, ""price"", TODAY()-300, TODAY()), 0, 2))"),1349.3656250000001)</f>
        <v>1349.365625</v>
      </c>
      <c r="U1543" s="9">
        <f t="shared" si="5"/>
        <v>-0.01822519849</v>
      </c>
      <c r="V1543" s="15">
        <f>IFERROR(__xludf.DUMMYFUNCTION("LET(hist, GOOGLEFINANCE(A1543,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rs))))))"),42.30308834091455)</f>
        <v>42.30308834</v>
      </c>
      <c r="W1543" s="16" t="str">
        <f>IFERROR(__xludf.DUMMYFUNCTION("IFERROR(GOOGLEFINANCE(A1543, ""volume"") / GOOGLEFINANCE(A1543, ""volumeavg""), )"),"")</f>
        <v/>
      </c>
      <c r="X1543" s="9">
        <f>IFERROR(__xludf.DUMMYFUNCTION("B1543 * GOOGLEFINANCE(A1543, ""volume"")"),338936.8)</f>
        <v>338936.8</v>
      </c>
      <c r="Y1543" s="9">
        <f>IFERROR(__xludf.DUMMYFUNCTION("IFERROR(((B1543 - GOOGLEFINANCE(A1543, ""priceopen"")) / GOOGLEFINANCE(A1543, ""priceopen"")) * GOOGLEFINANCE(A1543, ""volume""), 0)"),0.19882456655892392)</f>
        <v>0.1988245666</v>
      </c>
    </row>
    <row r="1544">
      <c r="A1544" s="4" t="s">
        <v>3336</v>
      </c>
      <c r="B1544" s="7">
        <f>IFERROR(__xludf.DUMMYFUNCTION("GOOGLEFINANCE(A1544, ""price"")"),67.0)</f>
        <v>67</v>
      </c>
      <c r="C1544" s="7">
        <f>IFERROR(__xludf.DUMMYFUNCTION("GOOGLEFINANCE(A1544, ""changepct"")"),4.95)</f>
        <v>4.95</v>
      </c>
      <c r="D1544" s="9">
        <f>IFERROR(__xludf.DUMMYFUNCTION("GOOGLEFINANCE(A1544, ""priceopen"")"),64.9)</f>
        <v>64.9</v>
      </c>
      <c r="E1544" s="9">
        <f>IFERROR(__xludf.DUMMYFUNCTION("GOOGLEFINANCE(A1544, ""high"")"),67.0)</f>
        <v>67</v>
      </c>
      <c r="F1544" s="9">
        <f>IFERROR(__xludf.DUMMYFUNCTION("GOOGLEFINANCE(A1544, ""low"")"),63.0)</f>
        <v>63</v>
      </c>
      <c r="G1544" s="9">
        <f>IFERROR(__xludf.DUMMYFUNCTION("GOOGLEFINANCE(A1544, ""price"")"),67.0)</f>
        <v>67</v>
      </c>
      <c r="H1544" s="9">
        <f>IFERROR(__xludf.DUMMYFUNCTION("MAX(INDEX(GOOGLEFINANCE(A1544, ""high"", TODAY()-30, TODAY()), 0, 2))"),78.25)</f>
        <v>78.25</v>
      </c>
      <c r="I1544" s="9">
        <f>IFERROR(__xludf.DUMMYFUNCTION("MIN(INDEX(GOOGLEFINANCE(A1544, ""low"", TODAY()-30, TODAY()), 0, 2))"),60.07)</f>
        <v>60.07</v>
      </c>
      <c r="J1544" s="9">
        <f>IFERROR(__xludf.DUMMYFUNCTION("GOOGLEFINANCE(A1544, ""high52"")"),78.25)</f>
        <v>78.25</v>
      </c>
      <c r="K1544" s="9">
        <f>IFERROR(__xludf.DUMMYFUNCTION("GOOGLEFINANCE(A1544, ""low52"")"),48.1)</f>
        <v>48.1</v>
      </c>
      <c r="L1544" s="9">
        <f t="shared" si="1"/>
        <v>0.1437699681</v>
      </c>
      <c r="M1544" s="9">
        <f t="shared" si="2"/>
        <v>0.3929313929</v>
      </c>
      <c r="N1544" s="9">
        <f t="shared" si="3"/>
        <v>0.06349206349</v>
      </c>
      <c r="O1544" s="9">
        <f t="shared" si="4"/>
        <v>0.3811881188</v>
      </c>
      <c r="P1544" s="9">
        <f>IFERROR(__xludf.DUMMYFUNCTION("GOOGLEFINANCE(A1544, ""pe"")"),21.68)</f>
        <v>21.68</v>
      </c>
      <c r="Q1544" s="9">
        <f>IFERROR(__xludf.DUMMYFUNCTION("IFERROR(GOOGLEFINANCE(A1544, ""volume"") / GOOGLEFINANCE(A1544, ""volumeavg""), 0)"),0.0)</f>
        <v>0</v>
      </c>
      <c r="R1544" s="9">
        <f>IFERROR(__xludf.DUMMYFUNCTION("AVERAGE(INDEX(GOOGLEFINANCE(A1544, ""price"", TODAY()-30, TODAY()), 0, 2))"),67.26913043478261)</f>
        <v>67.26913043</v>
      </c>
      <c r="S1544" s="9">
        <f>IFERROR(__xludf.DUMMYFUNCTION("AVERAGE(INDEX(GOOGLEFINANCE(A1544, ""price"", TODAY()-75, TODAY()), 0, 2))"),64.13372093023256)</f>
        <v>64.13372093</v>
      </c>
      <c r="T1544" s="9">
        <f>IFERROR(__xludf.DUMMYFUNCTION("AVERAGE(INDEX(GOOGLEFINANCE(A1544, ""price"", TODAY()-300, TODAY()), 0, 2))"),64.13372093023256)</f>
        <v>64.13372093</v>
      </c>
      <c r="U1544" s="9">
        <f t="shared" si="5"/>
        <v>-0.004000801453</v>
      </c>
      <c r="V1544" s="15">
        <f>IFERROR(__xludf.DUMMYFUNCTION("LET(hist, GOOGLEFINANCE(A1544,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rs))))))"),55.1675977653631)</f>
        <v>55.16759777</v>
      </c>
      <c r="W1544" s="16" t="str">
        <f>IFERROR(__xludf.DUMMYFUNCTION("IFERROR(GOOGLEFINANCE(A1544, ""volume"") / GOOGLEFINANCE(A1544, ""volumeavg""), )"),"")</f>
        <v/>
      </c>
      <c r="X1544" s="9">
        <f>IFERROR(__xludf.DUMMYFUNCTION("B1544 * GOOGLEFINANCE(A1544, ""volume"")"),3.356164E7)</f>
        <v>33561640</v>
      </c>
      <c r="Y1544" s="9">
        <f>IFERROR(__xludf.DUMMYFUNCTION("IFERROR(((B1544 - GOOGLEFINANCE(A1544, ""priceopen"")) / GOOGLEFINANCE(A1544, ""priceopen"")) * GOOGLEFINANCE(A1544, ""volume""), 0)"),16208.505392912126)</f>
        <v>16208.50539</v>
      </c>
    </row>
    <row r="1545">
      <c r="A1545" s="4" t="s">
        <v>3337</v>
      </c>
      <c r="B1545" s="7">
        <f>IFERROR(__xludf.DUMMYFUNCTION("GOOGLEFINANCE(A1545, ""price"")"),3.26)</f>
        <v>3.26</v>
      </c>
      <c r="C1545" s="7">
        <f>IFERROR(__xludf.DUMMYFUNCTION("GOOGLEFINANCE(A1545, ""changepct"")"),-1.81)</f>
        <v>-1.81</v>
      </c>
      <c r="D1545" s="9">
        <f>IFERROR(__xludf.DUMMYFUNCTION("GOOGLEFINANCE(A1545, ""priceopen"")"),3.26)</f>
        <v>3.26</v>
      </c>
      <c r="E1545" s="9">
        <f>IFERROR(__xludf.DUMMYFUNCTION("GOOGLEFINANCE(A1545, ""high"")"),3.26)</f>
        <v>3.26</v>
      </c>
      <c r="F1545" s="9">
        <f>IFERROR(__xludf.DUMMYFUNCTION("GOOGLEFINANCE(A1545, ""low"")"),3.26)</f>
        <v>3.26</v>
      </c>
      <c r="G1545" s="9">
        <f>IFERROR(__xludf.DUMMYFUNCTION("GOOGLEFINANCE(A1545, ""price"")"),3.26)</f>
        <v>3.26</v>
      </c>
      <c r="H1545" s="9">
        <f>IFERROR(__xludf.DUMMYFUNCTION("MAX(INDEX(GOOGLEFINANCE(A1545, ""high"", TODAY()-30, TODAY()), 0, 2))"),3.32)</f>
        <v>3.32</v>
      </c>
      <c r="I1545" s="9">
        <f>IFERROR(__xludf.DUMMYFUNCTION("MIN(INDEX(GOOGLEFINANCE(A1545, ""low"", TODAY()-30, TODAY()), 0, 2))"),2.59)</f>
        <v>2.59</v>
      </c>
      <c r="J1545" s="9">
        <f>IFERROR(__xludf.DUMMYFUNCTION("GOOGLEFINANCE(A1545, ""high52"")"),3.32)</f>
        <v>3.32</v>
      </c>
      <c r="K1545" s="9">
        <f>IFERROR(__xludf.DUMMYFUNCTION("GOOGLEFINANCE(A1545, ""low52"")"),1.27)</f>
        <v>1.27</v>
      </c>
      <c r="L1545" s="9">
        <f t="shared" si="1"/>
        <v>0.01807228916</v>
      </c>
      <c r="M1545" s="9">
        <f t="shared" si="2"/>
        <v>1.566929134</v>
      </c>
      <c r="N1545" s="9">
        <f t="shared" si="3"/>
        <v>0</v>
      </c>
      <c r="O1545" s="9">
        <f t="shared" si="4"/>
        <v>0.9178082192</v>
      </c>
      <c r="P1545" s="9" t="str">
        <f>IFERROR(__xludf.DUMMYFUNCTION("GOOGLEFINANCE(A1545, ""pe"")"),"#N/A")</f>
        <v>#N/A</v>
      </c>
      <c r="Q1545" s="9">
        <f>IFERROR(__xludf.DUMMYFUNCTION("IFERROR(GOOGLEFINANCE(A1545, ""volume"") / GOOGLEFINANCE(A1545, ""volumeavg""), 0)"),0.0)</f>
        <v>0</v>
      </c>
      <c r="R1545" s="9">
        <f>IFERROR(__xludf.DUMMYFUNCTION("AVERAGE(INDEX(GOOGLEFINANCE(A1545, ""price"", TODAY()-30, TODAY()), 0, 2))"),2.7982608695652176)</f>
        <v>2.79826087</v>
      </c>
      <c r="S1545" s="9">
        <f>IFERROR(__xludf.DUMMYFUNCTION("AVERAGE(INDEX(GOOGLEFINANCE(A1545, ""price"", TODAY()-75, TODAY()), 0, 2))"),2.7152830188679236)</f>
        <v>2.715283019</v>
      </c>
      <c r="T1545" s="9">
        <f>IFERROR(__xludf.DUMMYFUNCTION("AVERAGE(INDEX(GOOGLEFINANCE(A1545, ""price"", TODAY()-300, TODAY()), 0, 2))"),2.1329207920792084)</f>
        <v>2.132920792</v>
      </c>
      <c r="U1545" s="9">
        <f t="shared" si="5"/>
        <v>0.1650093226</v>
      </c>
      <c r="V1545" s="15">
        <f>IFERROR(__xludf.DUMMYFUNCTION("LET(hist, GOOGLEFINANCE(A1545,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rs))))))"),71.17117117117115)</f>
        <v>71.17117117</v>
      </c>
      <c r="W1545" s="16" t="str">
        <f>IFERROR(__xludf.DUMMYFUNCTION("IFERROR(GOOGLEFINANCE(A1545, ""volume"") / GOOGLEFINANCE(A1545, ""volumeavg""), )"),"")</f>
        <v/>
      </c>
      <c r="X1545" s="9">
        <f>IFERROR(__xludf.DUMMYFUNCTION("B1545 * GOOGLEFINANCE(A1545, ""volume"")"),9512513.74)</f>
        <v>9512513.74</v>
      </c>
      <c r="Y1545" s="9">
        <f>IFERROR(__xludf.DUMMYFUNCTION("IFERROR(((B1545 - GOOGLEFINANCE(A1545, ""priceopen"")) / GOOGLEFINANCE(A1545, ""priceopen"")) * GOOGLEFINANCE(A1545, ""volume""), 0)"),0.0)</f>
        <v>0</v>
      </c>
    </row>
    <row r="1546">
      <c r="A1546" s="4" t="s">
        <v>3338</v>
      </c>
      <c r="B1546" s="7">
        <f>IFERROR(__xludf.DUMMYFUNCTION("GOOGLEFINANCE(A1546, ""price"")"),276.9)</f>
        <v>276.9</v>
      </c>
      <c r="C1546" s="7">
        <f>IFERROR(__xludf.DUMMYFUNCTION("GOOGLEFINANCE(A1546, ""changepct"")"),2.5)</f>
        <v>2.5</v>
      </c>
      <c r="D1546" s="9">
        <f>IFERROR(__xludf.DUMMYFUNCTION("GOOGLEFINANCE(A1546, ""priceopen"")"),270.0)</f>
        <v>270</v>
      </c>
      <c r="E1546" s="9">
        <f>IFERROR(__xludf.DUMMYFUNCTION("GOOGLEFINANCE(A1546, ""high"")"),277.0)</f>
        <v>277</v>
      </c>
      <c r="F1546" s="9">
        <f>IFERROR(__xludf.DUMMYFUNCTION("GOOGLEFINANCE(A1546, ""low"")"),270.0)</f>
        <v>270</v>
      </c>
      <c r="G1546" s="9">
        <f>IFERROR(__xludf.DUMMYFUNCTION("GOOGLEFINANCE(A1546, ""price"")"),276.9)</f>
        <v>276.9</v>
      </c>
      <c r="H1546" s="9">
        <f>IFERROR(__xludf.DUMMYFUNCTION("MAX(INDEX(GOOGLEFINANCE(A1546, ""high"", TODAY()-30, TODAY()), 0, 2))"),313.95)</f>
        <v>313.95</v>
      </c>
      <c r="I1546" s="9">
        <f>IFERROR(__xludf.DUMMYFUNCTION("MIN(INDEX(GOOGLEFINANCE(A1546, ""low"", TODAY()-30, TODAY()), 0, 2))"),269.0)</f>
        <v>269</v>
      </c>
      <c r="J1546" s="9">
        <f>IFERROR(__xludf.DUMMYFUNCTION("GOOGLEFINANCE(A1546, ""high52"")"),573.7)</f>
        <v>573.7</v>
      </c>
      <c r="K1546" s="9">
        <f>IFERROR(__xludf.DUMMYFUNCTION("GOOGLEFINANCE(A1546, ""low52"")"),206.26)</f>
        <v>206.26</v>
      </c>
      <c r="L1546" s="9">
        <f t="shared" si="1"/>
        <v>0.5173435594</v>
      </c>
      <c r="M1546" s="9">
        <f t="shared" si="2"/>
        <v>0.3424803646</v>
      </c>
      <c r="N1546" s="9">
        <f t="shared" si="3"/>
        <v>0.02592592593</v>
      </c>
      <c r="O1546" s="9">
        <f t="shared" si="4"/>
        <v>0.1757508343</v>
      </c>
      <c r="P1546" s="9">
        <f>IFERROR(__xludf.DUMMYFUNCTION("GOOGLEFINANCE(A1546, ""pe"")"),14.69)</f>
        <v>14.69</v>
      </c>
      <c r="Q1546" s="9">
        <f>IFERROR(__xludf.DUMMYFUNCTION("IFERROR(GOOGLEFINANCE(A1546, ""volume"") / GOOGLEFINANCE(A1546, ""volumeavg""), 0)"),0.0)</f>
        <v>0</v>
      </c>
      <c r="R1546" s="9">
        <f>IFERROR(__xludf.DUMMYFUNCTION("AVERAGE(INDEX(GOOGLEFINANCE(A1546, ""price"", TODAY()-30, TODAY()), 0, 2))"),288.75)</f>
        <v>288.75</v>
      </c>
      <c r="S1546" s="9">
        <f>IFERROR(__xludf.DUMMYFUNCTION("AVERAGE(INDEX(GOOGLEFINANCE(A1546, ""price"", TODAY()-75, TODAY()), 0, 2))"),300.64716981132074)</f>
        <v>300.6471698</v>
      </c>
      <c r="T1546" s="9">
        <f>IFERROR(__xludf.DUMMYFUNCTION("AVERAGE(INDEX(GOOGLEFINANCE(A1546, ""price"", TODAY()-300, TODAY()), 0, 2))"),322.8648019801979)</f>
        <v>322.864802</v>
      </c>
      <c r="U1546" s="9">
        <f t="shared" si="5"/>
        <v>-0.04103896104</v>
      </c>
      <c r="V1546" s="15">
        <f>IFERROR(__xludf.DUMMYFUNCTION("LET(hist, GOOGLEFINANCE(A1546,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rs))))))"),40.075757575757564)</f>
        <v>40.07575758</v>
      </c>
      <c r="W1546" s="16" t="str">
        <f>IFERROR(__xludf.DUMMYFUNCTION("IFERROR(GOOGLEFINANCE(A1546, ""volume"") / GOOGLEFINANCE(A1546, ""volumeavg""), )"),"")</f>
        <v/>
      </c>
      <c r="X1546" s="9">
        <f>IFERROR(__xludf.DUMMYFUNCTION("B1546 * GOOGLEFINANCE(A1546, ""volume"")"),9193633.799999999)</f>
        <v>9193633.8</v>
      </c>
      <c r="Y1546" s="9">
        <f>IFERROR(__xludf.DUMMYFUNCTION("IFERROR(((B1546 - GOOGLEFINANCE(A1546, ""priceopen"")) / GOOGLEFINANCE(A1546, ""priceopen"")) * GOOGLEFINANCE(A1546, ""volume""), 0)"),848.4955555555528)</f>
        <v>848.4955556</v>
      </c>
    </row>
    <row r="1547">
      <c r="A1547" s="4" t="s">
        <v>3339</v>
      </c>
      <c r="B1547" s="7">
        <f>IFERROR(__xludf.DUMMYFUNCTION("GOOGLEFINANCE(A1547, ""price"")"),297.0)</f>
        <v>297</v>
      </c>
      <c r="C1547" s="7">
        <f>IFERROR(__xludf.DUMMYFUNCTION("GOOGLEFINANCE(A1547, ""changepct"")"),0.05)</f>
        <v>0.05</v>
      </c>
      <c r="D1547" s="9">
        <f>IFERROR(__xludf.DUMMYFUNCTION("GOOGLEFINANCE(A1547, ""priceopen"")"),311.55)</f>
        <v>311.55</v>
      </c>
      <c r="E1547" s="9">
        <f>IFERROR(__xludf.DUMMYFUNCTION("GOOGLEFINANCE(A1547, ""high"")"),311.55)</f>
        <v>311.55</v>
      </c>
      <c r="F1547" s="9">
        <f>IFERROR(__xludf.DUMMYFUNCTION("GOOGLEFINANCE(A1547, ""low"")"),282.1)</f>
        <v>282.1</v>
      </c>
      <c r="G1547" s="9">
        <f>IFERROR(__xludf.DUMMYFUNCTION("GOOGLEFINANCE(A1547, ""price"")"),297.0)</f>
        <v>297</v>
      </c>
      <c r="H1547" s="9">
        <f>IFERROR(__xludf.DUMMYFUNCTION("MAX(INDEX(GOOGLEFINANCE(A1547, ""high"", TODAY()-30, TODAY()), 0, 2))"),344.0)</f>
        <v>344</v>
      </c>
      <c r="I1547" s="9">
        <f>IFERROR(__xludf.DUMMYFUNCTION("MIN(INDEX(GOOGLEFINANCE(A1547, ""low"", TODAY()-30, TODAY()), 0, 2))"),247.0)</f>
        <v>247</v>
      </c>
      <c r="J1547" s="9">
        <f>IFERROR(__xludf.DUMMYFUNCTION("GOOGLEFINANCE(A1547, ""high52"")"),381.96)</f>
        <v>381.96</v>
      </c>
      <c r="K1547" s="9">
        <f>IFERROR(__xludf.DUMMYFUNCTION("GOOGLEFINANCE(A1547, ""low52"")"),204.98)</f>
        <v>204.98</v>
      </c>
      <c r="L1547" s="9">
        <f t="shared" si="1"/>
        <v>0.2224316682</v>
      </c>
      <c r="M1547" s="9">
        <f t="shared" si="2"/>
        <v>0.448921846</v>
      </c>
      <c r="N1547" s="9">
        <f t="shared" si="3"/>
        <v>0.1043956044</v>
      </c>
      <c r="O1547" s="9">
        <f t="shared" si="4"/>
        <v>0.5154639175</v>
      </c>
      <c r="P1547" s="9">
        <f>IFERROR(__xludf.DUMMYFUNCTION("GOOGLEFINANCE(A1547, ""pe"")"),148.5)</f>
        <v>148.5</v>
      </c>
      <c r="Q1547" s="9">
        <f>IFERROR(__xludf.DUMMYFUNCTION("IFERROR(GOOGLEFINANCE(A1547, ""volume"") / GOOGLEFINANCE(A1547, ""volumeavg""), 0)"),0.0)</f>
        <v>0</v>
      </c>
      <c r="R1547" s="9">
        <f>IFERROR(__xludf.DUMMYFUNCTION("AVERAGE(INDEX(GOOGLEFINANCE(A1547, ""price"", TODAY()-30, TODAY()), 0, 2))"),308.8)</f>
        <v>308.8</v>
      </c>
      <c r="S1547" s="9">
        <f>IFERROR(__xludf.DUMMYFUNCTION("AVERAGE(INDEX(GOOGLEFINANCE(A1547, ""price"", TODAY()-75, TODAY()), 0, 2))"),296.43339622641514)</f>
        <v>296.4333962</v>
      </c>
      <c r="T1547" s="9">
        <f>IFERROR(__xludf.DUMMYFUNCTION("AVERAGE(INDEX(GOOGLEFINANCE(A1547, ""price"", TODAY()-300, TODAY()), 0, 2))"),253.88194029850746)</f>
        <v>253.8819403</v>
      </c>
      <c r="U1547" s="9">
        <f t="shared" si="5"/>
        <v>-0.03821243523</v>
      </c>
      <c r="V1547" s="15">
        <f>IFERROR(__xludf.DUMMYFUNCTION("LET(hist, GOOGLEFINANCE(A1547,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rs))))))"),40.63872255489023)</f>
        <v>40.63872255</v>
      </c>
      <c r="W1547" s="16" t="str">
        <f>IFERROR(__xludf.DUMMYFUNCTION("IFERROR(GOOGLEFINANCE(A1547, ""volume"") / GOOGLEFINANCE(A1547, ""volumeavg""), )"),"")</f>
        <v/>
      </c>
      <c r="X1547" s="9">
        <f>IFERROR(__xludf.DUMMYFUNCTION("B1547 * GOOGLEFINANCE(A1547, ""volume"")"),6940593.0)</f>
        <v>6940593</v>
      </c>
      <c r="Y1547" s="9">
        <f>IFERROR(__xludf.DUMMYFUNCTION("IFERROR(((B1547 - GOOGLEFINANCE(A1547, ""priceopen"")) / GOOGLEFINANCE(A1547, ""priceopen"")) * GOOGLEFINANCE(A1547, ""volume""), 0)"),-1091.3784304285034)</f>
        <v>-1091.37843</v>
      </c>
    </row>
    <row r="1548">
      <c r="A1548" s="4" t="s">
        <v>3340</v>
      </c>
      <c r="B1548" s="7">
        <f>IFERROR(__xludf.DUMMYFUNCTION("GOOGLEFINANCE(A1548, ""price"")"),221.34)</f>
        <v>221.34</v>
      </c>
      <c r="C1548" s="7">
        <f>IFERROR(__xludf.DUMMYFUNCTION("GOOGLEFINANCE(A1548, ""changepct"")"),-3.02)</f>
        <v>-3.02</v>
      </c>
      <c r="D1548" s="9">
        <f>IFERROR(__xludf.DUMMYFUNCTION("GOOGLEFINANCE(A1548, ""priceopen"")"),228.23)</f>
        <v>228.23</v>
      </c>
      <c r="E1548" s="9">
        <f>IFERROR(__xludf.DUMMYFUNCTION("GOOGLEFINANCE(A1548, ""high"")"),232.93)</f>
        <v>232.93</v>
      </c>
      <c r="F1548" s="9">
        <f>IFERROR(__xludf.DUMMYFUNCTION("GOOGLEFINANCE(A1548, ""low"")"),215.0)</f>
        <v>215</v>
      </c>
      <c r="G1548" s="9">
        <f>IFERROR(__xludf.DUMMYFUNCTION("GOOGLEFINANCE(A1548, ""price"")"),221.34)</f>
        <v>221.34</v>
      </c>
      <c r="H1548" s="9">
        <f>IFERROR(__xludf.DUMMYFUNCTION("MAX(INDEX(GOOGLEFINANCE(A1548, ""high"", TODAY()-30, TODAY()), 0, 2))"),257.47)</f>
        <v>257.47</v>
      </c>
      <c r="I1548" s="9">
        <f>IFERROR(__xludf.DUMMYFUNCTION("MIN(INDEX(GOOGLEFINANCE(A1548, ""low"", TODAY()-30, TODAY()), 0, 2))"),215.0)</f>
        <v>215</v>
      </c>
      <c r="J1548" s="9">
        <f>IFERROR(__xludf.DUMMYFUNCTION("GOOGLEFINANCE(A1548, ""high52"")"),275.0)</f>
        <v>275</v>
      </c>
      <c r="K1548" s="9">
        <f>IFERROR(__xludf.DUMMYFUNCTION("GOOGLEFINANCE(A1548, ""low52"")"),121.0)</f>
        <v>121</v>
      </c>
      <c r="L1548" s="9">
        <f t="shared" si="1"/>
        <v>0.1951272727</v>
      </c>
      <c r="M1548" s="9">
        <f t="shared" si="2"/>
        <v>0.8292561983</v>
      </c>
      <c r="N1548" s="9">
        <f t="shared" si="3"/>
        <v>0.08339534884</v>
      </c>
      <c r="O1548" s="9">
        <f t="shared" si="4"/>
        <v>0.149281846</v>
      </c>
      <c r="P1548" s="9">
        <f>IFERROR(__xludf.DUMMYFUNCTION("GOOGLEFINANCE(A1548, ""pe"")"),16.91)</f>
        <v>16.91</v>
      </c>
      <c r="Q1548" s="9">
        <f>IFERROR(__xludf.DUMMYFUNCTION("IFERROR(GOOGLEFINANCE(A1548, ""volume"") / GOOGLEFINANCE(A1548, ""volumeavg""), 0)"),0.0)</f>
        <v>0</v>
      </c>
      <c r="R1548" s="9">
        <f>IFERROR(__xludf.DUMMYFUNCTION("AVERAGE(INDEX(GOOGLEFINANCE(A1548, ""price"", TODAY()-30, TODAY()), 0, 2))"),231.684347826087)</f>
        <v>231.6843478</v>
      </c>
      <c r="S1548" s="9">
        <f>IFERROR(__xludf.DUMMYFUNCTION("AVERAGE(INDEX(GOOGLEFINANCE(A1548, ""price"", TODAY()-75, TODAY()), 0, 2))"),237.1926415094339)</f>
        <v>237.1926415</v>
      </c>
      <c r="T1548" s="9">
        <f>IFERROR(__xludf.DUMMYFUNCTION("AVERAGE(INDEX(GOOGLEFINANCE(A1548, ""price"", TODAY()-300, TODAY()), 0, 2))"),209.8606435643563)</f>
        <v>209.8606436</v>
      </c>
      <c r="U1548" s="9">
        <f t="shared" si="5"/>
        <v>-0.04464845348</v>
      </c>
      <c r="V1548" s="15">
        <f>IFERROR(__xludf.DUMMYFUNCTION("LET(hist, GOOGLEFINANCE(A1548,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rs))))))"),34.66379000359582)</f>
        <v>34.66379</v>
      </c>
      <c r="W1548" s="16" t="str">
        <f>IFERROR(__xludf.DUMMYFUNCTION("IFERROR(GOOGLEFINANCE(A1548, ""volume"") / GOOGLEFINANCE(A1548, ""volumeavg""), )"),"")</f>
        <v/>
      </c>
      <c r="X1548" s="9">
        <f>IFERROR(__xludf.DUMMYFUNCTION("B1548 * GOOGLEFINANCE(A1548, ""volume"")"),5.76646035E7)</f>
        <v>57664603.5</v>
      </c>
      <c r="Y1548" s="9">
        <f>IFERROR(__xludf.DUMMYFUNCTION("IFERROR(((B1548 - GOOGLEFINANCE(A1548, ""priceopen"")) / GOOGLEFINANCE(A1548, ""priceopen"")) * GOOGLEFINANCE(A1548, ""volume""), 0)"),-7864.948735924271)</f>
        <v>-7864.948736</v>
      </c>
    </row>
    <row r="1549">
      <c r="A1549" s="4" t="s">
        <v>3341</v>
      </c>
      <c r="B1549" s="7">
        <f>IFERROR(__xludf.DUMMYFUNCTION("GOOGLEFINANCE(A1549, ""price"")"),554.9)</f>
        <v>554.9</v>
      </c>
      <c r="C1549" s="7">
        <f>IFERROR(__xludf.DUMMYFUNCTION("GOOGLEFINANCE(A1549, ""changepct"")"),-0.64)</f>
        <v>-0.64</v>
      </c>
      <c r="D1549" s="9">
        <f>IFERROR(__xludf.DUMMYFUNCTION("GOOGLEFINANCE(A1549, ""priceopen"")"),565.0)</f>
        <v>565</v>
      </c>
      <c r="E1549" s="9">
        <f>IFERROR(__xludf.DUMMYFUNCTION("GOOGLEFINANCE(A1549, ""high"")"),570.0)</f>
        <v>570</v>
      </c>
      <c r="F1549" s="9">
        <f>IFERROR(__xludf.DUMMYFUNCTION("GOOGLEFINANCE(A1549, ""low"")"),525.0)</f>
        <v>525</v>
      </c>
      <c r="G1549" s="9">
        <f>IFERROR(__xludf.DUMMYFUNCTION("GOOGLEFINANCE(A1549, ""price"")"),554.9)</f>
        <v>554.9</v>
      </c>
      <c r="H1549" s="9">
        <f>IFERROR(__xludf.DUMMYFUNCTION("MAX(INDEX(GOOGLEFINANCE(A1549, ""high"", TODAY()-30, TODAY()), 0, 2))"),600.0)</f>
        <v>600</v>
      </c>
      <c r="I1549" s="9">
        <f>IFERROR(__xludf.DUMMYFUNCTION("MIN(INDEX(GOOGLEFINANCE(A1549, ""low"", TODAY()-30, TODAY()), 0, 2))"),525.0)</f>
        <v>525</v>
      </c>
      <c r="J1549" s="9">
        <f>IFERROR(__xludf.DUMMYFUNCTION("GOOGLEFINANCE(A1549, ""high52"")"),1164.9)</f>
        <v>1164.9</v>
      </c>
      <c r="K1549" s="9">
        <f>IFERROR(__xludf.DUMMYFUNCTION("GOOGLEFINANCE(A1549, ""low52"")"),525.0)</f>
        <v>525</v>
      </c>
      <c r="L1549" s="9">
        <f t="shared" si="1"/>
        <v>0.5236500987</v>
      </c>
      <c r="M1549" s="9">
        <f t="shared" si="2"/>
        <v>0.05695238095</v>
      </c>
      <c r="N1549" s="9">
        <f t="shared" si="3"/>
        <v>0.08571428571</v>
      </c>
      <c r="O1549" s="9">
        <f t="shared" si="4"/>
        <v>0.3986666667</v>
      </c>
      <c r="P1549" s="9">
        <f>IFERROR(__xludf.DUMMYFUNCTION("GOOGLEFINANCE(A1549, ""pe"")"),27.2)</f>
        <v>27.2</v>
      </c>
      <c r="Q1549" s="9">
        <f>IFERROR(__xludf.DUMMYFUNCTION("IFERROR(GOOGLEFINANCE(A1549, ""volume"") / GOOGLEFINANCE(A1549, ""volumeavg""), 0)"),0.0)</f>
        <v>0</v>
      </c>
      <c r="R1549" s="9">
        <f>IFERROR(__xludf.DUMMYFUNCTION("AVERAGE(INDEX(GOOGLEFINANCE(A1549, ""price"", TODAY()-30, TODAY()), 0, 2))"),564.2239130434783)</f>
        <v>564.223913</v>
      </c>
      <c r="S1549" s="9">
        <f>IFERROR(__xludf.DUMMYFUNCTION("AVERAGE(INDEX(GOOGLEFINANCE(A1549, ""price"", TODAY()-75, TODAY()), 0, 2))"),575.2292452830187)</f>
        <v>575.2292453</v>
      </c>
      <c r="T1549" s="9">
        <f>IFERROR(__xludf.DUMMYFUNCTION("AVERAGE(INDEX(GOOGLEFINANCE(A1549, ""price"", TODAY()-300, TODAY()), 0, 2))"),692.6388613861387)</f>
        <v>692.6388614</v>
      </c>
      <c r="U1549" s="9">
        <f t="shared" si="5"/>
        <v>-0.01652520006</v>
      </c>
      <c r="V1549" s="15">
        <f>IFERROR(__xludf.DUMMYFUNCTION("LET(hist, GOOGLEFINANCE(A1549,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rs))))))"),45.20019295706703)</f>
        <v>45.20019296</v>
      </c>
      <c r="W1549" s="16" t="str">
        <f>IFERROR(__xludf.DUMMYFUNCTION("IFERROR(GOOGLEFINANCE(A1549, ""volume"") / GOOGLEFINANCE(A1549, ""volumeavg""), )"),"")</f>
        <v/>
      </c>
      <c r="X1549" s="9">
        <f>IFERROR(__xludf.DUMMYFUNCTION("B1549 * GOOGLEFINANCE(A1549, ""volume"")"),5.4496729E7)</f>
        <v>54496729</v>
      </c>
      <c r="Y1549" s="9">
        <f>IFERROR(__xludf.DUMMYFUNCTION("IFERROR(((B1549 - GOOGLEFINANCE(A1549, ""priceopen"")) / GOOGLEFINANCE(A1549, ""priceopen"")) * GOOGLEFINANCE(A1549, ""volume""), 0)"),-1755.6123893805348)</f>
        <v>-1755.612389</v>
      </c>
    </row>
    <row r="1550">
      <c r="A1550" s="4" t="s">
        <v>3342</v>
      </c>
      <c r="B1550" s="7">
        <f>IFERROR(__xludf.DUMMYFUNCTION("GOOGLEFINANCE(A1550, ""price"")"),148.8)</f>
        <v>148.8</v>
      </c>
      <c r="C1550" s="7">
        <f>IFERROR(__xludf.DUMMYFUNCTION("GOOGLEFINANCE(A1550, ""changepct"")"),-1.0)</f>
        <v>-1</v>
      </c>
      <c r="D1550" s="9">
        <f>IFERROR(__xludf.DUMMYFUNCTION("GOOGLEFINANCE(A1550, ""priceopen"")"),151.0)</f>
        <v>151</v>
      </c>
      <c r="E1550" s="9">
        <f>IFERROR(__xludf.DUMMYFUNCTION("GOOGLEFINANCE(A1550, ""high"")"),151.09)</f>
        <v>151.09</v>
      </c>
      <c r="F1550" s="9">
        <f>IFERROR(__xludf.DUMMYFUNCTION("GOOGLEFINANCE(A1550, ""low"")"),145.76)</f>
        <v>145.76</v>
      </c>
      <c r="G1550" s="9">
        <f>IFERROR(__xludf.DUMMYFUNCTION("GOOGLEFINANCE(A1550, ""price"")"),148.8)</f>
        <v>148.8</v>
      </c>
      <c r="H1550" s="9">
        <f>IFERROR(__xludf.DUMMYFUNCTION("MAX(INDEX(GOOGLEFINANCE(A1550, ""high"", TODAY()-30, TODAY()), 0, 2))"),172.0)</f>
        <v>172</v>
      </c>
      <c r="I1550" s="9">
        <f>IFERROR(__xludf.DUMMYFUNCTION("MIN(INDEX(GOOGLEFINANCE(A1550, ""low"", TODAY()-30, TODAY()), 0, 2))"),145.76)</f>
        <v>145.76</v>
      </c>
      <c r="J1550" s="9">
        <f>IFERROR(__xludf.DUMMYFUNCTION("GOOGLEFINANCE(A1550, ""high52"")"),271.69)</f>
        <v>271.69</v>
      </c>
      <c r="K1550" s="9">
        <f>IFERROR(__xludf.DUMMYFUNCTION("GOOGLEFINANCE(A1550, ""low52"")"),110.7)</f>
        <v>110.7</v>
      </c>
      <c r="L1550" s="9">
        <f t="shared" si="1"/>
        <v>0.4523169789</v>
      </c>
      <c r="M1550" s="9">
        <f t="shared" si="2"/>
        <v>0.3441734417</v>
      </c>
      <c r="N1550" s="9">
        <f t="shared" si="3"/>
        <v>0.03656695939</v>
      </c>
      <c r="O1550" s="9">
        <f t="shared" si="4"/>
        <v>0.1158536585</v>
      </c>
      <c r="P1550" s="9">
        <f>IFERROR(__xludf.DUMMYFUNCTION("GOOGLEFINANCE(A1550, ""pe"")"),28.67)</f>
        <v>28.67</v>
      </c>
      <c r="Q1550" s="9">
        <f>IFERROR(__xludf.DUMMYFUNCTION("IFERROR(GOOGLEFINANCE(A1550, ""volume"") / GOOGLEFINANCE(A1550, ""volumeavg""), 0)"),0.0)</f>
        <v>0</v>
      </c>
      <c r="R1550" s="9">
        <f>IFERROR(__xludf.DUMMYFUNCTION("AVERAGE(INDEX(GOOGLEFINANCE(A1550, ""price"", TODAY()-30, TODAY()), 0, 2))"),156.9373913043478)</f>
        <v>156.9373913</v>
      </c>
      <c r="S1550" s="9">
        <f>IFERROR(__xludf.DUMMYFUNCTION("AVERAGE(INDEX(GOOGLEFINANCE(A1550, ""price"", TODAY()-75, TODAY()), 0, 2))"),148.1345283018868)</f>
        <v>148.1345283</v>
      </c>
      <c r="T1550" s="9">
        <f>IFERROR(__xludf.DUMMYFUNCTION("AVERAGE(INDEX(GOOGLEFINANCE(A1550, ""price"", TODAY()-300, TODAY()), 0, 2))"),164.4601485148515)</f>
        <v>164.4601485</v>
      </c>
      <c r="U1550" s="9">
        <f t="shared" si="5"/>
        <v>-0.05185119516</v>
      </c>
      <c r="V1550" s="15">
        <f>IFERROR(__xludf.DUMMYFUNCTION("LET(hist, GOOGLEFINANCE(A1550,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rs))))))"),45.558086560364465)</f>
        <v>45.55808656</v>
      </c>
      <c r="W1550" s="16" t="str">
        <f>IFERROR(__xludf.DUMMYFUNCTION("IFERROR(GOOGLEFINANCE(A1550, ""volume"") / GOOGLEFINANCE(A1550, ""volumeavg""), )"),"")</f>
        <v/>
      </c>
      <c r="X1550" s="9">
        <f>IFERROR(__xludf.DUMMYFUNCTION("B1550 * GOOGLEFINANCE(A1550, ""volume"")"),2.05665408E7)</f>
        <v>20566540.8</v>
      </c>
      <c r="Y1550" s="9">
        <f>IFERROR(__xludf.DUMMYFUNCTION("IFERROR(((B1550 - GOOGLEFINANCE(A1550, ""priceopen"")) / GOOGLEFINANCE(A1550, ""priceopen"")) * GOOGLEFINANCE(A1550, ""volume""), 0)"),-2013.7430463576054)</f>
        <v>-2013.743046</v>
      </c>
    </row>
    <row r="1551">
      <c r="A1551" s="4" t="s">
        <v>3343</v>
      </c>
      <c r="B1551" s="7">
        <f>IFERROR(__xludf.DUMMYFUNCTION("GOOGLEFINANCE(A1551, ""price"")"),274.0)</f>
        <v>274</v>
      </c>
      <c r="C1551" s="7">
        <f>IFERROR(__xludf.DUMMYFUNCTION("GOOGLEFINANCE(A1551, ""changepct"")"),0.05)</f>
        <v>0.05</v>
      </c>
      <c r="D1551" s="9">
        <f>IFERROR(__xludf.DUMMYFUNCTION("GOOGLEFINANCE(A1551, ""priceopen"")"),273.85)</f>
        <v>273.85</v>
      </c>
      <c r="E1551" s="9">
        <f>IFERROR(__xludf.DUMMYFUNCTION("GOOGLEFINANCE(A1551, ""high"")"),276.35)</f>
        <v>276.35</v>
      </c>
      <c r="F1551" s="9">
        <f>IFERROR(__xludf.DUMMYFUNCTION("GOOGLEFINANCE(A1551, ""low"")"),265.0)</f>
        <v>265</v>
      </c>
      <c r="G1551" s="9">
        <f>IFERROR(__xludf.DUMMYFUNCTION("GOOGLEFINANCE(A1551, ""price"")"),274.0)</f>
        <v>274</v>
      </c>
      <c r="H1551" s="9">
        <f>IFERROR(__xludf.DUMMYFUNCTION("MAX(INDEX(GOOGLEFINANCE(A1551, ""high"", TODAY()-30, TODAY()), 0, 2))"),313.0)</f>
        <v>313</v>
      </c>
      <c r="I1551" s="9">
        <f>IFERROR(__xludf.DUMMYFUNCTION("MIN(INDEX(GOOGLEFINANCE(A1551, ""low"", TODAY()-30, TODAY()), 0, 2))"),232.1)</f>
        <v>232.1</v>
      </c>
      <c r="J1551" s="9">
        <f>IFERROR(__xludf.DUMMYFUNCTION("GOOGLEFINANCE(A1551, ""high52"")"),325.0)</f>
        <v>325</v>
      </c>
      <c r="K1551" s="9">
        <f>IFERROR(__xludf.DUMMYFUNCTION("GOOGLEFINANCE(A1551, ""low52"")"),210.4)</f>
        <v>210.4</v>
      </c>
      <c r="L1551" s="9">
        <f t="shared" si="1"/>
        <v>0.1569230769</v>
      </c>
      <c r="M1551" s="9">
        <f t="shared" si="2"/>
        <v>0.3022813688</v>
      </c>
      <c r="N1551" s="9">
        <f t="shared" si="3"/>
        <v>0.04283018868</v>
      </c>
      <c r="O1551" s="9">
        <f t="shared" si="4"/>
        <v>0.5179233622</v>
      </c>
      <c r="P1551" s="9" t="str">
        <f>IFERROR(__xludf.DUMMYFUNCTION("GOOGLEFINANCE(A1551, ""pe"")"),"#N/A")</f>
        <v>#N/A</v>
      </c>
      <c r="Q1551" s="9">
        <f>IFERROR(__xludf.DUMMYFUNCTION("IFERROR(GOOGLEFINANCE(A1551, ""volume"") / GOOGLEFINANCE(A1551, ""volumeavg""), 0)"),0.0)</f>
        <v>0</v>
      </c>
      <c r="R1551" s="9">
        <f>IFERROR(__xludf.DUMMYFUNCTION("AVERAGE(INDEX(GOOGLEFINANCE(A1551, ""price"", TODAY()-30, TODAY()), 0, 2))"),278.85652173913047)</f>
        <v>278.8565217</v>
      </c>
      <c r="S1551" s="9">
        <f>IFERROR(__xludf.DUMMYFUNCTION("AVERAGE(INDEX(GOOGLEFINANCE(A1551, ""price"", TODAY()-75, TODAY()), 0, 2))"),255.22415094339615)</f>
        <v>255.2241509</v>
      </c>
      <c r="T1551" s="9">
        <f>IFERROR(__xludf.DUMMYFUNCTION("AVERAGE(INDEX(GOOGLEFINANCE(A1551, ""price"", TODAY()-300, TODAY()), 0, 2))"),262.3785)</f>
        <v>262.3785</v>
      </c>
      <c r="U1551" s="9">
        <f t="shared" si="5"/>
        <v>-0.01741584421</v>
      </c>
      <c r="V1551" s="15">
        <f>IFERROR(__xludf.DUMMYFUNCTION("LET(hist, GOOGLEFINANCE(A1551,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rs))))))"),37.76428720954574)</f>
        <v>37.76428721</v>
      </c>
      <c r="W1551" s="16" t="str">
        <f>IFERROR(__xludf.DUMMYFUNCTION("IFERROR(GOOGLEFINANCE(A1551, ""volume"") / GOOGLEFINANCE(A1551, ""volumeavg""), )"),"")</f>
        <v/>
      </c>
      <c r="X1551" s="9">
        <f>IFERROR(__xludf.DUMMYFUNCTION("B1551 * GOOGLEFINANCE(A1551, ""volume"")"),1.3951806E7)</f>
        <v>13951806</v>
      </c>
      <c r="Y1551" s="9">
        <f>IFERROR(__xludf.DUMMYFUNCTION("IFERROR(((B1551 - GOOGLEFINANCE(A1551, ""priceopen"")) / GOOGLEFINANCE(A1551, ""priceopen"")) * GOOGLEFINANCE(A1551, ""volume""), 0)"),27.89063355851321)</f>
        <v>27.89063356</v>
      </c>
    </row>
    <row r="1552">
      <c r="A1552" s="4" t="s">
        <v>3344</v>
      </c>
      <c r="B1552" s="7">
        <f>IFERROR(__xludf.DUMMYFUNCTION("GOOGLEFINANCE(A1552, ""price"")"),120.2)</f>
        <v>120.2</v>
      </c>
      <c r="C1552" s="7">
        <f>IFERROR(__xludf.DUMMYFUNCTION("GOOGLEFINANCE(A1552, ""changepct"")"),8.12)</f>
        <v>8.12</v>
      </c>
      <c r="D1552" s="9">
        <f>IFERROR(__xludf.DUMMYFUNCTION("GOOGLEFINANCE(A1552, ""priceopen"")"),115.0)</f>
        <v>115</v>
      </c>
      <c r="E1552" s="9">
        <f>IFERROR(__xludf.DUMMYFUNCTION("GOOGLEFINANCE(A1552, ""high"")"),124.0)</f>
        <v>124</v>
      </c>
      <c r="F1552" s="9">
        <f>IFERROR(__xludf.DUMMYFUNCTION("GOOGLEFINANCE(A1552, ""low"")"),115.0)</f>
        <v>115</v>
      </c>
      <c r="G1552" s="9">
        <f>IFERROR(__xludf.DUMMYFUNCTION("GOOGLEFINANCE(A1552, ""price"")"),120.2)</f>
        <v>120.2</v>
      </c>
      <c r="H1552" s="9">
        <f>IFERROR(__xludf.DUMMYFUNCTION("MAX(INDEX(GOOGLEFINANCE(A1552, ""high"", TODAY()-30, TODAY()), 0, 2))"),124.0)</f>
        <v>124</v>
      </c>
      <c r="I1552" s="9">
        <f>IFERROR(__xludf.DUMMYFUNCTION("MIN(INDEX(GOOGLEFINANCE(A1552, ""low"", TODAY()-30, TODAY()), 0, 2))"),92.16)</f>
        <v>92.16</v>
      </c>
      <c r="J1552" s="9">
        <f>IFERROR(__xludf.DUMMYFUNCTION("GOOGLEFINANCE(A1552, ""high52"")"),163.0)</f>
        <v>163</v>
      </c>
      <c r="K1552" s="9">
        <f>IFERROR(__xludf.DUMMYFUNCTION("GOOGLEFINANCE(A1552, ""low52"")"),82.41)</f>
        <v>82.41</v>
      </c>
      <c r="L1552" s="9">
        <f t="shared" si="1"/>
        <v>0.2625766871</v>
      </c>
      <c r="M1552" s="9">
        <f t="shared" si="2"/>
        <v>0.4585608543</v>
      </c>
      <c r="N1552" s="9">
        <f t="shared" si="3"/>
        <v>0.07826086957</v>
      </c>
      <c r="O1552" s="9">
        <f t="shared" si="4"/>
        <v>0.8806532663</v>
      </c>
      <c r="P1552" s="9" t="str">
        <f>IFERROR(__xludf.DUMMYFUNCTION("GOOGLEFINANCE(A1552, ""pe"")"),"#N/A")</f>
        <v>#N/A</v>
      </c>
      <c r="Q1552" s="9">
        <f>IFERROR(__xludf.DUMMYFUNCTION("IFERROR(GOOGLEFINANCE(A1552, ""volume"") / GOOGLEFINANCE(A1552, ""volumeavg""), 0)"),0.0)</f>
        <v>0</v>
      </c>
      <c r="R1552" s="9">
        <f>IFERROR(__xludf.DUMMYFUNCTION("AVERAGE(INDEX(GOOGLEFINANCE(A1552, ""price"", TODAY()-30, TODAY()), 0, 2))"),105.91826086956523)</f>
        <v>105.9182609</v>
      </c>
      <c r="S1552" s="9">
        <f>IFERROR(__xludf.DUMMYFUNCTION("AVERAGE(INDEX(GOOGLEFINANCE(A1552, ""price"", TODAY()-75, TODAY()), 0, 2))"),99.62471698113207)</f>
        <v>99.62471698</v>
      </c>
      <c r="T1552" s="9">
        <f>IFERROR(__xludf.DUMMYFUNCTION("AVERAGE(INDEX(GOOGLEFINANCE(A1552, ""price"", TODAY()-300, TODAY()), 0, 2))"),110.21143564356437)</f>
        <v>110.2114356</v>
      </c>
      <c r="U1552" s="9">
        <f t="shared" si="5"/>
        <v>0.1348373643</v>
      </c>
      <c r="V1552" s="15">
        <f>IFERROR(__xludf.DUMMYFUNCTION("LET(hist, GOOGLEFINANCE(A1552,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rs))))))"),81.62926018287614)</f>
        <v>81.62926018</v>
      </c>
      <c r="W1552" s="16" t="str">
        <f>IFERROR(__xludf.DUMMYFUNCTION("IFERROR(GOOGLEFINANCE(A1552, ""volume"") / GOOGLEFINANCE(A1552, ""volumeavg""), )"),"")</f>
        <v/>
      </c>
      <c r="X1552" s="9">
        <f>IFERROR(__xludf.DUMMYFUNCTION("B1552 * GOOGLEFINANCE(A1552, ""volume"")"),7.738872660000001E7)</f>
        <v>77388726.6</v>
      </c>
      <c r="Y1552" s="9">
        <f>IFERROR(__xludf.DUMMYFUNCTION("IFERROR(((B1552 - GOOGLEFINANCE(A1552, ""priceopen"")) / GOOGLEFINANCE(A1552, ""priceopen"")) * GOOGLEFINANCE(A1552, ""volume""), 0)"),29112.448695652187)</f>
        <v>29112.4487</v>
      </c>
    </row>
    <row r="1553">
      <c r="A1553" s="4" t="s">
        <v>3345</v>
      </c>
      <c r="B1553" s="7">
        <f>IFERROR(__xludf.DUMMYFUNCTION("GOOGLEFINANCE(A1553, ""price"")"),265.0)</f>
        <v>265</v>
      </c>
      <c r="C1553" s="7">
        <f>IFERROR(__xludf.DUMMYFUNCTION("GOOGLEFINANCE(A1553, ""changepct"")"),2.59)</f>
        <v>2.59</v>
      </c>
      <c r="D1553" s="9">
        <f>IFERROR(__xludf.DUMMYFUNCTION("GOOGLEFINANCE(A1553, ""priceopen"")"),257.0)</f>
        <v>257</v>
      </c>
      <c r="E1553" s="9">
        <f>IFERROR(__xludf.DUMMYFUNCTION("GOOGLEFINANCE(A1553, ""high"")"),267.45)</f>
        <v>267.45</v>
      </c>
      <c r="F1553" s="9">
        <f>IFERROR(__xludf.DUMMYFUNCTION("GOOGLEFINANCE(A1553, ""low"")"),256.55)</f>
        <v>256.55</v>
      </c>
      <c r="G1553" s="9">
        <f>IFERROR(__xludf.DUMMYFUNCTION("GOOGLEFINANCE(A1553, ""price"")"),265.0)</f>
        <v>265</v>
      </c>
      <c r="H1553" s="9">
        <f>IFERROR(__xludf.DUMMYFUNCTION("MAX(INDEX(GOOGLEFINANCE(A1553, ""high"", TODAY()-30, TODAY()), 0, 2))"),273.45)</f>
        <v>273.45</v>
      </c>
      <c r="I1553" s="9">
        <f>IFERROR(__xludf.DUMMYFUNCTION("MIN(INDEX(GOOGLEFINANCE(A1553, ""low"", TODAY()-30, TODAY()), 0, 2))"),249.05)</f>
        <v>249.05</v>
      </c>
      <c r="J1553" s="9">
        <f>IFERROR(__xludf.DUMMYFUNCTION("GOOGLEFINANCE(A1553, ""high52"")"),416.0)</f>
        <v>416</v>
      </c>
      <c r="K1553" s="9">
        <f>IFERROR(__xludf.DUMMYFUNCTION("GOOGLEFINANCE(A1553, ""low52"")"),210.0)</f>
        <v>210</v>
      </c>
      <c r="L1553" s="9">
        <f t="shared" si="1"/>
        <v>0.3629807692</v>
      </c>
      <c r="M1553" s="9">
        <f t="shared" si="2"/>
        <v>0.2619047619</v>
      </c>
      <c r="N1553" s="9">
        <f t="shared" si="3"/>
        <v>0.04248684467</v>
      </c>
      <c r="O1553" s="9">
        <f t="shared" si="4"/>
        <v>0.6536885246</v>
      </c>
      <c r="P1553" s="9" t="str">
        <f>IFERROR(__xludf.DUMMYFUNCTION("GOOGLEFINANCE(A1553, ""pe"")"),"#N/A")</f>
        <v>#N/A</v>
      </c>
      <c r="Q1553" s="9">
        <f>IFERROR(__xludf.DUMMYFUNCTION("IFERROR(GOOGLEFINANCE(A1553, ""volume"") / GOOGLEFINANCE(A1553, ""volumeavg""), 0)"),0.0)</f>
        <v>0</v>
      </c>
      <c r="R1553" s="9">
        <f>IFERROR(__xludf.DUMMYFUNCTION("AVERAGE(INDEX(GOOGLEFINANCE(A1553, ""price"", TODAY()-30, TODAY()), 0, 2))"),261.0195652173913)</f>
        <v>261.0195652</v>
      </c>
      <c r="S1553" s="9">
        <f>IFERROR(__xludf.DUMMYFUNCTION("AVERAGE(INDEX(GOOGLEFINANCE(A1553, ""price"", TODAY()-75, TODAY()), 0, 2))"),259.27830188679235)</f>
        <v>259.2783019</v>
      </c>
      <c r="T1553" s="9">
        <f>IFERROR(__xludf.DUMMYFUNCTION("AVERAGE(INDEX(GOOGLEFINANCE(A1553, ""price"", TODAY()-300, TODAY()), 0, 2))"),277.28554455445544)</f>
        <v>277.2855446</v>
      </c>
      <c r="U1553" s="9">
        <f t="shared" si="5"/>
        <v>0.01524956483</v>
      </c>
      <c r="V1553" s="15">
        <f>IFERROR(__xludf.DUMMYFUNCTION("LET(hist, GOOGLEFINANCE(A1553,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rs))))))"),60.20725388601037)</f>
        <v>60.20725389</v>
      </c>
      <c r="W1553" s="16" t="str">
        <f>IFERROR(__xludf.DUMMYFUNCTION("IFERROR(GOOGLEFINANCE(A1553, ""volume"") / GOOGLEFINANCE(A1553, ""volumeavg""), )"),"")</f>
        <v/>
      </c>
      <c r="X1553" s="9">
        <f>IFERROR(__xludf.DUMMYFUNCTION("B1553 * GOOGLEFINANCE(A1553, ""volume"")"),1.0115845E7)</f>
        <v>10115845</v>
      </c>
      <c r="Y1553" s="9">
        <f>IFERROR(__xludf.DUMMYFUNCTION("IFERROR(((B1553 - GOOGLEFINANCE(A1553, ""priceopen"")) / GOOGLEFINANCE(A1553, ""priceopen"")) * GOOGLEFINANCE(A1553, ""volume""), 0)"),1188.2645914396887)</f>
        <v>1188.264591</v>
      </c>
    </row>
    <row r="1554">
      <c r="A1554" s="4" t="s">
        <v>3346</v>
      </c>
      <c r="B1554" s="7">
        <f>IFERROR(__xludf.DUMMYFUNCTION("GOOGLEFINANCE(A1554, ""price"")"),11.25)</f>
        <v>11.25</v>
      </c>
      <c r="C1554" s="7">
        <f>IFERROR(__xludf.DUMMYFUNCTION("GOOGLEFINANCE(A1554, ""changepct"")"),0.72)</f>
        <v>0.72</v>
      </c>
      <c r="D1554" s="9">
        <f>IFERROR(__xludf.DUMMYFUNCTION("GOOGLEFINANCE(A1554, ""priceopen"")"),11.19)</f>
        <v>11.19</v>
      </c>
      <c r="E1554" s="9">
        <f>IFERROR(__xludf.DUMMYFUNCTION("GOOGLEFINANCE(A1554, ""high"")"),11.95)</f>
        <v>11.95</v>
      </c>
      <c r="F1554" s="9">
        <f>IFERROR(__xludf.DUMMYFUNCTION("GOOGLEFINANCE(A1554, ""low"")"),11.06)</f>
        <v>11.06</v>
      </c>
      <c r="G1554" s="9">
        <f>IFERROR(__xludf.DUMMYFUNCTION("GOOGLEFINANCE(A1554, ""price"")"),11.25)</f>
        <v>11.25</v>
      </c>
      <c r="H1554" s="9">
        <f>IFERROR(__xludf.DUMMYFUNCTION("MAX(INDEX(GOOGLEFINANCE(A1554, ""high"", TODAY()-30, TODAY()), 0, 2))"),17.96)</f>
        <v>17.96</v>
      </c>
      <c r="I1554" s="9">
        <f>IFERROR(__xludf.DUMMYFUNCTION("MIN(INDEX(GOOGLEFINANCE(A1554, ""low"", TODAY()-30, TODAY()), 0, 2))"),10.04)</f>
        <v>10.04</v>
      </c>
      <c r="J1554" s="9">
        <f>IFERROR(__xludf.DUMMYFUNCTION("GOOGLEFINANCE(A1554, ""high52"")"),20.2)</f>
        <v>20.2</v>
      </c>
      <c r="K1554" s="9">
        <f>IFERROR(__xludf.DUMMYFUNCTION("GOOGLEFINANCE(A1554, ""low52"")"),7.76)</f>
        <v>7.76</v>
      </c>
      <c r="L1554" s="9">
        <f t="shared" si="1"/>
        <v>0.4430693069</v>
      </c>
      <c r="M1554" s="9">
        <f t="shared" si="2"/>
        <v>0.449742268</v>
      </c>
      <c r="N1554" s="9">
        <f t="shared" si="3"/>
        <v>0.08047016275</v>
      </c>
      <c r="O1554" s="9">
        <f t="shared" si="4"/>
        <v>0.1527777778</v>
      </c>
      <c r="P1554" s="9">
        <f>IFERROR(__xludf.DUMMYFUNCTION("GOOGLEFINANCE(A1554, ""pe"")"),58.33)</f>
        <v>58.33</v>
      </c>
      <c r="Q1554" s="9">
        <f>IFERROR(__xludf.DUMMYFUNCTION("IFERROR(GOOGLEFINANCE(A1554, ""volume"") / GOOGLEFINANCE(A1554, ""volumeavg""), 0)"),0.0)</f>
        <v>0</v>
      </c>
      <c r="R1554" s="9">
        <f>IFERROR(__xludf.DUMMYFUNCTION("AVERAGE(INDEX(GOOGLEFINANCE(A1554, ""price"", TODAY()-30, TODAY()), 0, 2))"),11.612608695652172)</f>
        <v>11.6126087</v>
      </c>
      <c r="S1554" s="9">
        <f>IFERROR(__xludf.DUMMYFUNCTION("AVERAGE(INDEX(GOOGLEFINANCE(A1554, ""price"", TODAY()-75, TODAY()), 0, 2))"),15.021132075471698)</f>
        <v>15.02113208</v>
      </c>
      <c r="T1554" s="9">
        <f>IFERROR(__xludf.DUMMYFUNCTION("AVERAGE(INDEX(GOOGLEFINANCE(A1554, ""price"", TODAY()-300, TODAY()), 0, 2))"),13.742475247524741)</f>
        <v>13.74247525</v>
      </c>
      <c r="U1554" s="9">
        <f t="shared" si="5"/>
        <v>-0.03122542963</v>
      </c>
      <c r="V1554" s="15">
        <f>IFERROR(__xludf.DUMMYFUNCTION("LET(hist, GOOGLEFINANCE(A1554,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rs))))))"),61.146496815286625)</f>
        <v>61.14649682</v>
      </c>
      <c r="W1554" s="16" t="str">
        <f>IFERROR(__xludf.DUMMYFUNCTION("IFERROR(GOOGLEFINANCE(A1554, ""volume"") / GOOGLEFINANCE(A1554, ""volumeavg""), )"),"")</f>
        <v/>
      </c>
      <c r="X1554" s="9">
        <f>IFERROR(__xludf.DUMMYFUNCTION("B1554 * GOOGLEFINANCE(A1554, ""volume"")"),5.931864E7)</f>
        <v>59318640</v>
      </c>
      <c r="Y1554" s="9">
        <f>IFERROR(__xludf.DUMMYFUNCTION("IFERROR(((B1554 - GOOGLEFINANCE(A1554, ""priceopen"")) / GOOGLEFINANCE(A1554, ""priceopen"")) * GOOGLEFINANCE(A1554, ""volume""), 0)"),28272.21447721203)</f>
        <v>28272.21448</v>
      </c>
    </row>
    <row r="1555">
      <c r="A1555" s="4" t="s">
        <v>3347</v>
      </c>
      <c r="B1555" s="7">
        <f>IFERROR(__xludf.DUMMYFUNCTION("GOOGLEFINANCE(A1555, ""price"")"),405.5)</f>
        <v>405.5</v>
      </c>
      <c r="C1555" s="7">
        <f>IFERROR(__xludf.DUMMYFUNCTION("GOOGLEFINANCE(A1555, ""changepct"")"),-1.09)</f>
        <v>-1.09</v>
      </c>
      <c r="D1555" s="9">
        <f>IFERROR(__xludf.DUMMYFUNCTION("GOOGLEFINANCE(A1555, ""priceopen"")"),415.0)</f>
        <v>415</v>
      </c>
      <c r="E1555" s="9">
        <f>IFERROR(__xludf.DUMMYFUNCTION("GOOGLEFINANCE(A1555, ""high"")"),415.0)</f>
        <v>415</v>
      </c>
      <c r="F1555" s="9">
        <f>IFERROR(__xludf.DUMMYFUNCTION("GOOGLEFINANCE(A1555, ""low"")"),402.0)</f>
        <v>402</v>
      </c>
      <c r="G1555" s="9">
        <f>IFERROR(__xludf.DUMMYFUNCTION("GOOGLEFINANCE(A1555, ""price"")"),405.5)</f>
        <v>405.5</v>
      </c>
      <c r="H1555" s="9">
        <f>IFERROR(__xludf.DUMMYFUNCTION("MAX(INDEX(GOOGLEFINANCE(A1555, ""high"", TODAY()-30, TODAY()), 0, 2))"),429.05)</f>
        <v>429.05</v>
      </c>
      <c r="I1555" s="9">
        <f>IFERROR(__xludf.DUMMYFUNCTION("MIN(INDEX(GOOGLEFINANCE(A1555, ""low"", TODAY()-30, TODAY()), 0, 2))"),341.0)</f>
        <v>341</v>
      </c>
      <c r="J1555" s="9">
        <f>IFERROR(__xludf.DUMMYFUNCTION("GOOGLEFINANCE(A1555, ""high52"")"),429.05)</f>
        <v>429.05</v>
      </c>
      <c r="K1555" s="9">
        <f>IFERROR(__xludf.DUMMYFUNCTION("GOOGLEFINANCE(A1555, ""low52"")"),276.0)</f>
        <v>276</v>
      </c>
      <c r="L1555" s="9">
        <f t="shared" si="1"/>
        <v>0.05488870761</v>
      </c>
      <c r="M1555" s="9">
        <f t="shared" si="2"/>
        <v>0.4692028986</v>
      </c>
      <c r="N1555" s="9">
        <f t="shared" si="3"/>
        <v>0.03233830846</v>
      </c>
      <c r="O1555" s="9">
        <f t="shared" si="4"/>
        <v>0.7325383305</v>
      </c>
      <c r="P1555" s="9">
        <f>IFERROR(__xludf.DUMMYFUNCTION("GOOGLEFINANCE(A1555, ""pe"")"),27.23)</f>
        <v>27.23</v>
      </c>
      <c r="Q1555" s="9">
        <f>IFERROR(__xludf.DUMMYFUNCTION("IFERROR(GOOGLEFINANCE(A1555, ""volume"") / GOOGLEFINANCE(A1555, ""volumeavg""), 0)"),0.0)</f>
        <v>0</v>
      </c>
      <c r="R1555" s="9">
        <f>IFERROR(__xludf.DUMMYFUNCTION("AVERAGE(INDEX(GOOGLEFINANCE(A1555, ""price"", TODAY()-30, TODAY()), 0, 2))"),385.74565217391296)</f>
        <v>385.7456522</v>
      </c>
      <c r="S1555" s="9">
        <f>IFERROR(__xludf.DUMMYFUNCTION("AVERAGE(INDEX(GOOGLEFINANCE(A1555, ""price"", TODAY()-75, TODAY()), 0, 2))"),360.6707547169812)</f>
        <v>360.6707547</v>
      </c>
      <c r="T1555" s="9">
        <f>IFERROR(__xludf.DUMMYFUNCTION("AVERAGE(INDEX(GOOGLEFINANCE(A1555, ""price"", TODAY()-300, TODAY()), 0, 2))"),342.6133879781422)</f>
        <v>342.613388</v>
      </c>
      <c r="U1555" s="9">
        <f t="shared" si="5"/>
        <v>0.05121081136</v>
      </c>
      <c r="V1555" s="15">
        <f>IFERROR(__xludf.DUMMYFUNCTION("LET(hist, GOOGLEFINANCE(A1555,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rs))))))"),51.4178705189941)</f>
        <v>51.41787052</v>
      </c>
      <c r="W1555" s="16" t="str">
        <f>IFERROR(__xludf.DUMMYFUNCTION("IFERROR(GOOGLEFINANCE(A1555, ""volume"") / GOOGLEFINANCE(A1555, ""volumeavg""), )"),"")</f>
        <v/>
      </c>
      <c r="X1555" s="9">
        <f>IFERROR(__xludf.DUMMYFUNCTION("B1555 * GOOGLEFINANCE(A1555, ""volume"")"),6573560.5)</f>
        <v>6573560.5</v>
      </c>
      <c r="Y1555" s="9">
        <f>IFERROR(__xludf.DUMMYFUNCTION("IFERROR(((B1555 - GOOGLEFINANCE(A1555, ""priceopen"")) / GOOGLEFINANCE(A1555, ""priceopen"")) * GOOGLEFINANCE(A1555, ""volume""), 0)"),-371.09518072289154)</f>
        <v>-371.0951807</v>
      </c>
    </row>
    <row r="1556">
      <c r="A1556" s="4" t="s">
        <v>3348</v>
      </c>
      <c r="B1556" s="7">
        <f>IFERROR(__xludf.DUMMYFUNCTION("GOOGLEFINANCE(A1556, ""price"")"),839.85)</f>
        <v>839.85</v>
      </c>
      <c r="C1556" s="7">
        <f>IFERROR(__xludf.DUMMYFUNCTION("GOOGLEFINANCE(A1556, ""changepct"")"),2.16)</f>
        <v>2.16</v>
      </c>
      <c r="D1556" s="9">
        <f>IFERROR(__xludf.DUMMYFUNCTION("GOOGLEFINANCE(A1556, ""priceopen"")"),822.0)</f>
        <v>822</v>
      </c>
      <c r="E1556" s="9">
        <f>IFERROR(__xludf.DUMMYFUNCTION("GOOGLEFINANCE(A1556, ""high"")"),839.9)</f>
        <v>839.9</v>
      </c>
      <c r="F1556" s="9">
        <f>IFERROR(__xludf.DUMMYFUNCTION("GOOGLEFINANCE(A1556, ""low"")"),822.0)</f>
        <v>822</v>
      </c>
      <c r="G1556" s="9">
        <f>IFERROR(__xludf.DUMMYFUNCTION("GOOGLEFINANCE(A1556, ""price"")"),839.85)</f>
        <v>839.85</v>
      </c>
      <c r="H1556" s="9">
        <f>IFERROR(__xludf.DUMMYFUNCTION("MAX(INDEX(GOOGLEFINANCE(A1556, ""high"", TODAY()-30, TODAY()), 0, 2))"),860.0)</f>
        <v>860</v>
      </c>
      <c r="I1556" s="9">
        <f>IFERROR(__xludf.DUMMYFUNCTION("MIN(INDEX(GOOGLEFINANCE(A1556, ""low"", TODAY()-30, TODAY()), 0, 2))"),801.2)</f>
        <v>801.2</v>
      </c>
      <c r="J1556" s="9">
        <f>IFERROR(__xludf.DUMMYFUNCTION("GOOGLEFINANCE(A1556, ""high52"")"),875.0)</f>
        <v>875</v>
      </c>
      <c r="K1556" s="9">
        <f>IFERROR(__xludf.DUMMYFUNCTION("GOOGLEFINANCE(A1556, ""low52"")"),745.0)</f>
        <v>745</v>
      </c>
      <c r="L1556" s="9">
        <f t="shared" si="1"/>
        <v>0.04017142857</v>
      </c>
      <c r="M1556" s="9">
        <f t="shared" si="2"/>
        <v>0.1273154362</v>
      </c>
      <c r="N1556" s="9">
        <f t="shared" si="3"/>
        <v>0.02177615572</v>
      </c>
      <c r="O1556" s="9">
        <f t="shared" si="4"/>
        <v>0.6573129252</v>
      </c>
      <c r="P1556" s="9">
        <f>IFERROR(__xludf.DUMMYFUNCTION("GOOGLEFINANCE(A1556, ""pe"")"),6.76)</f>
        <v>6.76</v>
      </c>
      <c r="Q1556" s="9">
        <f>IFERROR(__xludf.DUMMYFUNCTION("IFERROR(GOOGLEFINANCE(A1556, ""volume"") / GOOGLEFINANCE(A1556, ""volumeavg""), 0)"),0.0)</f>
        <v>0</v>
      </c>
      <c r="R1556" s="9">
        <f>IFERROR(__xludf.DUMMYFUNCTION("AVERAGE(INDEX(GOOGLEFINANCE(A1556, ""price"", TODAY()-30, TODAY()), 0, 2))"),824.7717391304344)</f>
        <v>824.7717391</v>
      </c>
      <c r="S1556" s="9">
        <f>IFERROR(__xludf.DUMMYFUNCTION("AVERAGE(INDEX(GOOGLEFINANCE(A1556, ""price"", TODAY()-75, TODAY()), 0, 2))"),826.9613207547169)</f>
        <v>826.9613208</v>
      </c>
      <c r="T1556" s="9">
        <f>IFERROR(__xludf.DUMMYFUNCTION("AVERAGE(INDEX(GOOGLEFINANCE(A1556, ""price"", TODAY()-300, TODAY()), 0, 2))"),818.13375)</f>
        <v>818.13375</v>
      </c>
      <c r="U1556" s="9">
        <f t="shared" si="5"/>
        <v>0.01828173803</v>
      </c>
      <c r="V1556" s="15">
        <f>IFERROR(__xludf.DUMMYFUNCTION("LET(hist, GOOGLEFINANCE(A1556,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rs))))))"),55.41907514450868)</f>
        <v>55.41907514</v>
      </c>
      <c r="W1556" s="16" t="str">
        <f>IFERROR(__xludf.DUMMYFUNCTION("IFERROR(GOOGLEFINANCE(A1556, ""volume"") / GOOGLEFINANCE(A1556, ""volumeavg""), )"),"")</f>
        <v/>
      </c>
      <c r="X1556" s="9">
        <f>IFERROR(__xludf.DUMMYFUNCTION("B1556 * GOOGLEFINANCE(A1556, ""volume"")"),1043093.7000000001)</f>
        <v>1043093.7</v>
      </c>
      <c r="Y1556" s="9">
        <f>IFERROR(__xludf.DUMMYFUNCTION("IFERROR(((B1556 - GOOGLEFINANCE(A1556, ""priceopen"")) / GOOGLEFINANCE(A1556, ""priceopen"")) * GOOGLEFINANCE(A1556, ""volume""), 0)"),26.970437956204414)</f>
        <v>26.97043796</v>
      </c>
    </row>
    <row r="1557">
      <c r="A1557" s="4" t="s">
        <v>3349</v>
      </c>
      <c r="B1557" s="7">
        <f>IFERROR(__xludf.DUMMYFUNCTION("GOOGLEFINANCE(A1557, ""price"")"),133.75)</f>
        <v>133.75</v>
      </c>
      <c r="C1557" s="7">
        <f>IFERROR(__xludf.DUMMYFUNCTION("GOOGLEFINANCE(A1557, ""changepct"")"),0.51)</f>
        <v>0.51</v>
      </c>
      <c r="D1557" s="9">
        <f>IFERROR(__xludf.DUMMYFUNCTION("GOOGLEFINANCE(A1557, ""priceopen"")"),133.07)</f>
        <v>133.07</v>
      </c>
      <c r="E1557" s="9">
        <f>IFERROR(__xludf.DUMMYFUNCTION("GOOGLEFINANCE(A1557, ""high"")"),133.76)</f>
        <v>133.76</v>
      </c>
      <c r="F1557" s="9">
        <f>IFERROR(__xludf.DUMMYFUNCTION("GOOGLEFINANCE(A1557, ""low"")"),132.01)</f>
        <v>132.01</v>
      </c>
      <c r="G1557" s="9">
        <f>IFERROR(__xludf.DUMMYFUNCTION("GOOGLEFINANCE(A1557, ""price"")"),133.75)</f>
        <v>133.75</v>
      </c>
      <c r="H1557" s="9">
        <f>IFERROR(__xludf.DUMMYFUNCTION("MAX(INDEX(GOOGLEFINANCE(A1557, ""high"", TODAY()-30, TODAY()), 0, 2))"),163.49)</f>
        <v>163.49</v>
      </c>
      <c r="I1557" s="9">
        <f>IFERROR(__xludf.DUMMYFUNCTION("MIN(INDEX(GOOGLEFINANCE(A1557, ""low"", TODAY()-30, TODAY()), 0, 2))"),129.35)</f>
        <v>129.35</v>
      </c>
      <c r="J1557" s="9">
        <f>IFERROR(__xludf.DUMMYFUNCTION("GOOGLEFINANCE(A1557, ""high52"")"),197.39)</f>
        <v>197.39</v>
      </c>
      <c r="K1557" s="9">
        <f>IFERROR(__xludf.DUMMYFUNCTION("GOOGLEFINANCE(A1557, ""low52"")"),95.0)</f>
        <v>95</v>
      </c>
      <c r="L1557" s="9">
        <f t="shared" si="1"/>
        <v>0.3224074168</v>
      </c>
      <c r="M1557" s="9">
        <f t="shared" si="2"/>
        <v>0.4078947368</v>
      </c>
      <c r="N1557" s="9">
        <f t="shared" si="3"/>
        <v>0.01325657147</v>
      </c>
      <c r="O1557" s="9">
        <f t="shared" si="4"/>
        <v>0.1288810779</v>
      </c>
      <c r="P1557" s="9">
        <f>IFERROR(__xludf.DUMMYFUNCTION("GOOGLEFINANCE(A1557, ""pe"")"),13.92)</f>
        <v>13.92</v>
      </c>
      <c r="Q1557" s="9">
        <f>IFERROR(__xludf.DUMMYFUNCTION("IFERROR(GOOGLEFINANCE(A1557, ""volume"") / GOOGLEFINANCE(A1557, ""volumeavg""), 0)"),0.0)</f>
        <v>0</v>
      </c>
      <c r="R1557" s="9">
        <f>IFERROR(__xludf.DUMMYFUNCTION("AVERAGE(INDEX(GOOGLEFINANCE(A1557, ""price"", TODAY()-30, TODAY()), 0, 2))"),136.02173913043478)</f>
        <v>136.0217391</v>
      </c>
      <c r="S1557" s="9">
        <f>IFERROR(__xludf.DUMMYFUNCTION("AVERAGE(INDEX(GOOGLEFINANCE(A1557, ""price"", TODAY()-75, TODAY()), 0, 2))"),137.8711320754717)</f>
        <v>137.8711321</v>
      </c>
      <c r="T1557" s="9">
        <f>IFERROR(__xludf.DUMMYFUNCTION("AVERAGE(INDEX(GOOGLEFINANCE(A1557, ""price"", TODAY()-300, TODAY()), 0, 2))"),138.9369801980198)</f>
        <v>138.9369802</v>
      </c>
      <c r="U1557" s="9">
        <f t="shared" si="5"/>
        <v>-0.01670129455</v>
      </c>
      <c r="V1557" s="15">
        <f>IFERROR(__xludf.DUMMYFUNCTION("LET(hist, GOOGLEFINANCE(A1557,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rs))))))"),52.62321144674085)</f>
        <v>52.62321145</v>
      </c>
      <c r="W1557" s="16" t="str">
        <f>IFERROR(__xludf.DUMMYFUNCTION("IFERROR(GOOGLEFINANCE(A1557, ""volume"") / GOOGLEFINANCE(A1557, ""volumeavg""), )"),"")</f>
        <v/>
      </c>
      <c r="X1557" s="9">
        <f>IFERROR(__xludf.DUMMYFUNCTION("B1557 * GOOGLEFINANCE(A1557, ""volume"")"),3439648.75)</f>
        <v>3439648.75</v>
      </c>
      <c r="Y1557" s="9">
        <f>IFERROR(__xludf.DUMMYFUNCTION("IFERROR(((B1557 - GOOGLEFINANCE(A1557, ""priceopen"")) / GOOGLEFINANCE(A1557, ""priceopen"")) * GOOGLEFINANCE(A1557, ""volume""), 0)"),131.41624708800012)</f>
        <v>131.4162471</v>
      </c>
    </row>
    <row r="1558">
      <c r="A1558" s="4" t="s">
        <v>3350</v>
      </c>
      <c r="B1558" s="7">
        <f>IFERROR(__xludf.DUMMYFUNCTION("GOOGLEFINANCE(A1558, ""price"")"),748.8)</f>
        <v>748.8</v>
      </c>
      <c r="C1558" s="7">
        <f>IFERROR(__xludf.DUMMYFUNCTION("GOOGLEFINANCE(A1558, ""changepct"")"),-2.05)</f>
        <v>-2.05</v>
      </c>
      <c r="D1558" s="9">
        <f>IFERROR(__xludf.DUMMYFUNCTION("GOOGLEFINANCE(A1558, ""priceopen"")"),764.5)</f>
        <v>764.5</v>
      </c>
      <c r="E1558" s="9">
        <f>IFERROR(__xludf.DUMMYFUNCTION("GOOGLEFINANCE(A1558, ""high"")"),768.75)</f>
        <v>768.75</v>
      </c>
      <c r="F1558" s="9">
        <f>IFERROR(__xludf.DUMMYFUNCTION("GOOGLEFINANCE(A1558, ""low"")"),741.5)</f>
        <v>741.5</v>
      </c>
      <c r="G1558" s="9">
        <f>IFERROR(__xludf.DUMMYFUNCTION("GOOGLEFINANCE(A1558, ""price"")"),748.8)</f>
        <v>748.8</v>
      </c>
      <c r="H1558" s="9">
        <f>IFERROR(__xludf.DUMMYFUNCTION("MAX(INDEX(GOOGLEFINANCE(A1558, ""high"", TODAY()-30, TODAY()), 0, 2))"),850.0)</f>
        <v>850</v>
      </c>
      <c r="I1558" s="9">
        <f>IFERROR(__xludf.DUMMYFUNCTION("MIN(INDEX(GOOGLEFINANCE(A1558, ""low"", TODAY()-30, TODAY()), 0, 2))"),701.55)</f>
        <v>701.55</v>
      </c>
      <c r="J1558" s="9">
        <f>IFERROR(__xludf.DUMMYFUNCTION("GOOGLEFINANCE(A1558, ""high52"")"),1044.1)</f>
        <v>1044.1</v>
      </c>
      <c r="K1558" s="9">
        <f>IFERROR(__xludf.DUMMYFUNCTION("GOOGLEFINANCE(A1558, ""low52"")"),691.2)</f>
        <v>691.2</v>
      </c>
      <c r="L1558" s="9">
        <f t="shared" si="1"/>
        <v>0.2828273154</v>
      </c>
      <c r="M1558" s="9">
        <f t="shared" si="2"/>
        <v>0.08333333333</v>
      </c>
      <c r="N1558" s="9">
        <f t="shared" si="3"/>
        <v>0.03674983142</v>
      </c>
      <c r="O1558" s="9">
        <f t="shared" si="4"/>
        <v>0.3182889862</v>
      </c>
      <c r="P1558" s="9">
        <f>IFERROR(__xludf.DUMMYFUNCTION("GOOGLEFINANCE(A1558, ""pe"")"),30.32)</f>
        <v>30.32</v>
      </c>
      <c r="Q1558" s="9">
        <f>IFERROR(__xludf.DUMMYFUNCTION("IFERROR(GOOGLEFINANCE(A1558, ""volume"") / GOOGLEFINANCE(A1558, ""volumeavg""), 0)"),0.0)</f>
        <v>0</v>
      </c>
      <c r="R1558" s="9">
        <f>IFERROR(__xludf.DUMMYFUNCTION("AVERAGE(INDEX(GOOGLEFINANCE(A1558, ""price"", TODAY()-30, TODAY()), 0, 2))"),774.5652173913045)</f>
        <v>774.5652174</v>
      </c>
      <c r="S1558" s="9">
        <f>IFERROR(__xludf.DUMMYFUNCTION("AVERAGE(INDEX(GOOGLEFINANCE(A1558, ""price"", TODAY()-75, TODAY()), 0, 2))"),789.0339622641508)</f>
        <v>789.0339623</v>
      </c>
      <c r="T1558" s="9">
        <f>IFERROR(__xludf.DUMMYFUNCTION("AVERAGE(INDEX(GOOGLEFINANCE(A1558, ""price"", TODAY()-300, TODAY()), 0, 2))"),846.2762376237623)</f>
        <v>846.2762376</v>
      </c>
      <c r="U1558" s="9">
        <f t="shared" si="5"/>
        <v>-0.03326410328</v>
      </c>
      <c r="V1558" s="15">
        <f>IFERROR(__xludf.DUMMYFUNCTION("LET(hist, GOOGLEFINANCE(A1558,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rs))))))"),43.09728934650136)</f>
        <v>43.09728935</v>
      </c>
      <c r="W1558" s="16" t="str">
        <f>IFERROR(__xludf.DUMMYFUNCTION("IFERROR(GOOGLEFINANCE(A1558, ""volume"") / GOOGLEFINANCE(A1558, ""volumeavg""), )"),"")</f>
        <v/>
      </c>
      <c r="X1558" s="9">
        <f>IFERROR(__xludf.DUMMYFUNCTION("B1558 * GOOGLEFINANCE(A1558, ""volume"")"),938995.2)</f>
        <v>938995.2</v>
      </c>
      <c r="Y1558" s="9">
        <f>IFERROR(__xludf.DUMMYFUNCTION("IFERROR(((B1558 - GOOGLEFINANCE(A1558, ""priceopen"")) / GOOGLEFINANCE(A1558, ""priceopen"")) * GOOGLEFINANCE(A1558, ""volume""), 0)"),-25.752517985611586)</f>
        <v>-25.75251799</v>
      </c>
    </row>
    <row r="1559">
      <c r="A1559" s="4" t="s">
        <v>3351</v>
      </c>
      <c r="B1559" s="7">
        <f>IFERROR(__xludf.DUMMYFUNCTION("GOOGLEFINANCE(A1559, ""price"")"),220.0)</f>
        <v>220</v>
      </c>
      <c r="C1559" s="7">
        <f>IFERROR(__xludf.DUMMYFUNCTION("GOOGLEFINANCE(A1559, ""changepct"")"),-2.64)</f>
        <v>-2.64</v>
      </c>
      <c r="D1559" s="9">
        <f>IFERROR(__xludf.DUMMYFUNCTION("GOOGLEFINANCE(A1559, ""priceopen"")"),226.94)</f>
        <v>226.94</v>
      </c>
      <c r="E1559" s="9">
        <f>IFERROR(__xludf.DUMMYFUNCTION("GOOGLEFINANCE(A1559, ""high"")"),229.9)</f>
        <v>229.9</v>
      </c>
      <c r="F1559" s="9">
        <f>IFERROR(__xludf.DUMMYFUNCTION("GOOGLEFINANCE(A1559, ""low"")"),219.0)</f>
        <v>219</v>
      </c>
      <c r="G1559" s="9">
        <f>IFERROR(__xludf.DUMMYFUNCTION("GOOGLEFINANCE(A1559, ""price"")"),220.0)</f>
        <v>220</v>
      </c>
      <c r="H1559" s="9">
        <f>IFERROR(__xludf.DUMMYFUNCTION("MAX(INDEX(GOOGLEFINANCE(A1559, ""high"", TODAY()-30, TODAY()), 0, 2))"),232.9)</f>
        <v>232.9</v>
      </c>
      <c r="I1559" s="9">
        <f>IFERROR(__xludf.DUMMYFUNCTION("MIN(INDEX(GOOGLEFINANCE(A1559, ""low"", TODAY()-30, TODAY()), 0, 2))"),212.01)</f>
        <v>212.01</v>
      </c>
      <c r="J1559" s="9">
        <f>IFERROR(__xludf.DUMMYFUNCTION("GOOGLEFINANCE(A1559, ""high52"")"),305.0)</f>
        <v>305</v>
      </c>
      <c r="K1559" s="9">
        <f>IFERROR(__xludf.DUMMYFUNCTION("GOOGLEFINANCE(A1559, ""low52"")"),150.25)</f>
        <v>150.25</v>
      </c>
      <c r="L1559" s="9">
        <f t="shared" si="1"/>
        <v>0.2786885246</v>
      </c>
      <c r="M1559" s="9">
        <f t="shared" si="2"/>
        <v>0.4642262895</v>
      </c>
      <c r="N1559" s="9">
        <f t="shared" si="3"/>
        <v>0.0497716895</v>
      </c>
      <c r="O1559" s="9">
        <f t="shared" si="4"/>
        <v>0.3824796553</v>
      </c>
      <c r="P1559" s="9">
        <f>IFERROR(__xludf.DUMMYFUNCTION("GOOGLEFINANCE(A1559, ""pe"")"),16.88)</f>
        <v>16.88</v>
      </c>
      <c r="Q1559" s="9">
        <f>IFERROR(__xludf.DUMMYFUNCTION("IFERROR(GOOGLEFINANCE(A1559, ""volume"") / GOOGLEFINANCE(A1559, ""volumeavg""), 0)"),0.0)</f>
        <v>0</v>
      </c>
      <c r="R1559" s="9">
        <f>IFERROR(__xludf.DUMMYFUNCTION("AVERAGE(INDEX(GOOGLEFINANCE(A1559, ""price"", TODAY()-30, TODAY()), 0, 2))"),222.1734782608696)</f>
        <v>222.1734783</v>
      </c>
      <c r="S1559" s="9">
        <f>IFERROR(__xludf.DUMMYFUNCTION("AVERAGE(INDEX(GOOGLEFINANCE(A1559, ""price"", TODAY()-75, TODAY()), 0, 2))"),216.10037735849056)</f>
        <v>216.1003774</v>
      </c>
      <c r="T1559" s="9">
        <f>IFERROR(__xludf.DUMMYFUNCTION("AVERAGE(INDEX(GOOGLEFINANCE(A1559, ""price"", TODAY()-300, TODAY()), 0, 2))"),205.0213861386139)</f>
        <v>205.0213861</v>
      </c>
      <c r="U1559" s="9">
        <f t="shared" si="5"/>
        <v>-0.009782798009</v>
      </c>
      <c r="V1559" s="15">
        <f>IFERROR(__xludf.DUMMYFUNCTION("LET(hist, GOOGLEFINANCE(A1559,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rs))))))"),47.55883386020375)</f>
        <v>47.55883386</v>
      </c>
      <c r="W1559" s="16" t="str">
        <f>IFERROR(__xludf.DUMMYFUNCTION("IFERROR(GOOGLEFINANCE(A1559, ""volume"") / GOOGLEFINANCE(A1559, ""volumeavg""), )"),"")</f>
        <v/>
      </c>
      <c r="X1559" s="9">
        <f>IFERROR(__xludf.DUMMYFUNCTION("B1559 * GOOGLEFINANCE(A1559, ""volume"")"),5.608482E7)</f>
        <v>56084820</v>
      </c>
      <c r="Y1559" s="9">
        <f>IFERROR(__xludf.DUMMYFUNCTION("IFERROR(((B1559 - GOOGLEFINANCE(A1559, ""priceopen"")) / GOOGLEFINANCE(A1559, ""priceopen"")) * GOOGLEFINANCE(A1559, ""volume""), 0)"),-7795.98634000176)</f>
        <v>-7795.98634</v>
      </c>
    </row>
    <row r="1560">
      <c r="A1560" s="4" t="s">
        <v>3352</v>
      </c>
      <c r="B1560" s="7">
        <f>IFERROR(__xludf.DUMMYFUNCTION("GOOGLEFINANCE(A1560, ""price"")"),13.84)</f>
        <v>13.84</v>
      </c>
      <c r="C1560" s="7">
        <f>IFERROR(__xludf.DUMMYFUNCTION("GOOGLEFINANCE(A1560, ""changepct"")"),-1.0)</f>
        <v>-1</v>
      </c>
      <c r="D1560" s="9">
        <f>IFERROR(__xludf.DUMMYFUNCTION("GOOGLEFINANCE(A1560, ""priceopen"")"),13.98)</f>
        <v>13.98</v>
      </c>
      <c r="E1560" s="9">
        <f>IFERROR(__xludf.DUMMYFUNCTION("GOOGLEFINANCE(A1560, ""high"")"),13.98)</f>
        <v>13.98</v>
      </c>
      <c r="F1560" s="9">
        <f>IFERROR(__xludf.DUMMYFUNCTION("GOOGLEFINANCE(A1560, ""low"")"),13.73)</f>
        <v>13.73</v>
      </c>
      <c r="G1560" s="9">
        <f>IFERROR(__xludf.DUMMYFUNCTION("GOOGLEFINANCE(A1560, ""price"")"),13.84)</f>
        <v>13.84</v>
      </c>
      <c r="H1560" s="9">
        <f>IFERROR(__xludf.DUMMYFUNCTION("MAX(INDEX(GOOGLEFINANCE(A1560, ""high"", TODAY()-30, TODAY()), 0, 2))"),15.76)</f>
        <v>15.76</v>
      </c>
      <c r="I1560" s="9">
        <f>IFERROR(__xludf.DUMMYFUNCTION("MIN(INDEX(GOOGLEFINANCE(A1560, ""low"", TODAY()-30, TODAY()), 0, 2))"),13.5)</f>
        <v>13.5</v>
      </c>
      <c r="J1560" s="9">
        <f>IFERROR(__xludf.DUMMYFUNCTION("GOOGLEFINANCE(A1560, ""high52"")"),29.05)</f>
        <v>29.05</v>
      </c>
      <c r="K1560" s="9">
        <f>IFERROR(__xludf.DUMMYFUNCTION("GOOGLEFINANCE(A1560, ""low52"")"),13.0)</f>
        <v>13</v>
      </c>
      <c r="L1560" s="9">
        <f t="shared" si="1"/>
        <v>0.5235800344</v>
      </c>
      <c r="M1560" s="9">
        <f t="shared" si="2"/>
        <v>0.06461538462</v>
      </c>
      <c r="N1560" s="9">
        <f t="shared" si="3"/>
        <v>0.01820830299</v>
      </c>
      <c r="O1560" s="9">
        <f t="shared" si="4"/>
        <v>0.1504424779</v>
      </c>
      <c r="P1560" s="9">
        <f>IFERROR(__xludf.DUMMYFUNCTION("GOOGLEFINANCE(A1560, ""pe"")"),8.34)</f>
        <v>8.34</v>
      </c>
      <c r="Q1560" s="9">
        <f>IFERROR(__xludf.DUMMYFUNCTION("IFERROR(GOOGLEFINANCE(A1560, ""volume"") / GOOGLEFINANCE(A1560, ""volumeavg""), 0)"),0.0)</f>
        <v>0</v>
      </c>
      <c r="R1560" s="9">
        <f>IFERROR(__xludf.DUMMYFUNCTION("AVERAGE(INDEX(GOOGLEFINANCE(A1560, ""price"", TODAY()-30, TODAY()), 0, 2))"),14.388260869565217)</f>
        <v>14.38826087</v>
      </c>
      <c r="S1560" s="9">
        <f>IFERROR(__xludf.DUMMYFUNCTION("AVERAGE(INDEX(GOOGLEFINANCE(A1560, ""price"", TODAY()-75, TODAY()), 0, 2))"),15.052075471698114)</f>
        <v>15.05207547</v>
      </c>
      <c r="T1560" s="9">
        <f>IFERROR(__xludf.DUMMYFUNCTION("AVERAGE(INDEX(GOOGLEFINANCE(A1560, ""price"", TODAY()-300, TODAY()), 0, 2))"),16.983762376237628)</f>
        <v>16.98376238</v>
      </c>
      <c r="U1560" s="9">
        <f t="shared" si="5"/>
        <v>-0.03810473514</v>
      </c>
      <c r="V1560" s="15">
        <f>IFERROR(__xludf.DUMMYFUNCTION("LET(hist, GOOGLEFINANCE(A1560,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rs))))))"),32.692307692307665)</f>
        <v>32.69230769</v>
      </c>
      <c r="W1560" s="16" t="str">
        <f>IFERROR(__xludf.DUMMYFUNCTION("IFERROR(GOOGLEFINANCE(A1560, ""volume"") / GOOGLEFINANCE(A1560, ""volumeavg""), )"),"")</f>
        <v/>
      </c>
      <c r="X1560" s="9">
        <f>IFERROR(__xludf.DUMMYFUNCTION("B1560 * GOOGLEFINANCE(A1560, ""volume"")"),1.2215876E7)</f>
        <v>12215876</v>
      </c>
      <c r="Y1560" s="9">
        <f>IFERROR(__xludf.DUMMYFUNCTION("IFERROR(((B1560 - GOOGLEFINANCE(A1560, ""priceopen"")) / GOOGLEFINANCE(A1560, ""priceopen"")) * GOOGLEFINANCE(A1560, ""volume""), 0)"),-8839.127324749677)</f>
        <v>-8839.127325</v>
      </c>
    </row>
    <row r="1561">
      <c r="A1561" s="4" t="s">
        <v>3353</v>
      </c>
      <c r="B1561" s="7">
        <f>IFERROR(__xludf.DUMMYFUNCTION("GOOGLEFINANCE(A1561, ""price"")"),435.9)</f>
        <v>435.9</v>
      </c>
      <c r="C1561" s="7">
        <f>IFERROR(__xludf.DUMMYFUNCTION("GOOGLEFINANCE(A1561, ""changepct"")"),9.55)</f>
        <v>9.55</v>
      </c>
      <c r="D1561" s="9">
        <f>IFERROR(__xludf.DUMMYFUNCTION("GOOGLEFINANCE(A1561, ""priceopen"")"),454.0)</f>
        <v>454</v>
      </c>
      <c r="E1561" s="9">
        <f>IFERROR(__xludf.DUMMYFUNCTION("GOOGLEFINANCE(A1561, ""high"")"),454.0)</f>
        <v>454</v>
      </c>
      <c r="F1561" s="9">
        <f>IFERROR(__xludf.DUMMYFUNCTION("GOOGLEFINANCE(A1561, ""low"")"),422.0)</f>
        <v>422</v>
      </c>
      <c r="G1561" s="9">
        <f>IFERROR(__xludf.DUMMYFUNCTION("GOOGLEFINANCE(A1561, ""price"")"),435.9)</f>
        <v>435.9</v>
      </c>
      <c r="H1561" s="9">
        <f>IFERROR(__xludf.DUMMYFUNCTION("MAX(INDEX(GOOGLEFINANCE(A1561, ""high"", TODAY()-30, TODAY()), 0, 2))"),454.0)</f>
        <v>454</v>
      </c>
      <c r="I1561" s="9">
        <f>IFERROR(__xludf.DUMMYFUNCTION("MIN(INDEX(GOOGLEFINANCE(A1561, ""low"", TODAY()-30, TODAY()), 0, 2))"),385.35)</f>
        <v>385.35</v>
      </c>
      <c r="J1561" s="9">
        <f>IFERROR(__xludf.DUMMYFUNCTION("GOOGLEFINANCE(A1561, ""high52"")"),471.85)</f>
        <v>471.85</v>
      </c>
      <c r="K1561" s="9">
        <f>IFERROR(__xludf.DUMMYFUNCTION("GOOGLEFINANCE(A1561, ""low52"")"),355.05)</f>
        <v>355.05</v>
      </c>
      <c r="L1561" s="9">
        <f t="shared" si="1"/>
        <v>0.07618946699</v>
      </c>
      <c r="M1561" s="9">
        <f t="shared" si="2"/>
        <v>0.2277144064</v>
      </c>
      <c r="N1561" s="9">
        <f t="shared" si="3"/>
        <v>0.07582938389</v>
      </c>
      <c r="O1561" s="9">
        <f t="shared" si="4"/>
        <v>0.7363437728</v>
      </c>
      <c r="P1561" s="9">
        <f>IFERROR(__xludf.DUMMYFUNCTION("GOOGLEFINANCE(A1561, ""pe"")"),23.01)</f>
        <v>23.01</v>
      </c>
      <c r="Q1561" s="9">
        <f>IFERROR(__xludf.DUMMYFUNCTION("IFERROR(GOOGLEFINANCE(A1561, ""volume"") / GOOGLEFINANCE(A1561, ""volumeavg""), 0)"),0.0)</f>
        <v>0</v>
      </c>
      <c r="R1561" s="9">
        <f>IFERROR(__xludf.DUMMYFUNCTION("AVERAGE(INDEX(GOOGLEFINANCE(A1561, ""price"", TODAY()-30, TODAY()), 0, 2))"),401.6478260869564)</f>
        <v>401.6478261</v>
      </c>
      <c r="S1561" s="9">
        <f>IFERROR(__xludf.DUMMYFUNCTION("AVERAGE(INDEX(GOOGLEFINANCE(A1561, ""price"", TODAY()-75, TODAY()), 0, 2))"),403.38018867924546)</f>
        <v>403.3801887</v>
      </c>
      <c r="T1561" s="9">
        <f>IFERROR(__xludf.DUMMYFUNCTION("AVERAGE(INDEX(GOOGLEFINANCE(A1561, ""price"", TODAY()-300, TODAY()), 0, 2))"),408.68125000000015)</f>
        <v>408.68125</v>
      </c>
      <c r="U1561" s="9">
        <f t="shared" si="5"/>
        <v>0.08527912188</v>
      </c>
      <c r="V1561" s="15">
        <f>IFERROR(__xludf.DUMMYFUNCTION("LET(hist, GOOGLEFINANCE(A1561,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rs))))))"),67.69957983193277)</f>
        <v>67.69957983</v>
      </c>
      <c r="W1561" s="16" t="str">
        <f>IFERROR(__xludf.DUMMYFUNCTION("IFERROR(GOOGLEFINANCE(A1561, ""volume"") / GOOGLEFINANCE(A1561, ""volumeavg""), )"),"")</f>
        <v/>
      </c>
      <c r="X1561" s="9">
        <f>IFERROR(__xludf.DUMMYFUNCTION("B1561 * GOOGLEFINANCE(A1561, ""volume"")"),3.37417113E7)</f>
        <v>33741711.3</v>
      </c>
      <c r="Y1561" s="9">
        <f>IFERROR(__xludf.DUMMYFUNCTION("IFERROR(((B1561 - GOOGLEFINANCE(A1561, ""priceopen"")) / GOOGLEFINANCE(A1561, ""priceopen"")) * GOOGLEFINANCE(A1561, ""volume""), 0)"),-3086.050000000004)</f>
        <v>-3086.05</v>
      </c>
    </row>
    <row r="1562">
      <c r="A1562" s="4" t="s">
        <v>3354</v>
      </c>
      <c r="B1562" s="7">
        <f>IFERROR(__xludf.DUMMYFUNCTION("GOOGLEFINANCE(A1562, ""price"")"),234.9)</f>
        <v>234.9</v>
      </c>
      <c r="C1562" s="7">
        <f>IFERROR(__xludf.DUMMYFUNCTION("GOOGLEFINANCE(A1562, ""changepct"")"),3.7)</f>
        <v>3.7</v>
      </c>
      <c r="D1562" s="9">
        <f>IFERROR(__xludf.DUMMYFUNCTION("GOOGLEFINANCE(A1562, ""priceopen"")"),230.0)</f>
        <v>230</v>
      </c>
      <c r="E1562" s="9">
        <f>IFERROR(__xludf.DUMMYFUNCTION("GOOGLEFINANCE(A1562, ""high"")"),234.9)</f>
        <v>234.9</v>
      </c>
      <c r="F1562" s="9">
        <f>IFERROR(__xludf.DUMMYFUNCTION("GOOGLEFINANCE(A1562, ""low"")"),224.1)</f>
        <v>224.1</v>
      </c>
      <c r="G1562" s="9">
        <f>IFERROR(__xludf.DUMMYFUNCTION("GOOGLEFINANCE(A1562, ""price"")"),234.9)</f>
        <v>234.9</v>
      </c>
      <c r="H1562" s="9">
        <f>IFERROR(__xludf.DUMMYFUNCTION("MAX(INDEX(GOOGLEFINANCE(A1562, ""high"", TODAY()-30, TODAY()), 0, 2))"),251.5)</f>
        <v>251.5</v>
      </c>
      <c r="I1562" s="9">
        <f>IFERROR(__xludf.DUMMYFUNCTION("MIN(INDEX(GOOGLEFINANCE(A1562, ""low"", TODAY()-30, TODAY()), 0, 2))"),223.86)</f>
        <v>223.86</v>
      </c>
      <c r="J1562" s="9">
        <f>IFERROR(__xludf.DUMMYFUNCTION("GOOGLEFINANCE(A1562, ""high52"")"),442.6)</f>
        <v>442.6</v>
      </c>
      <c r="K1562" s="9">
        <f>IFERROR(__xludf.DUMMYFUNCTION("GOOGLEFINANCE(A1562, ""low52"")"),207.25)</f>
        <v>207.25</v>
      </c>
      <c r="L1562" s="9">
        <f t="shared" si="1"/>
        <v>0.4692724808</v>
      </c>
      <c r="M1562" s="9">
        <f t="shared" si="2"/>
        <v>0.1334137515</v>
      </c>
      <c r="N1562" s="9">
        <f t="shared" si="3"/>
        <v>0.04819277108</v>
      </c>
      <c r="O1562" s="9">
        <f t="shared" si="4"/>
        <v>0.3994211288</v>
      </c>
      <c r="P1562" s="9">
        <f>IFERROR(__xludf.DUMMYFUNCTION("GOOGLEFINANCE(A1562, ""pe"")"),31.81)</f>
        <v>31.81</v>
      </c>
      <c r="Q1562" s="9">
        <f>IFERROR(__xludf.DUMMYFUNCTION("IFERROR(GOOGLEFINANCE(A1562, ""volume"") / GOOGLEFINANCE(A1562, ""volumeavg""), 0)"),0.0)</f>
        <v>0</v>
      </c>
      <c r="R1562" s="9">
        <f>IFERROR(__xludf.DUMMYFUNCTION("AVERAGE(INDEX(GOOGLEFINANCE(A1562, ""price"", TODAY()-30, TODAY()), 0, 2))"),234.37782608695653)</f>
        <v>234.3778261</v>
      </c>
      <c r="S1562" s="9">
        <f>IFERROR(__xludf.DUMMYFUNCTION("AVERAGE(INDEX(GOOGLEFINANCE(A1562, ""price"", TODAY()-75, TODAY()), 0, 2))"),240.96867924528306)</f>
        <v>240.9686792</v>
      </c>
      <c r="T1562" s="9">
        <f>IFERROR(__xludf.DUMMYFUNCTION("AVERAGE(INDEX(GOOGLEFINANCE(A1562, ""price"", TODAY()-300, TODAY()), 0, 2))"),288.940297029703)</f>
        <v>288.940297</v>
      </c>
      <c r="U1562" s="9">
        <f t="shared" si="5"/>
        <v>0.002227915165</v>
      </c>
      <c r="V1562" s="15">
        <f>IFERROR(__xludf.DUMMYFUNCTION("LET(hist, GOOGLEFINANCE(A1562,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rs))))))"),49.326521133302386)</f>
        <v>49.32652113</v>
      </c>
      <c r="W1562" s="16" t="str">
        <f>IFERROR(__xludf.DUMMYFUNCTION("IFERROR(GOOGLEFINANCE(A1562, ""volume"") / GOOGLEFINANCE(A1562, ""volumeavg""), )"),"")</f>
        <v/>
      </c>
      <c r="X1562" s="9">
        <f>IFERROR(__xludf.DUMMYFUNCTION("B1562 * GOOGLEFINANCE(A1562, ""volume"")"),6316930.8)</f>
        <v>6316930.8</v>
      </c>
      <c r="Y1562" s="9">
        <f>IFERROR(__xludf.DUMMYFUNCTION("IFERROR(((B1562 - GOOGLEFINANCE(A1562, ""priceopen"")) / GOOGLEFINANCE(A1562, ""priceopen"")) * GOOGLEFINANCE(A1562, ""volume""), 0)"),572.9165217391311)</f>
        <v>572.9165217</v>
      </c>
    </row>
    <row r="1563">
      <c r="A1563" s="4" t="s">
        <v>3355</v>
      </c>
      <c r="B1563" s="7">
        <f>IFERROR(__xludf.DUMMYFUNCTION("GOOGLEFINANCE(A1563, ""price"")"),142.0)</f>
        <v>142</v>
      </c>
      <c r="C1563" s="7">
        <f>IFERROR(__xludf.DUMMYFUNCTION("GOOGLEFINANCE(A1563, ""changepct"")"),-3.77)</f>
        <v>-3.77</v>
      </c>
      <c r="D1563" s="9">
        <f>IFERROR(__xludf.DUMMYFUNCTION("GOOGLEFINANCE(A1563, ""priceopen"")"),148.64)</f>
        <v>148.64</v>
      </c>
      <c r="E1563" s="9">
        <f>IFERROR(__xludf.DUMMYFUNCTION("GOOGLEFINANCE(A1563, ""high"")"),149.55)</f>
        <v>149.55</v>
      </c>
      <c r="F1563" s="9">
        <f>IFERROR(__xludf.DUMMYFUNCTION("GOOGLEFINANCE(A1563, ""low"")"),140.0)</f>
        <v>140</v>
      </c>
      <c r="G1563" s="9">
        <f>IFERROR(__xludf.DUMMYFUNCTION("GOOGLEFINANCE(A1563, ""price"")"),142.0)</f>
        <v>142</v>
      </c>
      <c r="H1563" s="9">
        <f>IFERROR(__xludf.DUMMYFUNCTION("MAX(INDEX(GOOGLEFINANCE(A1563, ""high"", TODAY()-30, TODAY()), 0, 2))"),149.55)</f>
        <v>149.55</v>
      </c>
      <c r="I1563" s="9">
        <f>IFERROR(__xludf.DUMMYFUNCTION("MIN(INDEX(GOOGLEFINANCE(A1563, ""low"", TODAY()-30, TODAY()), 0, 2))"),119.24)</f>
        <v>119.24</v>
      </c>
      <c r="J1563" s="9">
        <f>IFERROR(__xludf.DUMMYFUNCTION("GOOGLEFINANCE(A1563, ""high52"")"),237.0)</f>
        <v>237</v>
      </c>
      <c r="K1563" s="9">
        <f>IFERROR(__xludf.DUMMYFUNCTION("GOOGLEFINANCE(A1563, ""low52"")"),114.64)</f>
        <v>114.64</v>
      </c>
      <c r="L1563" s="9">
        <f t="shared" si="1"/>
        <v>0.4008438819</v>
      </c>
      <c r="M1563" s="9">
        <f t="shared" si="2"/>
        <v>0.2386601535</v>
      </c>
      <c r="N1563" s="9">
        <f t="shared" si="3"/>
        <v>0.06821428571</v>
      </c>
      <c r="O1563" s="9">
        <f t="shared" si="4"/>
        <v>0.7509072913</v>
      </c>
      <c r="P1563" s="9">
        <f>IFERROR(__xludf.DUMMYFUNCTION("GOOGLEFINANCE(A1563, ""pe"")"),24.23)</f>
        <v>24.23</v>
      </c>
      <c r="Q1563" s="9">
        <f>IFERROR(__xludf.DUMMYFUNCTION("IFERROR(GOOGLEFINANCE(A1563, ""volume"") / GOOGLEFINANCE(A1563, ""volumeavg""), 0)"),0.0)</f>
        <v>0</v>
      </c>
      <c r="R1563" s="9">
        <f>IFERROR(__xludf.DUMMYFUNCTION("AVERAGE(INDEX(GOOGLEFINANCE(A1563, ""price"", TODAY()-30, TODAY()), 0, 2))"),131.17913043478265)</f>
        <v>131.1791304</v>
      </c>
      <c r="S1563" s="9">
        <f>IFERROR(__xludf.DUMMYFUNCTION("AVERAGE(INDEX(GOOGLEFINANCE(A1563, ""price"", TODAY()-75, TODAY()), 0, 2))"),135.2084905660377)</f>
        <v>135.2084906</v>
      </c>
      <c r="T1563" s="9">
        <f>IFERROR(__xludf.DUMMYFUNCTION("AVERAGE(INDEX(GOOGLEFINANCE(A1563, ""price"", TODAY()-300, TODAY()), 0, 2))"),151.8210396039605)</f>
        <v>151.8210396</v>
      </c>
      <c r="U1563" s="9">
        <f t="shared" si="5"/>
        <v>0.08248926128</v>
      </c>
      <c r="V1563" s="15">
        <f>IFERROR(__xludf.DUMMYFUNCTION("LET(hist, GOOGLEFINANCE(A1563,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rs))))))"),73.75256322624743)</f>
        <v>73.75256323</v>
      </c>
      <c r="W1563" s="16" t="str">
        <f>IFERROR(__xludf.DUMMYFUNCTION("IFERROR(GOOGLEFINANCE(A1563, ""volume"") / GOOGLEFINANCE(A1563, ""volumeavg""), )"),"")</f>
        <v/>
      </c>
      <c r="X1563" s="9">
        <f>IFERROR(__xludf.DUMMYFUNCTION("B1563 * GOOGLEFINANCE(A1563, ""volume"")"),3.6492012E7)</f>
        <v>36492012</v>
      </c>
      <c r="Y1563" s="9">
        <f>IFERROR(__xludf.DUMMYFUNCTION("IFERROR(((B1563 - GOOGLEFINANCE(A1563, ""priceopen"")) / GOOGLEFINANCE(A1563, ""priceopen"")) * GOOGLEFINANCE(A1563, ""volume""), 0)"),-11479.998923573714)</f>
        <v>-11479.99892</v>
      </c>
    </row>
    <row r="1564">
      <c r="A1564" s="4" t="s">
        <v>3356</v>
      </c>
      <c r="B1564" s="7">
        <f>IFERROR(__xludf.DUMMYFUNCTION("GOOGLEFINANCE(A1564, ""price"")"),325.3)</f>
        <v>325.3</v>
      </c>
      <c r="C1564" s="7">
        <f>IFERROR(__xludf.DUMMYFUNCTION("GOOGLEFINANCE(A1564, ""changepct"")"),4.99)</f>
        <v>4.99</v>
      </c>
      <c r="D1564" s="9">
        <f>IFERROR(__xludf.DUMMYFUNCTION("GOOGLEFINANCE(A1564, ""priceopen"")"),314.0)</f>
        <v>314</v>
      </c>
      <c r="E1564" s="9">
        <f>IFERROR(__xludf.DUMMYFUNCTION("GOOGLEFINANCE(A1564, ""high"")"),325.3)</f>
        <v>325.3</v>
      </c>
      <c r="F1564" s="9">
        <f>IFERROR(__xludf.DUMMYFUNCTION("GOOGLEFINANCE(A1564, ""low"")"),314.0)</f>
        <v>314</v>
      </c>
      <c r="G1564" s="9">
        <f>IFERROR(__xludf.DUMMYFUNCTION("GOOGLEFINANCE(A1564, ""price"")"),325.3)</f>
        <v>325.3</v>
      </c>
      <c r="H1564" s="9">
        <f>IFERROR(__xludf.DUMMYFUNCTION("MAX(INDEX(GOOGLEFINANCE(A1564, ""high"", TODAY()-30, TODAY()), 0, 2))"),325.3)</f>
        <v>325.3</v>
      </c>
      <c r="I1564" s="9">
        <f>IFERROR(__xludf.DUMMYFUNCTION("MIN(INDEX(GOOGLEFINANCE(A1564, ""low"", TODAY()-30, TODAY()), 0, 2))"),259.05)</f>
        <v>259.05</v>
      </c>
      <c r="J1564" s="9">
        <f>IFERROR(__xludf.DUMMYFUNCTION("GOOGLEFINANCE(A1564, ""high52"")"),397.0)</f>
        <v>397</v>
      </c>
      <c r="K1564" s="9">
        <f>IFERROR(__xludf.DUMMYFUNCTION("GOOGLEFINANCE(A1564, ""low52"")"),195.0)</f>
        <v>195</v>
      </c>
      <c r="L1564" s="9">
        <f t="shared" si="1"/>
        <v>0.180604534</v>
      </c>
      <c r="M1564" s="9">
        <f t="shared" si="2"/>
        <v>0.6682051282</v>
      </c>
      <c r="N1564" s="9">
        <f t="shared" si="3"/>
        <v>0.03598726115</v>
      </c>
      <c r="O1564" s="9">
        <f t="shared" si="4"/>
        <v>1</v>
      </c>
      <c r="P1564" s="9">
        <f>IFERROR(__xludf.DUMMYFUNCTION("GOOGLEFINANCE(A1564, ""pe"")"),27.43)</f>
        <v>27.43</v>
      </c>
      <c r="Q1564" s="9">
        <f>IFERROR(__xludf.DUMMYFUNCTION("IFERROR(GOOGLEFINANCE(A1564, ""volume"") / GOOGLEFINANCE(A1564, ""volumeavg""), 0)"),0.0)</f>
        <v>0</v>
      </c>
      <c r="R1564" s="9">
        <f>IFERROR(__xludf.DUMMYFUNCTION("AVERAGE(INDEX(GOOGLEFINANCE(A1564, ""price"", TODAY()-30, TODAY()), 0, 2))"),277.4195652173913)</f>
        <v>277.4195652</v>
      </c>
      <c r="S1564" s="9">
        <f>IFERROR(__xludf.DUMMYFUNCTION("AVERAGE(INDEX(GOOGLEFINANCE(A1564, ""price"", TODAY()-75, TODAY()), 0, 2))"),281.0028301886793)</f>
        <v>281.0028302</v>
      </c>
      <c r="T1564" s="9">
        <f>IFERROR(__xludf.DUMMYFUNCTION("AVERAGE(INDEX(GOOGLEFINANCE(A1564, ""price"", TODAY()-300, TODAY()), 0, 2))"),268.7927722772275)</f>
        <v>268.7927723</v>
      </c>
      <c r="U1564" s="9">
        <f t="shared" si="5"/>
        <v>0.172592134</v>
      </c>
      <c r="V1564" s="15">
        <f>IFERROR(__xludf.DUMMYFUNCTION("LET(hist, GOOGLEFINANCE(A1564,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rs))))))"),81.60741885625968)</f>
        <v>81.60741886</v>
      </c>
      <c r="W1564" s="16" t="str">
        <f>IFERROR(__xludf.DUMMYFUNCTION("IFERROR(GOOGLEFINANCE(A1564, ""volume"") / GOOGLEFINANCE(A1564, ""volumeavg""), )"),"")</f>
        <v/>
      </c>
      <c r="X1564" s="9">
        <f>IFERROR(__xludf.DUMMYFUNCTION("B1564 * GOOGLEFINANCE(A1564, ""volume"")"),5.38875715E7)</f>
        <v>53887571.5</v>
      </c>
      <c r="Y1564" s="9">
        <f>IFERROR(__xludf.DUMMYFUNCTION("IFERROR(((B1564 - GOOGLEFINANCE(A1564, ""priceopen"")) / GOOGLEFINANCE(A1564, ""priceopen"")) * GOOGLEFINANCE(A1564, ""volume""), 0)"),5961.469745222936)</f>
        <v>5961.469745</v>
      </c>
    </row>
    <row r="1565">
      <c r="A1565" s="4" t="s">
        <v>3357</v>
      </c>
      <c r="B1565" s="7">
        <f>IFERROR(__xludf.DUMMYFUNCTION("GOOGLEFINANCE(A1565, ""price"")"),505.5)</f>
        <v>505.5</v>
      </c>
      <c r="C1565" s="7">
        <f>IFERROR(__xludf.DUMMYFUNCTION("GOOGLEFINANCE(A1565, ""changepct"")"),-1.29)</f>
        <v>-1.29</v>
      </c>
      <c r="D1565" s="9">
        <f>IFERROR(__xludf.DUMMYFUNCTION("GOOGLEFINANCE(A1565, ""priceopen"")"),514.65)</f>
        <v>514.65</v>
      </c>
      <c r="E1565" s="9">
        <f>IFERROR(__xludf.DUMMYFUNCTION("GOOGLEFINANCE(A1565, ""high"")"),524.2)</f>
        <v>524.2</v>
      </c>
      <c r="F1565" s="9">
        <f>IFERROR(__xludf.DUMMYFUNCTION("GOOGLEFINANCE(A1565, ""low"")"),498.15)</f>
        <v>498.15</v>
      </c>
      <c r="G1565" s="9">
        <f>IFERROR(__xludf.DUMMYFUNCTION("GOOGLEFINANCE(A1565, ""price"")"),505.5)</f>
        <v>505.5</v>
      </c>
      <c r="H1565" s="9">
        <f>IFERROR(__xludf.DUMMYFUNCTION("MAX(INDEX(GOOGLEFINANCE(A1565, ""high"", TODAY()-30, TODAY()), 0, 2))"),551.25)</f>
        <v>551.25</v>
      </c>
      <c r="I1565" s="9">
        <f>IFERROR(__xludf.DUMMYFUNCTION("MIN(INDEX(GOOGLEFINANCE(A1565, ""low"", TODAY()-30, TODAY()), 0, 2))"),471.1)</f>
        <v>471.1</v>
      </c>
      <c r="J1565" s="9">
        <f>IFERROR(__xludf.DUMMYFUNCTION("GOOGLEFINANCE(A1565, ""high52"")"),1006.0)</f>
        <v>1006</v>
      </c>
      <c r="K1565" s="9">
        <f>IFERROR(__xludf.DUMMYFUNCTION("GOOGLEFINANCE(A1565, ""low52"")"),360.0)</f>
        <v>360</v>
      </c>
      <c r="L1565" s="9">
        <f t="shared" si="1"/>
        <v>0.4975149105</v>
      </c>
      <c r="M1565" s="9">
        <f t="shared" si="2"/>
        <v>0.4041666667</v>
      </c>
      <c r="N1565" s="9">
        <f t="shared" si="3"/>
        <v>0.0522934859</v>
      </c>
      <c r="O1565" s="9">
        <f t="shared" si="4"/>
        <v>0.4291952589</v>
      </c>
      <c r="P1565" s="9">
        <f>IFERROR(__xludf.DUMMYFUNCTION("GOOGLEFINANCE(A1565, ""pe"")"),17.35)</f>
        <v>17.35</v>
      </c>
      <c r="Q1565" s="9">
        <f>IFERROR(__xludf.DUMMYFUNCTION("IFERROR(GOOGLEFINANCE(A1565, ""volume"") / GOOGLEFINANCE(A1565, ""volumeavg""), 0)"),0.0)</f>
        <v>0</v>
      </c>
      <c r="R1565" s="9">
        <f>IFERROR(__xludf.DUMMYFUNCTION("AVERAGE(INDEX(GOOGLEFINANCE(A1565, ""price"", TODAY()-30, TODAY()), 0, 2))"),507.1978260869566)</f>
        <v>507.1978261</v>
      </c>
      <c r="S1565" s="9">
        <f>IFERROR(__xludf.DUMMYFUNCTION("AVERAGE(INDEX(GOOGLEFINANCE(A1565, ""price"", TODAY()-75, TODAY()), 0, 2))"),509.51226415094345)</f>
        <v>509.5122642</v>
      </c>
      <c r="T1565" s="9">
        <f>IFERROR(__xludf.DUMMYFUNCTION("AVERAGE(INDEX(GOOGLEFINANCE(A1565, ""price"", TODAY()-300, TODAY()), 0, 2))"),590.1772277227722)</f>
        <v>590.1772277</v>
      </c>
      <c r="U1565" s="9">
        <f t="shared" si="5"/>
        <v>-0.003347463257</v>
      </c>
      <c r="V1565" s="15">
        <f>IFERROR(__xludf.DUMMYFUNCTION("LET(hist, GOOGLEFINANCE(A1565,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rs))))))"),58.90590809628009)</f>
        <v>58.9059081</v>
      </c>
      <c r="W1565" s="16" t="str">
        <f>IFERROR(__xludf.DUMMYFUNCTION("IFERROR(GOOGLEFINANCE(A1565, ""volume"") / GOOGLEFINANCE(A1565, ""volumeavg""), )"),"")</f>
        <v/>
      </c>
      <c r="X1565" s="9">
        <f>IFERROR(__xludf.DUMMYFUNCTION("B1565 * GOOGLEFINANCE(A1565, ""volume"")"),2.29603155E7)</f>
        <v>22960315.5</v>
      </c>
      <c r="Y1565" s="9">
        <f>IFERROR(__xludf.DUMMYFUNCTION("IFERROR(((B1565 - GOOGLEFINANCE(A1565, ""priceopen"")) / GOOGLEFINANCE(A1565, ""priceopen"")) * GOOGLEFINANCE(A1565, ""volume""), 0)"),-807.5432818420267)</f>
        <v>-807.5432818</v>
      </c>
    </row>
    <row r="1566">
      <c r="A1566" s="4" t="s">
        <v>3358</v>
      </c>
      <c r="B1566" s="7">
        <f>IFERROR(__xludf.DUMMYFUNCTION("GOOGLEFINANCE(A1566, ""price"")"),346.5)</f>
        <v>346.5</v>
      </c>
      <c r="C1566" s="7">
        <f>IFERROR(__xludf.DUMMYFUNCTION("GOOGLEFINANCE(A1566, ""changepct"")"),2.47)</f>
        <v>2.47</v>
      </c>
      <c r="D1566" s="9">
        <f>IFERROR(__xludf.DUMMYFUNCTION("GOOGLEFINANCE(A1566, ""priceopen"")"),340.65)</f>
        <v>340.65</v>
      </c>
      <c r="E1566" s="9">
        <f>IFERROR(__xludf.DUMMYFUNCTION("GOOGLEFINANCE(A1566, ""high"")"),349.5)</f>
        <v>349.5</v>
      </c>
      <c r="F1566" s="9">
        <f>IFERROR(__xludf.DUMMYFUNCTION("GOOGLEFINANCE(A1566, ""low"")"),336.0)</f>
        <v>336</v>
      </c>
      <c r="G1566" s="9">
        <f>IFERROR(__xludf.DUMMYFUNCTION("GOOGLEFINANCE(A1566, ""price"")"),346.5)</f>
        <v>346.5</v>
      </c>
      <c r="H1566" s="9">
        <f>IFERROR(__xludf.DUMMYFUNCTION("MAX(INDEX(GOOGLEFINANCE(A1566, ""high"", TODAY()-30, TODAY()), 0, 2))"),361.6)</f>
        <v>361.6</v>
      </c>
      <c r="I1566" s="9">
        <f>IFERROR(__xludf.DUMMYFUNCTION("MIN(INDEX(GOOGLEFINANCE(A1566, ""low"", TODAY()-30, TODAY()), 0, 2))"),276.1)</f>
        <v>276.1</v>
      </c>
      <c r="J1566" s="9">
        <f>IFERROR(__xludf.DUMMYFUNCTION("GOOGLEFINANCE(A1566, ""high52"")"),361.6)</f>
        <v>361.6</v>
      </c>
      <c r="K1566" s="9">
        <f>IFERROR(__xludf.DUMMYFUNCTION("GOOGLEFINANCE(A1566, ""low52"")"),185.2)</f>
        <v>185.2</v>
      </c>
      <c r="L1566" s="9">
        <f t="shared" si="1"/>
        <v>0.04175884956</v>
      </c>
      <c r="M1566" s="9">
        <f t="shared" si="2"/>
        <v>0.870950324</v>
      </c>
      <c r="N1566" s="9">
        <f t="shared" si="3"/>
        <v>0.04017857143</v>
      </c>
      <c r="O1566" s="9">
        <f t="shared" si="4"/>
        <v>0.8233918129</v>
      </c>
      <c r="P1566" s="9">
        <f>IFERROR(__xludf.DUMMYFUNCTION("GOOGLEFINANCE(A1566, ""pe"")"),28.38)</f>
        <v>28.38</v>
      </c>
      <c r="Q1566" s="9">
        <f>IFERROR(__xludf.DUMMYFUNCTION("IFERROR(GOOGLEFINANCE(A1566, ""volume"") / GOOGLEFINANCE(A1566, ""volumeavg""), 0)"),0.0)</f>
        <v>0</v>
      </c>
      <c r="R1566" s="9">
        <f>IFERROR(__xludf.DUMMYFUNCTION("AVERAGE(INDEX(GOOGLEFINANCE(A1566, ""price"", TODAY()-30, TODAY()), 0, 2))"),298.2173913043478)</f>
        <v>298.2173913</v>
      </c>
      <c r="S1566" s="9">
        <f>IFERROR(__xludf.DUMMYFUNCTION("AVERAGE(INDEX(GOOGLEFINANCE(A1566, ""price"", TODAY()-75, TODAY()), 0, 2))"),283.00716981132075)</f>
        <v>283.0071698</v>
      </c>
      <c r="T1566" s="9">
        <f>IFERROR(__xludf.DUMMYFUNCTION("AVERAGE(INDEX(GOOGLEFINANCE(A1566, ""price"", TODAY()-300, TODAY()), 0, 2))"),261.0016336633665)</f>
        <v>261.0016337</v>
      </c>
      <c r="U1566" s="9">
        <f t="shared" si="5"/>
        <v>0.1619040676</v>
      </c>
      <c r="V1566" s="15">
        <f>IFERROR(__xludf.DUMMYFUNCTION("LET(hist, GOOGLEFINANCE(A1566,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rs))))))"),80.26721479958886)</f>
        <v>80.2672148</v>
      </c>
      <c r="W1566" s="16" t="str">
        <f>IFERROR(__xludf.DUMMYFUNCTION("IFERROR(GOOGLEFINANCE(A1566, ""volume"") / GOOGLEFINANCE(A1566, ""volumeavg""), )"),"")</f>
        <v/>
      </c>
      <c r="X1566" s="9">
        <f>IFERROR(__xludf.DUMMYFUNCTION("B1566 * GOOGLEFINANCE(A1566, ""volume"")"),1.687455E7)</f>
        <v>16874550</v>
      </c>
      <c r="Y1566" s="9">
        <f>IFERROR(__xludf.DUMMYFUNCTION("IFERROR(((B1566 - GOOGLEFINANCE(A1566, ""priceopen"")) / GOOGLEFINANCE(A1566, ""priceopen"")) * GOOGLEFINANCE(A1566, ""volume""), 0)"),836.3276089828302)</f>
        <v>836.327609</v>
      </c>
    </row>
    <row r="1567">
      <c r="A1567" s="4" t="s">
        <v>3359</v>
      </c>
      <c r="B1567" s="7">
        <f>IFERROR(__xludf.DUMMYFUNCTION("GOOGLEFINANCE(A1567, ""price"")"),1082.0)</f>
        <v>1082</v>
      </c>
      <c r="C1567" s="7">
        <f>IFERROR(__xludf.DUMMYFUNCTION("GOOGLEFINANCE(A1567, ""changepct"")"),-0.3)</f>
        <v>-0.3</v>
      </c>
      <c r="D1567" s="9">
        <f>IFERROR(__xludf.DUMMYFUNCTION("GOOGLEFINANCE(A1567, ""priceopen"")"),1109.4)</f>
        <v>1109.4</v>
      </c>
      <c r="E1567" s="9">
        <f>IFERROR(__xludf.DUMMYFUNCTION("GOOGLEFINANCE(A1567, ""high"")"),1109.4)</f>
        <v>1109.4</v>
      </c>
      <c r="F1567" s="9">
        <f>IFERROR(__xludf.DUMMYFUNCTION("GOOGLEFINANCE(A1567, ""low"")"),1065.1)</f>
        <v>1065.1</v>
      </c>
      <c r="G1567" s="9">
        <f>IFERROR(__xludf.DUMMYFUNCTION("GOOGLEFINANCE(A1567, ""price"")"),1082.0)</f>
        <v>1082</v>
      </c>
      <c r="H1567" s="9">
        <f>IFERROR(__xludf.DUMMYFUNCTION("MAX(INDEX(GOOGLEFINANCE(A1567, ""high"", TODAY()-30, TODAY()), 0, 2))"),1270.0)</f>
        <v>1270</v>
      </c>
      <c r="I1567" s="9">
        <f>IFERROR(__xludf.DUMMYFUNCTION("MIN(INDEX(GOOGLEFINANCE(A1567, ""low"", TODAY()-30, TODAY()), 0, 2))"),949.0)</f>
        <v>949</v>
      </c>
      <c r="J1567" s="9">
        <f>IFERROR(__xludf.DUMMYFUNCTION("GOOGLEFINANCE(A1567, ""high52"")"),1438.5)</f>
        <v>1438.5</v>
      </c>
      <c r="K1567" s="9">
        <f>IFERROR(__xludf.DUMMYFUNCTION("GOOGLEFINANCE(A1567, ""low52"")"),811.0)</f>
        <v>811</v>
      </c>
      <c r="L1567" s="9">
        <f t="shared" si="1"/>
        <v>0.2478275982</v>
      </c>
      <c r="M1567" s="9">
        <f t="shared" si="2"/>
        <v>0.3341553637</v>
      </c>
      <c r="N1567" s="9">
        <f t="shared" si="3"/>
        <v>0.04159233875</v>
      </c>
      <c r="O1567" s="9">
        <f t="shared" si="4"/>
        <v>0.4143302181</v>
      </c>
      <c r="P1567" s="9">
        <f>IFERROR(__xludf.DUMMYFUNCTION("GOOGLEFINANCE(A1567, ""pe"")"),7.63)</f>
        <v>7.63</v>
      </c>
      <c r="Q1567" s="9">
        <f>IFERROR(__xludf.DUMMYFUNCTION("IFERROR(GOOGLEFINANCE(A1567, ""volume"") / GOOGLEFINANCE(A1567, ""volumeavg""), 0)"),0.0)</f>
        <v>0</v>
      </c>
      <c r="R1567" s="9">
        <f>IFERROR(__xludf.DUMMYFUNCTION("AVERAGE(INDEX(GOOGLEFINANCE(A1567, ""price"", TODAY()-30, TODAY()), 0, 2))"),1009.5869565217391)</f>
        <v>1009.586957</v>
      </c>
      <c r="S1567" s="9">
        <f>IFERROR(__xludf.DUMMYFUNCTION("AVERAGE(INDEX(GOOGLEFINANCE(A1567, ""price"", TODAY()-75, TODAY()), 0, 2))"),986.938679245283)</f>
        <v>986.9386792</v>
      </c>
      <c r="T1567" s="9">
        <f>IFERROR(__xludf.DUMMYFUNCTION("AVERAGE(INDEX(GOOGLEFINANCE(A1567, ""price"", TODAY()-300, TODAY()), 0, 2))"),1029.7571782178213)</f>
        <v>1029.757178</v>
      </c>
      <c r="U1567" s="9">
        <f t="shared" si="5"/>
        <v>0.07172541504</v>
      </c>
      <c r="V1567" s="15">
        <f>IFERROR(__xludf.DUMMYFUNCTION("LET(hist, GOOGLEFINANCE(A1567,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rs))))))"),65.12922465208747)</f>
        <v>65.12922465</v>
      </c>
      <c r="W1567" s="16" t="str">
        <f>IFERROR(__xludf.DUMMYFUNCTION("IFERROR(GOOGLEFINANCE(A1567, ""volume"") / GOOGLEFINANCE(A1567, ""volumeavg""), )"),"")</f>
        <v/>
      </c>
      <c r="X1567" s="9">
        <f>IFERROR(__xludf.DUMMYFUNCTION("B1567 * GOOGLEFINANCE(A1567, ""volume"")"),2592472.0)</f>
        <v>2592472</v>
      </c>
      <c r="Y1567" s="9">
        <f>IFERROR(__xludf.DUMMYFUNCTION("IFERROR(((B1567 - GOOGLEFINANCE(A1567, ""priceopen"")) / GOOGLEFINANCE(A1567, ""priceopen"")) * GOOGLEFINANCE(A1567, ""volume""), 0)"),-59.176491797368136)</f>
        <v>-59.1764918</v>
      </c>
    </row>
    <row r="1568">
      <c r="A1568" s="4" t="s">
        <v>3360</v>
      </c>
      <c r="B1568" s="7">
        <f>IFERROR(__xludf.DUMMYFUNCTION("GOOGLEFINANCE(A1568, ""price"")"),31.25)</f>
        <v>31.25</v>
      </c>
      <c r="C1568" s="7">
        <f>IFERROR(__xludf.DUMMYFUNCTION("GOOGLEFINANCE(A1568, ""changepct"")"),-2.44)</f>
        <v>-2.44</v>
      </c>
      <c r="D1568" s="9">
        <f>IFERROR(__xludf.DUMMYFUNCTION("GOOGLEFINANCE(A1568, ""priceopen"")"),32.4)</f>
        <v>32.4</v>
      </c>
      <c r="E1568" s="9">
        <f>IFERROR(__xludf.DUMMYFUNCTION("GOOGLEFINANCE(A1568, ""high"")"),32.45)</f>
        <v>32.45</v>
      </c>
      <c r="F1568" s="9">
        <f>IFERROR(__xludf.DUMMYFUNCTION("GOOGLEFINANCE(A1568, ""low"")"),29.53)</f>
        <v>29.53</v>
      </c>
      <c r="G1568" s="9">
        <f>IFERROR(__xludf.DUMMYFUNCTION("GOOGLEFINANCE(A1568, ""price"")"),31.25)</f>
        <v>31.25</v>
      </c>
      <c r="H1568" s="9">
        <f>IFERROR(__xludf.DUMMYFUNCTION("MAX(INDEX(GOOGLEFINANCE(A1568, ""high"", TODAY()-30, TODAY()), 0, 2))"),37.0)</f>
        <v>37</v>
      </c>
      <c r="I1568" s="9">
        <f>IFERROR(__xludf.DUMMYFUNCTION("MIN(INDEX(GOOGLEFINANCE(A1568, ""low"", TODAY()-30, TODAY()), 0, 2))"),29.53)</f>
        <v>29.53</v>
      </c>
      <c r="J1568" s="9">
        <f>IFERROR(__xludf.DUMMYFUNCTION("GOOGLEFINANCE(A1568, ""high52"")"),74.59)</f>
        <v>74.59</v>
      </c>
      <c r="K1568" s="9">
        <f>IFERROR(__xludf.DUMMYFUNCTION("GOOGLEFINANCE(A1568, ""low52"")"),26.75)</f>
        <v>26.75</v>
      </c>
      <c r="L1568" s="9">
        <f t="shared" si="1"/>
        <v>0.5810430353</v>
      </c>
      <c r="M1568" s="9">
        <f t="shared" si="2"/>
        <v>0.1682242991</v>
      </c>
      <c r="N1568" s="9">
        <f t="shared" si="3"/>
        <v>0.09888249238</v>
      </c>
      <c r="O1568" s="9">
        <f t="shared" si="4"/>
        <v>0.2302543507</v>
      </c>
      <c r="P1568" s="9">
        <f>IFERROR(__xludf.DUMMYFUNCTION("GOOGLEFINANCE(A1568, ""pe"")"),14.51)</f>
        <v>14.51</v>
      </c>
      <c r="Q1568" s="9">
        <f>IFERROR(__xludf.DUMMYFUNCTION("IFERROR(GOOGLEFINANCE(A1568, ""volume"") / GOOGLEFINANCE(A1568, ""volumeavg""), 0)"),0.0)</f>
        <v>0</v>
      </c>
      <c r="R1568" s="9">
        <f>IFERROR(__xludf.DUMMYFUNCTION("AVERAGE(INDEX(GOOGLEFINANCE(A1568, ""price"", TODAY()-30, TODAY()), 0, 2))"),32.769999999999996)</f>
        <v>32.77</v>
      </c>
      <c r="S1568" s="9">
        <f>IFERROR(__xludf.DUMMYFUNCTION("AVERAGE(INDEX(GOOGLEFINANCE(A1568, ""price"", TODAY()-75, TODAY()), 0, 2))"),33.34509433962265)</f>
        <v>33.34509434</v>
      </c>
      <c r="T1568" s="9">
        <f>IFERROR(__xludf.DUMMYFUNCTION("AVERAGE(INDEX(GOOGLEFINANCE(A1568, ""price"", TODAY()-300, TODAY()), 0, 2))"),41.07940594059406)</f>
        <v>41.07940594</v>
      </c>
      <c r="U1568" s="9">
        <f t="shared" si="5"/>
        <v>-0.0463838877</v>
      </c>
      <c r="V1568" s="15">
        <f>IFERROR(__xludf.DUMMYFUNCTION("LET(hist, GOOGLEFINANCE(A1568,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rs))))))"),45.190156599552594)</f>
        <v>45.1901566</v>
      </c>
      <c r="W1568" s="16" t="str">
        <f>IFERROR(__xludf.DUMMYFUNCTION("IFERROR(GOOGLEFINANCE(A1568, ""volume"") / GOOGLEFINANCE(A1568, ""volumeavg""), )"),"")</f>
        <v/>
      </c>
      <c r="X1568" s="9">
        <f>IFERROR(__xludf.DUMMYFUNCTION("B1568 * GOOGLEFINANCE(A1568, ""volume"")"),4.2199E7)</f>
        <v>42199000</v>
      </c>
      <c r="Y1568" s="9">
        <f>IFERROR(__xludf.DUMMYFUNCTION("IFERROR(((B1568 - GOOGLEFINANCE(A1568, ""priceopen"")) / GOOGLEFINANCE(A1568, ""priceopen"")) * GOOGLEFINANCE(A1568, ""volume""), 0)"),-47929.72839506167)</f>
        <v>-47929.7284</v>
      </c>
    </row>
    <row r="1569">
      <c r="A1569" s="4" t="s">
        <v>3361</v>
      </c>
      <c r="B1569" s="7">
        <f>IFERROR(__xludf.DUMMYFUNCTION("GOOGLEFINANCE(A1569, ""price"")"),1170.0)</f>
        <v>1170</v>
      </c>
      <c r="C1569" s="7">
        <f>IFERROR(__xludf.DUMMYFUNCTION("GOOGLEFINANCE(A1569, ""changepct"")"),-2.12)</f>
        <v>-2.12</v>
      </c>
      <c r="D1569" s="9">
        <f>IFERROR(__xludf.DUMMYFUNCTION("GOOGLEFINANCE(A1569, ""priceopen"")"),1175.0)</f>
        <v>1175</v>
      </c>
      <c r="E1569" s="9">
        <f>IFERROR(__xludf.DUMMYFUNCTION("GOOGLEFINANCE(A1569, ""high"")"),1190.0)</f>
        <v>1190</v>
      </c>
      <c r="F1569" s="9">
        <f>IFERROR(__xludf.DUMMYFUNCTION("GOOGLEFINANCE(A1569, ""low"")"),1135.7)</f>
        <v>1135.7</v>
      </c>
      <c r="G1569" s="9">
        <f>IFERROR(__xludf.DUMMYFUNCTION("GOOGLEFINANCE(A1569, ""price"")"),1170.0)</f>
        <v>1170</v>
      </c>
      <c r="H1569" s="9">
        <f>IFERROR(__xludf.DUMMYFUNCTION("MAX(INDEX(GOOGLEFINANCE(A1569, ""high"", TODAY()-30, TODAY()), 0, 2))"),1447.9)</f>
        <v>1447.9</v>
      </c>
      <c r="I1569" s="9">
        <f>IFERROR(__xludf.DUMMYFUNCTION("MIN(INDEX(GOOGLEFINANCE(A1569, ""low"", TODAY()-30, TODAY()), 0, 2))"),952.3)</f>
        <v>952.3</v>
      </c>
      <c r="J1569" s="9">
        <f>IFERROR(__xludf.DUMMYFUNCTION("GOOGLEFINANCE(A1569, ""high52"")"),1447.9)</f>
        <v>1447.9</v>
      </c>
      <c r="K1569" s="9">
        <f>IFERROR(__xludf.DUMMYFUNCTION("GOOGLEFINANCE(A1569, ""low52"")"),952.3)</f>
        <v>952.3</v>
      </c>
      <c r="L1569" s="9">
        <f t="shared" si="1"/>
        <v>0.1919331446</v>
      </c>
      <c r="M1569" s="9">
        <f t="shared" si="2"/>
        <v>0.2286044314</v>
      </c>
      <c r="N1569" s="9">
        <f t="shared" si="3"/>
        <v>0.04781192216</v>
      </c>
      <c r="O1569" s="9">
        <f t="shared" si="4"/>
        <v>0.4392655367</v>
      </c>
      <c r="P1569" s="9">
        <f>IFERROR(__xludf.DUMMYFUNCTION("GOOGLEFINANCE(A1569, ""pe"")"),16.76)</f>
        <v>16.76</v>
      </c>
      <c r="Q1569" s="9">
        <f>IFERROR(__xludf.DUMMYFUNCTION("IFERROR(GOOGLEFINANCE(A1569, ""volume"") / GOOGLEFINANCE(A1569, ""volumeavg""), 0)"),0.0)</f>
        <v>0</v>
      </c>
      <c r="R1569" s="9">
        <f>IFERROR(__xludf.DUMMYFUNCTION("AVERAGE(INDEX(GOOGLEFINANCE(A1569, ""price"", TODAY()-30, TODAY()), 0, 2))"),1133.6543478260871)</f>
        <v>1133.654348</v>
      </c>
      <c r="S1569" s="9">
        <f>IFERROR(__xludf.DUMMYFUNCTION("AVERAGE(INDEX(GOOGLEFINANCE(A1569, ""price"", TODAY()-75, TODAY()), 0, 2))"),1057.8084905660378)</f>
        <v>1057.808491</v>
      </c>
      <c r="T1569" s="9">
        <f>IFERROR(__xludf.DUMMYFUNCTION("AVERAGE(INDEX(GOOGLEFINANCE(A1569, ""price"", TODAY()-300, TODAY()), 0, 2))"),1100.8641249999994)</f>
        <v>1100.864125</v>
      </c>
      <c r="U1569" s="9">
        <f t="shared" si="5"/>
        <v>0.03206061199</v>
      </c>
      <c r="V1569" s="15">
        <f>IFERROR(__xludf.DUMMYFUNCTION("LET(hist, GOOGLEFINANCE(A1569,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rs))))))"),57.40160441213337)</f>
        <v>57.40160441</v>
      </c>
      <c r="W1569" s="16" t="str">
        <f>IFERROR(__xludf.DUMMYFUNCTION("IFERROR(GOOGLEFINANCE(A1569, ""volume"") / GOOGLEFINANCE(A1569, ""volumeavg""), )"),"")</f>
        <v/>
      </c>
      <c r="X1569" s="9">
        <f>IFERROR(__xludf.DUMMYFUNCTION("B1569 * GOOGLEFINANCE(A1569, ""volume"")"),6898320.0)</f>
        <v>6898320</v>
      </c>
      <c r="Y1569" s="9">
        <f>IFERROR(__xludf.DUMMYFUNCTION("IFERROR(((B1569 - GOOGLEFINANCE(A1569, ""priceopen"")) / GOOGLEFINANCE(A1569, ""priceopen"")) * GOOGLEFINANCE(A1569, ""volume""), 0)"),-25.08936170212766)</f>
        <v>-25.0893617</v>
      </c>
    </row>
    <row r="1570">
      <c r="A1570" s="4" t="s">
        <v>3362</v>
      </c>
      <c r="B1570" s="7">
        <f>IFERROR(__xludf.DUMMYFUNCTION("GOOGLEFINANCE(A1570, ""price"")"),99.1)</f>
        <v>99.1</v>
      </c>
      <c r="C1570" s="7">
        <f>IFERROR(__xludf.DUMMYFUNCTION("GOOGLEFINANCE(A1570, ""changepct"")"),-1.11)</f>
        <v>-1.11</v>
      </c>
      <c r="D1570" s="9">
        <f>IFERROR(__xludf.DUMMYFUNCTION("GOOGLEFINANCE(A1570, ""priceopen"")"),100.22)</f>
        <v>100.22</v>
      </c>
      <c r="E1570" s="9">
        <f>IFERROR(__xludf.DUMMYFUNCTION("GOOGLEFINANCE(A1570, ""high"")"),102.0)</f>
        <v>102</v>
      </c>
      <c r="F1570" s="9">
        <f>IFERROR(__xludf.DUMMYFUNCTION("GOOGLEFINANCE(A1570, ""low"")"),98.16)</f>
        <v>98.16</v>
      </c>
      <c r="G1570" s="9">
        <f>IFERROR(__xludf.DUMMYFUNCTION("GOOGLEFINANCE(A1570, ""price"")"),99.1)</f>
        <v>99.1</v>
      </c>
      <c r="H1570" s="9">
        <f>IFERROR(__xludf.DUMMYFUNCTION("MAX(INDEX(GOOGLEFINANCE(A1570, ""high"", TODAY()-30, TODAY()), 0, 2))"),104.41)</f>
        <v>104.41</v>
      </c>
      <c r="I1570" s="9">
        <f>IFERROR(__xludf.DUMMYFUNCTION("MIN(INDEX(GOOGLEFINANCE(A1570, ""low"", TODAY()-30, TODAY()), 0, 2))"),79.01)</f>
        <v>79.01</v>
      </c>
      <c r="J1570" s="9">
        <f>IFERROR(__xludf.DUMMYFUNCTION("GOOGLEFINANCE(A1570, ""high52"")"),104.41)</f>
        <v>104.41</v>
      </c>
      <c r="K1570" s="9">
        <f>IFERROR(__xludf.DUMMYFUNCTION("GOOGLEFINANCE(A1570, ""low52"")"),50.2)</f>
        <v>50.2</v>
      </c>
      <c r="L1570" s="9">
        <f t="shared" si="1"/>
        <v>0.05085719759</v>
      </c>
      <c r="M1570" s="9">
        <f t="shared" si="2"/>
        <v>0.9741035857</v>
      </c>
      <c r="N1570" s="9">
        <f t="shared" si="3"/>
        <v>0.0391198044</v>
      </c>
      <c r="O1570" s="9">
        <f t="shared" si="4"/>
        <v>0.7909448819</v>
      </c>
      <c r="P1570" s="9">
        <f>IFERROR(__xludf.DUMMYFUNCTION("GOOGLEFINANCE(A1570, ""pe"")"),9.97)</f>
        <v>9.97</v>
      </c>
      <c r="Q1570" s="9">
        <f>IFERROR(__xludf.DUMMYFUNCTION("IFERROR(GOOGLEFINANCE(A1570, ""volume"") / GOOGLEFINANCE(A1570, ""volumeavg""), 0)"),0.0)</f>
        <v>0</v>
      </c>
      <c r="R1570" s="9">
        <f>IFERROR(__xludf.DUMMYFUNCTION("AVERAGE(INDEX(GOOGLEFINANCE(A1570, ""price"", TODAY()-30, TODAY()), 0, 2))"),86.17521739130434)</f>
        <v>86.17521739</v>
      </c>
      <c r="S1570" s="9">
        <f>IFERROR(__xludf.DUMMYFUNCTION("AVERAGE(INDEX(GOOGLEFINANCE(A1570, ""price"", TODAY()-75, TODAY()), 0, 2))"),80.62962264150941)</f>
        <v>80.62962264</v>
      </c>
      <c r="T1570" s="9">
        <f>IFERROR(__xludf.DUMMYFUNCTION("AVERAGE(INDEX(GOOGLEFINANCE(A1570, ""price"", TODAY()-300, TODAY()), 0, 2))"),70.9289603960396)</f>
        <v>70.9289604</v>
      </c>
      <c r="U1570" s="9">
        <f t="shared" si="5"/>
        <v>0.1499825936</v>
      </c>
      <c r="V1570" s="15">
        <f>IFERROR(__xludf.DUMMYFUNCTION("LET(hist, GOOGLEFINANCE(A1570,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rs))))))"),77.5103980986334)</f>
        <v>77.5103981</v>
      </c>
      <c r="W1570" s="16" t="str">
        <f>IFERROR(__xludf.DUMMYFUNCTION("IFERROR(GOOGLEFINANCE(A1570, ""volume"") / GOOGLEFINANCE(A1570, ""volumeavg""), )"),"")</f>
        <v/>
      </c>
      <c r="X1570" s="9">
        <f>IFERROR(__xludf.DUMMYFUNCTION("B1570 * GOOGLEFINANCE(A1570, ""volume"")"),4.9428305199999996E7)</f>
        <v>49428305.2</v>
      </c>
      <c r="Y1570" s="9">
        <f>IFERROR(__xludf.DUMMYFUNCTION("IFERROR(((B1570 - GOOGLEFINANCE(A1570, ""priceopen"")) / GOOGLEFINANCE(A1570, ""priceopen"")) * GOOGLEFINANCE(A1570, ""volume""), 0)"),-5573.983636000821)</f>
        <v>-5573.983636</v>
      </c>
    </row>
    <row r="1571">
      <c r="A1571" s="4" t="s">
        <v>3363</v>
      </c>
      <c r="B1571" s="7">
        <f>IFERROR(__xludf.DUMMYFUNCTION("GOOGLEFINANCE(A1571, ""price"")"),348.5)</f>
        <v>348.5</v>
      </c>
      <c r="C1571" s="7">
        <f>IFERROR(__xludf.DUMMYFUNCTION("GOOGLEFINANCE(A1571, ""changepct"")"),-1.55)</f>
        <v>-1.55</v>
      </c>
      <c r="D1571" s="9">
        <f>IFERROR(__xludf.DUMMYFUNCTION("GOOGLEFINANCE(A1571, ""priceopen"")"),347.0)</f>
        <v>347</v>
      </c>
      <c r="E1571" s="9">
        <f>IFERROR(__xludf.DUMMYFUNCTION("GOOGLEFINANCE(A1571, ""high"")"),348.5)</f>
        <v>348.5</v>
      </c>
      <c r="F1571" s="9">
        <f>IFERROR(__xludf.DUMMYFUNCTION("GOOGLEFINANCE(A1571, ""low"")"),347.0)</f>
        <v>347</v>
      </c>
      <c r="G1571" s="9">
        <f>IFERROR(__xludf.DUMMYFUNCTION("GOOGLEFINANCE(A1571, ""price"")"),348.5)</f>
        <v>348.5</v>
      </c>
      <c r="H1571" s="9">
        <f>IFERROR(__xludf.DUMMYFUNCTION("MAX(INDEX(GOOGLEFINANCE(A1571, ""high"", TODAY()-30, TODAY()), 0, 2))"),358.25)</f>
        <v>358.25</v>
      </c>
      <c r="I1571" s="9">
        <f>IFERROR(__xludf.DUMMYFUNCTION("MIN(INDEX(GOOGLEFINANCE(A1571, ""low"", TODAY()-30, TODAY()), 0, 2))"),311.0)</f>
        <v>311</v>
      </c>
      <c r="J1571" s="9">
        <f>IFERROR(__xludf.DUMMYFUNCTION("GOOGLEFINANCE(A1571, ""high52"")"),358.25)</f>
        <v>358.25</v>
      </c>
      <c r="K1571" s="9">
        <f>IFERROR(__xludf.DUMMYFUNCTION("GOOGLEFINANCE(A1571, ""low52"")"),138.96)</f>
        <v>138.96</v>
      </c>
      <c r="L1571" s="9">
        <f t="shared" si="1"/>
        <v>0.02721563154</v>
      </c>
      <c r="M1571" s="9">
        <f t="shared" si="2"/>
        <v>1.507915947</v>
      </c>
      <c r="N1571" s="9">
        <f t="shared" si="3"/>
        <v>0.004322766571</v>
      </c>
      <c r="O1571" s="9">
        <f t="shared" si="4"/>
        <v>0.7936507937</v>
      </c>
      <c r="P1571" s="9">
        <f>IFERROR(__xludf.DUMMYFUNCTION("GOOGLEFINANCE(A1571, ""pe"")"),178.72)</f>
        <v>178.72</v>
      </c>
      <c r="Q1571" s="9">
        <f>IFERROR(__xludf.DUMMYFUNCTION("IFERROR(GOOGLEFINANCE(A1571, ""volume"") / GOOGLEFINANCE(A1571, ""volumeavg""), 0)"),0.0)</f>
        <v>0</v>
      </c>
      <c r="R1571" s="9">
        <f>IFERROR(__xludf.DUMMYFUNCTION("AVERAGE(INDEX(GOOGLEFINANCE(A1571, ""price"", TODAY()-30, TODAY()), 0, 2))"),336.57826086956527)</f>
        <v>336.5782609</v>
      </c>
      <c r="S1571" s="9">
        <f>IFERROR(__xludf.DUMMYFUNCTION("AVERAGE(INDEX(GOOGLEFINANCE(A1571, ""price"", TODAY()-75, TODAY()), 0, 2))"),305.11735849056606)</f>
        <v>305.1173585</v>
      </c>
      <c r="T1571" s="9">
        <f>IFERROR(__xludf.DUMMYFUNCTION("AVERAGE(INDEX(GOOGLEFINANCE(A1571, ""price"", TODAY()-300, TODAY()), 0, 2))"),225.5223267326732)</f>
        <v>225.5223267</v>
      </c>
      <c r="U1571" s="9">
        <f t="shared" si="5"/>
        <v>0.03542040743</v>
      </c>
      <c r="V1571" s="15">
        <f>IFERROR(__xludf.DUMMYFUNCTION("LET(hist, GOOGLEFINANCE(A1571,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rs))))))"),58.21596244131454)</f>
        <v>58.21596244</v>
      </c>
      <c r="W1571" s="16" t="str">
        <f>IFERROR(__xludf.DUMMYFUNCTION("IFERROR(GOOGLEFINANCE(A1571, ""volume"") / GOOGLEFINANCE(A1571, ""volumeavg""), )"),"")</f>
        <v/>
      </c>
      <c r="X1571" s="9">
        <f>IFERROR(__xludf.DUMMYFUNCTION("B1571 * GOOGLEFINANCE(A1571, ""volume"")"),4749706.5)</f>
        <v>4749706.5</v>
      </c>
      <c r="Y1571" s="9">
        <f>IFERROR(__xludf.DUMMYFUNCTION("IFERROR(((B1571 - GOOGLEFINANCE(A1571, ""priceopen"")) / GOOGLEFINANCE(A1571, ""priceopen"")) * GOOGLEFINANCE(A1571, ""volume""), 0)"),58.9149855907781)</f>
        <v>58.91498559</v>
      </c>
    </row>
    <row r="1572">
      <c r="A1572" s="4" t="s">
        <v>3364</v>
      </c>
      <c r="B1572" s="7">
        <f>IFERROR(__xludf.DUMMYFUNCTION("GOOGLEFINANCE(A1572, ""price"")"),67.4)</f>
        <v>67.4</v>
      </c>
      <c r="C1572" s="7">
        <f>IFERROR(__xludf.DUMMYFUNCTION("GOOGLEFINANCE(A1572, ""changepct"")"),-1.52)</f>
        <v>-1.52</v>
      </c>
      <c r="D1572" s="9">
        <f>IFERROR(__xludf.DUMMYFUNCTION("GOOGLEFINANCE(A1572, ""priceopen"")"),68.99)</f>
        <v>68.99</v>
      </c>
      <c r="E1572" s="9">
        <f>IFERROR(__xludf.DUMMYFUNCTION("GOOGLEFINANCE(A1572, ""high"")"),68.99)</f>
        <v>68.99</v>
      </c>
      <c r="F1572" s="9">
        <f>IFERROR(__xludf.DUMMYFUNCTION("GOOGLEFINANCE(A1572, ""low"")"),66.7)</f>
        <v>66.7</v>
      </c>
      <c r="G1572" s="9">
        <f>IFERROR(__xludf.DUMMYFUNCTION("GOOGLEFINANCE(A1572, ""price"")"),67.4)</f>
        <v>67.4</v>
      </c>
      <c r="H1572" s="9">
        <f>IFERROR(__xludf.DUMMYFUNCTION("MAX(INDEX(GOOGLEFINANCE(A1572, ""high"", TODAY()-30, TODAY()), 0, 2))"),69.49)</f>
        <v>69.49</v>
      </c>
      <c r="I1572" s="9">
        <f>IFERROR(__xludf.DUMMYFUNCTION("MIN(INDEX(GOOGLEFINANCE(A1572, ""low"", TODAY()-30, TODAY()), 0, 2))"),62.7)</f>
        <v>62.7</v>
      </c>
      <c r="J1572" s="9">
        <f>IFERROR(__xludf.DUMMYFUNCTION("GOOGLEFINANCE(A1572, ""high52"")"),103.0)</f>
        <v>103</v>
      </c>
      <c r="K1572" s="9">
        <f>IFERROR(__xludf.DUMMYFUNCTION("GOOGLEFINANCE(A1572, ""low52"")"),47.5)</f>
        <v>47.5</v>
      </c>
      <c r="L1572" s="9">
        <f t="shared" si="1"/>
        <v>0.345631068</v>
      </c>
      <c r="M1572" s="9">
        <f t="shared" si="2"/>
        <v>0.4189473684</v>
      </c>
      <c r="N1572" s="9">
        <f t="shared" si="3"/>
        <v>0.03433283358</v>
      </c>
      <c r="O1572" s="9">
        <f t="shared" si="4"/>
        <v>0.6921944035</v>
      </c>
      <c r="P1572" s="9">
        <f>IFERROR(__xludf.DUMMYFUNCTION("GOOGLEFINANCE(A1572, ""pe"")"),12.62)</f>
        <v>12.62</v>
      </c>
      <c r="Q1572" s="9">
        <f>IFERROR(__xludf.DUMMYFUNCTION("IFERROR(GOOGLEFINANCE(A1572, ""volume"") / GOOGLEFINANCE(A1572, ""volumeavg""), 0)"),0.0)</f>
        <v>0</v>
      </c>
      <c r="R1572" s="9">
        <f>IFERROR(__xludf.DUMMYFUNCTION("AVERAGE(INDEX(GOOGLEFINANCE(A1572, ""price"", TODAY()-30, TODAY()), 0, 2))"),66.15478260869565)</f>
        <v>66.15478261</v>
      </c>
      <c r="S1572" s="9">
        <f>IFERROR(__xludf.DUMMYFUNCTION("AVERAGE(INDEX(GOOGLEFINANCE(A1572, ""price"", TODAY()-75, TODAY()), 0, 2))"),64.78377358490566)</f>
        <v>64.78377358</v>
      </c>
      <c r="T1572" s="9">
        <f>IFERROR(__xludf.DUMMYFUNCTION("AVERAGE(INDEX(GOOGLEFINANCE(A1572, ""price"", TODAY()-300, TODAY()), 0, 2))"),70.9606435643564)</f>
        <v>70.96064356</v>
      </c>
      <c r="U1572" s="9">
        <f t="shared" si="5"/>
        <v>0.01882278714</v>
      </c>
      <c r="V1572" s="15">
        <f>IFERROR(__xludf.DUMMYFUNCTION("LET(hist, GOOGLEFINANCE(A1572,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rs))))))"),65.28046421663441)</f>
        <v>65.28046422</v>
      </c>
      <c r="W1572" s="16" t="str">
        <f>IFERROR(__xludf.DUMMYFUNCTION("IFERROR(GOOGLEFINANCE(A1572, ""volume"") / GOOGLEFINANCE(A1572, ""volumeavg""), )"),"")</f>
        <v/>
      </c>
      <c r="X1572" s="9">
        <f>IFERROR(__xludf.DUMMYFUNCTION("B1572 * GOOGLEFINANCE(A1572, ""volume"")"),5693412.800000001)</f>
        <v>5693412.8</v>
      </c>
      <c r="Y1572" s="9">
        <f>IFERROR(__xludf.DUMMYFUNCTION("IFERROR(((B1572 - GOOGLEFINANCE(A1572, ""priceopen"")) / GOOGLEFINANCE(A1572, ""priceopen"")) * GOOGLEFINANCE(A1572, ""volume""), 0)"),-1946.8108421510233)</f>
        <v>-1946.810842</v>
      </c>
    </row>
    <row r="1573">
      <c r="A1573" s="4" t="s">
        <v>3365</v>
      </c>
      <c r="B1573" s="7">
        <f>IFERROR(__xludf.DUMMYFUNCTION("GOOGLEFINANCE(A1573, ""price"")"),115.25)</f>
        <v>115.25</v>
      </c>
      <c r="C1573" s="7">
        <f>IFERROR(__xludf.DUMMYFUNCTION("GOOGLEFINANCE(A1573, ""changepct"")"),-1.76)</f>
        <v>-1.76</v>
      </c>
      <c r="D1573" s="9">
        <f>IFERROR(__xludf.DUMMYFUNCTION("GOOGLEFINANCE(A1573, ""priceopen"")"),118.0)</f>
        <v>118</v>
      </c>
      <c r="E1573" s="9">
        <f>IFERROR(__xludf.DUMMYFUNCTION("GOOGLEFINANCE(A1573, ""high"")"),118.0)</f>
        <v>118</v>
      </c>
      <c r="F1573" s="9">
        <f>IFERROR(__xludf.DUMMYFUNCTION("GOOGLEFINANCE(A1573, ""low"")"),115.0)</f>
        <v>115</v>
      </c>
      <c r="G1573" s="9">
        <f>IFERROR(__xludf.DUMMYFUNCTION("GOOGLEFINANCE(A1573, ""price"")"),115.25)</f>
        <v>115.25</v>
      </c>
      <c r="H1573" s="9">
        <f>IFERROR(__xludf.DUMMYFUNCTION("MAX(INDEX(GOOGLEFINANCE(A1573, ""high"", TODAY()-30, TODAY()), 0, 2))"),118.0)</f>
        <v>118</v>
      </c>
      <c r="I1573" s="9">
        <f>IFERROR(__xludf.DUMMYFUNCTION("MIN(INDEX(GOOGLEFINANCE(A1573, ""low"", TODAY()-30, TODAY()), 0, 2))"),101.04)</f>
        <v>101.04</v>
      </c>
      <c r="J1573" s="9">
        <f>IFERROR(__xludf.DUMMYFUNCTION("GOOGLEFINANCE(A1573, ""high52"")"),118.0)</f>
        <v>118</v>
      </c>
      <c r="K1573" s="9">
        <f>IFERROR(__xludf.DUMMYFUNCTION("GOOGLEFINANCE(A1573, ""low52"")"),45.1)</f>
        <v>45.1</v>
      </c>
      <c r="L1573" s="9">
        <f t="shared" si="1"/>
        <v>0.02330508475</v>
      </c>
      <c r="M1573" s="9">
        <f t="shared" si="2"/>
        <v>1.555432373</v>
      </c>
      <c r="N1573" s="9">
        <f t="shared" si="3"/>
        <v>0.02608695652</v>
      </c>
      <c r="O1573" s="9">
        <f t="shared" si="4"/>
        <v>0.8378537736</v>
      </c>
      <c r="P1573" s="9">
        <f>IFERROR(__xludf.DUMMYFUNCTION("GOOGLEFINANCE(A1573, ""pe"")"),55.95)</f>
        <v>55.95</v>
      </c>
      <c r="Q1573" s="9">
        <f>IFERROR(__xludf.DUMMYFUNCTION("IFERROR(GOOGLEFINANCE(A1573, ""volume"") / GOOGLEFINANCE(A1573, ""volumeavg""), 0)"),0.0)</f>
        <v>0</v>
      </c>
      <c r="R1573" s="9">
        <f>IFERROR(__xludf.DUMMYFUNCTION("AVERAGE(INDEX(GOOGLEFINANCE(A1573, ""price"", TODAY()-30, TODAY()), 0, 2))"),109.19521739130434)</f>
        <v>109.1952174</v>
      </c>
      <c r="S1573" s="9">
        <f>IFERROR(__xludf.DUMMYFUNCTION("AVERAGE(INDEX(GOOGLEFINANCE(A1573, ""price"", TODAY()-75, TODAY()), 0, 2))"),93.25301886792454)</f>
        <v>93.25301887</v>
      </c>
      <c r="T1573" s="9">
        <f>IFERROR(__xludf.DUMMYFUNCTION("AVERAGE(INDEX(GOOGLEFINANCE(A1573, ""price"", TODAY()-300, TODAY()), 0, 2))"),66.0881188118812)</f>
        <v>66.08811881</v>
      </c>
      <c r="U1573" s="9">
        <f t="shared" si="5"/>
        <v>0.05544915568</v>
      </c>
      <c r="V1573" s="15">
        <f>IFERROR(__xludf.DUMMYFUNCTION("LET(hist, GOOGLEFINANCE(A1573,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rs))))))"),69.2989524576954)</f>
        <v>69.29895246</v>
      </c>
      <c r="W1573" s="16" t="str">
        <f>IFERROR(__xludf.DUMMYFUNCTION("IFERROR(GOOGLEFINANCE(A1573, ""volume"") / GOOGLEFINANCE(A1573, ""volumeavg""), )"),"")</f>
        <v/>
      </c>
      <c r="X1573" s="9">
        <f>IFERROR(__xludf.DUMMYFUNCTION("B1573 * GOOGLEFINANCE(A1573, ""volume"")"),2758278.25)</f>
        <v>2758278.25</v>
      </c>
      <c r="Y1573" s="9">
        <f>IFERROR(__xludf.DUMMYFUNCTION("IFERROR(((B1573 - GOOGLEFINANCE(A1573, ""priceopen"")) / GOOGLEFINANCE(A1573, ""priceopen"")) * GOOGLEFINANCE(A1573, ""volume""), 0)"),-557.760593220339)</f>
        <v>-557.7605932</v>
      </c>
    </row>
    <row r="1574">
      <c r="A1574" s="4" t="s">
        <v>3366</v>
      </c>
      <c r="B1574" s="7">
        <f>IFERROR(__xludf.DUMMYFUNCTION("GOOGLEFINANCE(A1574, ""price"")"),378.0)</f>
        <v>378</v>
      </c>
      <c r="C1574" s="7">
        <f>IFERROR(__xludf.DUMMYFUNCTION("GOOGLEFINANCE(A1574, ""changepct"")"),-1.84)</f>
        <v>-1.84</v>
      </c>
      <c r="D1574" s="9">
        <f>IFERROR(__xludf.DUMMYFUNCTION("GOOGLEFINANCE(A1574, ""priceopen"")"),386.0)</f>
        <v>386</v>
      </c>
      <c r="E1574" s="9">
        <f>IFERROR(__xludf.DUMMYFUNCTION("GOOGLEFINANCE(A1574, ""high"")"),389.9)</f>
        <v>389.9</v>
      </c>
      <c r="F1574" s="9">
        <f>IFERROR(__xludf.DUMMYFUNCTION("GOOGLEFINANCE(A1574, ""low"")"),374.0)</f>
        <v>374</v>
      </c>
      <c r="G1574" s="9">
        <f>IFERROR(__xludf.DUMMYFUNCTION("GOOGLEFINANCE(A1574, ""price"")"),378.0)</f>
        <v>378</v>
      </c>
      <c r="H1574" s="9">
        <f>IFERROR(__xludf.DUMMYFUNCTION("MAX(INDEX(GOOGLEFINANCE(A1574, ""high"", TODAY()-30, TODAY()), 0, 2))"),389.9)</f>
        <v>389.9</v>
      </c>
      <c r="I1574" s="9">
        <f>IFERROR(__xludf.DUMMYFUNCTION("MIN(INDEX(GOOGLEFINANCE(A1574, ""low"", TODAY()-30, TODAY()), 0, 2))"),327.0)</f>
        <v>327</v>
      </c>
      <c r="J1574" s="9">
        <f>IFERROR(__xludf.DUMMYFUNCTION("GOOGLEFINANCE(A1574, ""high52"")"),393.9)</f>
        <v>393.9</v>
      </c>
      <c r="K1574" s="9">
        <f>IFERROR(__xludf.DUMMYFUNCTION("GOOGLEFINANCE(A1574, ""low52"")"),215.85)</f>
        <v>215.85</v>
      </c>
      <c r="L1574" s="9">
        <f t="shared" si="1"/>
        <v>0.04036557502</v>
      </c>
      <c r="M1574" s="9">
        <f t="shared" si="2"/>
        <v>0.7512161223</v>
      </c>
      <c r="N1574" s="9">
        <f t="shared" si="3"/>
        <v>0.04251336898</v>
      </c>
      <c r="O1574" s="9">
        <f t="shared" si="4"/>
        <v>0.8108108108</v>
      </c>
      <c r="P1574" s="9">
        <f>IFERROR(__xludf.DUMMYFUNCTION("GOOGLEFINANCE(A1574, ""pe"")"),16.76)</f>
        <v>16.76</v>
      </c>
      <c r="Q1574" s="9">
        <f>IFERROR(__xludf.DUMMYFUNCTION("IFERROR(GOOGLEFINANCE(A1574, ""volume"") / GOOGLEFINANCE(A1574, ""volumeavg""), 0)"),0.0)</f>
        <v>0</v>
      </c>
      <c r="R1574" s="9">
        <f>IFERROR(__xludf.DUMMYFUNCTION("AVERAGE(INDEX(GOOGLEFINANCE(A1574, ""price"", TODAY()-30, TODAY()), 0, 2))"),352.3717391304348)</f>
        <v>352.3717391</v>
      </c>
      <c r="S1574" s="9">
        <f>IFERROR(__xludf.DUMMYFUNCTION("AVERAGE(INDEX(GOOGLEFINANCE(A1574, ""price"", TODAY()-75, TODAY()), 0, 2))"),343.54811320754715)</f>
        <v>343.5481132</v>
      </c>
      <c r="T1574" s="9">
        <f>IFERROR(__xludf.DUMMYFUNCTION("AVERAGE(INDEX(GOOGLEFINANCE(A1574, ""price"", TODAY()-300, TODAY()), 0, 2))"),320.91440594059384)</f>
        <v>320.9144059</v>
      </c>
      <c r="U1574" s="9">
        <f t="shared" si="5"/>
        <v>0.07273075001</v>
      </c>
      <c r="V1574" s="15">
        <f>IFERROR(__xludf.DUMMYFUNCTION("LET(hist, GOOGLEFINANCE(A1574,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rs))))))"),69.51219512195122)</f>
        <v>69.51219512</v>
      </c>
      <c r="W1574" s="16" t="str">
        <f>IFERROR(__xludf.DUMMYFUNCTION("IFERROR(GOOGLEFINANCE(A1574, ""volume"") / GOOGLEFINANCE(A1574, ""volumeavg""), )"),"")</f>
        <v/>
      </c>
      <c r="X1574" s="9">
        <f>IFERROR(__xludf.DUMMYFUNCTION("B1574 * GOOGLEFINANCE(A1574, ""volume"")"),884520.0)</f>
        <v>884520</v>
      </c>
      <c r="Y1574" s="9">
        <f>IFERROR(__xludf.DUMMYFUNCTION("IFERROR(((B1574 - GOOGLEFINANCE(A1574, ""priceopen"")) / GOOGLEFINANCE(A1574, ""priceopen"")) * GOOGLEFINANCE(A1574, ""volume""), 0)"),-48.49740932642487)</f>
        <v>-48.49740933</v>
      </c>
    </row>
    <row r="1575">
      <c r="A1575" s="4" t="s">
        <v>3367</v>
      </c>
      <c r="B1575" s="7">
        <f>IFERROR(__xludf.DUMMYFUNCTION("GOOGLEFINANCE(A1575, ""price"")"),124.36)</f>
        <v>124.36</v>
      </c>
      <c r="C1575" s="7">
        <f>IFERROR(__xludf.DUMMYFUNCTION("GOOGLEFINANCE(A1575, ""changepct"")"),0.97)</f>
        <v>0.97</v>
      </c>
      <c r="D1575" s="9">
        <f>IFERROR(__xludf.DUMMYFUNCTION("GOOGLEFINANCE(A1575, ""priceopen"")"),120.5)</f>
        <v>120.5</v>
      </c>
      <c r="E1575" s="9">
        <f>IFERROR(__xludf.DUMMYFUNCTION("GOOGLEFINANCE(A1575, ""high"")"),131.0)</f>
        <v>131</v>
      </c>
      <c r="F1575" s="9">
        <f>IFERROR(__xludf.DUMMYFUNCTION("GOOGLEFINANCE(A1575, ""low"")"),120.5)</f>
        <v>120.5</v>
      </c>
      <c r="G1575" s="9">
        <f>IFERROR(__xludf.DUMMYFUNCTION("GOOGLEFINANCE(A1575, ""price"")"),124.36)</f>
        <v>124.36</v>
      </c>
      <c r="H1575" s="9">
        <f>IFERROR(__xludf.DUMMYFUNCTION("MAX(INDEX(GOOGLEFINANCE(A1575, ""high"", TODAY()-30, TODAY()), 0, 2))"),132.16)</f>
        <v>132.16</v>
      </c>
      <c r="I1575" s="9">
        <f>IFERROR(__xludf.DUMMYFUNCTION("MIN(INDEX(GOOGLEFINANCE(A1575, ""low"", TODAY()-30, TODAY()), 0, 2))"),110.4)</f>
        <v>110.4</v>
      </c>
      <c r="J1575" s="9">
        <f>IFERROR(__xludf.DUMMYFUNCTION("GOOGLEFINANCE(A1575, ""high52"")"),184.74)</f>
        <v>184.74</v>
      </c>
      <c r="K1575" s="9">
        <f>IFERROR(__xludf.DUMMYFUNCTION("GOOGLEFINANCE(A1575, ""low52"")"),100.0)</f>
        <v>100</v>
      </c>
      <c r="L1575" s="9">
        <f t="shared" si="1"/>
        <v>0.3268377179</v>
      </c>
      <c r="M1575" s="9">
        <f t="shared" si="2"/>
        <v>0.2436</v>
      </c>
      <c r="N1575" s="9">
        <f t="shared" si="3"/>
        <v>0.08713692946</v>
      </c>
      <c r="O1575" s="9">
        <f t="shared" si="4"/>
        <v>0.6415441176</v>
      </c>
      <c r="P1575" s="9">
        <f>IFERROR(__xludf.DUMMYFUNCTION("GOOGLEFINANCE(A1575, ""pe"")"),52.92)</f>
        <v>52.92</v>
      </c>
      <c r="Q1575" s="9">
        <f>IFERROR(__xludf.DUMMYFUNCTION("IFERROR(GOOGLEFINANCE(A1575, ""volume"") / GOOGLEFINANCE(A1575, ""volumeavg""), 0)"),0.0)</f>
        <v>0</v>
      </c>
      <c r="R1575" s="9">
        <f>IFERROR(__xludf.DUMMYFUNCTION("AVERAGE(INDEX(GOOGLEFINANCE(A1575, ""price"", TODAY()-30, TODAY()), 0, 2))"),119.89913043478258)</f>
        <v>119.8991304</v>
      </c>
      <c r="S1575" s="9">
        <f>IFERROR(__xludf.DUMMYFUNCTION("AVERAGE(INDEX(GOOGLEFINANCE(A1575, ""price"", TODAY()-75, TODAY()), 0, 2))"),123.31452830188678)</f>
        <v>123.3145283</v>
      </c>
      <c r="T1575" s="9">
        <f>IFERROR(__xludf.DUMMYFUNCTION("AVERAGE(INDEX(GOOGLEFINANCE(A1575, ""price"", TODAY()-300, TODAY()), 0, 2))"),138.85268656716417)</f>
        <v>138.8526866</v>
      </c>
      <c r="U1575" s="9">
        <f t="shared" si="5"/>
        <v>0.03720518697</v>
      </c>
      <c r="V1575" s="15">
        <f>IFERROR(__xludf.DUMMYFUNCTION("LET(hist, GOOGLEFINANCE(A1575,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rs))))))"),65.16235553109524)</f>
        <v>65.16235553</v>
      </c>
      <c r="W1575" s="16" t="str">
        <f>IFERROR(__xludf.DUMMYFUNCTION("IFERROR(GOOGLEFINANCE(A1575, ""volume"") / GOOGLEFINANCE(A1575, ""volumeavg""), )"),"")</f>
        <v/>
      </c>
      <c r="X1575" s="9">
        <f>IFERROR(__xludf.DUMMYFUNCTION("B1575 * GOOGLEFINANCE(A1575, ""volume"")"),1.851931812E7)</f>
        <v>18519318.12</v>
      </c>
      <c r="Y1575" s="9">
        <f>IFERROR(__xludf.DUMMYFUNCTION("IFERROR(((B1575 - GOOGLEFINANCE(A1575, ""priceopen"")) / GOOGLEFINANCE(A1575, ""priceopen"")) * GOOGLEFINANCE(A1575, ""volume""), 0)"),4770.287302904564)</f>
        <v>4770.287303</v>
      </c>
    </row>
    <row r="1576">
      <c r="A1576" s="4" t="s">
        <v>3368</v>
      </c>
      <c r="B1576" s="7">
        <f>IFERROR(__xludf.DUMMYFUNCTION("GOOGLEFINANCE(A1576, ""price"")"),74.87)</f>
        <v>74.87</v>
      </c>
      <c r="C1576" s="7">
        <f>IFERROR(__xludf.DUMMYFUNCTION("GOOGLEFINANCE(A1576, ""changepct"")"),7.76)</f>
        <v>7.76</v>
      </c>
      <c r="D1576" s="9">
        <f>IFERROR(__xludf.DUMMYFUNCTION("GOOGLEFINANCE(A1576, ""priceopen"")"),70.09)</f>
        <v>70.09</v>
      </c>
      <c r="E1576" s="9">
        <f>IFERROR(__xludf.DUMMYFUNCTION("GOOGLEFINANCE(A1576, ""high"")"),75.0)</f>
        <v>75</v>
      </c>
      <c r="F1576" s="9">
        <f>IFERROR(__xludf.DUMMYFUNCTION("GOOGLEFINANCE(A1576, ""low"")"),68.0)</f>
        <v>68</v>
      </c>
      <c r="G1576" s="9">
        <f>IFERROR(__xludf.DUMMYFUNCTION("GOOGLEFINANCE(A1576, ""price"")"),74.87)</f>
        <v>74.87</v>
      </c>
      <c r="H1576" s="9">
        <f>IFERROR(__xludf.DUMMYFUNCTION("MAX(INDEX(GOOGLEFINANCE(A1576, ""high"", TODAY()-30, TODAY()), 0, 2))"),85.45)</f>
        <v>85.45</v>
      </c>
      <c r="I1576" s="9">
        <f>IFERROR(__xludf.DUMMYFUNCTION("MIN(INDEX(GOOGLEFINANCE(A1576, ""low"", TODAY()-30, TODAY()), 0, 2))"),62.0)</f>
        <v>62</v>
      </c>
      <c r="J1576" s="9">
        <f>IFERROR(__xludf.DUMMYFUNCTION("GOOGLEFINANCE(A1576, ""high52"")"),85.45)</f>
        <v>85.45</v>
      </c>
      <c r="K1576" s="9">
        <f>IFERROR(__xludf.DUMMYFUNCTION("GOOGLEFINANCE(A1576, ""low52"")"),38.0)</f>
        <v>38</v>
      </c>
      <c r="L1576" s="9">
        <f t="shared" si="1"/>
        <v>0.1238150965</v>
      </c>
      <c r="M1576" s="9">
        <f t="shared" si="2"/>
        <v>0.9702631579</v>
      </c>
      <c r="N1576" s="9">
        <f t="shared" si="3"/>
        <v>0.1029411765</v>
      </c>
      <c r="O1576" s="9">
        <f t="shared" si="4"/>
        <v>0.5488272921</v>
      </c>
      <c r="P1576" s="9">
        <f>IFERROR(__xludf.DUMMYFUNCTION("GOOGLEFINANCE(A1576, ""pe"")"),22.42)</f>
        <v>22.42</v>
      </c>
      <c r="Q1576" s="9">
        <f>IFERROR(__xludf.DUMMYFUNCTION("IFERROR(GOOGLEFINANCE(A1576, ""volume"") / GOOGLEFINANCE(A1576, ""volumeavg""), 0)"),0.0)</f>
        <v>0</v>
      </c>
      <c r="R1576" s="9">
        <f>IFERROR(__xludf.DUMMYFUNCTION("AVERAGE(INDEX(GOOGLEFINANCE(A1576, ""price"", TODAY()-30, TODAY()), 0, 2))"),72.79478260869566)</f>
        <v>72.79478261</v>
      </c>
      <c r="S1576" s="9">
        <f>IFERROR(__xludf.DUMMYFUNCTION("AVERAGE(INDEX(GOOGLEFINANCE(A1576, ""price"", TODAY()-75, TODAY()), 0, 2))"),65.76320754716983)</f>
        <v>65.76320755</v>
      </c>
      <c r="T1576" s="9">
        <f>IFERROR(__xludf.DUMMYFUNCTION("AVERAGE(INDEX(GOOGLEFINANCE(A1576, ""price"", TODAY()-300, TODAY()), 0, 2))"),53.96841584158415)</f>
        <v>53.96841584</v>
      </c>
      <c r="U1576" s="9">
        <f t="shared" si="5"/>
        <v>0.02850777648</v>
      </c>
      <c r="V1576" s="15">
        <f>IFERROR(__xludf.DUMMYFUNCTION("LET(hist, GOOGLEFINANCE(A1576,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rs))))))"),38.72305140961853)</f>
        <v>38.72305141</v>
      </c>
      <c r="W1576" s="16" t="str">
        <f>IFERROR(__xludf.DUMMYFUNCTION("IFERROR(GOOGLEFINANCE(A1576, ""volume"") / GOOGLEFINANCE(A1576, ""volumeavg""), )"),"")</f>
        <v/>
      </c>
      <c r="X1576" s="9">
        <f>IFERROR(__xludf.DUMMYFUNCTION("B1576 * GOOGLEFINANCE(A1576, ""volume"")"),2.607677178E7)</f>
        <v>26076771.78</v>
      </c>
      <c r="Y1576" s="9">
        <f>IFERROR(__xludf.DUMMYFUNCTION("IFERROR(((B1576 - GOOGLEFINANCE(A1576, ""priceopen"")) / GOOGLEFINANCE(A1576, ""priceopen"")) * GOOGLEFINANCE(A1576, ""volume""), 0)"),23752.96504494222)</f>
        <v>23752.96504</v>
      </c>
    </row>
    <row r="1577">
      <c r="A1577" s="4" t="s">
        <v>3369</v>
      </c>
      <c r="B1577" s="7">
        <f>IFERROR(__xludf.DUMMYFUNCTION("GOOGLEFINANCE(A1577, ""price"")"),718.0)</f>
        <v>718</v>
      </c>
      <c r="C1577" s="7">
        <f>IFERROR(__xludf.DUMMYFUNCTION("GOOGLEFINANCE(A1577, ""changepct"")"),3.85)</f>
        <v>3.85</v>
      </c>
      <c r="D1577" s="9">
        <f>IFERROR(__xludf.DUMMYFUNCTION("GOOGLEFINANCE(A1577, ""priceopen"")"),698.35)</f>
        <v>698.35</v>
      </c>
      <c r="E1577" s="9">
        <f>IFERROR(__xludf.DUMMYFUNCTION("GOOGLEFINANCE(A1577, ""high"")"),724.0)</f>
        <v>724</v>
      </c>
      <c r="F1577" s="9">
        <f>IFERROR(__xludf.DUMMYFUNCTION("GOOGLEFINANCE(A1577, ""low"")"),661.0)</f>
        <v>661</v>
      </c>
      <c r="G1577" s="9">
        <f>IFERROR(__xludf.DUMMYFUNCTION("GOOGLEFINANCE(A1577, ""price"")"),718.0)</f>
        <v>718</v>
      </c>
      <c r="H1577" s="9">
        <f>IFERROR(__xludf.DUMMYFUNCTION("MAX(INDEX(GOOGLEFINANCE(A1577, ""high"", TODAY()-30, TODAY()), 0, 2))"),799.9)</f>
        <v>799.9</v>
      </c>
      <c r="I1577" s="9">
        <f>IFERROR(__xludf.DUMMYFUNCTION("MIN(INDEX(GOOGLEFINANCE(A1577, ""low"", TODAY()-30, TODAY()), 0, 2))"),661.0)</f>
        <v>661</v>
      </c>
      <c r="J1577" s="9">
        <f>IFERROR(__xludf.DUMMYFUNCTION("GOOGLEFINANCE(A1577, ""high52"")"),967.9)</f>
        <v>967.9</v>
      </c>
      <c r="K1577" s="9">
        <f>IFERROR(__xludf.DUMMYFUNCTION("GOOGLEFINANCE(A1577, ""low52"")"),661.0)</f>
        <v>661</v>
      </c>
      <c r="L1577" s="9">
        <f t="shared" si="1"/>
        <v>0.2581878293</v>
      </c>
      <c r="M1577" s="9">
        <f t="shared" si="2"/>
        <v>0.08623298033</v>
      </c>
      <c r="N1577" s="9">
        <f t="shared" si="3"/>
        <v>0.09531013616</v>
      </c>
      <c r="O1577" s="9">
        <f t="shared" si="4"/>
        <v>0.4103671706</v>
      </c>
      <c r="P1577" s="9">
        <f>IFERROR(__xludf.DUMMYFUNCTION("GOOGLEFINANCE(A1577, ""pe"")"),13.02)</f>
        <v>13.02</v>
      </c>
      <c r="Q1577" s="9">
        <f>IFERROR(__xludf.DUMMYFUNCTION("IFERROR(GOOGLEFINANCE(A1577, ""volume"") / GOOGLEFINANCE(A1577, ""volumeavg""), 0)"),0.0)</f>
        <v>0</v>
      </c>
      <c r="R1577" s="9">
        <f>IFERROR(__xludf.DUMMYFUNCTION("AVERAGE(INDEX(GOOGLEFINANCE(A1577, ""price"", TODAY()-30, TODAY()), 0, 2))"),727.4543478260869)</f>
        <v>727.4543478</v>
      </c>
      <c r="S1577" s="9">
        <f>IFERROR(__xludf.DUMMYFUNCTION("AVERAGE(INDEX(GOOGLEFINANCE(A1577, ""price"", TODAY()-75, TODAY()), 0, 2))"),789.0632075471702)</f>
        <v>789.0632075</v>
      </c>
      <c r="T1577" s="9">
        <f>IFERROR(__xludf.DUMMYFUNCTION("AVERAGE(INDEX(GOOGLEFINANCE(A1577, ""price"", TODAY()-300, TODAY()), 0, 2))"),789.2045049504944)</f>
        <v>789.204505</v>
      </c>
      <c r="U1577" s="9">
        <f t="shared" si="5"/>
        <v>-0.01299648267</v>
      </c>
      <c r="V1577" s="15">
        <f>IFERROR(__xludf.DUMMYFUNCTION("LET(hist, GOOGLEFINANCE(A1577,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rs))))))"),48.182984181274044)</f>
        <v>48.18298418</v>
      </c>
      <c r="W1577" s="16" t="str">
        <f>IFERROR(__xludf.DUMMYFUNCTION("IFERROR(GOOGLEFINANCE(A1577, ""volume"") / GOOGLEFINANCE(A1577, ""volumeavg""), )"),"")</f>
        <v/>
      </c>
      <c r="X1577" s="9">
        <f>IFERROR(__xludf.DUMMYFUNCTION("B1577 * GOOGLEFINANCE(A1577, ""volume"")"),3.0135896E7)</f>
        <v>30135896</v>
      </c>
      <c r="Y1577" s="9">
        <f>IFERROR(__xludf.DUMMYFUNCTION("IFERROR(((B1577 - GOOGLEFINANCE(A1577, ""priceopen"")) / GOOGLEFINANCE(A1577, ""priceopen"")) * GOOGLEFINANCE(A1577, ""volume""), 0)"),1180.9977804825646)</f>
        <v>1180.99778</v>
      </c>
    </row>
    <row r="1578">
      <c r="A1578" s="4" t="s">
        <v>3370</v>
      </c>
      <c r="B1578" s="7">
        <f>IFERROR(__xludf.DUMMYFUNCTION("GOOGLEFINANCE(A1578, ""price"")"),117.3)</f>
        <v>117.3</v>
      </c>
      <c r="C1578" s="7">
        <f>IFERROR(__xludf.DUMMYFUNCTION("GOOGLEFINANCE(A1578, ""changepct"")"),-1.44)</f>
        <v>-1.44</v>
      </c>
      <c r="D1578" s="9">
        <f>IFERROR(__xludf.DUMMYFUNCTION("GOOGLEFINANCE(A1578, ""priceopen"")"),119.5)</f>
        <v>119.5</v>
      </c>
      <c r="E1578" s="9">
        <f>IFERROR(__xludf.DUMMYFUNCTION("GOOGLEFINANCE(A1578, ""high"")"),120.85)</f>
        <v>120.85</v>
      </c>
      <c r="F1578" s="9">
        <f>IFERROR(__xludf.DUMMYFUNCTION("GOOGLEFINANCE(A1578, ""low"")"),117.12)</f>
        <v>117.12</v>
      </c>
      <c r="G1578" s="9">
        <f>IFERROR(__xludf.DUMMYFUNCTION("GOOGLEFINANCE(A1578, ""price"")"),117.3)</f>
        <v>117.3</v>
      </c>
      <c r="H1578" s="9">
        <f>IFERROR(__xludf.DUMMYFUNCTION("MAX(INDEX(GOOGLEFINANCE(A1578, ""high"", TODAY()-30, TODAY()), 0, 2))"),124.4)</f>
        <v>124.4</v>
      </c>
      <c r="I1578" s="9">
        <f>IFERROR(__xludf.DUMMYFUNCTION("MIN(INDEX(GOOGLEFINANCE(A1578, ""low"", TODAY()-30, TODAY()), 0, 2))"),115.23)</f>
        <v>115.23</v>
      </c>
      <c r="J1578" s="9">
        <f>IFERROR(__xludf.DUMMYFUNCTION("GOOGLEFINANCE(A1578, ""high52"")"),150.7)</f>
        <v>150.7</v>
      </c>
      <c r="K1578" s="9">
        <f>IFERROR(__xludf.DUMMYFUNCTION("GOOGLEFINANCE(A1578, ""low52"")"),97.04)</f>
        <v>97.04</v>
      </c>
      <c r="L1578" s="9">
        <f t="shared" si="1"/>
        <v>0.2216323822</v>
      </c>
      <c r="M1578" s="9">
        <f t="shared" si="2"/>
        <v>0.2087798846</v>
      </c>
      <c r="N1578" s="9">
        <f t="shared" si="3"/>
        <v>0.0318476776</v>
      </c>
      <c r="O1578" s="9">
        <f t="shared" si="4"/>
        <v>0.225736096</v>
      </c>
      <c r="P1578" s="9">
        <f>IFERROR(__xludf.DUMMYFUNCTION("GOOGLEFINANCE(A1578, ""pe"")"),1.1)</f>
        <v>1.1</v>
      </c>
      <c r="Q1578" s="9">
        <f>IFERROR(__xludf.DUMMYFUNCTION("IFERROR(GOOGLEFINANCE(A1578, ""volume"") / GOOGLEFINANCE(A1578, ""volumeavg""), 0)"),0.0)</f>
        <v>0</v>
      </c>
      <c r="R1578" s="9">
        <f>IFERROR(__xludf.DUMMYFUNCTION("AVERAGE(INDEX(GOOGLEFINANCE(A1578, ""price"", TODAY()-30, TODAY()), 0, 2))"),119.3121739130435)</f>
        <v>119.3121739</v>
      </c>
      <c r="S1578" s="9">
        <f>IFERROR(__xludf.DUMMYFUNCTION("AVERAGE(INDEX(GOOGLEFINANCE(A1578, ""price"", TODAY()-75, TODAY()), 0, 2))"),122.61150943396224)</f>
        <v>122.6115094</v>
      </c>
      <c r="T1578" s="9">
        <f>IFERROR(__xludf.DUMMYFUNCTION("AVERAGE(INDEX(GOOGLEFINANCE(A1578, ""price"", TODAY()-300, TODAY()), 0, 2))"),120.19717821782186)</f>
        <v>120.1971782</v>
      </c>
      <c r="U1578" s="9">
        <f t="shared" si="5"/>
        <v>-0.01686478292</v>
      </c>
      <c r="V1578" s="15">
        <f>IFERROR(__xludf.DUMMYFUNCTION("LET(hist, GOOGLEFINANCE(A1578,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rs))))))"),51.74870466321246)</f>
        <v>51.74870466</v>
      </c>
      <c r="W1578" s="16" t="str">
        <f>IFERROR(__xludf.DUMMYFUNCTION("IFERROR(GOOGLEFINANCE(A1578, ""volume"") / GOOGLEFINANCE(A1578, ""volumeavg""), )"),"")</f>
        <v/>
      </c>
      <c r="X1578" s="9">
        <f>IFERROR(__xludf.DUMMYFUNCTION("B1578 * GOOGLEFINANCE(A1578, ""volume"")"),5175158.7)</f>
        <v>5175158.7</v>
      </c>
      <c r="Y1578" s="9">
        <f>IFERROR(__xludf.DUMMYFUNCTION("IFERROR(((B1578 - GOOGLEFINANCE(A1578, ""priceopen"")) / GOOGLEFINANCE(A1578, ""priceopen"")) * GOOGLEFINANCE(A1578, ""volume""), 0)"),-812.2326359832647)</f>
        <v>-812.232636</v>
      </c>
    </row>
    <row r="1579">
      <c r="A1579" s="4" t="s">
        <v>3371</v>
      </c>
      <c r="B1579" s="7">
        <f>IFERROR(__xludf.DUMMYFUNCTION("GOOGLEFINANCE(A1579, ""price"")"),638.2)</f>
        <v>638.2</v>
      </c>
      <c r="C1579" s="7">
        <f>IFERROR(__xludf.DUMMYFUNCTION("GOOGLEFINANCE(A1579, ""changepct"")"),-2.22)</f>
        <v>-2.22</v>
      </c>
      <c r="D1579" s="9">
        <f>IFERROR(__xludf.DUMMYFUNCTION("GOOGLEFINANCE(A1579, ""priceopen"")"),675.7)</f>
        <v>675.7</v>
      </c>
      <c r="E1579" s="9">
        <f>IFERROR(__xludf.DUMMYFUNCTION("GOOGLEFINANCE(A1579, ""high"")"),675.7)</f>
        <v>675.7</v>
      </c>
      <c r="F1579" s="9">
        <f>IFERROR(__xludf.DUMMYFUNCTION("GOOGLEFINANCE(A1579, ""low"")"),638.2)</f>
        <v>638.2</v>
      </c>
      <c r="G1579" s="9">
        <f>IFERROR(__xludf.DUMMYFUNCTION("GOOGLEFINANCE(A1579, ""price"")"),638.2)</f>
        <v>638.2</v>
      </c>
      <c r="H1579" s="9">
        <f>IFERROR(__xludf.DUMMYFUNCTION("MAX(INDEX(GOOGLEFINANCE(A1579, ""high"", TODAY()-30, TODAY()), 0, 2))"),710.0)</f>
        <v>710</v>
      </c>
      <c r="I1579" s="9">
        <f>IFERROR(__xludf.DUMMYFUNCTION("MIN(INDEX(GOOGLEFINANCE(A1579, ""low"", TODAY()-30, TODAY()), 0, 2))"),625.1)</f>
        <v>625.1</v>
      </c>
      <c r="J1579" s="9">
        <f>IFERROR(__xludf.DUMMYFUNCTION("GOOGLEFINANCE(A1579, ""high52"")"),756.45)</f>
        <v>756.45</v>
      </c>
      <c r="K1579" s="9">
        <f>IFERROR(__xludf.DUMMYFUNCTION("GOOGLEFINANCE(A1579, ""low52"")"),495.0)</f>
        <v>495</v>
      </c>
      <c r="L1579" s="9">
        <f t="shared" si="1"/>
        <v>0.1563222949</v>
      </c>
      <c r="M1579" s="9">
        <f t="shared" si="2"/>
        <v>0.2892929293</v>
      </c>
      <c r="N1579" s="9">
        <f t="shared" si="3"/>
        <v>0.05875900971</v>
      </c>
      <c r="O1579" s="9">
        <f t="shared" si="4"/>
        <v>0.1542991755</v>
      </c>
      <c r="P1579" s="9">
        <f>IFERROR(__xludf.DUMMYFUNCTION("GOOGLEFINANCE(A1579, ""pe"")"),54.5)</f>
        <v>54.5</v>
      </c>
      <c r="Q1579" s="9">
        <f>IFERROR(__xludf.DUMMYFUNCTION("IFERROR(GOOGLEFINANCE(A1579, ""volume"") / GOOGLEFINANCE(A1579, ""volumeavg""), 0)"),0.0)</f>
        <v>0</v>
      </c>
      <c r="R1579" s="9">
        <f>IFERROR(__xludf.DUMMYFUNCTION("AVERAGE(INDEX(GOOGLEFINANCE(A1579, ""price"", TODAY()-30, TODAY()), 0, 2))"),670.4826086956522)</f>
        <v>670.4826087</v>
      </c>
      <c r="S1579" s="9">
        <f>IFERROR(__xludf.DUMMYFUNCTION("AVERAGE(INDEX(GOOGLEFINANCE(A1579, ""price"", TODAY()-75, TODAY()), 0, 2))"),678.6603773584905)</f>
        <v>678.6603774</v>
      </c>
      <c r="T1579" s="9">
        <f>IFERROR(__xludf.DUMMYFUNCTION("AVERAGE(INDEX(GOOGLEFINANCE(A1579, ""price"", TODAY()-300, TODAY()), 0, 2))"),627.6062189054722)</f>
        <v>627.6062189</v>
      </c>
      <c r="U1579" s="9">
        <f t="shared" si="5"/>
        <v>-0.04814831627</v>
      </c>
      <c r="V1579" s="15">
        <f>IFERROR(__xludf.DUMMYFUNCTION("LET(hist, GOOGLEFINANCE(A1579,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rs))))))"),38.61386138613861)</f>
        <v>38.61386139</v>
      </c>
      <c r="W1579" s="16" t="str">
        <f>IFERROR(__xludf.DUMMYFUNCTION("IFERROR(GOOGLEFINANCE(A1579, ""volume"") / GOOGLEFINANCE(A1579, ""volumeavg""), )"),"")</f>
        <v/>
      </c>
      <c r="X1579" s="9">
        <f>IFERROR(__xludf.DUMMYFUNCTION("B1579 * GOOGLEFINANCE(A1579, ""volume"")"),945174.2000000001)</f>
        <v>945174.2</v>
      </c>
      <c r="Y1579" s="9">
        <f>IFERROR(__xludf.DUMMYFUNCTION("IFERROR(((B1579 - GOOGLEFINANCE(A1579, ""priceopen"")) / GOOGLEFINANCE(A1579, ""priceopen"")) * GOOGLEFINANCE(A1579, ""volume""), 0)"),-82.19254106852154)</f>
        <v>-82.19254107</v>
      </c>
    </row>
    <row r="1580">
      <c r="A1580" s="4" t="s">
        <v>3372</v>
      </c>
      <c r="B1580" s="7">
        <f>IFERROR(__xludf.DUMMYFUNCTION("GOOGLEFINANCE(A1580, ""price"")"),162.0)</f>
        <v>162</v>
      </c>
      <c r="C1580" s="7">
        <f>IFERROR(__xludf.DUMMYFUNCTION("GOOGLEFINANCE(A1580, ""changepct"")"),0.19)</f>
        <v>0.19</v>
      </c>
      <c r="D1580" s="9">
        <f>IFERROR(__xludf.DUMMYFUNCTION("GOOGLEFINANCE(A1580, ""priceopen"")"),162.85)</f>
        <v>162.85</v>
      </c>
      <c r="E1580" s="9">
        <f>IFERROR(__xludf.DUMMYFUNCTION("GOOGLEFINANCE(A1580, ""high"")"),164.85)</f>
        <v>164.85</v>
      </c>
      <c r="F1580" s="9">
        <f>IFERROR(__xludf.DUMMYFUNCTION("GOOGLEFINANCE(A1580, ""low"")"),160.5)</f>
        <v>160.5</v>
      </c>
      <c r="G1580" s="9">
        <f>IFERROR(__xludf.DUMMYFUNCTION("GOOGLEFINANCE(A1580, ""price"")"),162.0)</f>
        <v>162</v>
      </c>
      <c r="H1580" s="9">
        <f>IFERROR(__xludf.DUMMYFUNCTION("MAX(INDEX(GOOGLEFINANCE(A1580, ""high"", TODAY()-30, TODAY()), 0, 2))"),189.6)</f>
        <v>189.6</v>
      </c>
      <c r="I1580" s="9">
        <f>IFERROR(__xludf.DUMMYFUNCTION("MIN(INDEX(GOOGLEFINANCE(A1580, ""low"", TODAY()-30, TODAY()), 0, 2))"),160.0)</f>
        <v>160</v>
      </c>
      <c r="J1580" s="9">
        <f>IFERROR(__xludf.DUMMYFUNCTION("GOOGLEFINANCE(A1580, ""high52"")"),309.95)</f>
        <v>309.95</v>
      </c>
      <c r="K1580" s="9">
        <f>IFERROR(__xludf.DUMMYFUNCTION("GOOGLEFINANCE(A1580, ""low52"")"),152.0)</f>
        <v>152</v>
      </c>
      <c r="L1580" s="9">
        <f t="shared" si="1"/>
        <v>0.477335054</v>
      </c>
      <c r="M1580" s="9">
        <f t="shared" si="2"/>
        <v>0.06578947368</v>
      </c>
      <c r="N1580" s="9">
        <f t="shared" si="3"/>
        <v>0.02710280374</v>
      </c>
      <c r="O1580" s="9">
        <f t="shared" si="4"/>
        <v>0.06756756757</v>
      </c>
      <c r="P1580" s="9">
        <f>IFERROR(__xludf.DUMMYFUNCTION("GOOGLEFINANCE(A1580, ""pe"")"),14.0)</f>
        <v>14</v>
      </c>
      <c r="Q1580" s="9">
        <f>IFERROR(__xludf.DUMMYFUNCTION("IFERROR(GOOGLEFINANCE(A1580, ""volume"") / GOOGLEFINANCE(A1580, ""volumeavg""), 0)"),0.0)</f>
        <v>0</v>
      </c>
      <c r="R1580" s="9">
        <f>IFERROR(__xludf.DUMMYFUNCTION("AVERAGE(INDEX(GOOGLEFINANCE(A1580, ""price"", TODAY()-30, TODAY()), 0, 2))"),172.65826086956523)</f>
        <v>172.6582609</v>
      </c>
      <c r="S1580" s="9">
        <f>IFERROR(__xludf.DUMMYFUNCTION("AVERAGE(INDEX(GOOGLEFINANCE(A1580, ""price"", TODAY()-75, TODAY()), 0, 2))"),187.98943396226417)</f>
        <v>187.989434</v>
      </c>
      <c r="T1580" s="9">
        <f>IFERROR(__xludf.DUMMYFUNCTION("AVERAGE(INDEX(GOOGLEFINANCE(A1580, ""price"", TODAY()-300, TODAY()), 0, 2))"),208.51138613861397)</f>
        <v>208.5113861</v>
      </c>
      <c r="U1580" s="9">
        <f t="shared" si="5"/>
        <v>-0.06173038473</v>
      </c>
      <c r="V1580" s="15">
        <f>IFERROR(__xludf.DUMMYFUNCTION("LET(hist, GOOGLEFINANCE(A1580,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rs))))))"),39.76852991873921)</f>
        <v>39.76852992</v>
      </c>
      <c r="W1580" s="16" t="str">
        <f>IFERROR(__xludf.DUMMYFUNCTION("IFERROR(GOOGLEFINANCE(A1580, ""volume"") / GOOGLEFINANCE(A1580, ""volumeavg""), )"),"")</f>
        <v/>
      </c>
      <c r="X1580" s="9">
        <f>IFERROR(__xludf.DUMMYFUNCTION("B1580 * GOOGLEFINANCE(A1580, ""volume"")"),8397918.0)</f>
        <v>8397918</v>
      </c>
      <c r="Y1580" s="9">
        <f>IFERROR(__xludf.DUMMYFUNCTION("IFERROR(((B1580 - GOOGLEFINANCE(A1580, ""priceopen"")) / GOOGLEFINANCE(A1580, ""priceopen"")) * GOOGLEFINANCE(A1580, ""volume""), 0)"),-270.57506908197547)</f>
        <v>-270.5750691</v>
      </c>
    </row>
    <row r="1581">
      <c r="A1581" s="4" t="s">
        <v>3373</v>
      </c>
      <c r="B1581" s="7">
        <f>IFERROR(__xludf.DUMMYFUNCTION("GOOGLEFINANCE(A1581, ""price"")"),171.6)</f>
        <v>171.6</v>
      </c>
      <c r="C1581" s="7">
        <f>IFERROR(__xludf.DUMMYFUNCTION("GOOGLEFINANCE(A1581, ""changepct"")"),-0.09)</f>
        <v>-0.09</v>
      </c>
      <c r="D1581" s="9">
        <f>IFERROR(__xludf.DUMMYFUNCTION("GOOGLEFINANCE(A1581, ""priceopen"")"),171.1)</f>
        <v>171.1</v>
      </c>
      <c r="E1581" s="9">
        <f>IFERROR(__xludf.DUMMYFUNCTION("GOOGLEFINANCE(A1581, ""high"")"),172.43)</f>
        <v>172.43</v>
      </c>
      <c r="F1581" s="9">
        <f>IFERROR(__xludf.DUMMYFUNCTION("GOOGLEFINANCE(A1581, ""low"")"),170.0)</f>
        <v>170</v>
      </c>
      <c r="G1581" s="9">
        <f>IFERROR(__xludf.DUMMYFUNCTION("GOOGLEFINANCE(A1581, ""price"")"),171.6)</f>
        <v>171.6</v>
      </c>
      <c r="H1581" s="9">
        <f>IFERROR(__xludf.DUMMYFUNCTION("MAX(INDEX(GOOGLEFINANCE(A1581, ""high"", TODAY()-30, TODAY()), 0, 2))"),186.45)</f>
        <v>186.45</v>
      </c>
      <c r="I1581" s="9">
        <f>IFERROR(__xludf.DUMMYFUNCTION("MIN(INDEX(GOOGLEFINANCE(A1581, ""low"", TODAY()-30, TODAY()), 0, 2))"),169.46)</f>
        <v>169.46</v>
      </c>
      <c r="J1581" s="9">
        <f>IFERROR(__xludf.DUMMYFUNCTION("GOOGLEFINANCE(A1581, ""high52"")"),233.8)</f>
        <v>233.8</v>
      </c>
      <c r="K1581" s="9">
        <f>IFERROR(__xludf.DUMMYFUNCTION("GOOGLEFINANCE(A1581, ""low52"")"),155.5)</f>
        <v>155.5</v>
      </c>
      <c r="L1581" s="9">
        <f t="shared" si="1"/>
        <v>0.2660393499</v>
      </c>
      <c r="M1581" s="9">
        <f t="shared" si="2"/>
        <v>0.1035369775</v>
      </c>
      <c r="N1581" s="9">
        <f t="shared" si="3"/>
        <v>0.01429411765</v>
      </c>
      <c r="O1581" s="9">
        <f t="shared" si="4"/>
        <v>0.125956445</v>
      </c>
      <c r="P1581" s="9" t="str">
        <f>IFERROR(__xludf.DUMMYFUNCTION("GOOGLEFINANCE(A1581, ""pe"")"),"#N/A")</f>
        <v>#N/A</v>
      </c>
      <c r="Q1581" s="9">
        <f>IFERROR(__xludf.DUMMYFUNCTION("IFERROR(GOOGLEFINANCE(A1581, ""volume"") / GOOGLEFINANCE(A1581, ""volumeavg""), 0)"),0.0)</f>
        <v>0</v>
      </c>
      <c r="R1581" s="9">
        <f>IFERROR(__xludf.DUMMYFUNCTION("AVERAGE(INDEX(GOOGLEFINANCE(A1581, ""price"", TODAY()-30, TODAY()), 0, 2))"),176.6921739130435)</f>
        <v>176.6921739</v>
      </c>
      <c r="S1581" s="9">
        <f>IFERROR(__xludf.DUMMYFUNCTION("AVERAGE(INDEX(GOOGLEFINANCE(A1581, ""price"", TODAY()-75, TODAY()), 0, 2))"),180.858679245283)</f>
        <v>180.8586792</v>
      </c>
      <c r="T1581" s="9">
        <f>IFERROR(__xludf.DUMMYFUNCTION("AVERAGE(INDEX(GOOGLEFINANCE(A1581, ""price"", TODAY()-300, TODAY()), 0, 2))"),190.510792079208)</f>
        <v>190.5107921</v>
      </c>
      <c r="U1581" s="9">
        <f t="shared" si="5"/>
        <v>-0.02881946495</v>
      </c>
      <c r="V1581" s="15">
        <f>IFERROR(__xludf.DUMMYFUNCTION("LET(hist, GOOGLEFINANCE(A1581,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rs))))))"),29.93239090350346)</f>
        <v>29.9323909</v>
      </c>
      <c r="W1581" s="16" t="str">
        <f>IFERROR(__xludf.DUMMYFUNCTION("IFERROR(GOOGLEFINANCE(A1581, ""volume"") / GOOGLEFINANCE(A1581, ""volumeavg""), )"),"")</f>
        <v/>
      </c>
      <c r="X1581" s="9">
        <f>IFERROR(__xludf.DUMMYFUNCTION("B1581 * GOOGLEFINANCE(A1581, ""volume"")"),2673356.4)</f>
        <v>2673356.4</v>
      </c>
      <c r="Y1581" s="9">
        <f>IFERROR(__xludf.DUMMYFUNCTION("IFERROR(((B1581 - GOOGLEFINANCE(A1581, ""priceopen"")) / GOOGLEFINANCE(A1581, ""priceopen"")) * GOOGLEFINANCE(A1581, ""volume""), 0)"),45.5260081823495)</f>
        <v>45.52600818</v>
      </c>
    </row>
    <row r="1582">
      <c r="A1582" s="4" t="s">
        <v>3374</v>
      </c>
      <c r="B1582" s="7">
        <f>IFERROR(__xludf.DUMMYFUNCTION("GOOGLEFINANCE(A1582, ""price"")"),172.0)</f>
        <v>172</v>
      </c>
      <c r="C1582" s="7">
        <f>IFERROR(__xludf.DUMMYFUNCTION("GOOGLEFINANCE(A1582, ""changepct"")"),-1.13)</f>
        <v>-1.13</v>
      </c>
      <c r="D1582" s="9">
        <f>IFERROR(__xludf.DUMMYFUNCTION("GOOGLEFINANCE(A1582, ""priceopen"")"),177.0)</f>
        <v>177</v>
      </c>
      <c r="E1582" s="9">
        <f>IFERROR(__xludf.DUMMYFUNCTION("GOOGLEFINANCE(A1582, ""high"")"),177.0)</f>
        <v>177</v>
      </c>
      <c r="F1582" s="9">
        <f>IFERROR(__xludf.DUMMYFUNCTION("GOOGLEFINANCE(A1582, ""low"")"),171.0)</f>
        <v>171</v>
      </c>
      <c r="G1582" s="9">
        <f>IFERROR(__xludf.DUMMYFUNCTION("GOOGLEFINANCE(A1582, ""price"")"),172.0)</f>
        <v>172</v>
      </c>
      <c r="H1582" s="9">
        <f>IFERROR(__xludf.DUMMYFUNCTION("MAX(INDEX(GOOGLEFINANCE(A1582, ""high"", TODAY()-30, TODAY()), 0, 2))"),187.58)</f>
        <v>187.58</v>
      </c>
      <c r="I1582" s="9">
        <f>IFERROR(__xludf.DUMMYFUNCTION("MIN(INDEX(GOOGLEFINANCE(A1582, ""low"", TODAY()-30, TODAY()), 0, 2))"),171.0)</f>
        <v>171</v>
      </c>
      <c r="J1582" s="9">
        <f>IFERROR(__xludf.DUMMYFUNCTION("GOOGLEFINANCE(A1582, ""high52"")"),379.0)</f>
        <v>379</v>
      </c>
      <c r="K1582" s="9">
        <f>IFERROR(__xludf.DUMMYFUNCTION("GOOGLEFINANCE(A1582, ""low52"")"),155.38)</f>
        <v>155.38</v>
      </c>
      <c r="L1582" s="9">
        <f t="shared" si="1"/>
        <v>0.5461741425</v>
      </c>
      <c r="M1582" s="9">
        <f t="shared" si="2"/>
        <v>0.1069635732</v>
      </c>
      <c r="N1582" s="9">
        <f t="shared" si="3"/>
        <v>0.0350877193</v>
      </c>
      <c r="O1582" s="9">
        <f t="shared" si="4"/>
        <v>0.06031363088</v>
      </c>
      <c r="P1582" s="9" t="str">
        <f>IFERROR(__xludf.DUMMYFUNCTION("GOOGLEFINANCE(A1582, ""pe"")"),"#N/A")</f>
        <v>#N/A</v>
      </c>
      <c r="Q1582" s="9">
        <f>IFERROR(__xludf.DUMMYFUNCTION("IFERROR(GOOGLEFINANCE(A1582, ""volume"") / GOOGLEFINANCE(A1582, ""volumeavg""), 0)"),0.0)</f>
        <v>0</v>
      </c>
      <c r="R1582" s="9">
        <f>IFERROR(__xludf.DUMMYFUNCTION("AVERAGE(INDEX(GOOGLEFINANCE(A1582, ""price"", TODAY()-30, TODAY()), 0, 2))"),178.2104347826087)</f>
        <v>178.2104348</v>
      </c>
      <c r="S1582" s="9">
        <f>IFERROR(__xludf.DUMMYFUNCTION("AVERAGE(INDEX(GOOGLEFINANCE(A1582, ""price"", TODAY()-75, TODAY()), 0, 2))"),181.14056603773582)</f>
        <v>181.140566</v>
      </c>
      <c r="T1582" s="9">
        <f>IFERROR(__xludf.DUMMYFUNCTION("AVERAGE(INDEX(GOOGLEFINANCE(A1582, ""price"", TODAY()-300, TODAY()), 0, 2))"),215.08698019801983)</f>
        <v>215.0869802</v>
      </c>
      <c r="U1582" s="9">
        <f t="shared" si="5"/>
        <v>-0.03484888407</v>
      </c>
      <c r="V1582" s="15">
        <f>IFERROR(__xludf.DUMMYFUNCTION("LET(hist, GOOGLEFINANCE(A1582,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rs))))))"),42.911153119092624)</f>
        <v>42.91115312</v>
      </c>
      <c r="W1582" s="16" t="str">
        <f>IFERROR(__xludf.DUMMYFUNCTION("IFERROR(GOOGLEFINANCE(A1582, ""volume"") / GOOGLEFINANCE(A1582, ""volumeavg""), )"),"")</f>
        <v/>
      </c>
      <c r="X1582" s="9">
        <f>IFERROR(__xludf.DUMMYFUNCTION("B1582 * GOOGLEFINANCE(A1582, ""volume"")"),4321328.0)</f>
        <v>4321328</v>
      </c>
      <c r="Y1582" s="9">
        <f>IFERROR(__xludf.DUMMYFUNCTION("IFERROR(((B1582 - GOOGLEFINANCE(A1582, ""priceopen"")) / GOOGLEFINANCE(A1582, ""priceopen"")) * GOOGLEFINANCE(A1582, ""volume""), 0)"),-709.7175141242938)</f>
        <v>-709.7175141</v>
      </c>
    </row>
    <row r="1583">
      <c r="A1583" s="4" t="s">
        <v>3375</v>
      </c>
      <c r="B1583" s="7">
        <f>IFERROR(__xludf.DUMMYFUNCTION("GOOGLEFINANCE(A1583, ""price"")"),7.35)</f>
        <v>7.35</v>
      </c>
      <c r="C1583" s="7">
        <f>IFERROR(__xludf.DUMMYFUNCTION("GOOGLEFINANCE(A1583, ""changepct"")"),-2.65)</f>
        <v>-2.65</v>
      </c>
      <c r="D1583" s="9">
        <f>IFERROR(__xludf.DUMMYFUNCTION("GOOGLEFINANCE(A1583, ""priceopen"")"),7.55)</f>
        <v>7.55</v>
      </c>
      <c r="E1583" s="9">
        <f>IFERROR(__xludf.DUMMYFUNCTION("GOOGLEFINANCE(A1583, ""high"")"),7.55)</f>
        <v>7.55</v>
      </c>
      <c r="F1583" s="9">
        <f>IFERROR(__xludf.DUMMYFUNCTION("GOOGLEFINANCE(A1583, ""low"")"),7.32)</f>
        <v>7.32</v>
      </c>
      <c r="G1583" s="9">
        <f>IFERROR(__xludf.DUMMYFUNCTION("GOOGLEFINANCE(A1583, ""price"")"),7.35)</f>
        <v>7.35</v>
      </c>
      <c r="H1583" s="9">
        <f>IFERROR(__xludf.DUMMYFUNCTION("MAX(INDEX(GOOGLEFINANCE(A1583, ""high"", TODAY()-30, TODAY()), 0, 2))"),7.7)</f>
        <v>7.7</v>
      </c>
      <c r="I1583" s="9">
        <f>IFERROR(__xludf.DUMMYFUNCTION("MIN(INDEX(GOOGLEFINANCE(A1583, ""low"", TODAY()-30, TODAY()), 0, 2))"),6.95)</f>
        <v>6.95</v>
      </c>
      <c r="J1583" s="9">
        <f>IFERROR(__xludf.DUMMYFUNCTION("GOOGLEFINANCE(A1583, ""high52"")"),13.31)</f>
        <v>13.31</v>
      </c>
      <c r="K1583" s="9">
        <f>IFERROR(__xludf.DUMMYFUNCTION("GOOGLEFINANCE(A1583, ""low52"")"),6.95)</f>
        <v>6.95</v>
      </c>
      <c r="L1583" s="9">
        <f t="shared" si="1"/>
        <v>0.4477836213</v>
      </c>
      <c r="M1583" s="9">
        <f t="shared" si="2"/>
        <v>0.05755395683</v>
      </c>
      <c r="N1583" s="9">
        <f t="shared" si="3"/>
        <v>0.03142076503</v>
      </c>
      <c r="O1583" s="9">
        <f t="shared" si="4"/>
        <v>0.5333333333</v>
      </c>
      <c r="P1583" s="9">
        <f>IFERROR(__xludf.DUMMYFUNCTION("GOOGLEFINANCE(A1583, ""pe"")"),91.88)</f>
        <v>91.88</v>
      </c>
      <c r="Q1583" s="9">
        <f>IFERROR(__xludf.DUMMYFUNCTION("IFERROR(GOOGLEFINANCE(A1583, ""volume"") / GOOGLEFINANCE(A1583, ""volumeavg""), 0)"),0.0)</f>
        <v>0</v>
      </c>
      <c r="R1583" s="9">
        <f>IFERROR(__xludf.DUMMYFUNCTION("AVERAGE(INDEX(GOOGLEFINANCE(A1583, ""price"", TODAY()-30, TODAY()), 0, 2))"),7.363043478260869)</f>
        <v>7.363043478</v>
      </c>
      <c r="S1583" s="9">
        <f>IFERROR(__xludf.DUMMYFUNCTION("AVERAGE(INDEX(GOOGLEFINANCE(A1583, ""price"", TODAY()-75, TODAY()), 0, 2))"),7.524150943396227)</f>
        <v>7.524150943</v>
      </c>
      <c r="T1583" s="9">
        <f>IFERROR(__xludf.DUMMYFUNCTION("AVERAGE(INDEX(GOOGLEFINANCE(A1583, ""price"", TODAY()-300, TODAY()), 0, 2))"),9.162376237623766)</f>
        <v>9.162376238</v>
      </c>
      <c r="U1583" s="9">
        <f t="shared" si="5"/>
        <v>-0.001771479185</v>
      </c>
      <c r="V1583" s="15">
        <f>IFERROR(__xludf.DUMMYFUNCTION("LET(hist, GOOGLEFINANCE(A1583,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rs))))))"),55.28455284552845)</f>
        <v>55.28455285</v>
      </c>
      <c r="W1583" s="16" t="str">
        <f>IFERROR(__xludf.DUMMYFUNCTION("IFERROR(GOOGLEFINANCE(A1583, ""volume"") / GOOGLEFINANCE(A1583, ""volumeavg""), )"),"")</f>
        <v/>
      </c>
      <c r="X1583" s="9">
        <f>IFERROR(__xludf.DUMMYFUNCTION("B1583 * GOOGLEFINANCE(A1583, ""volume"")"),788375.7)</f>
        <v>788375.7</v>
      </c>
      <c r="Y1583" s="9">
        <f>IFERROR(__xludf.DUMMYFUNCTION("IFERROR(((B1583 - GOOGLEFINANCE(A1583, ""priceopen"")) / GOOGLEFINANCE(A1583, ""priceopen"")) * GOOGLEFINANCE(A1583, ""volume""), 0)"),-2841.3774834437113)</f>
        <v>-2841.377483</v>
      </c>
    </row>
    <row r="1584">
      <c r="A1584" s="4" t="s">
        <v>3376</v>
      </c>
      <c r="B1584" s="7">
        <f>IFERROR(__xludf.DUMMYFUNCTION("GOOGLEFINANCE(A1584, ""price"")"),471.1)</f>
        <v>471.1</v>
      </c>
      <c r="C1584" s="7">
        <f>IFERROR(__xludf.DUMMYFUNCTION("GOOGLEFINANCE(A1584, ""changepct"")"),0.04)</f>
        <v>0.04</v>
      </c>
      <c r="D1584" s="9">
        <f>IFERROR(__xludf.DUMMYFUNCTION("GOOGLEFINANCE(A1584, ""priceopen"")"),465.0)</f>
        <v>465</v>
      </c>
      <c r="E1584" s="9">
        <f>IFERROR(__xludf.DUMMYFUNCTION("GOOGLEFINANCE(A1584, ""high"")"),482.0)</f>
        <v>482</v>
      </c>
      <c r="F1584" s="9">
        <f>IFERROR(__xludf.DUMMYFUNCTION("GOOGLEFINANCE(A1584, ""low"")"),461.1)</f>
        <v>461.1</v>
      </c>
      <c r="G1584" s="9">
        <f>IFERROR(__xludf.DUMMYFUNCTION("GOOGLEFINANCE(A1584, ""price"")"),471.1)</f>
        <v>471.1</v>
      </c>
      <c r="H1584" s="9">
        <f>IFERROR(__xludf.DUMMYFUNCTION("MAX(INDEX(GOOGLEFINANCE(A1584, ""high"", TODAY()-30, TODAY()), 0, 2))"),564.0)</f>
        <v>564</v>
      </c>
      <c r="I1584" s="9">
        <f>IFERROR(__xludf.DUMMYFUNCTION("MIN(INDEX(GOOGLEFINANCE(A1584, ""low"", TODAY()-30, TODAY()), 0, 2))"),449.4)</f>
        <v>449.4</v>
      </c>
      <c r="J1584" s="9">
        <f>IFERROR(__xludf.DUMMYFUNCTION("GOOGLEFINANCE(A1584, ""high52"")"),750.0)</f>
        <v>750</v>
      </c>
      <c r="K1584" s="9">
        <f>IFERROR(__xludf.DUMMYFUNCTION("GOOGLEFINANCE(A1584, ""low52"")"),284.9)</f>
        <v>284.9</v>
      </c>
      <c r="L1584" s="9">
        <f t="shared" si="1"/>
        <v>0.3718666667</v>
      </c>
      <c r="M1584" s="9">
        <f t="shared" si="2"/>
        <v>0.6535626536</v>
      </c>
      <c r="N1584" s="9">
        <f t="shared" si="3"/>
        <v>0.04532639341</v>
      </c>
      <c r="O1584" s="9">
        <f t="shared" si="4"/>
        <v>0.1893542757</v>
      </c>
      <c r="P1584" s="9" t="str">
        <f>IFERROR(__xludf.DUMMYFUNCTION("GOOGLEFINANCE(A1584, ""pe"")"),"#N/A")</f>
        <v>#N/A</v>
      </c>
      <c r="Q1584" s="9">
        <f>IFERROR(__xludf.DUMMYFUNCTION("IFERROR(GOOGLEFINANCE(A1584, ""volume"") / GOOGLEFINANCE(A1584, ""volumeavg""), 0)"),0.0)</f>
        <v>0</v>
      </c>
      <c r="R1584" s="9">
        <f>IFERROR(__xludf.DUMMYFUNCTION("AVERAGE(INDEX(GOOGLEFINANCE(A1584, ""price"", TODAY()-30, TODAY()), 0, 2))"),490.09347826086946)</f>
        <v>490.0934783</v>
      </c>
      <c r="S1584" s="9">
        <f>IFERROR(__xludf.DUMMYFUNCTION("AVERAGE(INDEX(GOOGLEFINANCE(A1584, ""price"", TODAY()-75, TODAY()), 0, 2))"),445.8594339622643)</f>
        <v>445.859434</v>
      </c>
      <c r="T1584" s="9">
        <f>IFERROR(__xludf.DUMMYFUNCTION("AVERAGE(INDEX(GOOGLEFINANCE(A1584, ""price"", TODAY()-300, TODAY()), 0, 2))"),450.5057213930348)</f>
        <v>450.5057214</v>
      </c>
      <c r="U1584" s="9">
        <f t="shared" si="5"/>
        <v>-0.0387548072</v>
      </c>
      <c r="V1584" s="15">
        <f>IFERROR(__xludf.DUMMYFUNCTION("LET(hist, GOOGLEFINANCE(A1584,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rs))))))"),42.543745103160084)</f>
        <v>42.5437451</v>
      </c>
      <c r="W1584" s="16" t="str">
        <f>IFERROR(__xludf.DUMMYFUNCTION("IFERROR(GOOGLEFINANCE(A1584, ""volume"") / GOOGLEFINANCE(A1584, ""volumeavg""), )"),"")</f>
        <v/>
      </c>
      <c r="X1584" s="9">
        <f>IFERROR(__xludf.DUMMYFUNCTION("B1584 * GOOGLEFINANCE(A1584, ""volume"")"),6359378.9)</f>
        <v>6359378.9</v>
      </c>
      <c r="Y1584" s="9">
        <f>IFERROR(__xludf.DUMMYFUNCTION("IFERROR(((B1584 - GOOGLEFINANCE(A1584, ""priceopen"")) / GOOGLEFINANCE(A1584, ""priceopen"")) * GOOGLEFINANCE(A1584, ""volume""), 0)"),177.08365591397916)</f>
        <v>177.0836559</v>
      </c>
    </row>
    <row r="1585">
      <c r="A1585" s="4" t="s">
        <v>3377</v>
      </c>
      <c r="B1585" s="7">
        <f>IFERROR(__xludf.DUMMYFUNCTION("GOOGLEFINANCE(A1585, ""price"")"),302.9)</f>
        <v>302.9</v>
      </c>
      <c r="C1585" s="7">
        <f>IFERROR(__xludf.DUMMYFUNCTION("GOOGLEFINANCE(A1585, ""changepct"")"),0.25)</f>
        <v>0.25</v>
      </c>
      <c r="D1585" s="9">
        <f>IFERROR(__xludf.DUMMYFUNCTION("GOOGLEFINANCE(A1585, ""priceopen"")"),300.05)</f>
        <v>300.05</v>
      </c>
      <c r="E1585" s="9">
        <f>IFERROR(__xludf.DUMMYFUNCTION("GOOGLEFINANCE(A1585, ""high"")"),306.85)</f>
        <v>306.85</v>
      </c>
      <c r="F1585" s="9">
        <f>IFERROR(__xludf.DUMMYFUNCTION("GOOGLEFINANCE(A1585, ""low"")"),295.8)</f>
        <v>295.8</v>
      </c>
      <c r="G1585" s="9">
        <f>IFERROR(__xludf.DUMMYFUNCTION("GOOGLEFINANCE(A1585, ""price"")"),302.9)</f>
        <v>302.9</v>
      </c>
      <c r="H1585" s="9">
        <f>IFERROR(__xludf.DUMMYFUNCTION("MAX(INDEX(GOOGLEFINANCE(A1585, ""high"", TODAY()-30, TODAY()), 0, 2))"),326.0)</f>
        <v>326</v>
      </c>
      <c r="I1585" s="9">
        <f>IFERROR(__xludf.DUMMYFUNCTION("MIN(INDEX(GOOGLEFINANCE(A1585, ""low"", TODAY()-30, TODAY()), 0, 2))"),253.3)</f>
        <v>253.3</v>
      </c>
      <c r="J1585" s="9">
        <f>IFERROR(__xludf.DUMMYFUNCTION("GOOGLEFINANCE(A1585, ""high52"")"),350.0)</f>
        <v>350</v>
      </c>
      <c r="K1585" s="9">
        <f>IFERROR(__xludf.DUMMYFUNCTION("GOOGLEFINANCE(A1585, ""low52"")"),191.35)</f>
        <v>191.35</v>
      </c>
      <c r="L1585" s="9">
        <f t="shared" si="1"/>
        <v>0.1345714286</v>
      </c>
      <c r="M1585" s="9">
        <f t="shared" si="2"/>
        <v>0.5829631565</v>
      </c>
      <c r="N1585" s="9">
        <f t="shared" si="3"/>
        <v>0.03735632184</v>
      </c>
      <c r="O1585" s="9">
        <f t="shared" si="4"/>
        <v>0.6822558459</v>
      </c>
      <c r="P1585" s="9">
        <f>IFERROR(__xludf.DUMMYFUNCTION("GOOGLEFINANCE(A1585, ""pe"")"),27.64)</f>
        <v>27.64</v>
      </c>
      <c r="Q1585" s="9">
        <f>IFERROR(__xludf.DUMMYFUNCTION("IFERROR(GOOGLEFINANCE(A1585, ""volume"") / GOOGLEFINANCE(A1585, ""volumeavg""), 0)"),0.0)</f>
        <v>0</v>
      </c>
      <c r="R1585" s="9">
        <f>IFERROR(__xludf.DUMMYFUNCTION("AVERAGE(INDEX(GOOGLEFINANCE(A1585, ""price"", TODAY()-30, TODAY()), 0, 2))"),274.7369565217391)</f>
        <v>274.7369565</v>
      </c>
      <c r="S1585" s="9">
        <f>IFERROR(__xludf.DUMMYFUNCTION("AVERAGE(INDEX(GOOGLEFINANCE(A1585, ""price"", TODAY()-75, TODAY()), 0, 2))"),263.26886792452825)</f>
        <v>263.2688679</v>
      </c>
      <c r="T1585" s="9">
        <f>IFERROR(__xludf.DUMMYFUNCTION("AVERAGE(INDEX(GOOGLEFINANCE(A1585, ""price"", TODAY()-300, TODAY()), 0, 2))"),258.29846534653495)</f>
        <v>258.2984653</v>
      </c>
      <c r="U1585" s="9">
        <f t="shared" si="5"/>
        <v>0.1025091194</v>
      </c>
      <c r="V1585" s="15">
        <f>IFERROR(__xludf.DUMMYFUNCTION("LET(hist, GOOGLEFINANCE(A1585,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rs))))))"),66.92986530422665)</f>
        <v>66.9298653</v>
      </c>
      <c r="W1585" s="16" t="str">
        <f>IFERROR(__xludf.DUMMYFUNCTION("IFERROR(GOOGLEFINANCE(A1585, ""volume"") / GOOGLEFINANCE(A1585, ""volumeavg""), )"),"")</f>
        <v/>
      </c>
      <c r="X1585" s="9">
        <f>IFERROR(__xludf.DUMMYFUNCTION("B1585 * GOOGLEFINANCE(A1585, ""volume"")"),3.6554880699999996E7)</f>
        <v>36554880.7</v>
      </c>
      <c r="Y1585" s="9">
        <f>IFERROR(__xludf.DUMMYFUNCTION("IFERROR(((B1585 - GOOGLEFINANCE(A1585, ""priceopen"")) / GOOGLEFINANCE(A1585, ""priceopen"")) * GOOGLEFINANCE(A1585, ""volume""), 0)"),1146.2974504249155)</f>
        <v>1146.29745</v>
      </c>
    </row>
    <row r="1586">
      <c r="A1586" s="4" t="s">
        <v>3378</v>
      </c>
      <c r="B1586" s="7">
        <f>IFERROR(__xludf.DUMMYFUNCTION("GOOGLEFINANCE(A1586, ""price"")"),521.0)</f>
        <v>521</v>
      </c>
      <c r="C1586" s="7">
        <f>IFERROR(__xludf.DUMMYFUNCTION("GOOGLEFINANCE(A1586, ""changepct"")"),-0.9)</f>
        <v>-0.9</v>
      </c>
      <c r="D1586" s="9">
        <f>IFERROR(__xludf.DUMMYFUNCTION("GOOGLEFINANCE(A1586, ""priceopen"")"),520.65)</f>
        <v>520.65</v>
      </c>
      <c r="E1586" s="9">
        <f>IFERROR(__xludf.DUMMYFUNCTION("GOOGLEFINANCE(A1586, ""high"")"),530.45)</f>
        <v>530.45</v>
      </c>
      <c r="F1586" s="9">
        <f>IFERROR(__xludf.DUMMYFUNCTION("GOOGLEFINANCE(A1586, ""low"")"),516.0)</f>
        <v>516</v>
      </c>
      <c r="G1586" s="9">
        <f>IFERROR(__xludf.DUMMYFUNCTION("GOOGLEFINANCE(A1586, ""price"")"),521.0)</f>
        <v>521</v>
      </c>
      <c r="H1586" s="9">
        <f>IFERROR(__xludf.DUMMYFUNCTION("MAX(INDEX(GOOGLEFINANCE(A1586, ""high"", TODAY()-30, TODAY()), 0, 2))"),578.0)</f>
        <v>578</v>
      </c>
      <c r="I1586" s="9">
        <f>IFERROR(__xludf.DUMMYFUNCTION("MIN(INDEX(GOOGLEFINANCE(A1586, ""low"", TODAY()-30, TODAY()), 0, 2))"),476.4)</f>
        <v>476.4</v>
      </c>
      <c r="J1586" s="9">
        <f>IFERROR(__xludf.DUMMYFUNCTION("GOOGLEFINANCE(A1586, ""high52"")"),609.95)</f>
        <v>609.95</v>
      </c>
      <c r="K1586" s="9">
        <f>IFERROR(__xludf.DUMMYFUNCTION("GOOGLEFINANCE(A1586, ""low52"")"),417.0)</f>
        <v>417</v>
      </c>
      <c r="L1586" s="9">
        <f t="shared" si="1"/>
        <v>0.1458316255</v>
      </c>
      <c r="M1586" s="9">
        <f t="shared" si="2"/>
        <v>0.2494004796</v>
      </c>
      <c r="N1586" s="9">
        <f t="shared" si="3"/>
        <v>0.02800387597</v>
      </c>
      <c r="O1586" s="9">
        <f t="shared" si="4"/>
        <v>0.438976378</v>
      </c>
      <c r="P1586" s="9">
        <f>IFERROR(__xludf.DUMMYFUNCTION("GOOGLEFINANCE(A1586, ""pe"")"),14.37)</f>
        <v>14.37</v>
      </c>
      <c r="Q1586" s="9">
        <f>IFERROR(__xludf.DUMMYFUNCTION("IFERROR(GOOGLEFINANCE(A1586, ""volume"") / GOOGLEFINANCE(A1586, ""volumeavg""), 0)"),0.0)</f>
        <v>0</v>
      </c>
      <c r="R1586" s="9">
        <f>IFERROR(__xludf.DUMMYFUNCTION("AVERAGE(INDEX(GOOGLEFINANCE(A1586, ""price"", TODAY()-30, TODAY()), 0, 2))"),509.58478260869566)</f>
        <v>509.5847826</v>
      </c>
      <c r="S1586" s="9">
        <f>IFERROR(__xludf.DUMMYFUNCTION("AVERAGE(INDEX(GOOGLEFINANCE(A1586, ""price"", TODAY()-75, TODAY()), 0, 2))"),483.8981132075469)</f>
        <v>483.8981132</v>
      </c>
      <c r="T1586" s="9">
        <f>IFERROR(__xludf.DUMMYFUNCTION("AVERAGE(INDEX(GOOGLEFINANCE(A1586, ""price"", TODAY()-300, TODAY()), 0, 2))"),483.9977722772278)</f>
        <v>483.9977723</v>
      </c>
      <c r="U1586" s="9">
        <f t="shared" si="5"/>
        <v>0.02240101703</v>
      </c>
      <c r="V1586" s="15">
        <f>IFERROR(__xludf.DUMMYFUNCTION("LET(hist, GOOGLEFINANCE(A1586,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rs))))))"),57.62764632627647)</f>
        <v>57.62764633</v>
      </c>
      <c r="W1586" s="16" t="str">
        <f>IFERROR(__xludf.DUMMYFUNCTION("IFERROR(GOOGLEFINANCE(A1586, ""volume"") / GOOGLEFINANCE(A1586, ""volumeavg""), )"),"")</f>
        <v/>
      </c>
      <c r="X1586" s="9">
        <f>IFERROR(__xludf.DUMMYFUNCTION("B1586 * GOOGLEFINANCE(A1586, ""volume"")"),6154573.0)</f>
        <v>6154573</v>
      </c>
      <c r="Y1586" s="9">
        <f>IFERROR(__xludf.DUMMYFUNCTION("IFERROR(((B1586 - GOOGLEFINANCE(A1586, ""priceopen"")) / GOOGLEFINANCE(A1586, ""priceopen"")) * GOOGLEFINANCE(A1586, ""volume""), 0)"),7.941131278210446)</f>
        <v>7.941131278</v>
      </c>
    </row>
    <row r="1587">
      <c r="A1587" s="4" t="s">
        <v>3379</v>
      </c>
      <c r="B1587" s="7">
        <f>IFERROR(__xludf.DUMMYFUNCTION("GOOGLEFINANCE(A1587, ""price"")"),32.0)</f>
        <v>32</v>
      </c>
      <c r="C1587" s="7">
        <f>IFERROR(__xludf.DUMMYFUNCTION("GOOGLEFINANCE(A1587, ""changepct"")"),3.03)</f>
        <v>3.03</v>
      </c>
      <c r="D1587" s="9">
        <f>IFERROR(__xludf.DUMMYFUNCTION("GOOGLEFINANCE(A1587, ""priceopen"")"),32.6)</f>
        <v>32.6</v>
      </c>
      <c r="E1587" s="9">
        <f>IFERROR(__xludf.DUMMYFUNCTION("GOOGLEFINANCE(A1587, ""high"")"),32.6)</f>
        <v>32.6</v>
      </c>
      <c r="F1587" s="9">
        <f>IFERROR(__xludf.DUMMYFUNCTION("GOOGLEFINANCE(A1587, ""low"")"),30.0)</f>
        <v>30</v>
      </c>
      <c r="G1587" s="9">
        <f>IFERROR(__xludf.DUMMYFUNCTION("GOOGLEFINANCE(A1587, ""price"")"),32.0)</f>
        <v>32</v>
      </c>
      <c r="H1587" s="9">
        <f>IFERROR(__xludf.DUMMYFUNCTION("MAX(INDEX(GOOGLEFINANCE(A1587, ""high"", TODAY()-30, TODAY()), 0, 2))"),32.6)</f>
        <v>32.6</v>
      </c>
      <c r="I1587" s="9">
        <f>IFERROR(__xludf.DUMMYFUNCTION("MIN(INDEX(GOOGLEFINANCE(A1587, ""low"", TODAY()-30, TODAY()), 0, 2))"),27.55)</f>
        <v>27.55</v>
      </c>
      <c r="J1587" s="9">
        <f>IFERROR(__xludf.DUMMYFUNCTION("GOOGLEFINANCE(A1587, ""high52"")"),51.16)</f>
        <v>51.16</v>
      </c>
      <c r="K1587" s="9">
        <f>IFERROR(__xludf.DUMMYFUNCTION("GOOGLEFINANCE(A1587, ""low52"")"),20.6)</f>
        <v>20.6</v>
      </c>
      <c r="L1587" s="9">
        <f t="shared" si="1"/>
        <v>0.374511337</v>
      </c>
      <c r="M1587" s="9">
        <f t="shared" si="2"/>
        <v>0.5533980583</v>
      </c>
      <c r="N1587" s="9">
        <f t="shared" si="3"/>
        <v>0.08666666667</v>
      </c>
      <c r="O1587" s="9">
        <f t="shared" si="4"/>
        <v>0.8811881188</v>
      </c>
      <c r="P1587" s="9">
        <f>IFERROR(__xludf.DUMMYFUNCTION("GOOGLEFINANCE(A1587, ""pe"")"),29.91)</f>
        <v>29.91</v>
      </c>
      <c r="Q1587" s="9">
        <f>IFERROR(__xludf.DUMMYFUNCTION("IFERROR(GOOGLEFINANCE(A1587, ""volume"") / GOOGLEFINANCE(A1587, ""volumeavg""), 0)"),0.0)</f>
        <v>0</v>
      </c>
      <c r="R1587" s="9">
        <f>IFERROR(__xludf.DUMMYFUNCTION("AVERAGE(INDEX(GOOGLEFINANCE(A1587, ""price"", TODAY()-30, TODAY()), 0, 2))"),29.95217391304348)</f>
        <v>29.95217391</v>
      </c>
      <c r="S1587" s="9">
        <f>IFERROR(__xludf.DUMMYFUNCTION("AVERAGE(INDEX(GOOGLEFINANCE(A1587, ""price"", TODAY()-75, TODAY()), 0, 2))"),31.511132075471693)</f>
        <v>31.51113208</v>
      </c>
      <c r="T1587" s="9">
        <f>IFERROR(__xludf.DUMMYFUNCTION("AVERAGE(INDEX(GOOGLEFINANCE(A1587, ""price"", TODAY()-300, TODAY()), 0, 2))"),31.448366336633644)</f>
        <v>31.44836634</v>
      </c>
      <c r="U1587" s="9">
        <f t="shared" si="5"/>
        <v>0.068369865</v>
      </c>
      <c r="V1587" s="15">
        <f>IFERROR(__xludf.DUMMYFUNCTION("LET(hist, GOOGLEFINANCE(A1587,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rs))))))"),63.862068965517224)</f>
        <v>63.86206897</v>
      </c>
      <c r="W1587" s="16" t="str">
        <f>IFERROR(__xludf.DUMMYFUNCTION("IFERROR(GOOGLEFINANCE(A1587, ""volume"") / GOOGLEFINANCE(A1587, ""volumeavg""), )"),"")</f>
        <v/>
      </c>
      <c r="X1587" s="9">
        <f>IFERROR(__xludf.DUMMYFUNCTION("B1587 * GOOGLEFINANCE(A1587, ""volume"")"),2839360.0)</f>
        <v>2839360</v>
      </c>
      <c r="Y1587" s="9">
        <f>IFERROR(__xludf.DUMMYFUNCTION("IFERROR(((B1587 - GOOGLEFINANCE(A1587, ""priceopen"")) / GOOGLEFINANCE(A1587, ""priceopen"")) * GOOGLEFINANCE(A1587, ""volume""), 0)"),-1633.0674846625805)</f>
        <v>-1633.067485</v>
      </c>
    </row>
    <row r="1588">
      <c r="A1588" s="4" t="s">
        <v>3380</v>
      </c>
      <c r="B1588" s="7">
        <f>IFERROR(__xludf.DUMMYFUNCTION("GOOGLEFINANCE(A1588, ""price"")"),33.99)</f>
        <v>33.99</v>
      </c>
      <c r="C1588" s="7">
        <f>IFERROR(__xludf.DUMMYFUNCTION("GOOGLEFINANCE(A1588, ""changepct"")"),-1.36)</f>
        <v>-1.36</v>
      </c>
      <c r="D1588" s="9">
        <f>IFERROR(__xludf.DUMMYFUNCTION("GOOGLEFINANCE(A1588, ""priceopen"")"),35.73)</f>
        <v>35.73</v>
      </c>
      <c r="E1588" s="9">
        <f>IFERROR(__xludf.DUMMYFUNCTION("GOOGLEFINANCE(A1588, ""high"")"),35.73)</f>
        <v>35.73</v>
      </c>
      <c r="F1588" s="9">
        <f>IFERROR(__xludf.DUMMYFUNCTION("GOOGLEFINANCE(A1588, ""low"")"),33.61)</f>
        <v>33.61</v>
      </c>
      <c r="G1588" s="9">
        <f>IFERROR(__xludf.DUMMYFUNCTION("GOOGLEFINANCE(A1588, ""price"")"),33.99)</f>
        <v>33.99</v>
      </c>
      <c r="H1588" s="9">
        <f>IFERROR(__xludf.DUMMYFUNCTION("MAX(INDEX(GOOGLEFINANCE(A1588, ""high"", TODAY()-30, TODAY()), 0, 2))"),37.62)</f>
        <v>37.62</v>
      </c>
      <c r="I1588" s="9">
        <f>IFERROR(__xludf.DUMMYFUNCTION("MIN(INDEX(GOOGLEFINANCE(A1588, ""low"", TODAY()-30, TODAY()), 0, 2))"),26.65)</f>
        <v>26.65</v>
      </c>
      <c r="J1588" s="9">
        <f>IFERROR(__xludf.DUMMYFUNCTION("GOOGLEFINANCE(A1588, ""high52"")"),39.41)</f>
        <v>39.41</v>
      </c>
      <c r="K1588" s="9">
        <f>IFERROR(__xludf.DUMMYFUNCTION("GOOGLEFINANCE(A1588, ""low52"")"),18.49)</f>
        <v>18.49</v>
      </c>
      <c r="L1588" s="9">
        <f t="shared" si="1"/>
        <v>0.1375285461</v>
      </c>
      <c r="M1588" s="9">
        <f t="shared" si="2"/>
        <v>0.8382909681</v>
      </c>
      <c r="N1588" s="9">
        <f t="shared" si="3"/>
        <v>0.06307646534</v>
      </c>
      <c r="O1588" s="9">
        <f t="shared" si="4"/>
        <v>0.6690975387</v>
      </c>
      <c r="P1588" s="9" t="str">
        <f>IFERROR(__xludf.DUMMYFUNCTION("GOOGLEFINANCE(A1588, ""pe"")"),"#N/A")</f>
        <v>#N/A</v>
      </c>
      <c r="Q1588" s="9">
        <f>IFERROR(__xludf.DUMMYFUNCTION("IFERROR(GOOGLEFINANCE(A1588, ""volume"") / GOOGLEFINANCE(A1588, ""volumeavg""), 0)"),0.0)</f>
        <v>0</v>
      </c>
      <c r="R1588" s="9">
        <f>IFERROR(__xludf.DUMMYFUNCTION("AVERAGE(INDEX(GOOGLEFINANCE(A1588, ""price"", TODAY()-30, TODAY()), 0, 2))"),29.423913043478255)</f>
        <v>29.42391304</v>
      </c>
      <c r="S1588" s="9">
        <f>IFERROR(__xludf.DUMMYFUNCTION("AVERAGE(INDEX(GOOGLEFINANCE(A1588, ""price"", TODAY()-75, TODAY()), 0, 2))"),29.548867924528313)</f>
        <v>29.54886792</v>
      </c>
      <c r="T1588" s="9">
        <f>IFERROR(__xludf.DUMMYFUNCTION("AVERAGE(INDEX(GOOGLEFINANCE(A1588, ""price"", TODAY()-300, TODAY()), 0, 2))"),30.749900990099007)</f>
        <v>30.74990099</v>
      </c>
      <c r="U1588" s="9">
        <f t="shared" si="5"/>
        <v>0.1551828593</v>
      </c>
      <c r="V1588" s="15">
        <f>IFERROR(__xludf.DUMMYFUNCTION("LET(hist, GOOGLEFINANCE(A1588,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rs))))))"),81.80019782393666)</f>
        <v>81.80019782</v>
      </c>
      <c r="W1588" s="16" t="str">
        <f>IFERROR(__xludf.DUMMYFUNCTION("IFERROR(GOOGLEFINANCE(A1588, ""volume"") / GOOGLEFINANCE(A1588, ""volumeavg""), )"),"")</f>
        <v/>
      </c>
      <c r="X1588" s="9">
        <f>IFERROR(__xludf.DUMMYFUNCTION("B1588 * GOOGLEFINANCE(A1588, ""volume"")"),3.381233427E7)</f>
        <v>33812334.27</v>
      </c>
      <c r="Y1588" s="9">
        <f>IFERROR(__xludf.DUMMYFUNCTION("IFERROR(((B1588 - GOOGLEFINANCE(A1588, ""priceopen"")) / GOOGLEFINANCE(A1588, ""priceopen"")) * GOOGLEFINANCE(A1588, ""volume""), 0)"),-48444.02518891674)</f>
        <v>-48444.02519</v>
      </c>
    </row>
    <row r="1589">
      <c r="A1589" s="4" t="s">
        <v>3381</v>
      </c>
      <c r="B1589" s="7">
        <f>IFERROR(__xludf.DUMMYFUNCTION("GOOGLEFINANCE(A1589, ""price"")"),91.97)</f>
        <v>91.97</v>
      </c>
      <c r="C1589" s="7">
        <f>IFERROR(__xludf.DUMMYFUNCTION("GOOGLEFINANCE(A1589, ""changepct"")"),0.39)</f>
        <v>0.39</v>
      </c>
      <c r="D1589" s="9">
        <f>IFERROR(__xludf.DUMMYFUNCTION("GOOGLEFINANCE(A1589, ""priceopen"")"),91.97)</f>
        <v>91.97</v>
      </c>
      <c r="E1589" s="9">
        <f>IFERROR(__xludf.DUMMYFUNCTION("GOOGLEFINANCE(A1589, ""high"")"),92.89)</f>
        <v>92.89</v>
      </c>
      <c r="F1589" s="9">
        <f>IFERROR(__xludf.DUMMYFUNCTION("GOOGLEFINANCE(A1589, ""low"")"),91.1)</f>
        <v>91.1</v>
      </c>
      <c r="G1589" s="9">
        <f>IFERROR(__xludf.DUMMYFUNCTION("GOOGLEFINANCE(A1589, ""price"")"),91.97)</f>
        <v>91.97</v>
      </c>
      <c r="H1589" s="9">
        <f>IFERROR(__xludf.DUMMYFUNCTION("MAX(INDEX(GOOGLEFINANCE(A1589, ""high"", TODAY()-30, TODAY()), 0, 2))"),108.16)</f>
        <v>108.16</v>
      </c>
      <c r="I1589" s="9">
        <f>IFERROR(__xludf.DUMMYFUNCTION("MIN(INDEX(GOOGLEFINANCE(A1589, ""low"", TODAY()-30, TODAY()), 0, 2))"),85.71)</f>
        <v>85.71</v>
      </c>
      <c r="J1589" s="9">
        <f>IFERROR(__xludf.DUMMYFUNCTION("GOOGLEFINANCE(A1589, ""high52"")"),108.16)</f>
        <v>108.16</v>
      </c>
      <c r="K1589" s="9">
        <f>IFERROR(__xludf.DUMMYFUNCTION("GOOGLEFINANCE(A1589, ""low52"")"),55.2)</f>
        <v>55.2</v>
      </c>
      <c r="L1589" s="9">
        <f t="shared" si="1"/>
        <v>0.1496856509</v>
      </c>
      <c r="M1589" s="9">
        <f t="shared" si="2"/>
        <v>0.6661231884</v>
      </c>
      <c r="N1589" s="9">
        <f t="shared" si="3"/>
        <v>0.01964873765</v>
      </c>
      <c r="O1589" s="9">
        <f t="shared" si="4"/>
        <v>0.2788418708</v>
      </c>
      <c r="P1589" s="9">
        <f>IFERROR(__xludf.DUMMYFUNCTION("GOOGLEFINANCE(A1589, ""pe"")"),7.56)</f>
        <v>7.56</v>
      </c>
      <c r="Q1589" s="9">
        <f>IFERROR(__xludf.DUMMYFUNCTION("IFERROR(GOOGLEFINANCE(A1589, ""volume"") / GOOGLEFINANCE(A1589, ""volumeavg""), 0)"),0.0)</f>
        <v>0</v>
      </c>
      <c r="R1589" s="9">
        <f>IFERROR(__xludf.DUMMYFUNCTION("AVERAGE(INDEX(GOOGLEFINANCE(A1589, ""price"", TODAY()-30, TODAY()), 0, 2))"),94.01)</f>
        <v>94.01</v>
      </c>
      <c r="S1589" s="9">
        <f>IFERROR(__xludf.DUMMYFUNCTION("AVERAGE(INDEX(GOOGLEFINANCE(A1589, ""price"", TODAY()-75, TODAY()), 0, 2))"),88.26830188679246)</f>
        <v>88.26830189</v>
      </c>
      <c r="T1589" s="9">
        <f>IFERROR(__xludf.DUMMYFUNCTION("AVERAGE(INDEX(GOOGLEFINANCE(A1589, ""price"", TODAY()-300, TODAY()), 0, 2))"),73.80368159203982)</f>
        <v>73.80368159</v>
      </c>
      <c r="U1589" s="9">
        <f t="shared" si="5"/>
        <v>-0.02169981917</v>
      </c>
      <c r="V1589" s="15">
        <f>IFERROR(__xludf.DUMMYFUNCTION("LET(hist, GOOGLEFINANCE(A1589,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rs))))))"),54.36037678517166)</f>
        <v>54.36037679</v>
      </c>
      <c r="W1589" s="16" t="str">
        <f>IFERROR(__xludf.DUMMYFUNCTION("IFERROR(GOOGLEFINANCE(A1589, ""volume"") / GOOGLEFINANCE(A1589, ""volumeavg""), )"),"")</f>
        <v/>
      </c>
      <c r="X1589" s="9">
        <f>IFERROR(__xludf.DUMMYFUNCTION("B1589 * GOOGLEFINANCE(A1589, ""volume"")"),1288499.7)</f>
        <v>1288499.7</v>
      </c>
      <c r="Y1589" s="9">
        <f>IFERROR(__xludf.DUMMYFUNCTION("IFERROR(((B1589 - GOOGLEFINANCE(A1589, ""priceopen"")) / GOOGLEFINANCE(A1589, ""priceopen"")) * GOOGLEFINANCE(A1589, ""volume""), 0)"),0.0)</f>
        <v>0</v>
      </c>
    </row>
    <row r="1590">
      <c r="A1590" s="4" t="s">
        <v>3382</v>
      </c>
      <c r="B1590" s="7">
        <f>IFERROR(__xludf.DUMMYFUNCTION("GOOGLEFINANCE(A1590, ""price"")"),13.6)</f>
        <v>13.6</v>
      </c>
      <c r="C1590" s="7">
        <f>IFERROR(__xludf.DUMMYFUNCTION("GOOGLEFINANCE(A1590, ""changepct"")"),-2.65)</f>
        <v>-2.65</v>
      </c>
      <c r="D1590" s="9">
        <f>IFERROR(__xludf.DUMMYFUNCTION("GOOGLEFINANCE(A1590, ""priceopen"")"),13.77)</f>
        <v>13.77</v>
      </c>
      <c r="E1590" s="9">
        <f>IFERROR(__xludf.DUMMYFUNCTION("GOOGLEFINANCE(A1590, ""high"")"),14.0)</f>
        <v>14</v>
      </c>
      <c r="F1590" s="9">
        <f>IFERROR(__xludf.DUMMYFUNCTION("GOOGLEFINANCE(A1590, ""low"")"),13.3)</f>
        <v>13.3</v>
      </c>
      <c r="G1590" s="9">
        <f>IFERROR(__xludf.DUMMYFUNCTION("GOOGLEFINANCE(A1590, ""price"")"),13.6)</f>
        <v>13.6</v>
      </c>
      <c r="H1590" s="9">
        <f>IFERROR(__xludf.DUMMYFUNCTION("MAX(INDEX(GOOGLEFINANCE(A1590, ""high"", TODAY()-30, TODAY()), 0, 2))"),14.4)</f>
        <v>14.4</v>
      </c>
      <c r="I1590" s="9">
        <f>IFERROR(__xludf.DUMMYFUNCTION("MIN(INDEX(GOOGLEFINANCE(A1590, ""low"", TODAY()-30, TODAY()), 0, 2))"),11.5)</f>
        <v>11.5</v>
      </c>
      <c r="J1590" s="9">
        <f>IFERROR(__xludf.DUMMYFUNCTION("GOOGLEFINANCE(A1590, ""high52"")"),14.58)</f>
        <v>14.58</v>
      </c>
      <c r="K1590" s="9">
        <f>IFERROR(__xludf.DUMMYFUNCTION("GOOGLEFINANCE(A1590, ""low52"")"),6.61)</f>
        <v>6.61</v>
      </c>
      <c r="L1590" s="9">
        <f t="shared" si="1"/>
        <v>0.06721536351</v>
      </c>
      <c r="M1590" s="9">
        <f t="shared" si="2"/>
        <v>1.057488654</v>
      </c>
      <c r="N1590" s="9">
        <f t="shared" si="3"/>
        <v>0.05263157895</v>
      </c>
      <c r="O1590" s="9">
        <f t="shared" si="4"/>
        <v>0.724137931</v>
      </c>
      <c r="P1590" s="9">
        <f>IFERROR(__xludf.DUMMYFUNCTION("GOOGLEFINANCE(A1590, ""pe"")"),25.61)</f>
        <v>25.61</v>
      </c>
      <c r="Q1590" s="9">
        <f>IFERROR(__xludf.DUMMYFUNCTION("IFERROR(GOOGLEFINANCE(A1590, ""volume"") / GOOGLEFINANCE(A1590, ""volumeavg""), 0)"),0.0)</f>
        <v>0</v>
      </c>
      <c r="R1590" s="9">
        <f>IFERROR(__xludf.DUMMYFUNCTION("AVERAGE(INDEX(GOOGLEFINANCE(A1590, ""price"", TODAY()-30, TODAY()), 0, 2))"),13.047826086956524)</f>
        <v>13.04782609</v>
      </c>
      <c r="S1590" s="9">
        <f>IFERROR(__xludf.DUMMYFUNCTION("AVERAGE(INDEX(GOOGLEFINANCE(A1590, ""price"", TODAY()-75, TODAY()), 0, 2))"),12.064716981132076)</f>
        <v>12.06471698</v>
      </c>
      <c r="T1590" s="9">
        <f>IFERROR(__xludf.DUMMYFUNCTION("AVERAGE(INDEX(GOOGLEFINANCE(A1590, ""price"", TODAY()-300, TODAY()), 0, 2))"),10.967227722772273)</f>
        <v>10.96722772</v>
      </c>
      <c r="U1590" s="9">
        <f t="shared" si="5"/>
        <v>0.04231922692</v>
      </c>
      <c r="V1590" s="15">
        <f>IFERROR(__xludf.DUMMYFUNCTION("LET(hist, GOOGLEFINANCE(A1590,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rs))))))"),62.36323851203502)</f>
        <v>62.36323851</v>
      </c>
      <c r="W1590" s="16" t="str">
        <f>IFERROR(__xludf.DUMMYFUNCTION("IFERROR(GOOGLEFINANCE(A1590, ""volume"") / GOOGLEFINANCE(A1590, ""volumeavg""), )"),"")</f>
        <v/>
      </c>
      <c r="X1590" s="9">
        <f>IFERROR(__xludf.DUMMYFUNCTION("B1590 * GOOGLEFINANCE(A1590, ""volume"")"),1.4982072799999999E7)</f>
        <v>14982072.8</v>
      </c>
      <c r="Y1590" s="9">
        <f>IFERROR(__xludf.DUMMYFUNCTION("IFERROR(((B1590 - GOOGLEFINANCE(A1590, ""priceopen"")) / GOOGLEFINANCE(A1590, ""priceopen"")) * GOOGLEFINANCE(A1590, ""volume""), 0)"),-13600.283950617279)</f>
        <v>-13600.28395</v>
      </c>
    </row>
    <row r="1591">
      <c r="A1591" s="4" t="s">
        <v>3383</v>
      </c>
      <c r="B1591" s="7">
        <f>IFERROR(__xludf.DUMMYFUNCTION("GOOGLEFINANCE(A1591, ""price"")"),15.35)</f>
        <v>15.35</v>
      </c>
      <c r="C1591" s="7">
        <f>IFERROR(__xludf.DUMMYFUNCTION("GOOGLEFINANCE(A1591, ""changepct"")"),-1.35)</f>
        <v>-1.35</v>
      </c>
      <c r="D1591" s="9">
        <f>IFERROR(__xludf.DUMMYFUNCTION("GOOGLEFINANCE(A1591, ""priceopen"")"),15.94)</f>
        <v>15.94</v>
      </c>
      <c r="E1591" s="9">
        <f>IFERROR(__xludf.DUMMYFUNCTION("GOOGLEFINANCE(A1591, ""high"")"),15.94)</f>
        <v>15.94</v>
      </c>
      <c r="F1591" s="9">
        <f>IFERROR(__xludf.DUMMYFUNCTION("GOOGLEFINANCE(A1591, ""low"")"),15.12)</f>
        <v>15.12</v>
      </c>
      <c r="G1591" s="9">
        <f>IFERROR(__xludf.DUMMYFUNCTION("GOOGLEFINANCE(A1591, ""price"")"),15.35)</f>
        <v>15.35</v>
      </c>
      <c r="H1591" s="9">
        <f>IFERROR(__xludf.DUMMYFUNCTION("MAX(INDEX(GOOGLEFINANCE(A1591, ""high"", TODAY()-30, TODAY()), 0, 2))"),17.78)</f>
        <v>17.78</v>
      </c>
      <c r="I1591" s="9">
        <f>IFERROR(__xludf.DUMMYFUNCTION("MIN(INDEX(GOOGLEFINANCE(A1591, ""low"", TODAY()-30, TODAY()), 0, 2))"),14.4)</f>
        <v>14.4</v>
      </c>
      <c r="J1591" s="9">
        <f>IFERROR(__xludf.DUMMYFUNCTION("GOOGLEFINANCE(A1591, ""high52"")"),28.87)</f>
        <v>28.87</v>
      </c>
      <c r="K1591" s="9">
        <f>IFERROR(__xludf.DUMMYFUNCTION("GOOGLEFINANCE(A1591, ""low52"")"),12.76)</f>
        <v>12.76</v>
      </c>
      <c r="L1591" s="9">
        <f t="shared" si="1"/>
        <v>0.4683062002</v>
      </c>
      <c r="M1591" s="9">
        <f t="shared" si="2"/>
        <v>0.2029780564</v>
      </c>
      <c r="N1591" s="9">
        <f t="shared" si="3"/>
        <v>0.05423280423</v>
      </c>
      <c r="O1591" s="9">
        <f t="shared" si="4"/>
        <v>0.2810650888</v>
      </c>
      <c r="P1591" s="9">
        <f>IFERROR(__xludf.DUMMYFUNCTION("GOOGLEFINANCE(A1591, ""pe"")"),107.83)</f>
        <v>107.83</v>
      </c>
      <c r="Q1591" s="9">
        <f>IFERROR(__xludf.DUMMYFUNCTION("IFERROR(GOOGLEFINANCE(A1591, ""volume"") / GOOGLEFINANCE(A1591, ""volumeavg""), 0)"),0.0)</f>
        <v>0</v>
      </c>
      <c r="R1591" s="9">
        <f>IFERROR(__xludf.DUMMYFUNCTION("AVERAGE(INDEX(GOOGLEFINANCE(A1591, ""price"", TODAY()-30, TODAY()), 0, 2))"),15.945217391304348)</f>
        <v>15.94521739</v>
      </c>
      <c r="S1591" s="9">
        <f>IFERROR(__xludf.DUMMYFUNCTION("AVERAGE(INDEX(GOOGLEFINANCE(A1591, ""price"", TODAY()-75, TODAY()), 0, 2))"),15.780377358490561)</f>
        <v>15.78037736</v>
      </c>
      <c r="T1591" s="9">
        <f>IFERROR(__xludf.DUMMYFUNCTION("AVERAGE(INDEX(GOOGLEFINANCE(A1591, ""price"", TODAY()-300, TODAY()), 0, 2))"),17.172920792079214)</f>
        <v>17.17292079</v>
      </c>
      <c r="U1591" s="9">
        <f t="shared" si="5"/>
        <v>-0.03732889786</v>
      </c>
      <c r="V1591" s="15">
        <f>IFERROR(__xludf.DUMMYFUNCTION("LET(hist, GOOGLEFINANCE(A1591,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rs))))))"),32.1608040201005)</f>
        <v>32.16080402</v>
      </c>
      <c r="W1591" s="16" t="str">
        <f>IFERROR(__xludf.DUMMYFUNCTION("IFERROR(GOOGLEFINANCE(A1591, ""volume"") / GOOGLEFINANCE(A1591, ""volumeavg""), )"),"")</f>
        <v/>
      </c>
      <c r="X1591" s="9">
        <f>IFERROR(__xludf.DUMMYFUNCTION("B1591 * GOOGLEFINANCE(A1591, ""volume"")"),2565645.05)</f>
        <v>2565645.05</v>
      </c>
      <c r="Y1591" s="9">
        <f>IFERROR(__xludf.DUMMYFUNCTION("IFERROR(((B1591 - GOOGLEFINANCE(A1591, ""priceopen"")) / GOOGLEFINANCE(A1591, ""priceopen"")) * GOOGLEFINANCE(A1591, ""volume""), 0)"),-6186.597867001254)</f>
        <v>-6186.597867</v>
      </c>
    </row>
    <row r="1592">
      <c r="A1592" s="4" t="s">
        <v>3384</v>
      </c>
      <c r="B1592" s="7">
        <f>IFERROR(__xludf.DUMMYFUNCTION("GOOGLEFINANCE(A1592, ""price"")"),498.0)</f>
        <v>498</v>
      </c>
      <c r="C1592" s="7">
        <f>IFERROR(__xludf.DUMMYFUNCTION("GOOGLEFINANCE(A1592, ""changepct"")"),-1.0)</f>
        <v>-1</v>
      </c>
      <c r="D1592" s="9">
        <f>IFERROR(__xludf.DUMMYFUNCTION("GOOGLEFINANCE(A1592, ""priceopen"")"),503.05)</f>
        <v>503.05</v>
      </c>
      <c r="E1592" s="9">
        <f>IFERROR(__xludf.DUMMYFUNCTION("GOOGLEFINANCE(A1592, ""high"")"),520.0)</f>
        <v>520</v>
      </c>
      <c r="F1592" s="9">
        <f>IFERROR(__xludf.DUMMYFUNCTION("GOOGLEFINANCE(A1592, ""low"")"),482.1)</f>
        <v>482.1</v>
      </c>
      <c r="G1592" s="9">
        <f>IFERROR(__xludf.DUMMYFUNCTION("GOOGLEFINANCE(A1592, ""price"")"),498.0)</f>
        <v>498</v>
      </c>
      <c r="H1592" s="9">
        <f>IFERROR(__xludf.DUMMYFUNCTION("MAX(INDEX(GOOGLEFINANCE(A1592, ""high"", TODAY()-30, TODAY()), 0, 2))"),520.0)</f>
        <v>520</v>
      </c>
      <c r="I1592" s="9">
        <f>IFERROR(__xludf.DUMMYFUNCTION("MIN(INDEX(GOOGLEFINANCE(A1592, ""low"", TODAY()-30, TODAY()), 0, 2))"),403.3)</f>
        <v>403.3</v>
      </c>
      <c r="J1592" s="9">
        <f>IFERROR(__xludf.DUMMYFUNCTION("GOOGLEFINANCE(A1592, ""high52"")"),520.0)</f>
        <v>520</v>
      </c>
      <c r="K1592" s="9">
        <f>IFERROR(__xludf.DUMMYFUNCTION("GOOGLEFINANCE(A1592, ""low52"")"),237.05)</f>
        <v>237.05</v>
      </c>
      <c r="L1592" s="9">
        <f t="shared" si="1"/>
        <v>0.04230769231</v>
      </c>
      <c r="M1592" s="9">
        <f t="shared" si="2"/>
        <v>1.100822611</v>
      </c>
      <c r="N1592" s="9">
        <f t="shared" si="3"/>
        <v>0.07861439535</v>
      </c>
      <c r="O1592" s="9">
        <f t="shared" si="4"/>
        <v>0.8114824336</v>
      </c>
      <c r="P1592" s="9">
        <f>IFERROR(__xludf.DUMMYFUNCTION("GOOGLEFINANCE(A1592, ""pe"")"),55.78)</f>
        <v>55.78</v>
      </c>
      <c r="Q1592" s="9">
        <f>IFERROR(__xludf.DUMMYFUNCTION("IFERROR(GOOGLEFINANCE(A1592, ""volume"") / GOOGLEFINANCE(A1592, ""volumeavg""), 0)"),0.0)</f>
        <v>0</v>
      </c>
      <c r="R1592" s="9">
        <f>IFERROR(__xludf.DUMMYFUNCTION("AVERAGE(INDEX(GOOGLEFINANCE(A1592, ""price"", TODAY()-30, TODAY()), 0, 2))"),441.895652173913)</f>
        <v>441.8956522</v>
      </c>
      <c r="S1592" s="9">
        <f>IFERROR(__xludf.DUMMYFUNCTION("AVERAGE(INDEX(GOOGLEFINANCE(A1592, ""price"", TODAY()-75, TODAY()), 0, 2))"),416.74622641509427)</f>
        <v>416.7462264</v>
      </c>
      <c r="T1592" s="9">
        <f>IFERROR(__xludf.DUMMYFUNCTION("AVERAGE(INDEX(GOOGLEFINANCE(A1592, ""price"", TODAY()-300, TODAY()), 0, 2))"),362.1495049504951)</f>
        <v>362.149505</v>
      </c>
      <c r="U1592" s="9">
        <f t="shared" si="5"/>
        <v>0.1269628872</v>
      </c>
      <c r="V1592" s="15">
        <f>IFERROR(__xludf.DUMMYFUNCTION("LET(hist, GOOGLEFINANCE(A1592,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rs))))))"),71.98720227515109)</f>
        <v>71.98720228</v>
      </c>
      <c r="W1592" s="16" t="str">
        <f>IFERROR(__xludf.DUMMYFUNCTION("IFERROR(GOOGLEFINANCE(A1592, ""volume"") / GOOGLEFINANCE(A1592, ""volumeavg""), )"),"")</f>
        <v/>
      </c>
      <c r="X1592" s="9">
        <f>IFERROR(__xludf.DUMMYFUNCTION("B1592 * GOOGLEFINANCE(A1592, ""volume"")"),6845508.0)</f>
        <v>6845508</v>
      </c>
      <c r="Y1592" s="9">
        <f>IFERROR(__xludf.DUMMYFUNCTION("IFERROR(((B1592 - GOOGLEFINANCE(A1592, ""priceopen"")) / GOOGLEFINANCE(A1592, ""priceopen"")) * GOOGLEFINANCE(A1592, ""volume""), 0)"),-137.99284365371267)</f>
        <v>-137.9928437</v>
      </c>
    </row>
    <row r="1593">
      <c r="A1593" s="4" t="s">
        <v>3385</v>
      </c>
      <c r="B1593" s="7">
        <f>IFERROR(__xludf.DUMMYFUNCTION("GOOGLEFINANCE(A1593, ""price"")"),211.1)</f>
        <v>211.1</v>
      </c>
      <c r="C1593" s="7">
        <f>IFERROR(__xludf.DUMMYFUNCTION("GOOGLEFINANCE(A1593, ""changepct"")"),-1.49)</f>
        <v>-1.49</v>
      </c>
      <c r="D1593" s="9">
        <f>IFERROR(__xludf.DUMMYFUNCTION("GOOGLEFINANCE(A1593, ""priceopen"")"),214.95)</f>
        <v>214.95</v>
      </c>
      <c r="E1593" s="9">
        <f>IFERROR(__xludf.DUMMYFUNCTION("GOOGLEFINANCE(A1593, ""high"")"),221.0)</f>
        <v>221</v>
      </c>
      <c r="F1593" s="9">
        <f>IFERROR(__xludf.DUMMYFUNCTION("GOOGLEFINANCE(A1593, ""low"")"),208.5)</f>
        <v>208.5</v>
      </c>
      <c r="G1593" s="9">
        <f>IFERROR(__xludf.DUMMYFUNCTION("GOOGLEFINANCE(A1593, ""price"")"),211.1)</f>
        <v>211.1</v>
      </c>
      <c r="H1593" s="9">
        <f>IFERROR(__xludf.DUMMYFUNCTION("MAX(INDEX(GOOGLEFINANCE(A1593, ""high"", TODAY()-30, TODAY()), 0, 2))"),241.35)</f>
        <v>241.35</v>
      </c>
      <c r="I1593" s="9">
        <f>IFERROR(__xludf.DUMMYFUNCTION("MIN(INDEX(GOOGLEFINANCE(A1593, ""low"", TODAY()-30, TODAY()), 0, 2))"),208.5)</f>
        <v>208.5</v>
      </c>
      <c r="J1593" s="9">
        <f>IFERROR(__xludf.DUMMYFUNCTION("GOOGLEFINANCE(A1593, ""high52"")"),260.25)</f>
        <v>260.25</v>
      </c>
      <c r="K1593" s="9">
        <f>IFERROR(__xludf.DUMMYFUNCTION("GOOGLEFINANCE(A1593, ""low52"")"),147.26)</f>
        <v>147.26</v>
      </c>
      <c r="L1593" s="9">
        <f t="shared" si="1"/>
        <v>0.1888568684</v>
      </c>
      <c r="M1593" s="9">
        <f t="shared" si="2"/>
        <v>0.4335189461</v>
      </c>
      <c r="N1593" s="9">
        <f t="shared" si="3"/>
        <v>0.05995203837</v>
      </c>
      <c r="O1593" s="9">
        <f t="shared" si="4"/>
        <v>0.07914764079</v>
      </c>
      <c r="P1593" s="9">
        <f>IFERROR(__xludf.DUMMYFUNCTION("GOOGLEFINANCE(A1593, ""pe"")"),11.66)</f>
        <v>11.66</v>
      </c>
      <c r="Q1593" s="9">
        <f>IFERROR(__xludf.DUMMYFUNCTION("IFERROR(GOOGLEFINANCE(A1593, ""volume"") / GOOGLEFINANCE(A1593, ""volumeavg""), 0)"),0.0)</f>
        <v>0</v>
      </c>
      <c r="R1593" s="9">
        <f>IFERROR(__xludf.DUMMYFUNCTION("AVERAGE(INDEX(GOOGLEFINANCE(A1593, ""price"", TODAY()-30, TODAY()), 0, 2))"),222.8043478260869)</f>
        <v>222.8043478</v>
      </c>
      <c r="S1593" s="9">
        <f>IFERROR(__xludf.DUMMYFUNCTION("AVERAGE(INDEX(GOOGLEFINANCE(A1593, ""price"", TODAY()-75, TODAY()), 0, 2))"),219.1628301886793)</f>
        <v>219.1628302</v>
      </c>
      <c r="T1593" s="9">
        <f>IFERROR(__xludf.DUMMYFUNCTION("AVERAGE(INDEX(GOOGLEFINANCE(A1593, ""price"", TODAY()-300, TODAY()), 0, 2))"),203.85381188118802)</f>
        <v>203.8538119</v>
      </c>
      <c r="U1593" s="9">
        <f t="shared" si="5"/>
        <v>-0.05253195434</v>
      </c>
      <c r="V1593" s="15">
        <f>IFERROR(__xludf.DUMMYFUNCTION("LET(hist, GOOGLEFINANCE(A1593,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rs))))))"),38.005345806882744)</f>
        <v>38.00534581</v>
      </c>
      <c r="W1593" s="16" t="str">
        <f>IFERROR(__xludf.DUMMYFUNCTION("IFERROR(GOOGLEFINANCE(A1593, ""volume"") / GOOGLEFINANCE(A1593, ""volumeavg""), )"),"")</f>
        <v/>
      </c>
      <c r="X1593" s="9">
        <f>IFERROR(__xludf.DUMMYFUNCTION("B1593 * GOOGLEFINANCE(A1593, ""volume"")"),1783583.9)</f>
        <v>1783583.9</v>
      </c>
      <c r="Y1593" s="9">
        <f>IFERROR(__xludf.DUMMYFUNCTION("IFERROR(((B1593 - GOOGLEFINANCE(A1593, ""priceopen"")) / GOOGLEFINANCE(A1593, ""priceopen"")) * GOOGLEFINANCE(A1593, ""volume""), 0)"),-151.3312398232145)</f>
        <v>-151.3312398</v>
      </c>
    </row>
    <row r="1594">
      <c r="A1594" s="4" t="s">
        <v>3386</v>
      </c>
      <c r="B1594" s="7">
        <f>IFERROR(__xludf.DUMMYFUNCTION("GOOGLEFINANCE(A1594, ""price"")"),1835.0)</f>
        <v>1835</v>
      </c>
      <c r="C1594" s="7">
        <f>IFERROR(__xludf.DUMMYFUNCTION("GOOGLEFINANCE(A1594, ""changepct"")"),1.91)</f>
        <v>1.91</v>
      </c>
      <c r="D1594" s="9">
        <f>IFERROR(__xludf.DUMMYFUNCTION("GOOGLEFINANCE(A1594, ""priceopen"")"),1790.0)</f>
        <v>1790</v>
      </c>
      <c r="E1594" s="9">
        <f>IFERROR(__xludf.DUMMYFUNCTION("GOOGLEFINANCE(A1594, ""high"")"),1880.0)</f>
        <v>1880</v>
      </c>
      <c r="F1594" s="9">
        <f>IFERROR(__xludf.DUMMYFUNCTION("GOOGLEFINANCE(A1594, ""low"")"),1790.0)</f>
        <v>1790</v>
      </c>
      <c r="G1594" s="9">
        <f>IFERROR(__xludf.DUMMYFUNCTION("GOOGLEFINANCE(A1594, ""price"")"),1835.0)</f>
        <v>1835</v>
      </c>
      <c r="H1594" s="9">
        <f>IFERROR(__xludf.DUMMYFUNCTION("MAX(INDEX(GOOGLEFINANCE(A1594, ""high"", TODAY()-30, TODAY()), 0, 2))"),1980.0)</f>
        <v>1980</v>
      </c>
      <c r="I1594" s="9">
        <f>IFERROR(__xludf.DUMMYFUNCTION("MIN(INDEX(GOOGLEFINANCE(A1594, ""low"", TODAY()-30, TODAY()), 0, 2))"),1710.0)</f>
        <v>1710</v>
      </c>
      <c r="J1594" s="9">
        <f>IFERROR(__xludf.DUMMYFUNCTION("GOOGLEFINANCE(A1594, ""high52"")"),1980.0)</f>
        <v>1980</v>
      </c>
      <c r="K1594" s="9">
        <f>IFERROR(__xludf.DUMMYFUNCTION("GOOGLEFINANCE(A1594, ""low52"")"),865.0)</f>
        <v>865</v>
      </c>
      <c r="L1594" s="9">
        <f t="shared" si="1"/>
        <v>0.07323232323</v>
      </c>
      <c r="M1594" s="9">
        <f t="shared" si="2"/>
        <v>1.121387283</v>
      </c>
      <c r="N1594" s="9">
        <f t="shared" si="3"/>
        <v>0.05027932961</v>
      </c>
      <c r="O1594" s="9">
        <f t="shared" si="4"/>
        <v>0.462962963</v>
      </c>
      <c r="P1594" s="9">
        <f>IFERROR(__xludf.DUMMYFUNCTION("GOOGLEFINANCE(A1594, ""pe"")"),217.67)</f>
        <v>217.67</v>
      </c>
      <c r="Q1594" s="9">
        <f>IFERROR(__xludf.DUMMYFUNCTION("IFERROR(GOOGLEFINANCE(A1594, ""volume"") / GOOGLEFINANCE(A1594, ""volumeavg""), 0)"),0.0)</f>
        <v>0</v>
      </c>
      <c r="R1594" s="9">
        <f>IFERROR(__xludf.DUMMYFUNCTION("AVERAGE(INDEX(GOOGLEFINANCE(A1594, ""price"", TODAY()-30, TODAY()), 0, 2))"),1850.6238095238098)</f>
        <v>1850.62381</v>
      </c>
      <c r="S1594" s="9">
        <f>IFERROR(__xludf.DUMMYFUNCTION("AVERAGE(INDEX(GOOGLEFINANCE(A1594, ""price"", TODAY()-75, TODAY()), 0, 2))"),1811.8599999999994)</f>
        <v>1811.86</v>
      </c>
      <c r="T1594" s="9">
        <f>IFERROR(__xludf.DUMMYFUNCTION("AVERAGE(INDEX(GOOGLEFINANCE(A1594, ""price"", TODAY()-300, TODAY()), 0, 2))"),1461.1821428571432)</f>
        <v>1461.182143</v>
      </c>
      <c r="U1594" s="9">
        <f t="shared" si="5"/>
        <v>-0.008442455697</v>
      </c>
      <c r="V1594" s="15">
        <f>IFERROR(__xludf.DUMMYFUNCTION("LET(hist, GOOGLEFINANCE(A1594,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rs))))))"),42.69874970511913)</f>
        <v>42.69874971</v>
      </c>
      <c r="W1594" s="16" t="str">
        <f>IFERROR(__xludf.DUMMYFUNCTION("IFERROR(GOOGLEFINANCE(A1594, ""volume"") / GOOGLEFINANCE(A1594, ""volumeavg""), )"),"")</f>
        <v/>
      </c>
      <c r="X1594" s="9">
        <f>IFERROR(__xludf.DUMMYFUNCTION("B1594 * GOOGLEFINANCE(A1594, ""volume"")"),262405.0)</f>
        <v>262405</v>
      </c>
      <c r="Y1594" s="9">
        <f>IFERROR(__xludf.DUMMYFUNCTION("IFERROR(((B1594 - GOOGLEFINANCE(A1594, ""priceopen"")) / GOOGLEFINANCE(A1594, ""priceopen"")) * GOOGLEFINANCE(A1594, ""volume""), 0)"),3.594972067039106)</f>
        <v>3.594972067</v>
      </c>
    </row>
    <row r="1595">
      <c r="A1595" s="4" t="s">
        <v>3387</v>
      </c>
      <c r="B1595" s="7">
        <f>IFERROR(__xludf.DUMMYFUNCTION("GOOGLEFINANCE(A1595, ""price"")"),41.6)</f>
        <v>41.6</v>
      </c>
      <c r="C1595" s="7">
        <f>IFERROR(__xludf.DUMMYFUNCTION("GOOGLEFINANCE(A1595, ""changepct"")"),-0.19)</f>
        <v>-0.19</v>
      </c>
      <c r="D1595" s="9">
        <f>IFERROR(__xludf.DUMMYFUNCTION("GOOGLEFINANCE(A1595, ""priceopen"")"),41.48)</f>
        <v>41.48</v>
      </c>
      <c r="E1595" s="9">
        <f>IFERROR(__xludf.DUMMYFUNCTION("GOOGLEFINANCE(A1595, ""high"")"),42.22)</f>
        <v>42.22</v>
      </c>
      <c r="F1595" s="9">
        <f>IFERROR(__xludf.DUMMYFUNCTION("GOOGLEFINANCE(A1595, ""low"")"),41.13)</f>
        <v>41.13</v>
      </c>
      <c r="G1595" s="9">
        <f>IFERROR(__xludf.DUMMYFUNCTION("GOOGLEFINANCE(A1595, ""price"")"),41.6)</f>
        <v>41.6</v>
      </c>
      <c r="H1595" s="9">
        <f>IFERROR(__xludf.DUMMYFUNCTION("MAX(INDEX(GOOGLEFINANCE(A1595, ""high"", TODAY()-30, TODAY()), 0, 2))"),46.3)</f>
        <v>46.3</v>
      </c>
      <c r="I1595" s="9">
        <f>IFERROR(__xludf.DUMMYFUNCTION("MIN(INDEX(GOOGLEFINANCE(A1595, ""low"", TODAY()-30, TODAY()), 0, 2))"),36.07)</f>
        <v>36.07</v>
      </c>
      <c r="J1595" s="9">
        <f>IFERROR(__xludf.DUMMYFUNCTION("GOOGLEFINANCE(A1595, ""high52"")"),53.09)</f>
        <v>53.09</v>
      </c>
      <c r="K1595" s="9">
        <f>IFERROR(__xludf.DUMMYFUNCTION("GOOGLEFINANCE(A1595, ""low52"")"),32.13)</f>
        <v>32.13</v>
      </c>
      <c r="L1595" s="9">
        <f t="shared" si="1"/>
        <v>0.2164249388</v>
      </c>
      <c r="M1595" s="9">
        <f t="shared" si="2"/>
        <v>0.2947401183</v>
      </c>
      <c r="N1595" s="9">
        <f t="shared" si="3"/>
        <v>0.02650133722</v>
      </c>
      <c r="O1595" s="9">
        <f t="shared" si="4"/>
        <v>0.5405669599</v>
      </c>
      <c r="P1595" s="9">
        <f>IFERROR(__xludf.DUMMYFUNCTION("GOOGLEFINANCE(A1595, ""pe"")"),51.73)</f>
        <v>51.73</v>
      </c>
      <c r="Q1595" s="9">
        <f>IFERROR(__xludf.DUMMYFUNCTION("IFERROR(GOOGLEFINANCE(A1595, ""volume"") / GOOGLEFINANCE(A1595, ""volumeavg""), 0)"),0.0)</f>
        <v>0</v>
      </c>
      <c r="R1595" s="9">
        <f>IFERROR(__xludf.DUMMYFUNCTION("AVERAGE(INDEX(GOOGLEFINANCE(A1595, ""price"", TODAY()-30, TODAY()), 0, 2))"),41.60391304347826)</f>
        <v>41.60391304</v>
      </c>
      <c r="S1595" s="9">
        <f>IFERROR(__xludf.DUMMYFUNCTION("AVERAGE(INDEX(GOOGLEFINANCE(A1595, ""price"", TODAY()-75, TODAY()), 0, 2))"),42.944528301886784)</f>
        <v>42.9445283</v>
      </c>
      <c r="T1595" s="9">
        <f>IFERROR(__xludf.DUMMYFUNCTION("AVERAGE(INDEX(GOOGLEFINANCE(A1595, ""price"", TODAY()-300, TODAY()), 0, 2))"),41.06676616915425)</f>
        <v>41.06676617</v>
      </c>
      <c r="U1595" s="9">
        <f t="shared" si="5"/>
        <v>-0.00009405469803</v>
      </c>
      <c r="V1595" s="15">
        <f>IFERROR(__xludf.DUMMYFUNCTION("LET(hist, GOOGLEFINANCE(A1595,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rs))))))"),47.23458359821997)</f>
        <v>47.2345836</v>
      </c>
      <c r="W1595" s="16" t="str">
        <f>IFERROR(__xludf.DUMMYFUNCTION("IFERROR(GOOGLEFINANCE(A1595, ""volume"") / GOOGLEFINANCE(A1595, ""volumeavg""), )"),"")</f>
        <v/>
      </c>
      <c r="X1595" s="9">
        <f>IFERROR(__xludf.DUMMYFUNCTION("B1595 * GOOGLEFINANCE(A1595, ""volume"")"),2.84178752E7)</f>
        <v>28417875.2</v>
      </c>
      <c r="Y1595" s="9">
        <f>IFERROR(__xludf.DUMMYFUNCTION("IFERROR(((B1595 - GOOGLEFINANCE(A1595, ""priceopen"")) / GOOGLEFINANCE(A1595, ""priceopen"")) * GOOGLEFINANCE(A1595, ""volume""), 0)"),1976.244937319265)</f>
        <v>1976.244937</v>
      </c>
    </row>
    <row r="1596">
      <c r="A1596" s="4" t="s">
        <v>3388</v>
      </c>
      <c r="B1596" s="7">
        <f>IFERROR(__xludf.DUMMYFUNCTION("GOOGLEFINANCE(A1596, ""price"")"),86.0)</f>
        <v>86</v>
      </c>
      <c r="C1596" s="7">
        <f>IFERROR(__xludf.DUMMYFUNCTION("GOOGLEFINANCE(A1596, ""changepct"")"),0.17)</f>
        <v>0.17</v>
      </c>
      <c r="D1596" s="9">
        <f>IFERROR(__xludf.DUMMYFUNCTION("GOOGLEFINANCE(A1596, ""priceopen"")"),86.0)</f>
        <v>86</v>
      </c>
      <c r="E1596" s="9">
        <f>IFERROR(__xludf.DUMMYFUNCTION("GOOGLEFINANCE(A1596, ""high"")"),86.79)</f>
        <v>86.79</v>
      </c>
      <c r="F1596" s="9">
        <f>IFERROR(__xludf.DUMMYFUNCTION("GOOGLEFINANCE(A1596, ""low"")"),84.12)</f>
        <v>84.12</v>
      </c>
      <c r="G1596" s="9">
        <f>IFERROR(__xludf.DUMMYFUNCTION("GOOGLEFINANCE(A1596, ""price"")"),86.0)</f>
        <v>86</v>
      </c>
      <c r="H1596" s="9">
        <f>IFERROR(__xludf.DUMMYFUNCTION("MAX(INDEX(GOOGLEFINANCE(A1596, ""high"", TODAY()-30, TODAY()), 0, 2))"),88.8)</f>
        <v>88.8</v>
      </c>
      <c r="I1596" s="9">
        <f>IFERROR(__xludf.DUMMYFUNCTION("MIN(INDEX(GOOGLEFINANCE(A1596, ""low"", TODAY()-30, TODAY()), 0, 2))"),73.2)</f>
        <v>73.2</v>
      </c>
      <c r="J1596" s="9">
        <f>IFERROR(__xludf.DUMMYFUNCTION("GOOGLEFINANCE(A1596, ""high52"")"),122.09)</f>
        <v>122.09</v>
      </c>
      <c r="K1596" s="9">
        <f>IFERROR(__xludf.DUMMYFUNCTION("GOOGLEFINANCE(A1596, ""low52"")"),65.01)</f>
        <v>65.01</v>
      </c>
      <c r="L1596" s="9">
        <f t="shared" si="1"/>
        <v>0.2956016054</v>
      </c>
      <c r="M1596" s="9">
        <f t="shared" si="2"/>
        <v>0.3228734041</v>
      </c>
      <c r="N1596" s="9">
        <f t="shared" si="3"/>
        <v>0.0317403709</v>
      </c>
      <c r="O1596" s="9">
        <f t="shared" si="4"/>
        <v>0.8205128205</v>
      </c>
      <c r="P1596" s="9">
        <f>IFERROR(__xludf.DUMMYFUNCTION("GOOGLEFINANCE(A1596, ""pe"")"),17.89)</f>
        <v>17.89</v>
      </c>
      <c r="Q1596" s="9">
        <f>IFERROR(__xludf.DUMMYFUNCTION("IFERROR(GOOGLEFINANCE(A1596, ""volume"") / GOOGLEFINANCE(A1596, ""volumeavg""), 0)"),0.0)</f>
        <v>0</v>
      </c>
      <c r="R1596" s="9">
        <f>IFERROR(__xludf.DUMMYFUNCTION("AVERAGE(INDEX(GOOGLEFINANCE(A1596, ""price"", TODAY()-30, TODAY()), 0, 2))"),79.27086956521737)</f>
        <v>79.27086957</v>
      </c>
      <c r="S1596" s="9">
        <f>IFERROR(__xludf.DUMMYFUNCTION("AVERAGE(INDEX(GOOGLEFINANCE(A1596, ""price"", TODAY()-75, TODAY()), 0, 2))"),77.19981132075473)</f>
        <v>77.19981132</v>
      </c>
      <c r="T1596" s="9">
        <f>IFERROR(__xludf.DUMMYFUNCTION("AVERAGE(INDEX(GOOGLEFINANCE(A1596, ""price"", TODAY()-300, TODAY()), 0, 2))"),85.91522388059701)</f>
        <v>85.91522388</v>
      </c>
      <c r="U1596" s="9">
        <f t="shared" si="5"/>
        <v>0.084887809</v>
      </c>
      <c r="V1596" s="15">
        <f>IFERROR(__xludf.DUMMYFUNCTION("LET(hist, GOOGLEFINANCE(A1596,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rs))))))"),65.01668520578416)</f>
        <v>65.01668521</v>
      </c>
      <c r="W1596" s="16" t="str">
        <f>IFERROR(__xludf.DUMMYFUNCTION("IFERROR(GOOGLEFINANCE(A1596, ""volume"") / GOOGLEFINANCE(A1596, ""volumeavg""), )"),"")</f>
        <v/>
      </c>
      <c r="X1596" s="9">
        <f>IFERROR(__xludf.DUMMYFUNCTION("B1596 * GOOGLEFINANCE(A1596, ""volume"")"),1.3810052E7)</f>
        <v>13810052</v>
      </c>
      <c r="Y1596" s="9">
        <f>IFERROR(__xludf.DUMMYFUNCTION("IFERROR(((B1596 - GOOGLEFINANCE(A1596, ""priceopen"")) / GOOGLEFINANCE(A1596, ""priceopen"")) * GOOGLEFINANCE(A1596, ""volume""), 0)"),0.0)</f>
        <v>0</v>
      </c>
    </row>
    <row r="1597">
      <c r="A1597" s="4" t="s">
        <v>3389</v>
      </c>
      <c r="B1597" s="7">
        <f>IFERROR(__xludf.DUMMYFUNCTION("GOOGLEFINANCE(A1597, ""price"")"),130.63)</f>
        <v>130.63</v>
      </c>
      <c r="C1597" s="7">
        <f>IFERROR(__xludf.DUMMYFUNCTION("GOOGLEFINANCE(A1597, ""changepct"")"),-2.08)</f>
        <v>-2.08</v>
      </c>
      <c r="D1597" s="9">
        <f>IFERROR(__xludf.DUMMYFUNCTION("GOOGLEFINANCE(A1597, ""priceopen"")"),132.63)</f>
        <v>132.63</v>
      </c>
      <c r="E1597" s="9">
        <f>IFERROR(__xludf.DUMMYFUNCTION("GOOGLEFINANCE(A1597, ""high"")"),134.8)</f>
        <v>134.8</v>
      </c>
      <c r="F1597" s="9">
        <f>IFERROR(__xludf.DUMMYFUNCTION("GOOGLEFINANCE(A1597, ""low"")"),130.0)</f>
        <v>130</v>
      </c>
      <c r="G1597" s="9">
        <f>IFERROR(__xludf.DUMMYFUNCTION("GOOGLEFINANCE(A1597, ""price"")"),130.63)</f>
        <v>130.63</v>
      </c>
      <c r="H1597" s="9">
        <f>IFERROR(__xludf.DUMMYFUNCTION("MAX(INDEX(GOOGLEFINANCE(A1597, ""high"", TODAY()-30, TODAY()), 0, 2))"),154.0)</f>
        <v>154</v>
      </c>
      <c r="I1597" s="9">
        <f>IFERROR(__xludf.DUMMYFUNCTION("MIN(INDEX(GOOGLEFINANCE(A1597, ""low"", TODAY()-30, TODAY()), 0, 2))"),130.0)</f>
        <v>130</v>
      </c>
      <c r="J1597" s="9">
        <f>IFERROR(__xludf.DUMMYFUNCTION("GOOGLEFINANCE(A1597, ""high52"")"),154.0)</f>
        <v>154</v>
      </c>
      <c r="K1597" s="9">
        <f>IFERROR(__xludf.DUMMYFUNCTION("GOOGLEFINANCE(A1597, ""low52"")"),98.0)</f>
        <v>98</v>
      </c>
      <c r="L1597" s="9">
        <f t="shared" si="1"/>
        <v>0.1517532468</v>
      </c>
      <c r="M1597" s="9">
        <f t="shared" si="2"/>
        <v>0.3329591837</v>
      </c>
      <c r="N1597" s="9">
        <f t="shared" si="3"/>
        <v>0.03692307692</v>
      </c>
      <c r="O1597" s="9">
        <f t="shared" si="4"/>
        <v>0.02625</v>
      </c>
      <c r="P1597" s="9">
        <f>IFERROR(__xludf.DUMMYFUNCTION("GOOGLEFINANCE(A1597, ""pe"")"),13.44)</f>
        <v>13.44</v>
      </c>
      <c r="Q1597" s="9">
        <f>IFERROR(__xludf.DUMMYFUNCTION("IFERROR(GOOGLEFINANCE(A1597, ""volume"") / GOOGLEFINANCE(A1597, ""volumeavg""), 0)"),0.0)</f>
        <v>0</v>
      </c>
      <c r="R1597" s="9">
        <f>IFERROR(__xludf.DUMMYFUNCTION("AVERAGE(INDEX(GOOGLEFINANCE(A1597, ""price"", TODAY()-30, TODAY()), 0, 2))"),136.04434782608695)</f>
        <v>136.0443478</v>
      </c>
      <c r="S1597" s="9">
        <f>IFERROR(__xludf.DUMMYFUNCTION("AVERAGE(INDEX(GOOGLEFINANCE(A1597, ""price"", TODAY()-75, TODAY()), 0, 2))"),131.03169811320754)</f>
        <v>131.0316981</v>
      </c>
      <c r="T1597" s="9">
        <f>IFERROR(__xludf.DUMMYFUNCTION("AVERAGE(INDEX(GOOGLEFINANCE(A1597, ""price"", TODAY()-300, TODAY()), 0, 2))"),127.22396039603969)</f>
        <v>127.2239604</v>
      </c>
      <c r="U1597" s="9">
        <f t="shared" si="5"/>
        <v>-0.03979840333</v>
      </c>
      <c r="V1597" s="15">
        <f>IFERROR(__xludf.DUMMYFUNCTION("LET(hist, GOOGLEFINANCE(A1597,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rs))))))"),41.921647126108084)</f>
        <v>41.92164713</v>
      </c>
      <c r="W1597" s="16" t="str">
        <f>IFERROR(__xludf.DUMMYFUNCTION("IFERROR(GOOGLEFINANCE(A1597, ""volume"") / GOOGLEFINANCE(A1597, ""volumeavg""), )"),"")</f>
        <v/>
      </c>
      <c r="X1597" s="9">
        <f>IFERROR(__xludf.DUMMYFUNCTION("B1597 * GOOGLEFINANCE(A1597, ""volume"")"),4357033.02)</f>
        <v>4357033.02</v>
      </c>
      <c r="Y1597" s="9">
        <f>IFERROR(__xludf.DUMMYFUNCTION("IFERROR(((B1597 - GOOGLEFINANCE(A1597, ""priceopen"")) / GOOGLEFINANCE(A1597, ""priceopen"")) * GOOGLEFINANCE(A1597, ""volume""), 0)"),-502.9631305134585)</f>
        <v>-502.9631305</v>
      </c>
    </row>
    <row r="1598">
      <c r="A1598" s="4" t="s">
        <v>3390</v>
      </c>
      <c r="B1598" s="7">
        <f>IFERROR(__xludf.DUMMYFUNCTION("GOOGLEFINANCE(A1598, ""price"")"),287.7)</f>
        <v>287.7</v>
      </c>
      <c r="C1598" s="7">
        <f>IFERROR(__xludf.DUMMYFUNCTION("GOOGLEFINANCE(A1598, ""changepct"")"),0.88)</f>
        <v>0.88</v>
      </c>
      <c r="D1598" s="9">
        <f>IFERROR(__xludf.DUMMYFUNCTION("GOOGLEFINANCE(A1598, ""priceopen"")"),285.2)</f>
        <v>285.2</v>
      </c>
      <c r="E1598" s="9">
        <f>IFERROR(__xludf.DUMMYFUNCTION("GOOGLEFINANCE(A1598, ""high"")"),292.0)</f>
        <v>292</v>
      </c>
      <c r="F1598" s="9">
        <f>IFERROR(__xludf.DUMMYFUNCTION("GOOGLEFINANCE(A1598, ""low"")"),274.0)</f>
        <v>274</v>
      </c>
      <c r="G1598" s="9">
        <f>IFERROR(__xludf.DUMMYFUNCTION("GOOGLEFINANCE(A1598, ""price"")"),287.7)</f>
        <v>287.7</v>
      </c>
      <c r="H1598" s="9">
        <f>IFERROR(__xludf.DUMMYFUNCTION("MAX(INDEX(GOOGLEFINANCE(A1598, ""high"", TODAY()-30, TODAY()), 0, 2))"),307.95)</f>
        <v>307.95</v>
      </c>
      <c r="I1598" s="9">
        <f>IFERROR(__xludf.DUMMYFUNCTION("MIN(INDEX(GOOGLEFINANCE(A1598, ""low"", TODAY()-30, TODAY()), 0, 2))"),274.0)</f>
        <v>274</v>
      </c>
      <c r="J1598" s="9">
        <f>IFERROR(__xludf.DUMMYFUNCTION("GOOGLEFINANCE(A1598, ""high52"")"),470.0)</f>
        <v>470</v>
      </c>
      <c r="K1598" s="9">
        <f>IFERROR(__xludf.DUMMYFUNCTION("GOOGLEFINANCE(A1598, ""low52"")"),274.0)</f>
        <v>274</v>
      </c>
      <c r="L1598" s="9">
        <f t="shared" si="1"/>
        <v>0.3878723404</v>
      </c>
      <c r="M1598" s="9">
        <f t="shared" si="2"/>
        <v>0.05</v>
      </c>
      <c r="N1598" s="9">
        <f t="shared" si="3"/>
        <v>0.06569343066</v>
      </c>
      <c r="O1598" s="9">
        <f t="shared" si="4"/>
        <v>0.4035346097</v>
      </c>
      <c r="P1598" s="9">
        <f>IFERROR(__xludf.DUMMYFUNCTION("GOOGLEFINANCE(A1598, ""pe"")"),17.14)</f>
        <v>17.14</v>
      </c>
      <c r="Q1598" s="9">
        <f>IFERROR(__xludf.DUMMYFUNCTION("IFERROR(GOOGLEFINANCE(A1598, ""volume"") / GOOGLEFINANCE(A1598, ""volumeavg""), 0)"),0.0)</f>
        <v>0</v>
      </c>
      <c r="R1598" s="9">
        <f>IFERROR(__xludf.DUMMYFUNCTION("AVERAGE(INDEX(GOOGLEFINANCE(A1598, ""price"", TODAY()-30, TODAY()), 0, 2))"),286.50000000000006)</f>
        <v>286.5</v>
      </c>
      <c r="S1598" s="9">
        <f>IFERROR(__xludf.DUMMYFUNCTION("AVERAGE(INDEX(GOOGLEFINANCE(A1598, ""price"", TODAY()-75, TODAY()), 0, 2))"),288.9169811320754)</f>
        <v>288.9169811</v>
      </c>
      <c r="T1598" s="9">
        <f>IFERROR(__xludf.DUMMYFUNCTION("AVERAGE(INDEX(GOOGLEFINANCE(A1598, ""price"", TODAY()-300, TODAY()), 0, 2))"),305.2333333333333)</f>
        <v>305.2333333</v>
      </c>
      <c r="U1598" s="9">
        <f t="shared" si="5"/>
        <v>0.004188481675</v>
      </c>
      <c r="V1598" s="15">
        <f>IFERROR(__xludf.DUMMYFUNCTION("LET(hist, GOOGLEFINANCE(A1598,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rs))))))"),58.04749340369393)</f>
        <v>58.0474934</v>
      </c>
      <c r="W1598" s="16" t="str">
        <f>IFERROR(__xludf.DUMMYFUNCTION("IFERROR(GOOGLEFINANCE(A1598, ""volume"") / GOOGLEFINANCE(A1598, ""volumeavg""), )"),"")</f>
        <v/>
      </c>
      <c r="X1598" s="9">
        <f>IFERROR(__xludf.DUMMYFUNCTION("B1598 * GOOGLEFINANCE(A1598, ""volume"")"),2.87081445E7)</f>
        <v>28708144.5</v>
      </c>
      <c r="Y1598" s="9">
        <f>IFERROR(__xludf.DUMMYFUNCTION("IFERROR(((B1598 - GOOGLEFINANCE(A1598, ""priceopen"")) / GOOGLEFINANCE(A1598, ""priceopen"")) * GOOGLEFINANCE(A1598, ""volume""), 0)"),874.6931977559607)</f>
        <v>874.6931978</v>
      </c>
    </row>
    <row r="1599">
      <c r="A1599" s="4" t="s">
        <v>3391</v>
      </c>
      <c r="B1599" s="7">
        <f>IFERROR(__xludf.DUMMYFUNCTION("GOOGLEFINANCE(A1599, ""price"")"),183.52)</f>
        <v>183.52</v>
      </c>
      <c r="C1599" s="7">
        <f>IFERROR(__xludf.DUMMYFUNCTION("GOOGLEFINANCE(A1599, ""changepct"")"),-1.29)</f>
        <v>-1.29</v>
      </c>
      <c r="D1599" s="9">
        <f>IFERROR(__xludf.DUMMYFUNCTION("GOOGLEFINANCE(A1599, ""priceopen"")"),183.35)</f>
        <v>183.35</v>
      </c>
      <c r="E1599" s="9">
        <f>IFERROR(__xludf.DUMMYFUNCTION("GOOGLEFINANCE(A1599, ""high"")"),188.0)</f>
        <v>188</v>
      </c>
      <c r="F1599" s="9">
        <f>IFERROR(__xludf.DUMMYFUNCTION("GOOGLEFINANCE(A1599, ""low"")"),183.01)</f>
        <v>183.01</v>
      </c>
      <c r="G1599" s="9">
        <f>IFERROR(__xludf.DUMMYFUNCTION("GOOGLEFINANCE(A1599, ""price"")"),183.52)</f>
        <v>183.52</v>
      </c>
      <c r="H1599" s="9">
        <f>IFERROR(__xludf.DUMMYFUNCTION("MAX(INDEX(GOOGLEFINANCE(A1599, ""high"", TODAY()-30, TODAY()), 0, 2))"),217.9)</f>
        <v>217.9</v>
      </c>
      <c r="I1599" s="9">
        <f>IFERROR(__xludf.DUMMYFUNCTION("MIN(INDEX(GOOGLEFINANCE(A1599, ""low"", TODAY()-30, TODAY()), 0, 2))"),183.01)</f>
        <v>183.01</v>
      </c>
      <c r="J1599" s="9">
        <f>IFERROR(__xludf.DUMMYFUNCTION("GOOGLEFINANCE(A1599, ""high52"")"),246.61)</f>
        <v>246.61</v>
      </c>
      <c r="K1599" s="9">
        <f>IFERROR(__xludf.DUMMYFUNCTION("GOOGLEFINANCE(A1599, ""low52"")"),129.61)</f>
        <v>129.61</v>
      </c>
      <c r="L1599" s="9">
        <f t="shared" si="1"/>
        <v>0.2558290418</v>
      </c>
      <c r="M1599" s="9">
        <f t="shared" si="2"/>
        <v>0.4159401281</v>
      </c>
      <c r="N1599" s="9">
        <f t="shared" si="3"/>
        <v>0.0272662696</v>
      </c>
      <c r="O1599" s="9">
        <f t="shared" si="4"/>
        <v>0.01461736887</v>
      </c>
      <c r="P1599" s="9">
        <f>IFERROR(__xludf.DUMMYFUNCTION("GOOGLEFINANCE(A1599, ""pe"")"),9.56)</f>
        <v>9.56</v>
      </c>
      <c r="Q1599" s="9">
        <f>IFERROR(__xludf.DUMMYFUNCTION("IFERROR(GOOGLEFINANCE(A1599, ""volume"") / GOOGLEFINANCE(A1599, ""volumeavg""), 0)"),0.0)</f>
        <v>0</v>
      </c>
      <c r="R1599" s="9">
        <f>IFERROR(__xludf.DUMMYFUNCTION("AVERAGE(INDEX(GOOGLEFINANCE(A1599, ""price"", TODAY()-30, TODAY()), 0, 2))"),199.59043478260872)</f>
        <v>199.5904348</v>
      </c>
      <c r="S1599" s="9">
        <f>IFERROR(__xludf.DUMMYFUNCTION("AVERAGE(INDEX(GOOGLEFINANCE(A1599, ""price"", TODAY()-75, TODAY()), 0, 2))"),195.16641509433958)</f>
        <v>195.1664151</v>
      </c>
      <c r="T1599" s="9">
        <f>IFERROR(__xludf.DUMMYFUNCTION("AVERAGE(INDEX(GOOGLEFINANCE(A1599, ""price"", TODAY()-300, TODAY()), 0, 2))"),186.58321782178206)</f>
        <v>186.5832178</v>
      </c>
      <c r="U1599" s="9">
        <f t="shared" si="5"/>
        <v>-0.08051705885</v>
      </c>
      <c r="V1599" s="15">
        <f>IFERROR(__xludf.DUMMYFUNCTION("LET(hist, GOOGLEFINANCE(A1599,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rs))))))"),12.456140350877178)</f>
        <v>12.45614035</v>
      </c>
      <c r="W1599" s="16" t="str">
        <f>IFERROR(__xludf.DUMMYFUNCTION("IFERROR(GOOGLEFINANCE(A1599, ""volume"") / GOOGLEFINANCE(A1599, ""volumeavg""), )"),"")</f>
        <v/>
      </c>
      <c r="X1599" s="9">
        <f>IFERROR(__xludf.DUMMYFUNCTION("B1599 * GOOGLEFINANCE(A1599, ""volume"")"),1.9603422880000003E7)</f>
        <v>19603422.88</v>
      </c>
      <c r="Y1599" s="9">
        <f>IFERROR(__xludf.DUMMYFUNCTION("IFERROR(((B1599 - GOOGLEFINANCE(A1599, ""priceopen"")) / GOOGLEFINANCE(A1599, ""priceopen"")) * GOOGLEFINANCE(A1599, ""volume""), 0)"),99.04134169621872)</f>
        <v>99.0413417</v>
      </c>
    </row>
    <row r="1600">
      <c r="A1600" s="4" t="s">
        <v>3392</v>
      </c>
      <c r="B1600" s="7">
        <f>IFERROR(__xludf.DUMMYFUNCTION("GOOGLEFINANCE(A1600, ""price"")"),113.2)</f>
        <v>113.2</v>
      </c>
      <c r="C1600" s="7">
        <f>IFERROR(__xludf.DUMMYFUNCTION("GOOGLEFINANCE(A1600, ""changepct"")"),-0.83)</f>
        <v>-0.83</v>
      </c>
      <c r="D1600" s="9">
        <f>IFERROR(__xludf.DUMMYFUNCTION("GOOGLEFINANCE(A1600, ""priceopen"")"),114.55)</f>
        <v>114.55</v>
      </c>
      <c r="E1600" s="9">
        <f>IFERROR(__xludf.DUMMYFUNCTION("GOOGLEFINANCE(A1600, ""high"")"),116.8)</f>
        <v>116.8</v>
      </c>
      <c r="F1600" s="9">
        <f>IFERROR(__xludf.DUMMYFUNCTION("GOOGLEFINANCE(A1600, ""low"")"),111.44)</f>
        <v>111.44</v>
      </c>
      <c r="G1600" s="9">
        <f>IFERROR(__xludf.DUMMYFUNCTION("GOOGLEFINANCE(A1600, ""price"")"),113.2)</f>
        <v>113.2</v>
      </c>
      <c r="H1600" s="9">
        <f>IFERROR(__xludf.DUMMYFUNCTION("MAX(INDEX(GOOGLEFINANCE(A1600, ""high"", TODAY()-30, TODAY()), 0, 2))"),129.0)</f>
        <v>129</v>
      </c>
      <c r="I1600" s="9">
        <f>IFERROR(__xludf.DUMMYFUNCTION("MIN(INDEX(GOOGLEFINANCE(A1600, ""low"", TODAY()-30, TODAY()), 0, 2))"),111.44)</f>
        <v>111.44</v>
      </c>
      <c r="J1600" s="9">
        <f>IFERROR(__xludf.DUMMYFUNCTION("GOOGLEFINANCE(A1600, ""high52"")"),156.48)</f>
        <v>156.48</v>
      </c>
      <c r="K1600" s="9">
        <f>IFERROR(__xludf.DUMMYFUNCTION("GOOGLEFINANCE(A1600, ""low52"")"),93.5)</f>
        <v>93.5</v>
      </c>
      <c r="L1600" s="9">
        <f t="shared" si="1"/>
        <v>0.2765848671</v>
      </c>
      <c r="M1600" s="9">
        <f t="shared" si="2"/>
        <v>0.2106951872</v>
      </c>
      <c r="N1600" s="9">
        <f t="shared" si="3"/>
        <v>0.04809763101</v>
      </c>
      <c r="O1600" s="9">
        <f t="shared" si="4"/>
        <v>0.1002277904</v>
      </c>
      <c r="P1600" s="9">
        <f>IFERROR(__xludf.DUMMYFUNCTION("GOOGLEFINANCE(A1600, ""pe"")"),39.35)</f>
        <v>39.35</v>
      </c>
      <c r="Q1600" s="9">
        <f>IFERROR(__xludf.DUMMYFUNCTION("IFERROR(GOOGLEFINANCE(A1600, ""volume"") / GOOGLEFINANCE(A1600, ""volumeavg""), 0)"),0.0)</f>
        <v>0</v>
      </c>
      <c r="R1600" s="9">
        <f>IFERROR(__xludf.DUMMYFUNCTION("AVERAGE(INDEX(GOOGLEFINANCE(A1600, ""price"", TODAY()-30, TODAY()), 0, 2))"),117.50173913043479)</f>
        <v>117.5017391</v>
      </c>
      <c r="S1600" s="9">
        <f>IFERROR(__xludf.DUMMYFUNCTION("AVERAGE(INDEX(GOOGLEFINANCE(A1600, ""price"", TODAY()-75, TODAY()), 0, 2))"),116.62018867924526)</f>
        <v>116.6201887</v>
      </c>
      <c r="T1600" s="9">
        <f>IFERROR(__xludf.DUMMYFUNCTION("AVERAGE(INDEX(GOOGLEFINANCE(A1600, ""price"", TODAY()-300, TODAY()), 0, 2))"),123.50787128712882)</f>
        <v>123.5078713</v>
      </c>
      <c r="U1600" s="9">
        <f t="shared" si="5"/>
        <v>-0.03661000392</v>
      </c>
      <c r="V1600" s="15">
        <f>IFERROR(__xludf.DUMMYFUNCTION("LET(hist, GOOGLEFINANCE(A1600,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rs))))))"),43.29037149355568)</f>
        <v>43.29037149</v>
      </c>
      <c r="W1600" s="16" t="str">
        <f>IFERROR(__xludf.DUMMYFUNCTION("IFERROR(GOOGLEFINANCE(A1600, ""volume"") / GOOGLEFINANCE(A1600, ""volumeavg""), )"),"")</f>
        <v/>
      </c>
      <c r="X1600" s="9">
        <f>IFERROR(__xludf.DUMMYFUNCTION("B1600 * GOOGLEFINANCE(A1600, ""volume"")"),3688282.4)</f>
        <v>3688282.4</v>
      </c>
      <c r="Y1600" s="9">
        <f>IFERROR(__xludf.DUMMYFUNCTION("IFERROR(((B1600 - GOOGLEFINANCE(A1600, ""priceopen"")) / GOOGLEFINANCE(A1600, ""priceopen"")) * GOOGLEFINANCE(A1600, ""volume""), 0)"),-383.98690528153486)</f>
        <v>-383.9869053</v>
      </c>
    </row>
    <row r="1601">
      <c r="A1601" s="4" t="s">
        <v>3393</v>
      </c>
      <c r="B1601" s="7">
        <f>IFERROR(__xludf.DUMMYFUNCTION("GOOGLEFINANCE(A1601, ""price"")"),18.99)</f>
        <v>18.99</v>
      </c>
      <c r="C1601" s="7">
        <f>IFERROR(__xludf.DUMMYFUNCTION("GOOGLEFINANCE(A1601, ""changepct"")"),-2.47)</f>
        <v>-2.47</v>
      </c>
      <c r="D1601" s="9">
        <f>IFERROR(__xludf.DUMMYFUNCTION("GOOGLEFINANCE(A1601, ""priceopen"")"),19.5)</f>
        <v>19.5</v>
      </c>
      <c r="E1601" s="9">
        <f>IFERROR(__xludf.DUMMYFUNCTION("GOOGLEFINANCE(A1601, ""high"")"),19.74)</f>
        <v>19.74</v>
      </c>
      <c r="F1601" s="9">
        <f>IFERROR(__xludf.DUMMYFUNCTION("GOOGLEFINANCE(A1601, ""low"")"),18.8)</f>
        <v>18.8</v>
      </c>
      <c r="G1601" s="9">
        <f>IFERROR(__xludf.DUMMYFUNCTION("GOOGLEFINANCE(A1601, ""price"")"),18.99)</f>
        <v>18.99</v>
      </c>
      <c r="H1601" s="9">
        <f>IFERROR(__xludf.DUMMYFUNCTION("MAX(INDEX(GOOGLEFINANCE(A1601, ""high"", TODAY()-30, TODAY()), 0, 2))"),22.66)</f>
        <v>22.66</v>
      </c>
      <c r="I1601" s="9">
        <f>IFERROR(__xludf.DUMMYFUNCTION("MIN(INDEX(GOOGLEFINANCE(A1601, ""low"", TODAY()-30, TODAY()), 0, 2))"),14.65)</f>
        <v>14.65</v>
      </c>
      <c r="J1601" s="9">
        <f>IFERROR(__xludf.DUMMYFUNCTION("GOOGLEFINANCE(A1601, ""high52"")"),34.4)</f>
        <v>34.4</v>
      </c>
      <c r="K1601" s="9">
        <f>IFERROR(__xludf.DUMMYFUNCTION("GOOGLEFINANCE(A1601, ""low52"")"),12.3)</f>
        <v>12.3</v>
      </c>
      <c r="L1601" s="9">
        <f t="shared" si="1"/>
        <v>0.4479651163</v>
      </c>
      <c r="M1601" s="9">
        <f t="shared" si="2"/>
        <v>0.543902439</v>
      </c>
      <c r="N1601" s="9">
        <f t="shared" si="3"/>
        <v>0.05</v>
      </c>
      <c r="O1601" s="9">
        <f t="shared" si="4"/>
        <v>0.5418227216</v>
      </c>
      <c r="P1601" s="9">
        <f>IFERROR(__xludf.DUMMYFUNCTION("GOOGLEFINANCE(A1601, ""pe"")"),22.66)</f>
        <v>22.66</v>
      </c>
      <c r="Q1601" s="9">
        <f>IFERROR(__xludf.DUMMYFUNCTION("IFERROR(GOOGLEFINANCE(A1601, ""volume"") / GOOGLEFINANCE(A1601, ""volumeavg""), 0)"),0.0)</f>
        <v>0</v>
      </c>
      <c r="R1601" s="9">
        <f>IFERROR(__xludf.DUMMYFUNCTION("AVERAGE(INDEX(GOOGLEFINANCE(A1601, ""price"", TODAY()-30, TODAY()), 0, 2))"),17.335217391304347)</f>
        <v>17.33521739</v>
      </c>
      <c r="S1601" s="9">
        <f>IFERROR(__xludf.DUMMYFUNCTION("AVERAGE(INDEX(GOOGLEFINANCE(A1601, ""price"", TODAY()-75, TODAY()), 0, 2))"),16.453584905660378)</f>
        <v>16.45358491</v>
      </c>
      <c r="T1601" s="9">
        <f>IFERROR(__xludf.DUMMYFUNCTION("AVERAGE(INDEX(GOOGLEFINANCE(A1601, ""price"", TODAY()-300, TODAY()), 0, 2))"),85.95485148514858)</f>
        <v>85.95485149</v>
      </c>
      <c r="U1601" s="9">
        <f t="shared" si="5"/>
        <v>0.09545785157</v>
      </c>
      <c r="V1601" s="15">
        <f>IFERROR(__xludf.DUMMYFUNCTION("LET(hist, GOOGLEFINANCE(A1601,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rs))))))"),64.8218347232752)</f>
        <v>64.82183472</v>
      </c>
      <c r="W1601" s="16" t="str">
        <f>IFERROR(__xludf.DUMMYFUNCTION("IFERROR(GOOGLEFINANCE(A1601, ""volume"") / GOOGLEFINANCE(A1601, ""volumeavg""), )"),"")</f>
        <v/>
      </c>
      <c r="X1601" s="9">
        <f>IFERROR(__xludf.DUMMYFUNCTION("B1601 * GOOGLEFINANCE(A1601, ""volume"")"),1.842914934E7)</f>
        <v>18429149.34</v>
      </c>
      <c r="Y1601" s="9">
        <f>IFERROR(__xludf.DUMMYFUNCTION("IFERROR(((B1601 - GOOGLEFINANCE(A1601, ""priceopen"")) / GOOGLEFINANCE(A1601, ""priceopen"")) * GOOGLEFINANCE(A1601, ""volume""), 0)"),-25381.41846153854)</f>
        <v>-25381.41846</v>
      </c>
    </row>
    <row r="1602">
      <c r="A1602" s="4" t="s">
        <v>3394</v>
      </c>
      <c r="B1602" s="7">
        <f>IFERROR(__xludf.DUMMYFUNCTION("GOOGLEFINANCE(A1602, ""price"")"),324.0)</f>
        <v>324</v>
      </c>
      <c r="C1602" s="7">
        <f>IFERROR(__xludf.DUMMYFUNCTION("GOOGLEFINANCE(A1602, ""changepct"")"),-2.51)</f>
        <v>-2.51</v>
      </c>
      <c r="D1602" s="9">
        <f>IFERROR(__xludf.DUMMYFUNCTION("GOOGLEFINANCE(A1602, ""priceopen"")"),332.3)</f>
        <v>332.3</v>
      </c>
      <c r="E1602" s="9">
        <f>IFERROR(__xludf.DUMMYFUNCTION("GOOGLEFINANCE(A1602, ""high"")"),338.8)</f>
        <v>338.8</v>
      </c>
      <c r="F1602" s="9">
        <f>IFERROR(__xludf.DUMMYFUNCTION("GOOGLEFINANCE(A1602, ""low"")"),318.0)</f>
        <v>318</v>
      </c>
      <c r="G1602" s="9">
        <f>IFERROR(__xludf.DUMMYFUNCTION("GOOGLEFINANCE(A1602, ""price"")"),324.0)</f>
        <v>324</v>
      </c>
      <c r="H1602" s="9">
        <f>IFERROR(__xludf.DUMMYFUNCTION("MAX(INDEX(GOOGLEFINANCE(A1602, ""high"", TODAY()-30, TODAY()), 0, 2))"),357.0)</f>
        <v>357</v>
      </c>
      <c r="I1602" s="9">
        <f>IFERROR(__xludf.DUMMYFUNCTION("MIN(INDEX(GOOGLEFINANCE(A1602, ""low"", TODAY()-30, TODAY()), 0, 2))"),305.05)</f>
        <v>305.05</v>
      </c>
      <c r="J1602" s="9">
        <f>IFERROR(__xludf.DUMMYFUNCTION("GOOGLEFINANCE(A1602, ""high52"")"),564.8)</f>
        <v>564.8</v>
      </c>
      <c r="K1602" s="9">
        <f>IFERROR(__xludf.DUMMYFUNCTION("GOOGLEFINANCE(A1602, ""low52"")"),292.8)</f>
        <v>292.8</v>
      </c>
      <c r="L1602" s="9">
        <f t="shared" si="1"/>
        <v>0.4263456091</v>
      </c>
      <c r="M1602" s="9">
        <f t="shared" si="2"/>
        <v>0.106557377</v>
      </c>
      <c r="N1602" s="9">
        <f t="shared" si="3"/>
        <v>0.06540880503</v>
      </c>
      <c r="O1602" s="9">
        <f t="shared" si="4"/>
        <v>0.364773821</v>
      </c>
      <c r="P1602" s="9">
        <f>IFERROR(__xludf.DUMMYFUNCTION("GOOGLEFINANCE(A1602, ""pe"")"),18.22)</f>
        <v>18.22</v>
      </c>
      <c r="Q1602" s="9">
        <f>IFERROR(__xludf.DUMMYFUNCTION("IFERROR(GOOGLEFINANCE(A1602, ""volume"") / GOOGLEFINANCE(A1602, ""volumeavg""), 0)"),0.0)</f>
        <v>0</v>
      </c>
      <c r="R1602" s="9">
        <f>IFERROR(__xludf.DUMMYFUNCTION("AVERAGE(INDEX(GOOGLEFINANCE(A1602, ""price"", TODAY()-30, TODAY()), 0, 2))"),331.8195652173913)</f>
        <v>331.8195652</v>
      </c>
      <c r="S1602" s="9">
        <f>IFERROR(__xludf.DUMMYFUNCTION("AVERAGE(INDEX(GOOGLEFINANCE(A1602, ""price"", TODAY()-75, TODAY()), 0, 2))"),325.0594339622641)</f>
        <v>325.059434</v>
      </c>
      <c r="T1602" s="9">
        <f>IFERROR(__xludf.DUMMYFUNCTION("AVERAGE(INDEX(GOOGLEFINANCE(A1602, ""price"", TODAY()-300, TODAY()), 0, 2))"),386.43094059405956)</f>
        <v>386.4309406</v>
      </c>
      <c r="U1602" s="9">
        <f t="shared" si="5"/>
        <v>-0.02356571473</v>
      </c>
      <c r="V1602" s="15">
        <f>IFERROR(__xludf.DUMMYFUNCTION("LET(hist, GOOGLEFINANCE(A1602,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rs))))))"),51.68719871451528)</f>
        <v>51.68719871</v>
      </c>
      <c r="W1602" s="16" t="str">
        <f>IFERROR(__xludf.DUMMYFUNCTION("IFERROR(GOOGLEFINANCE(A1602, ""volume"") / GOOGLEFINANCE(A1602, ""volumeavg""), )"),"")</f>
        <v/>
      </c>
      <c r="X1602" s="9">
        <f>IFERROR(__xludf.DUMMYFUNCTION("B1602 * GOOGLEFINANCE(A1602, ""volume"")"),261144.0)</f>
        <v>261144</v>
      </c>
      <c r="Y1602" s="9">
        <f>IFERROR(__xludf.DUMMYFUNCTION("IFERROR(((B1602 - GOOGLEFINANCE(A1602, ""priceopen"")) / GOOGLEFINANCE(A1602, ""priceopen"")) * GOOGLEFINANCE(A1602, ""volume""), 0)"),-20.131808606680735)</f>
        <v>-20.13180861</v>
      </c>
    </row>
    <row r="1603">
      <c r="A1603" s="4" t="s">
        <v>3395</v>
      </c>
      <c r="B1603" s="7">
        <f>IFERROR(__xludf.DUMMYFUNCTION("GOOGLEFINANCE(A1603, ""price"")"),24.5)</f>
        <v>24.5</v>
      </c>
      <c r="C1603" s="7">
        <f>IFERROR(__xludf.DUMMYFUNCTION("GOOGLEFINANCE(A1603, ""changepct"")"),3.03)</f>
        <v>3.03</v>
      </c>
      <c r="D1603" s="9">
        <f>IFERROR(__xludf.DUMMYFUNCTION("GOOGLEFINANCE(A1603, ""priceopen"")"),23.9)</f>
        <v>23.9</v>
      </c>
      <c r="E1603" s="9">
        <f>IFERROR(__xludf.DUMMYFUNCTION("GOOGLEFINANCE(A1603, ""high"")"),24.9)</f>
        <v>24.9</v>
      </c>
      <c r="F1603" s="9">
        <f>IFERROR(__xludf.DUMMYFUNCTION("GOOGLEFINANCE(A1603, ""low"")"),23.53)</f>
        <v>23.53</v>
      </c>
      <c r="G1603" s="9">
        <f>IFERROR(__xludf.DUMMYFUNCTION("GOOGLEFINANCE(A1603, ""price"")"),24.5)</f>
        <v>24.5</v>
      </c>
      <c r="H1603" s="9">
        <f>IFERROR(__xludf.DUMMYFUNCTION("MAX(INDEX(GOOGLEFINANCE(A1603, ""high"", TODAY()-30, TODAY()), 0, 2))"),25.0)</f>
        <v>25</v>
      </c>
      <c r="I1603" s="9">
        <f>IFERROR(__xludf.DUMMYFUNCTION("MIN(INDEX(GOOGLEFINANCE(A1603, ""low"", TODAY()-30, TODAY()), 0, 2))"),21.5)</f>
        <v>21.5</v>
      </c>
      <c r="J1603" s="9">
        <f>IFERROR(__xludf.DUMMYFUNCTION("GOOGLEFINANCE(A1603, ""high52"")"),31.23)</f>
        <v>31.23</v>
      </c>
      <c r="K1603" s="9">
        <f>IFERROR(__xludf.DUMMYFUNCTION("GOOGLEFINANCE(A1603, ""low52"")"),18.27)</f>
        <v>18.27</v>
      </c>
      <c r="L1603" s="9">
        <f t="shared" si="1"/>
        <v>0.2154979187</v>
      </c>
      <c r="M1603" s="9">
        <f t="shared" si="2"/>
        <v>0.3409961686</v>
      </c>
      <c r="N1603" s="9">
        <f t="shared" si="3"/>
        <v>0.05822354441</v>
      </c>
      <c r="O1603" s="9">
        <f t="shared" si="4"/>
        <v>0.8571428571</v>
      </c>
      <c r="P1603" s="9">
        <f>IFERROR(__xludf.DUMMYFUNCTION("GOOGLEFINANCE(A1603, ""pe"")"),14.08)</f>
        <v>14.08</v>
      </c>
      <c r="Q1603" s="9">
        <f>IFERROR(__xludf.DUMMYFUNCTION("IFERROR(GOOGLEFINANCE(A1603, ""volume"") / GOOGLEFINANCE(A1603, ""volumeavg""), 0)"),0.0)</f>
        <v>0</v>
      </c>
      <c r="R1603" s="9">
        <f>IFERROR(__xludf.DUMMYFUNCTION("AVERAGE(INDEX(GOOGLEFINANCE(A1603, ""price"", TODAY()-30, TODAY()), 0, 2))"),23.195652173913043)</f>
        <v>23.19565217</v>
      </c>
      <c r="S1603" s="9">
        <f>IFERROR(__xludf.DUMMYFUNCTION("AVERAGE(INDEX(GOOGLEFINANCE(A1603, ""price"", TODAY()-75, TODAY()), 0, 2))"),23.287735849056613)</f>
        <v>23.28773585</v>
      </c>
      <c r="T1603" s="9">
        <f>IFERROR(__xludf.DUMMYFUNCTION("AVERAGE(INDEX(GOOGLEFINANCE(A1603, ""price"", TODAY()-300, TODAY()), 0, 2))"),23.50475247524752)</f>
        <v>23.50475248</v>
      </c>
      <c r="U1603" s="9">
        <f t="shared" si="5"/>
        <v>0.05623242737</v>
      </c>
      <c r="V1603" s="15">
        <f>IFERROR(__xludf.DUMMYFUNCTION("LET(hist, GOOGLEFINANCE(A1603,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rs))))))"),67.06161137440759)</f>
        <v>67.06161137</v>
      </c>
      <c r="W1603" s="16" t="str">
        <f>IFERROR(__xludf.DUMMYFUNCTION("IFERROR(GOOGLEFINANCE(A1603, ""volume"") / GOOGLEFINANCE(A1603, ""volumeavg""), )"),"")</f>
        <v/>
      </c>
      <c r="X1603" s="9">
        <f>IFERROR(__xludf.DUMMYFUNCTION("B1603 * GOOGLEFINANCE(A1603, ""volume"")"),1.70415875E7)</f>
        <v>17041587.5</v>
      </c>
      <c r="Y1603" s="9">
        <f>IFERROR(__xludf.DUMMYFUNCTION("IFERROR(((B1603 - GOOGLEFINANCE(A1603, ""priceopen"")) / GOOGLEFINANCE(A1603, ""priceopen"")) * GOOGLEFINANCE(A1603, ""volume""), 0)"),17462.13389121343)</f>
        <v>17462.13389</v>
      </c>
    </row>
    <row r="1604">
      <c r="A1604" s="4" t="s">
        <v>3396</v>
      </c>
      <c r="B1604" s="7">
        <f>IFERROR(__xludf.DUMMYFUNCTION("GOOGLEFINANCE(A1604, ""price"")"),4.58)</f>
        <v>4.58</v>
      </c>
      <c r="C1604" s="7">
        <f>IFERROR(__xludf.DUMMYFUNCTION("GOOGLEFINANCE(A1604, ""changepct"")"),-1.93)</f>
        <v>-1.93</v>
      </c>
      <c r="D1604" s="9">
        <f>IFERROR(__xludf.DUMMYFUNCTION("GOOGLEFINANCE(A1604, ""priceopen"")"),4.58)</f>
        <v>4.58</v>
      </c>
      <c r="E1604" s="9">
        <f>IFERROR(__xludf.DUMMYFUNCTION("GOOGLEFINANCE(A1604, ""high"")"),4.58)</f>
        <v>4.58</v>
      </c>
      <c r="F1604" s="9">
        <f>IFERROR(__xludf.DUMMYFUNCTION("GOOGLEFINANCE(A1604, ""low"")"),4.58)</f>
        <v>4.58</v>
      </c>
      <c r="G1604" s="9">
        <f>IFERROR(__xludf.DUMMYFUNCTION("GOOGLEFINANCE(A1604, ""price"")"),4.58)</f>
        <v>4.58</v>
      </c>
      <c r="H1604" s="9">
        <f>IFERROR(__xludf.DUMMYFUNCTION("MAX(INDEX(GOOGLEFINANCE(A1604, ""high"", TODAY()-30, TODAY()), 0, 2))"),4.94)</f>
        <v>4.94</v>
      </c>
      <c r="I1604" s="9">
        <f>IFERROR(__xludf.DUMMYFUNCTION("MIN(INDEX(GOOGLEFINANCE(A1604, ""low"", TODAY()-30, TODAY()), 0, 2))"),4.09)</f>
        <v>4.09</v>
      </c>
      <c r="J1604" s="9">
        <f>IFERROR(__xludf.DUMMYFUNCTION("GOOGLEFINANCE(A1604, ""high52"")"),11.58)</f>
        <v>11.58</v>
      </c>
      <c r="K1604" s="9">
        <f>IFERROR(__xludf.DUMMYFUNCTION("GOOGLEFINANCE(A1604, ""low52"")"),3.43)</f>
        <v>3.43</v>
      </c>
      <c r="L1604" s="9">
        <f t="shared" si="1"/>
        <v>0.6044905009</v>
      </c>
      <c r="M1604" s="9">
        <f t="shared" si="2"/>
        <v>0.3352769679</v>
      </c>
      <c r="N1604" s="9">
        <f t="shared" si="3"/>
        <v>0</v>
      </c>
      <c r="O1604" s="9">
        <f t="shared" si="4"/>
        <v>0.5764705882</v>
      </c>
      <c r="P1604" s="9">
        <f>IFERROR(__xludf.DUMMYFUNCTION("GOOGLEFINANCE(A1604, ""pe"")"),65.43)</f>
        <v>65.43</v>
      </c>
      <c r="Q1604" s="9">
        <f>IFERROR(__xludf.DUMMYFUNCTION("IFERROR(GOOGLEFINANCE(A1604, ""volume"") / GOOGLEFINANCE(A1604, ""volumeavg""), 0)"),0.0)</f>
        <v>0</v>
      </c>
      <c r="R1604" s="9">
        <f>IFERROR(__xludf.DUMMYFUNCTION("AVERAGE(INDEX(GOOGLEFINANCE(A1604, ""price"", TODAY()-30, TODAY()), 0, 2))"),4.408695652173914)</f>
        <v>4.408695652</v>
      </c>
      <c r="S1604" s="9">
        <f>IFERROR(__xludf.DUMMYFUNCTION("AVERAGE(INDEX(GOOGLEFINANCE(A1604, ""price"", TODAY()-75, TODAY()), 0, 2))"),4.710754716981133)</f>
        <v>4.710754717</v>
      </c>
      <c r="T1604" s="9">
        <f>IFERROR(__xludf.DUMMYFUNCTION("AVERAGE(INDEX(GOOGLEFINANCE(A1604, ""price"", TODAY()-300, TODAY()), 0, 2))"),6.943168316831683)</f>
        <v>6.943168317</v>
      </c>
      <c r="U1604" s="9">
        <f t="shared" si="5"/>
        <v>0.03885601578</v>
      </c>
      <c r="V1604" s="15">
        <f>IFERROR(__xludf.DUMMYFUNCTION("LET(hist, GOOGLEFINANCE(A1604,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rs))))))"),63.39285714285713)</f>
        <v>63.39285714</v>
      </c>
      <c r="W1604" s="16" t="str">
        <f>IFERROR(__xludf.DUMMYFUNCTION("IFERROR(GOOGLEFINANCE(A1604, ""volume"") / GOOGLEFINANCE(A1604, ""volumeavg""), )"),"")</f>
        <v/>
      </c>
      <c r="X1604" s="9">
        <f>IFERROR(__xludf.DUMMYFUNCTION("B1604 * GOOGLEFINANCE(A1604, ""volume"")"),2096041.58)</f>
        <v>2096041.58</v>
      </c>
      <c r="Y1604" s="9">
        <f>IFERROR(__xludf.DUMMYFUNCTION("IFERROR(((B1604 - GOOGLEFINANCE(A1604, ""priceopen"")) / GOOGLEFINANCE(A1604, ""priceopen"")) * GOOGLEFINANCE(A1604, ""volume""), 0)"),0.0)</f>
        <v>0</v>
      </c>
    </row>
    <row r="1605">
      <c r="A1605" s="4" t="s">
        <v>3397</v>
      </c>
      <c r="B1605" s="7">
        <f>IFERROR(__xludf.DUMMYFUNCTION("GOOGLEFINANCE(A1605, ""price"")"),65.62)</f>
        <v>65.62</v>
      </c>
      <c r="C1605" s="7">
        <f>IFERROR(__xludf.DUMMYFUNCTION("GOOGLEFINANCE(A1605, ""changepct"")"),-1.99)</f>
        <v>-1.99</v>
      </c>
      <c r="D1605" s="9">
        <f>IFERROR(__xludf.DUMMYFUNCTION("GOOGLEFINANCE(A1605, ""priceopen"")"),65.62)</f>
        <v>65.62</v>
      </c>
      <c r="E1605" s="9">
        <f>IFERROR(__xludf.DUMMYFUNCTION("GOOGLEFINANCE(A1605, ""high"")"),65.62)</f>
        <v>65.62</v>
      </c>
      <c r="F1605" s="9">
        <f>IFERROR(__xludf.DUMMYFUNCTION("GOOGLEFINANCE(A1605, ""low"")"),65.62)</f>
        <v>65.62</v>
      </c>
      <c r="G1605" s="9">
        <f>IFERROR(__xludf.DUMMYFUNCTION("GOOGLEFINANCE(A1605, ""price"")"),65.62)</f>
        <v>65.62</v>
      </c>
      <c r="H1605" s="9">
        <f>IFERROR(__xludf.DUMMYFUNCTION("MAX(INDEX(GOOGLEFINANCE(A1605, ""high"", TODAY()-30, TODAY()), 0, 2))"),73.39)</f>
        <v>73.39</v>
      </c>
      <c r="I1605" s="9">
        <f>IFERROR(__xludf.DUMMYFUNCTION("MIN(INDEX(GOOGLEFINANCE(A1605, ""low"", TODAY()-30, TODAY()), 0, 2))"),58.0)</f>
        <v>58</v>
      </c>
      <c r="J1605" s="9">
        <f>IFERROR(__xludf.DUMMYFUNCTION("GOOGLEFINANCE(A1605, ""high52"")"),84.0)</f>
        <v>84</v>
      </c>
      <c r="K1605" s="9">
        <f>IFERROR(__xludf.DUMMYFUNCTION("GOOGLEFINANCE(A1605, ""low52"")"),40.21)</f>
        <v>40.21</v>
      </c>
      <c r="L1605" s="9">
        <f t="shared" si="1"/>
        <v>0.2188095238</v>
      </c>
      <c r="M1605" s="9">
        <f t="shared" si="2"/>
        <v>0.6319323551</v>
      </c>
      <c r="N1605" s="9">
        <f t="shared" si="3"/>
        <v>0</v>
      </c>
      <c r="O1605" s="9">
        <f t="shared" si="4"/>
        <v>0.4951267057</v>
      </c>
      <c r="P1605" s="9" t="str">
        <f>IFERROR(__xludf.DUMMYFUNCTION("GOOGLEFINANCE(A1605, ""pe"")"),"#N/A")</f>
        <v>#N/A</v>
      </c>
      <c r="Q1605" s="9">
        <f>IFERROR(__xludf.DUMMYFUNCTION("IFERROR(GOOGLEFINANCE(A1605, ""volume"") / GOOGLEFINANCE(A1605, ""volumeavg""), 0)"),0.0)</f>
        <v>0</v>
      </c>
      <c r="R1605" s="9">
        <f>IFERROR(__xludf.DUMMYFUNCTION("AVERAGE(INDEX(GOOGLEFINANCE(A1605, ""price"", TODAY()-30, TODAY()), 0, 2))"),65.23565217391305)</f>
        <v>65.23565217</v>
      </c>
      <c r="S1605" s="9">
        <f>IFERROR(__xludf.DUMMYFUNCTION("AVERAGE(INDEX(GOOGLEFINANCE(A1605, ""price"", TODAY()-75, TODAY()), 0, 2))"),60.91226415094338)</f>
        <v>60.91226415</v>
      </c>
      <c r="T1605" s="9">
        <f>IFERROR(__xludf.DUMMYFUNCTION("AVERAGE(INDEX(GOOGLEFINANCE(A1605, ""price"", TODAY()-300, TODAY()), 0, 2))"),56.78074257425744)</f>
        <v>56.78074257</v>
      </c>
      <c r="U1605" s="9">
        <f t="shared" si="5"/>
        <v>0.005891683662</v>
      </c>
      <c r="V1605" s="15">
        <f>IFERROR(__xludf.DUMMYFUNCTION("LET(hist, GOOGLEFINANCE(A1605,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rs))))))"),63.73443983402492)</f>
        <v>63.73443983</v>
      </c>
      <c r="W1605" s="16" t="str">
        <f>IFERROR(__xludf.DUMMYFUNCTION("IFERROR(GOOGLEFINANCE(A1605, ""volume"") / GOOGLEFINANCE(A1605, ""volumeavg""), )"),"")</f>
        <v/>
      </c>
      <c r="X1605" s="9">
        <f>IFERROR(__xludf.DUMMYFUNCTION("B1605 * GOOGLEFINANCE(A1605, ""volume"")"),1682628.04)</f>
        <v>1682628.04</v>
      </c>
      <c r="Y1605" s="9">
        <f>IFERROR(__xludf.DUMMYFUNCTION("IFERROR(((B1605 - GOOGLEFINANCE(A1605, ""priceopen"")) / GOOGLEFINANCE(A1605, ""priceopen"")) * GOOGLEFINANCE(A1605, ""volume""), 0)"),0.0)</f>
        <v>0</v>
      </c>
    </row>
    <row r="1606">
      <c r="A1606" s="4" t="s">
        <v>3398</v>
      </c>
      <c r="B1606" s="7">
        <f>IFERROR(__xludf.DUMMYFUNCTION("GOOGLEFINANCE(A1606, ""price"")"),54.55)</f>
        <v>54.55</v>
      </c>
      <c r="C1606" s="7">
        <f>IFERROR(__xludf.DUMMYFUNCTION("GOOGLEFINANCE(A1606, ""changepct"")"),3.79)</f>
        <v>3.79</v>
      </c>
      <c r="D1606" s="9">
        <f>IFERROR(__xludf.DUMMYFUNCTION("GOOGLEFINANCE(A1606, ""priceopen"")"),52.99)</f>
        <v>52.99</v>
      </c>
      <c r="E1606" s="9">
        <f>IFERROR(__xludf.DUMMYFUNCTION("GOOGLEFINANCE(A1606, ""high"")"),54.99)</f>
        <v>54.99</v>
      </c>
      <c r="F1606" s="9">
        <f>IFERROR(__xludf.DUMMYFUNCTION("GOOGLEFINANCE(A1606, ""low"")"),52.99)</f>
        <v>52.99</v>
      </c>
      <c r="G1606" s="9">
        <f>IFERROR(__xludf.DUMMYFUNCTION("GOOGLEFINANCE(A1606, ""price"")"),54.55)</f>
        <v>54.55</v>
      </c>
      <c r="H1606" s="9">
        <f>IFERROR(__xludf.DUMMYFUNCTION("MAX(INDEX(GOOGLEFINANCE(A1606, ""high"", TODAY()-30, TODAY()), 0, 2))"),65.7)</f>
        <v>65.7</v>
      </c>
      <c r="I1606" s="9">
        <f>IFERROR(__xludf.DUMMYFUNCTION("MIN(INDEX(GOOGLEFINANCE(A1606, ""low"", TODAY()-30, TODAY()), 0, 2))"),51.0)</f>
        <v>51</v>
      </c>
      <c r="J1606" s="9">
        <f>IFERROR(__xludf.DUMMYFUNCTION("GOOGLEFINANCE(A1606, ""high52"")"),120.38)</f>
        <v>120.38</v>
      </c>
      <c r="K1606" s="9">
        <f>IFERROR(__xludf.DUMMYFUNCTION("GOOGLEFINANCE(A1606, ""low52"")"),51.0)</f>
        <v>51</v>
      </c>
      <c r="L1606" s="9">
        <f t="shared" si="1"/>
        <v>0.5468516365</v>
      </c>
      <c r="M1606" s="9">
        <f t="shared" si="2"/>
        <v>0.06960784314</v>
      </c>
      <c r="N1606" s="9">
        <f t="shared" si="3"/>
        <v>0.03774297037</v>
      </c>
      <c r="O1606" s="9">
        <f t="shared" si="4"/>
        <v>0.2414965986</v>
      </c>
      <c r="P1606" s="9">
        <f>IFERROR(__xludf.DUMMYFUNCTION("GOOGLEFINANCE(A1606, ""pe"")"),81.42)</f>
        <v>81.42</v>
      </c>
      <c r="Q1606" s="9">
        <f>IFERROR(__xludf.DUMMYFUNCTION("IFERROR(GOOGLEFINANCE(A1606, ""volume"") / GOOGLEFINANCE(A1606, ""volumeavg""), 0)"),0.0)</f>
        <v>0</v>
      </c>
      <c r="R1606" s="9">
        <f>IFERROR(__xludf.DUMMYFUNCTION("AVERAGE(INDEX(GOOGLEFINANCE(A1606, ""price"", TODAY()-30, TODAY()), 0, 2))"),60.30086956521738)</f>
        <v>60.30086957</v>
      </c>
      <c r="S1606" s="9">
        <f>IFERROR(__xludf.DUMMYFUNCTION("AVERAGE(INDEX(GOOGLEFINANCE(A1606, ""price"", TODAY()-75, TODAY()), 0, 2))"),61.71905660377358)</f>
        <v>61.7190566</v>
      </c>
      <c r="T1606" s="9">
        <f>IFERROR(__xludf.DUMMYFUNCTION("AVERAGE(INDEX(GOOGLEFINANCE(A1606, ""price"", TODAY()-300, TODAY()), 0, 2))"),76.52970297029704)</f>
        <v>76.52970297</v>
      </c>
      <c r="U1606" s="9">
        <f t="shared" si="5"/>
        <v>-0.09536959594</v>
      </c>
      <c r="V1606" s="15">
        <f>IFERROR(__xludf.DUMMYFUNCTION("LET(hist, GOOGLEFINANCE(A1606,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rs))))))"),31.20617110799442)</f>
        <v>31.20617111</v>
      </c>
      <c r="W1606" s="16" t="str">
        <f>IFERROR(__xludf.DUMMYFUNCTION("IFERROR(GOOGLEFINANCE(A1606, ""volume"") / GOOGLEFINANCE(A1606, ""volumeavg""), )"),"")</f>
        <v/>
      </c>
      <c r="X1606" s="9">
        <f>IFERROR(__xludf.DUMMYFUNCTION("B1606 * GOOGLEFINANCE(A1606, ""volume"")"),8036851.5)</f>
        <v>8036851.5</v>
      </c>
      <c r="Y1606" s="9">
        <f>IFERROR(__xludf.DUMMYFUNCTION("IFERROR(((B1606 - GOOGLEFINANCE(A1606, ""priceopen"")) / GOOGLEFINANCE(A1606, ""priceopen"")) * GOOGLEFINANCE(A1606, ""volume""), 0)"),4337.324023400628)</f>
        <v>4337.324023</v>
      </c>
    </row>
    <row r="1607">
      <c r="A1607" s="4" t="s">
        <v>3399</v>
      </c>
      <c r="B1607" s="7">
        <f>IFERROR(__xludf.DUMMYFUNCTION("GOOGLEFINANCE(A1607, ""price"")"),61.05)</f>
        <v>61.05</v>
      </c>
      <c r="C1607" s="7">
        <f>IFERROR(__xludf.DUMMYFUNCTION("GOOGLEFINANCE(A1607, ""changepct"")"),0.26)</f>
        <v>0.26</v>
      </c>
      <c r="D1607" s="9">
        <f>IFERROR(__xludf.DUMMYFUNCTION("GOOGLEFINANCE(A1607, ""priceopen"")"),61.06)</f>
        <v>61.06</v>
      </c>
      <c r="E1607" s="9">
        <f>IFERROR(__xludf.DUMMYFUNCTION("GOOGLEFINANCE(A1607, ""high"")"),61.23)</f>
        <v>61.23</v>
      </c>
      <c r="F1607" s="9">
        <f>IFERROR(__xludf.DUMMYFUNCTION("GOOGLEFINANCE(A1607, ""low"")"),59.2)</f>
        <v>59.2</v>
      </c>
      <c r="G1607" s="9">
        <f>IFERROR(__xludf.DUMMYFUNCTION("GOOGLEFINANCE(A1607, ""price"")"),61.05)</f>
        <v>61.05</v>
      </c>
      <c r="H1607" s="9">
        <f>IFERROR(__xludf.DUMMYFUNCTION("MAX(INDEX(GOOGLEFINANCE(A1607, ""high"", TODAY()-30, TODAY()), 0, 2))"),72.46)</f>
        <v>72.46</v>
      </c>
      <c r="I1607" s="9">
        <f>IFERROR(__xludf.DUMMYFUNCTION("MIN(INDEX(GOOGLEFINANCE(A1607, ""low"", TODAY()-30, TODAY()), 0, 2))"),53.46)</f>
        <v>53.46</v>
      </c>
      <c r="J1607" s="9">
        <f>IFERROR(__xludf.DUMMYFUNCTION("GOOGLEFINANCE(A1607, ""high52"")"),125.35)</f>
        <v>125.35</v>
      </c>
      <c r="K1607" s="9">
        <f>IFERROR(__xludf.DUMMYFUNCTION("GOOGLEFINANCE(A1607, ""low52"")"),47.65)</f>
        <v>47.65</v>
      </c>
      <c r="L1607" s="9">
        <f t="shared" si="1"/>
        <v>0.5129637016</v>
      </c>
      <c r="M1607" s="9">
        <f t="shared" si="2"/>
        <v>0.2812172088</v>
      </c>
      <c r="N1607" s="9">
        <f t="shared" si="3"/>
        <v>0.03429054054</v>
      </c>
      <c r="O1607" s="9">
        <f t="shared" si="4"/>
        <v>0.3994736842</v>
      </c>
      <c r="P1607" s="9">
        <f>IFERROR(__xludf.DUMMYFUNCTION("GOOGLEFINANCE(A1607, ""pe"")"),101.75)</f>
        <v>101.75</v>
      </c>
      <c r="Q1607" s="9">
        <f>IFERROR(__xludf.DUMMYFUNCTION("IFERROR(GOOGLEFINANCE(A1607, ""volume"") / GOOGLEFINANCE(A1607, ""volumeavg""), 0)"),0.0)</f>
        <v>0</v>
      </c>
      <c r="R1607" s="9">
        <f>IFERROR(__xludf.DUMMYFUNCTION("AVERAGE(INDEX(GOOGLEFINANCE(A1607, ""price"", TODAY()-30, TODAY()), 0, 2))"),59.720000000000006)</f>
        <v>59.72</v>
      </c>
      <c r="S1607" s="9">
        <f>IFERROR(__xludf.DUMMYFUNCTION("AVERAGE(INDEX(GOOGLEFINANCE(A1607, ""price"", TODAY()-75, TODAY()), 0, 2))"),58.71358490566037)</f>
        <v>58.71358491</v>
      </c>
      <c r="T1607" s="9">
        <f>IFERROR(__xludf.DUMMYFUNCTION("AVERAGE(INDEX(GOOGLEFINANCE(A1607, ""price"", TODAY()-300, TODAY()), 0, 2))"),70.48445544554457)</f>
        <v>70.48445545</v>
      </c>
      <c r="U1607" s="9">
        <f t="shared" si="5"/>
        <v>0.02227059612</v>
      </c>
      <c r="V1607" s="15">
        <f>IFERROR(__xludf.DUMMYFUNCTION("LET(hist, GOOGLEFINANCE(A1607,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rs))))))"),57.13761467889908)</f>
        <v>57.13761468</v>
      </c>
      <c r="W1607" s="16" t="str">
        <f>IFERROR(__xludf.DUMMYFUNCTION("IFERROR(GOOGLEFINANCE(A1607, ""volume"") / GOOGLEFINANCE(A1607, ""volumeavg""), )"),"")</f>
        <v/>
      </c>
      <c r="X1607" s="9">
        <f>IFERROR(__xludf.DUMMYFUNCTION("B1607 * GOOGLEFINANCE(A1607, ""volume"")"),8033996.85)</f>
        <v>8033996.85</v>
      </c>
      <c r="Y1607" s="9">
        <f>IFERROR(__xludf.DUMMYFUNCTION("IFERROR(((B1607 - GOOGLEFINANCE(A1607, ""priceopen"")) / GOOGLEFINANCE(A1607, ""priceopen"")) * GOOGLEFINANCE(A1607, ""volume""), 0)"),-21.552079921399823)</f>
        <v>-21.55207992</v>
      </c>
    </row>
    <row r="1608">
      <c r="A1608" s="4" t="s">
        <v>3400</v>
      </c>
      <c r="B1608" s="7">
        <f>IFERROR(__xludf.DUMMYFUNCTION("GOOGLEFINANCE(A1608, ""price"")"),245.02)</f>
        <v>245.02</v>
      </c>
      <c r="C1608" s="7">
        <f>IFERROR(__xludf.DUMMYFUNCTION("GOOGLEFINANCE(A1608, ""changepct"")"),2.52)</f>
        <v>2.52</v>
      </c>
      <c r="D1608" s="9">
        <f>IFERROR(__xludf.DUMMYFUNCTION("GOOGLEFINANCE(A1608, ""priceopen"")"),238.99)</f>
        <v>238.99</v>
      </c>
      <c r="E1608" s="9">
        <f>IFERROR(__xludf.DUMMYFUNCTION("GOOGLEFINANCE(A1608, ""high"")"),250.9)</f>
        <v>250.9</v>
      </c>
      <c r="F1608" s="9">
        <f>IFERROR(__xludf.DUMMYFUNCTION("GOOGLEFINANCE(A1608, ""low"")"),234.95)</f>
        <v>234.95</v>
      </c>
      <c r="G1608" s="9">
        <f>IFERROR(__xludf.DUMMYFUNCTION("GOOGLEFINANCE(A1608, ""price"")"),245.02)</f>
        <v>245.02</v>
      </c>
      <c r="H1608" s="9">
        <f>IFERROR(__xludf.DUMMYFUNCTION("MAX(INDEX(GOOGLEFINANCE(A1608, ""high"", TODAY()-30, TODAY()), 0, 2))"),274.7)</f>
        <v>274.7</v>
      </c>
      <c r="I1608" s="9">
        <f>IFERROR(__xludf.DUMMYFUNCTION("MIN(INDEX(GOOGLEFINANCE(A1608, ""low"", TODAY()-30, TODAY()), 0, 2))"),228.0)</f>
        <v>228</v>
      </c>
      <c r="J1608" s="9">
        <f>IFERROR(__xludf.DUMMYFUNCTION("GOOGLEFINANCE(A1608, ""high52"")"),409.9)</f>
        <v>409.9</v>
      </c>
      <c r="K1608" s="9">
        <f>IFERROR(__xludf.DUMMYFUNCTION("GOOGLEFINANCE(A1608, ""low52"")"),186.0)</f>
        <v>186</v>
      </c>
      <c r="L1608" s="9">
        <f t="shared" si="1"/>
        <v>0.4022444499</v>
      </c>
      <c r="M1608" s="9">
        <f t="shared" si="2"/>
        <v>0.317311828</v>
      </c>
      <c r="N1608" s="9">
        <f t="shared" si="3"/>
        <v>0.06788678442</v>
      </c>
      <c r="O1608" s="9">
        <f t="shared" si="4"/>
        <v>0.3644539615</v>
      </c>
      <c r="P1608" s="9">
        <f>IFERROR(__xludf.DUMMYFUNCTION("GOOGLEFINANCE(A1608, ""pe"")"),36.17)</f>
        <v>36.17</v>
      </c>
      <c r="Q1608" s="9">
        <f>IFERROR(__xludf.DUMMYFUNCTION("IFERROR(GOOGLEFINANCE(A1608, ""volume"") / GOOGLEFINANCE(A1608, ""volumeavg""), 0)"),0.0)</f>
        <v>0</v>
      </c>
      <c r="R1608" s="9">
        <f>IFERROR(__xludf.DUMMYFUNCTION("AVERAGE(INDEX(GOOGLEFINANCE(A1608, ""price"", TODAY()-30, TODAY()), 0, 2))"),244.31521739130434)</f>
        <v>244.3152174</v>
      </c>
      <c r="S1608" s="9">
        <f>IFERROR(__xludf.DUMMYFUNCTION("AVERAGE(INDEX(GOOGLEFINANCE(A1608, ""price"", TODAY()-75, TODAY()), 0, 2))"),261.07452830188674)</f>
        <v>261.0745283</v>
      </c>
      <c r="T1608" s="9">
        <f>IFERROR(__xludf.DUMMYFUNCTION("AVERAGE(INDEX(GOOGLEFINANCE(A1608, ""price"", TODAY()-300, TODAY()), 0, 2))"),257.80313432835817)</f>
        <v>257.8031343</v>
      </c>
      <c r="U1608" s="9">
        <f t="shared" si="5"/>
        <v>0.002884726609</v>
      </c>
      <c r="V1608" s="15">
        <f>IFERROR(__xludf.DUMMYFUNCTION("LET(hist, GOOGLEFINANCE(A1608,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rs))))))"),59.22266139657446)</f>
        <v>59.2226614</v>
      </c>
      <c r="W1608" s="16" t="str">
        <f>IFERROR(__xludf.DUMMYFUNCTION("IFERROR(GOOGLEFINANCE(A1608, ""volume"") / GOOGLEFINANCE(A1608, ""volumeavg""), )"),"")</f>
        <v/>
      </c>
      <c r="X1608" s="9">
        <f>IFERROR(__xludf.DUMMYFUNCTION("B1608 * GOOGLEFINANCE(A1608, ""volume"")"),1.1881754860000001E7)</f>
        <v>11881754.86</v>
      </c>
      <c r="Y1608" s="9">
        <f>IFERROR(__xludf.DUMMYFUNCTION("IFERROR(((B1608 - GOOGLEFINANCE(A1608, ""priceopen"")) / GOOGLEFINANCE(A1608, ""priceopen"")) * GOOGLEFINANCE(A1608, ""volume""), 0)"),1223.5356709485754)</f>
        <v>1223.535671</v>
      </c>
    </row>
    <row r="1609">
      <c r="A1609" s="4" t="s">
        <v>3401</v>
      </c>
      <c r="B1609" s="7">
        <f>IFERROR(__xludf.DUMMYFUNCTION("GOOGLEFINANCE(A1609, ""price"")"),272.5)</f>
        <v>272.5</v>
      </c>
      <c r="C1609" s="7">
        <f>IFERROR(__xludf.DUMMYFUNCTION("GOOGLEFINANCE(A1609, ""changepct"")"),-0.96)</f>
        <v>-0.96</v>
      </c>
      <c r="D1609" s="9">
        <f>IFERROR(__xludf.DUMMYFUNCTION("GOOGLEFINANCE(A1609, ""priceopen"")"),275.9)</f>
        <v>275.9</v>
      </c>
      <c r="E1609" s="9">
        <f>IFERROR(__xludf.DUMMYFUNCTION("GOOGLEFINANCE(A1609, ""high"")"),277.75)</f>
        <v>277.75</v>
      </c>
      <c r="F1609" s="9">
        <f>IFERROR(__xludf.DUMMYFUNCTION("GOOGLEFINANCE(A1609, ""low"")"),271.05)</f>
        <v>271.05</v>
      </c>
      <c r="G1609" s="9">
        <f>IFERROR(__xludf.DUMMYFUNCTION("GOOGLEFINANCE(A1609, ""price"")"),272.5)</f>
        <v>272.5</v>
      </c>
      <c r="H1609" s="9">
        <f>IFERROR(__xludf.DUMMYFUNCTION("MAX(INDEX(GOOGLEFINANCE(A1609, ""high"", TODAY()-30, TODAY()), 0, 2))"),345.0)</f>
        <v>345</v>
      </c>
      <c r="I1609" s="9">
        <f>IFERROR(__xludf.DUMMYFUNCTION("MIN(INDEX(GOOGLEFINANCE(A1609, ""low"", TODAY()-30, TODAY()), 0, 2))"),271.05)</f>
        <v>271.05</v>
      </c>
      <c r="J1609" s="9">
        <f>IFERROR(__xludf.DUMMYFUNCTION("GOOGLEFINANCE(A1609, ""high52"")"),354.85)</f>
        <v>354.85</v>
      </c>
      <c r="K1609" s="9">
        <f>IFERROR(__xludf.DUMMYFUNCTION("GOOGLEFINANCE(A1609, ""low52"")"),245.75)</f>
        <v>245.75</v>
      </c>
      <c r="L1609" s="9">
        <f t="shared" si="1"/>
        <v>0.2320698887</v>
      </c>
      <c r="M1609" s="9">
        <f t="shared" si="2"/>
        <v>0.1088504578</v>
      </c>
      <c r="N1609" s="9">
        <f t="shared" si="3"/>
        <v>0.02471868659</v>
      </c>
      <c r="O1609" s="9">
        <f t="shared" si="4"/>
        <v>0.01960784314</v>
      </c>
      <c r="P1609" s="9">
        <f>IFERROR(__xludf.DUMMYFUNCTION("GOOGLEFINANCE(A1609, ""pe"")"),17.41)</f>
        <v>17.41</v>
      </c>
      <c r="Q1609" s="9">
        <f>IFERROR(__xludf.DUMMYFUNCTION("IFERROR(GOOGLEFINANCE(A1609, ""volume"") / GOOGLEFINANCE(A1609, ""volumeavg""), 0)"),0.0)</f>
        <v>0</v>
      </c>
      <c r="R1609" s="9">
        <f>IFERROR(__xludf.DUMMYFUNCTION("AVERAGE(INDEX(GOOGLEFINANCE(A1609, ""price"", TODAY()-30, TODAY()), 0, 2))"),286.3152173913044)</f>
        <v>286.3152174</v>
      </c>
      <c r="S1609" s="9">
        <f>IFERROR(__xludf.DUMMYFUNCTION("AVERAGE(INDEX(GOOGLEFINANCE(A1609, ""price"", TODAY()-75, TODAY()), 0, 2))"),286.0924528301886)</f>
        <v>286.0924528</v>
      </c>
      <c r="T1609" s="9">
        <f>IFERROR(__xludf.DUMMYFUNCTION("AVERAGE(INDEX(GOOGLEFINANCE(A1609, ""price"", TODAY()-300, TODAY()), 0, 2))"),293.09447761194025)</f>
        <v>293.0944776</v>
      </c>
      <c r="U1609" s="9">
        <f t="shared" si="5"/>
        <v>-0.0482517748</v>
      </c>
      <c r="V1609" s="15">
        <f>IFERROR(__xludf.DUMMYFUNCTION("LET(hist, GOOGLEFINANCE(A1609,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rs))))))"),36.19402985074629)</f>
        <v>36.19402985</v>
      </c>
      <c r="W1609" s="16" t="str">
        <f>IFERROR(__xludf.DUMMYFUNCTION("IFERROR(GOOGLEFINANCE(A1609, ""volume"") / GOOGLEFINANCE(A1609, ""volumeavg""), )"),"")</f>
        <v/>
      </c>
      <c r="X1609" s="9">
        <f>IFERROR(__xludf.DUMMYFUNCTION("B1609 * GOOGLEFINANCE(A1609, ""volume"")"),7715020.0)</f>
        <v>7715020</v>
      </c>
      <c r="Y1609" s="9">
        <f>IFERROR(__xludf.DUMMYFUNCTION("IFERROR(((B1609 - GOOGLEFINANCE(A1609, ""priceopen"")) / GOOGLEFINANCE(A1609, ""priceopen"")) * GOOGLEFINANCE(A1609, ""volume""), 0)"),-348.8974266038397)</f>
        <v>-348.8974266</v>
      </c>
    </row>
    <row r="1610">
      <c r="A1610" s="4" t="s">
        <v>3402</v>
      </c>
      <c r="B1610" s="7">
        <f>IFERROR(__xludf.DUMMYFUNCTION("GOOGLEFINANCE(A1610, ""price"")"),35.0)</f>
        <v>35</v>
      </c>
      <c r="C1610" s="7">
        <f>IFERROR(__xludf.DUMMYFUNCTION("GOOGLEFINANCE(A1610, ""changepct"")"),0.84)</f>
        <v>0.84</v>
      </c>
      <c r="D1610" s="9">
        <f>IFERROR(__xludf.DUMMYFUNCTION("GOOGLEFINANCE(A1610, ""priceopen"")"),35.44)</f>
        <v>35.44</v>
      </c>
      <c r="E1610" s="9">
        <f>IFERROR(__xludf.DUMMYFUNCTION("GOOGLEFINANCE(A1610, ""high"")"),35.44)</f>
        <v>35.44</v>
      </c>
      <c r="F1610" s="9">
        <f>IFERROR(__xludf.DUMMYFUNCTION("GOOGLEFINANCE(A1610, ""low"")"),34.63)</f>
        <v>34.63</v>
      </c>
      <c r="G1610" s="9">
        <f>IFERROR(__xludf.DUMMYFUNCTION("GOOGLEFINANCE(A1610, ""price"")"),35.0)</f>
        <v>35</v>
      </c>
      <c r="H1610" s="9">
        <f>IFERROR(__xludf.DUMMYFUNCTION("MAX(INDEX(GOOGLEFINANCE(A1610, ""high"", TODAY()-30, TODAY()), 0, 2))"),37.99)</f>
        <v>37.99</v>
      </c>
      <c r="I1610" s="9">
        <f>IFERROR(__xludf.DUMMYFUNCTION("MIN(INDEX(GOOGLEFINANCE(A1610, ""low"", TODAY()-30, TODAY()), 0, 2))"),33.81)</f>
        <v>33.81</v>
      </c>
      <c r="J1610" s="9">
        <f>IFERROR(__xludf.DUMMYFUNCTION("GOOGLEFINANCE(A1610, ""high52"")"),38.49)</f>
        <v>38.49</v>
      </c>
      <c r="K1610" s="9">
        <f>IFERROR(__xludf.DUMMYFUNCTION("GOOGLEFINANCE(A1610, ""low52"")"),30.16)</f>
        <v>30.16</v>
      </c>
      <c r="L1610" s="9">
        <f t="shared" si="1"/>
        <v>0.09067290205</v>
      </c>
      <c r="M1610" s="9">
        <f t="shared" si="2"/>
        <v>0.1604774536</v>
      </c>
      <c r="N1610" s="9">
        <f t="shared" si="3"/>
        <v>0.02339012417</v>
      </c>
      <c r="O1610" s="9">
        <f t="shared" si="4"/>
        <v>0.2846889952</v>
      </c>
      <c r="P1610" s="9">
        <f>IFERROR(__xludf.DUMMYFUNCTION("GOOGLEFINANCE(A1610, ""pe"")"),127.18)</f>
        <v>127.18</v>
      </c>
      <c r="Q1610" s="9">
        <f>IFERROR(__xludf.DUMMYFUNCTION("IFERROR(GOOGLEFINANCE(A1610, ""volume"") / GOOGLEFINANCE(A1610, ""volumeavg""), 0)"),0.0)</f>
        <v>0</v>
      </c>
      <c r="R1610" s="9">
        <f>IFERROR(__xludf.DUMMYFUNCTION("AVERAGE(INDEX(GOOGLEFINANCE(A1610, ""price"", TODAY()-30, TODAY()), 0, 2))"),35.541739130434784)</f>
        <v>35.54173913</v>
      </c>
      <c r="S1610" s="9">
        <f>IFERROR(__xludf.DUMMYFUNCTION("AVERAGE(INDEX(GOOGLEFINANCE(A1610, ""price"", TODAY()-75, TODAY()), 0, 2))"),34.66372549019608)</f>
        <v>34.66372549</v>
      </c>
      <c r="T1610" s="9">
        <f>IFERROR(__xludf.DUMMYFUNCTION("AVERAGE(INDEX(GOOGLEFINANCE(A1610, ""price"", TODAY()-300, TODAY()), 0, 2))"),34.66372549019608)</f>
        <v>34.66372549</v>
      </c>
      <c r="U1610" s="9">
        <f t="shared" si="5"/>
        <v>-0.01524233602</v>
      </c>
      <c r="V1610" s="15">
        <f>IFERROR(__xludf.DUMMYFUNCTION("LET(hist, GOOGLEFINANCE(A1610,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rs))))))"),45.4198473282443)</f>
        <v>45.41984733</v>
      </c>
      <c r="W1610" s="16" t="str">
        <f>IFERROR(__xludf.DUMMYFUNCTION("IFERROR(GOOGLEFINANCE(A1610, ""volume"") / GOOGLEFINANCE(A1610, ""volumeavg""), )"),"")</f>
        <v/>
      </c>
      <c r="X1610" s="9">
        <f>IFERROR(__xludf.DUMMYFUNCTION("B1610 * GOOGLEFINANCE(A1610, ""volume"")"),2231180.0)</f>
        <v>2231180</v>
      </c>
      <c r="Y1610" s="9">
        <f>IFERROR(__xludf.DUMMYFUNCTION("IFERROR(((B1610 - GOOGLEFINANCE(A1610, ""priceopen"")) / GOOGLEFINANCE(A1610, ""priceopen"")) * GOOGLEFINANCE(A1610, ""volume""), 0)"),-791.4537246049621)</f>
        <v>-791.4537246</v>
      </c>
    </row>
    <row r="1611">
      <c r="A1611" s="4" t="s">
        <v>3403</v>
      </c>
      <c r="B1611" s="7">
        <f>IFERROR(__xludf.DUMMYFUNCTION("GOOGLEFINANCE(A1611, ""price"")"),163.24)</f>
        <v>163.24</v>
      </c>
      <c r="C1611" s="7">
        <f>IFERROR(__xludf.DUMMYFUNCTION("GOOGLEFINANCE(A1611, ""changepct"")"),-4.4)</f>
        <v>-4.4</v>
      </c>
      <c r="D1611" s="9">
        <f>IFERROR(__xludf.DUMMYFUNCTION("GOOGLEFINANCE(A1611, ""priceopen"")"),172.0)</f>
        <v>172</v>
      </c>
      <c r="E1611" s="9">
        <f>IFERROR(__xludf.DUMMYFUNCTION("GOOGLEFINANCE(A1611, ""high"")"),174.28)</f>
        <v>174.28</v>
      </c>
      <c r="F1611" s="9">
        <f>IFERROR(__xludf.DUMMYFUNCTION("GOOGLEFINANCE(A1611, ""low"")"),156.2)</f>
        <v>156.2</v>
      </c>
      <c r="G1611" s="9">
        <f>IFERROR(__xludf.DUMMYFUNCTION("GOOGLEFINANCE(A1611, ""price"")"),163.24)</f>
        <v>163.24</v>
      </c>
      <c r="H1611" s="9">
        <f>IFERROR(__xludf.DUMMYFUNCTION("MAX(INDEX(GOOGLEFINANCE(A1611, ""high"", TODAY()-30, TODAY()), 0, 2))"),198.69)</f>
        <v>198.69</v>
      </c>
      <c r="I1611" s="9">
        <f>IFERROR(__xludf.DUMMYFUNCTION("MIN(INDEX(GOOGLEFINANCE(A1611, ""low"", TODAY()-30, TODAY()), 0, 2))"),156.2)</f>
        <v>156.2</v>
      </c>
      <c r="J1611" s="9">
        <f>IFERROR(__xludf.DUMMYFUNCTION("GOOGLEFINANCE(A1611, ""high52"")"),198.69)</f>
        <v>198.69</v>
      </c>
      <c r="K1611" s="9">
        <f>IFERROR(__xludf.DUMMYFUNCTION("GOOGLEFINANCE(A1611, ""low52"")"),131.8)</f>
        <v>131.8</v>
      </c>
      <c r="L1611" s="9">
        <f t="shared" si="1"/>
        <v>0.1784186421</v>
      </c>
      <c r="M1611" s="9">
        <f t="shared" si="2"/>
        <v>0.2385432473</v>
      </c>
      <c r="N1611" s="9">
        <f t="shared" si="3"/>
        <v>0.1157490397</v>
      </c>
      <c r="O1611" s="9">
        <f t="shared" si="4"/>
        <v>0.1656860438</v>
      </c>
      <c r="P1611" s="9">
        <f>IFERROR(__xludf.DUMMYFUNCTION("GOOGLEFINANCE(A1611, ""pe"")"),20.59)</f>
        <v>20.59</v>
      </c>
      <c r="Q1611" s="9">
        <f>IFERROR(__xludf.DUMMYFUNCTION("IFERROR(GOOGLEFINANCE(A1611, ""volume"") / GOOGLEFINANCE(A1611, ""volumeavg""), 0)"),0.0)</f>
        <v>0</v>
      </c>
      <c r="R1611" s="9">
        <f>IFERROR(__xludf.DUMMYFUNCTION("AVERAGE(INDEX(GOOGLEFINANCE(A1611, ""price"", TODAY()-30, TODAY()), 0, 2))"),172.72913043478258)</f>
        <v>172.7291304</v>
      </c>
      <c r="S1611" s="9">
        <f>IFERROR(__xludf.DUMMYFUNCTION("AVERAGE(INDEX(GOOGLEFINANCE(A1611, ""price"", TODAY()-75, TODAY()), 0, 2))"),169.80981132075476)</f>
        <v>169.8098113</v>
      </c>
      <c r="T1611" s="9">
        <f>IFERROR(__xludf.DUMMYFUNCTION("AVERAGE(INDEX(GOOGLEFINANCE(A1611, ""price"", TODAY()-300, TODAY()), 0, 2))"),161.43212871287133)</f>
        <v>161.4321287</v>
      </c>
      <c r="U1611" s="9">
        <f t="shared" si="5"/>
        <v>-0.05493648009</v>
      </c>
      <c r="V1611" s="15">
        <f>IFERROR(__xludf.DUMMYFUNCTION("LET(hist, GOOGLEFINANCE(A1611,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rs))))))"),49.68928660203828)</f>
        <v>49.6892866</v>
      </c>
      <c r="W1611" s="16" t="str">
        <f>IFERROR(__xludf.DUMMYFUNCTION("IFERROR(GOOGLEFINANCE(A1611, ""volume"") / GOOGLEFINANCE(A1611, ""volumeavg""), )"),"")</f>
        <v/>
      </c>
      <c r="X1611" s="9">
        <f>IFERROR(__xludf.DUMMYFUNCTION("B1611 * GOOGLEFINANCE(A1611, ""volume"")"),3.8727873800000004E7)</f>
        <v>38727873.8</v>
      </c>
      <c r="Y1611" s="9">
        <f>IFERROR(__xludf.DUMMYFUNCTION("IFERROR(((B1611 - GOOGLEFINANCE(A1611, ""priceopen"")) / GOOGLEFINANCE(A1611, ""priceopen"")) * GOOGLEFINANCE(A1611, ""volume""), 0)"),-12082.943023255802)</f>
        <v>-12082.94302</v>
      </c>
    </row>
    <row r="1612">
      <c r="A1612" s="4" t="s">
        <v>3404</v>
      </c>
      <c r="B1612" s="7">
        <f>IFERROR(__xludf.DUMMYFUNCTION("GOOGLEFINANCE(A1612, ""price"")"),145.5)</f>
        <v>145.5</v>
      </c>
      <c r="C1612" s="7">
        <f>IFERROR(__xludf.DUMMYFUNCTION("GOOGLEFINANCE(A1612, ""changepct"")"),-1.45)</f>
        <v>-1.45</v>
      </c>
      <c r="D1612" s="9">
        <f>IFERROR(__xludf.DUMMYFUNCTION("GOOGLEFINANCE(A1612, ""priceopen"")"),147.0)</f>
        <v>147</v>
      </c>
      <c r="E1612" s="9">
        <f>IFERROR(__xludf.DUMMYFUNCTION("GOOGLEFINANCE(A1612, ""high"")"),149.5)</f>
        <v>149.5</v>
      </c>
      <c r="F1612" s="9">
        <f>IFERROR(__xludf.DUMMYFUNCTION("GOOGLEFINANCE(A1612, ""low"")"),145.0)</f>
        <v>145</v>
      </c>
      <c r="G1612" s="9">
        <f>IFERROR(__xludf.DUMMYFUNCTION("GOOGLEFINANCE(A1612, ""price"")"),145.5)</f>
        <v>145.5</v>
      </c>
      <c r="H1612" s="9">
        <f>IFERROR(__xludf.DUMMYFUNCTION("MAX(INDEX(GOOGLEFINANCE(A1612, ""high"", TODAY()-30, TODAY()), 0, 2))"),161.79)</f>
        <v>161.79</v>
      </c>
      <c r="I1612" s="9">
        <f>IFERROR(__xludf.DUMMYFUNCTION("MIN(INDEX(GOOGLEFINANCE(A1612, ""low"", TODAY()-30, TODAY()), 0, 2))"),145.0)</f>
        <v>145</v>
      </c>
      <c r="J1612" s="9">
        <f>IFERROR(__xludf.DUMMYFUNCTION("GOOGLEFINANCE(A1612, ""high52"")"),262.8)</f>
        <v>262.8</v>
      </c>
      <c r="K1612" s="9">
        <f>IFERROR(__xludf.DUMMYFUNCTION("GOOGLEFINANCE(A1612, ""low52"")"),132.7)</f>
        <v>132.7</v>
      </c>
      <c r="L1612" s="9">
        <f t="shared" si="1"/>
        <v>0.446347032</v>
      </c>
      <c r="M1612" s="9">
        <f t="shared" si="2"/>
        <v>0.09645817634</v>
      </c>
      <c r="N1612" s="9">
        <f t="shared" si="3"/>
        <v>0.03103448276</v>
      </c>
      <c r="O1612" s="9">
        <f t="shared" si="4"/>
        <v>0.02977963073</v>
      </c>
      <c r="P1612" s="9">
        <f>IFERROR(__xludf.DUMMYFUNCTION("GOOGLEFINANCE(A1612, ""pe"")"),11.17)</f>
        <v>11.17</v>
      </c>
      <c r="Q1612" s="9">
        <f>IFERROR(__xludf.DUMMYFUNCTION("IFERROR(GOOGLEFINANCE(A1612, ""volume"") / GOOGLEFINANCE(A1612, ""volumeavg""), 0)"),0.0)</f>
        <v>0</v>
      </c>
      <c r="R1612" s="9">
        <f>IFERROR(__xludf.DUMMYFUNCTION("AVERAGE(INDEX(GOOGLEFINANCE(A1612, ""price"", TODAY()-30, TODAY()), 0, 2))"),150.9295652173913)</f>
        <v>150.9295652</v>
      </c>
      <c r="S1612" s="9">
        <f>IFERROR(__xludf.DUMMYFUNCTION("AVERAGE(INDEX(GOOGLEFINANCE(A1612, ""price"", TODAY()-75, TODAY()), 0, 2))"),153.0983018867925)</f>
        <v>153.0983019</v>
      </c>
      <c r="T1612" s="9">
        <f>IFERROR(__xludf.DUMMYFUNCTION("AVERAGE(INDEX(GOOGLEFINANCE(A1612, ""price"", TODAY()-300, TODAY()), 0, 2))"),175.1964356435643)</f>
        <v>175.1964356</v>
      </c>
      <c r="U1612" s="9">
        <f t="shared" si="5"/>
        <v>-0.03597416589</v>
      </c>
      <c r="V1612" s="15">
        <f>IFERROR(__xludf.DUMMYFUNCTION("LET(hist, GOOGLEFINANCE(A1612,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rs))))))"),39.00709219858157)</f>
        <v>39.0070922</v>
      </c>
      <c r="W1612" s="16" t="str">
        <f>IFERROR(__xludf.DUMMYFUNCTION("IFERROR(GOOGLEFINANCE(A1612, ""volume"") / GOOGLEFINANCE(A1612, ""volumeavg""), )"),"")</f>
        <v/>
      </c>
      <c r="X1612" s="9">
        <f>IFERROR(__xludf.DUMMYFUNCTION("B1612 * GOOGLEFINANCE(A1612, ""volume"")"),1.381377E7)</f>
        <v>13813770</v>
      </c>
      <c r="Y1612" s="9">
        <f>IFERROR(__xludf.DUMMYFUNCTION("IFERROR(((B1612 - GOOGLEFINANCE(A1612, ""priceopen"")) / GOOGLEFINANCE(A1612, ""priceopen"")) * GOOGLEFINANCE(A1612, ""volume""), 0)"),-968.7755102040816)</f>
        <v>-968.7755102</v>
      </c>
    </row>
    <row r="1613">
      <c r="A1613" s="4" t="s">
        <v>3405</v>
      </c>
      <c r="B1613" s="7">
        <f>IFERROR(__xludf.DUMMYFUNCTION("GOOGLEFINANCE(A1613, ""price"")"),111.06)</f>
        <v>111.06</v>
      </c>
      <c r="C1613" s="7">
        <f>IFERROR(__xludf.DUMMYFUNCTION("GOOGLEFINANCE(A1613, ""changepct"")"),-1.15)</f>
        <v>-1.15</v>
      </c>
      <c r="D1613" s="9">
        <f>IFERROR(__xludf.DUMMYFUNCTION("GOOGLEFINANCE(A1613, ""priceopen"")"),115.0)</f>
        <v>115</v>
      </c>
      <c r="E1613" s="9">
        <f>IFERROR(__xludf.DUMMYFUNCTION("GOOGLEFINANCE(A1613, ""high"")"),115.0)</f>
        <v>115</v>
      </c>
      <c r="F1613" s="9">
        <f>IFERROR(__xludf.DUMMYFUNCTION("GOOGLEFINANCE(A1613, ""low"")"),110.6)</f>
        <v>110.6</v>
      </c>
      <c r="G1613" s="9">
        <f>IFERROR(__xludf.DUMMYFUNCTION("GOOGLEFINANCE(A1613, ""price"")"),111.06)</f>
        <v>111.06</v>
      </c>
      <c r="H1613" s="9">
        <f>IFERROR(__xludf.DUMMYFUNCTION("MAX(INDEX(GOOGLEFINANCE(A1613, ""high"", TODAY()-30, TODAY()), 0, 2))"),133.7)</f>
        <v>133.7</v>
      </c>
      <c r="I1613" s="9">
        <f>IFERROR(__xludf.DUMMYFUNCTION("MIN(INDEX(GOOGLEFINANCE(A1613, ""low"", TODAY()-30, TODAY()), 0, 2))"),86.0)</f>
        <v>86</v>
      </c>
      <c r="J1613" s="9">
        <f>IFERROR(__xludf.DUMMYFUNCTION("GOOGLEFINANCE(A1613, ""high52"")"),133.7)</f>
        <v>133.7</v>
      </c>
      <c r="K1613" s="9">
        <f>IFERROR(__xludf.DUMMYFUNCTION("GOOGLEFINANCE(A1613, ""low52"")"),55.0)</f>
        <v>55</v>
      </c>
      <c r="L1613" s="9">
        <f t="shared" si="1"/>
        <v>0.1693343306</v>
      </c>
      <c r="M1613" s="9">
        <f t="shared" si="2"/>
        <v>1.019272727</v>
      </c>
      <c r="N1613" s="9">
        <f t="shared" si="3"/>
        <v>0.03978300181</v>
      </c>
      <c r="O1613" s="9">
        <f t="shared" si="4"/>
        <v>0.5253668763</v>
      </c>
      <c r="P1613" s="9">
        <f>IFERROR(__xludf.DUMMYFUNCTION("GOOGLEFINANCE(A1613, ""pe"")"),7.32)</f>
        <v>7.32</v>
      </c>
      <c r="Q1613" s="9">
        <f>IFERROR(__xludf.DUMMYFUNCTION("IFERROR(GOOGLEFINANCE(A1613, ""volume"") / GOOGLEFINANCE(A1613, ""volumeavg""), 0)"),0.0)</f>
        <v>0</v>
      </c>
      <c r="R1613" s="9">
        <f>IFERROR(__xludf.DUMMYFUNCTION("AVERAGE(INDEX(GOOGLEFINANCE(A1613, ""price"", TODAY()-30, TODAY()), 0, 2))"),106.0604347826087)</f>
        <v>106.0604348</v>
      </c>
      <c r="S1613" s="9">
        <f>IFERROR(__xludf.DUMMYFUNCTION("AVERAGE(INDEX(GOOGLEFINANCE(A1613, ""price"", TODAY()-75, TODAY()), 0, 2))"),94.6424528301887)</f>
        <v>94.64245283</v>
      </c>
      <c r="T1613" s="9">
        <f>IFERROR(__xludf.DUMMYFUNCTION("AVERAGE(INDEX(GOOGLEFINANCE(A1613, ""price"", TODAY()-300, TODAY()), 0, 2))"),86.44975247524754)</f>
        <v>86.44975248</v>
      </c>
      <c r="U1613" s="9">
        <f t="shared" si="5"/>
        <v>0.04713883389</v>
      </c>
      <c r="V1613" s="15">
        <f>IFERROR(__xludf.DUMMYFUNCTION("LET(hist, GOOGLEFINANCE(A1613,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rs))))))"),34.54545454545456)</f>
        <v>34.54545455</v>
      </c>
      <c r="W1613" s="16" t="str">
        <f>IFERROR(__xludf.DUMMYFUNCTION("IFERROR(GOOGLEFINANCE(A1613, ""volume"") / GOOGLEFINANCE(A1613, ""volumeavg""), )"),"")</f>
        <v/>
      </c>
      <c r="X1613" s="9">
        <f>IFERROR(__xludf.DUMMYFUNCTION("B1613 * GOOGLEFINANCE(A1613, ""volume"")"),2271510.18)</f>
        <v>2271510.18</v>
      </c>
      <c r="Y1613" s="9">
        <f>IFERROR(__xludf.DUMMYFUNCTION("IFERROR(((B1613 - GOOGLEFINANCE(A1613, ""priceopen"")) / GOOGLEFINANCE(A1613, ""priceopen"")) * GOOGLEFINANCE(A1613, ""volume""), 0)"),-700.737565217391)</f>
        <v>-700.7375652</v>
      </c>
    </row>
    <row r="1614">
      <c r="A1614" s="4" t="s">
        <v>3406</v>
      </c>
      <c r="B1614" s="7">
        <f>IFERROR(__xludf.DUMMYFUNCTION("GOOGLEFINANCE(A1614, ""price"")"),135.05)</f>
        <v>135.05</v>
      </c>
      <c r="C1614" s="7">
        <f>IFERROR(__xludf.DUMMYFUNCTION("GOOGLEFINANCE(A1614, ""changepct"")"),-3.02)</f>
        <v>-3.02</v>
      </c>
      <c r="D1614" s="9">
        <f>IFERROR(__xludf.DUMMYFUNCTION("GOOGLEFINANCE(A1614, ""priceopen"")"),140.0)</f>
        <v>140</v>
      </c>
      <c r="E1614" s="9">
        <f>IFERROR(__xludf.DUMMYFUNCTION("GOOGLEFINANCE(A1614, ""high"")"),143.0)</f>
        <v>143</v>
      </c>
      <c r="F1614" s="9">
        <f>IFERROR(__xludf.DUMMYFUNCTION("GOOGLEFINANCE(A1614, ""low"")"),135.0)</f>
        <v>135</v>
      </c>
      <c r="G1614" s="9">
        <f>IFERROR(__xludf.DUMMYFUNCTION("GOOGLEFINANCE(A1614, ""price"")"),135.05)</f>
        <v>135.05</v>
      </c>
      <c r="H1614" s="9">
        <f>IFERROR(__xludf.DUMMYFUNCTION("MAX(INDEX(GOOGLEFINANCE(A1614, ""high"", TODAY()-30, TODAY()), 0, 2))"),143.0)</f>
        <v>143</v>
      </c>
      <c r="I1614" s="9">
        <f>IFERROR(__xludf.DUMMYFUNCTION("MIN(INDEX(GOOGLEFINANCE(A1614, ""low"", TODAY()-30, TODAY()), 0, 2))"),105.0)</f>
        <v>105</v>
      </c>
      <c r="J1614" s="9">
        <f>IFERROR(__xludf.DUMMYFUNCTION("GOOGLEFINANCE(A1614, ""high52"")"),180.9)</f>
        <v>180.9</v>
      </c>
      <c r="K1614" s="9">
        <f>IFERROR(__xludf.DUMMYFUNCTION("GOOGLEFINANCE(A1614, ""low52"")"),71.06)</f>
        <v>71.06</v>
      </c>
      <c r="L1614" s="9">
        <f t="shared" si="1"/>
        <v>0.2534549475</v>
      </c>
      <c r="M1614" s="9">
        <f t="shared" si="2"/>
        <v>0.9005066141</v>
      </c>
      <c r="N1614" s="9">
        <f t="shared" si="3"/>
        <v>0.05925925926</v>
      </c>
      <c r="O1614" s="9">
        <f t="shared" si="4"/>
        <v>0.7907894737</v>
      </c>
      <c r="P1614" s="9">
        <f>IFERROR(__xludf.DUMMYFUNCTION("GOOGLEFINANCE(A1614, ""pe"")"),13.24)</f>
        <v>13.24</v>
      </c>
      <c r="Q1614" s="9">
        <f>IFERROR(__xludf.DUMMYFUNCTION("IFERROR(GOOGLEFINANCE(A1614, ""volume"") / GOOGLEFINANCE(A1614, ""volumeavg""), 0)"),0.0)</f>
        <v>0</v>
      </c>
      <c r="R1614" s="9">
        <f>IFERROR(__xludf.DUMMYFUNCTION("AVERAGE(INDEX(GOOGLEFINANCE(A1614, ""price"", TODAY()-30, TODAY()), 0, 2))"),124.88000000000001)</f>
        <v>124.88</v>
      </c>
      <c r="S1614" s="9">
        <f>IFERROR(__xludf.DUMMYFUNCTION("AVERAGE(INDEX(GOOGLEFINANCE(A1614, ""price"", TODAY()-75, TODAY()), 0, 2))"),115.04641509433964)</f>
        <v>115.0464151</v>
      </c>
      <c r="T1614" s="9">
        <f>IFERROR(__xludf.DUMMYFUNCTION("AVERAGE(INDEX(GOOGLEFINANCE(A1614, ""price"", TODAY()-300, TODAY()), 0, 2))"),115.55133663366341)</f>
        <v>115.5513366</v>
      </c>
      <c r="U1614" s="9">
        <f t="shared" si="5"/>
        <v>0.08143818065</v>
      </c>
      <c r="V1614" s="15">
        <f>IFERROR(__xludf.DUMMYFUNCTION("LET(hist, GOOGLEFINANCE(A1614,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rs))))))"),58.58129649309246)</f>
        <v>58.58129649</v>
      </c>
      <c r="W1614" s="16" t="str">
        <f>IFERROR(__xludf.DUMMYFUNCTION("IFERROR(GOOGLEFINANCE(A1614, ""volume"") / GOOGLEFINANCE(A1614, ""volumeavg""), )"),"")</f>
        <v/>
      </c>
      <c r="X1614" s="9">
        <f>IFERROR(__xludf.DUMMYFUNCTION("B1614 * GOOGLEFINANCE(A1614, ""volume"")"),2.9216446900000002E7)</f>
        <v>29216446.9</v>
      </c>
      <c r="Y1614" s="9">
        <f>IFERROR(__xludf.DUMMYFUNCTION("IFERROR(((B1614 - GOOGLEFINANCE(A1614, ""priceopen"")) / GOOGLEFINANCE(A1614, ""priceopen"")) * GOOGLEFINANCE(A1614, ""volume""), 0)"),-7649.093571428553)</f>
        <v>-7649.093571</v>
      </c>
    </row>
    <row r="1615">
      <c r="A1615" s="4" t="s">
        <v>3407</v>
      </c>
      <c r="B1615" s="7">
        <f>IFERROR(__xludf.DUMMYFUNCTION("GOOGLEFINANCE(A1615, ""price"")"),157.5)</f>
        <v>157.5</v>
      </c>
      <c r="C1615" s="7">
        <f>IFERROR(__xludf.DUMMYFUNCTION("GOOGLEFINANCE(A1615, ""changepct"")"),4.88)</f>
        <v>4.88</v>
      </c>
      <c r="D1615" s="9">
        <f>IFERROR(__xludf.DUMMYFUNCTION("GOOGLEFINANCE(A1615, ""priceopen"")"),154.0)</f>
        <v>154</v>
      </c>
      <c r="E1615" s="9">
        <f>IFERROR(__xludf.DUMMYFUNCTION("GOOGLEFINANCE(A1615, ""high"")"),157.67)</f>
        <v>157.67</v>
      </c>
      <c r="F1615" s="9">
        <f>IFERROR(__xludf.DUMMYFUNCTION("GOOGLEFINANCE(A1615, ""low"")"),142.67)</f>
        <v>142.67</v>
      </c>
      <c r="G1615" s="9">
        <f>IFERROR(__xludf.DUMMYFUNCTION("GOOGLEFINANCE(A1615, ""price"")"),157.5)</f>
        <v>157.5</v>
      </c>
      <c r="H1615" s="9">
        <f>IFERROR(__xludf.DUMMYFUNCTION("MAX(INDEX(GOOGLEFINANCE(A1615, ""high"", TODAY()-30, TODAY()), 0, 2))"),157.67)</f>
        <v>157.67</v>
      </c>
      <c r="I1615" s="9">
        <f>IFERROR(__xludf.DUMMYFUNCTION("MIN(INDEX(GOOGLEFINANCE(A1615, ""low"", TODAY()-30, TODAY()), 0, 2))"),122.5)</f>
        <v>122.5</v>
      </c>
      <c r="J1615" s="9">
        <f>IFERROR(__xludf.DUMMYFUNCTION("GOOGLEFINANCE(A1615, ""high52"")"),157.67)</f>
        <v>157.67</v>
      </c>
      <c r="K1615" s="9">
        <f>IFERROR(__xludf.DUMMYFUNCTION("GOOGLEFINANCE(A1615, ""low52"")"),122.5)</f>
        <v>122.5</v>
      </c>
      <c r="L1615" s="9">
        <f t="shared" si="1"/>
        <v>0.001078201307</v>
      </c>
      <c r="M1615" s="9">
        <f t="shared" si="2"/>
        <v>0.2857142857</v>
      </c>
      <c r="N1615" s="9">
        <f t="shared" si="3"/>
        <v>0.1051377304</v>
      </c>
      <c r="O1615" s="9">
        <f t="shared" si="4"/>
        <v>0.9951663349</v>
      </c>
      <c r="P1615" s="9" t="str">
        <f>IFERROR(__xludf.DUMMYFUNCTION("GOOGLEFINANCE(A1615, ""pe"")"),"#N/A")</f>
        <v>#N/A</v>
      </c>
      <c r="Q1615" s="9">
        <f>IFERROR(__xludf.DUMMYFUNCTION("IFERROR(GOOGLEFINANCE(A1615, ""volume"") / GOOGLEFINANCE(A1615, ""volumeavg""), 0)"),0.0)</f>
        <v>0</v>
      </c>
      <c r="R1615" s="9">
        <f>IFERROR(__xludf.DUMMYFUNCTION("AVERAGE(INDEX(GOOGLEFINANCE(A1615, ""price"", TODAY()-30, TODAY()), 0, 2))"),135.10000000000002)</f>
        <v>135.1</v>
      </c>
      <c r="S1615" s="9">
        <f>IFERROR(__xludf.DUMMYFUNCTION("AVERAGE(INDEX(GOOGLEFINANCE(A1615, ""price"", TODAY()-75, TODAY()), 0, 2))"),135.10000000000002)</f>
        <v>135.1</v>
      </c>
      <c r="T1615" s="9">
        <f>IFERROR(__xludf.DUMMYFUNCTION("AVERAGE(INDEX(GOOGLEFINANCE(A1615, ""price"", TODAY()-300, TODAY()), 0, 2))"),135.10000000000002)</f>
        <v>135.1</v>
      </c>
      <c r="U1615" s="9">
        <f t="shared" si="5"/>
        <v>0.1658031088</v>
      </c>
      <c r="V1615" s="15" t="str">
        <f>IFERROR(__xludf.DUMMYFUNCTION("LET(hist, GOOGLEFINANCE(A1615,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rs))))))"),"#N/A")</f>
        <v>#N/A</v>
      </c>
      <c r="W1615" s="16" t="str">
        <f>IFERROR(__xludf.DUMMYFUNCTION("IFERROR(GOOGLEFINANCE(A1615, ""volume"") / GOOGLEFINANCE(A1615, ""volumeavg""), )"),"")</f>
        <v/>
      </c>
      <c r="X1615" s="9">
        <f>IFERROR(__xludf.DUMMYFUNCTION("B1615 * GOOGLEFINANCE(A1615, ""volume"")"),1.49178015E8)</f>
        <v>149178015</v>
      </c>
      <c r="Y1615" s="9">
        <f>IFERROR(__xludf.DUMMYFUNCTION("IFERROR(((B1615 - GOOGLEFINANCE(A1615, ""priceopen"")) / GOOGLEFINANCE(A1615, ""priceopen"")) * GOOGLEFINANCE(A1615, ""volume""), 0)"),21526.409090909092)</f>
        <v>21526.40909</v>
      </c>
    </row>
    <row r="1616">
      <c r="A1616" s="4" t="s">
        <v>3408</v>
      </c>
      <c r="B1616" s="7">
        <f>IFERROR(__xludf.DUMMYFUNCTION("GOOGLEFINANCE(A1616, ""price"")"),253.45)</f>
        <v>253.45</v>
      </c>
      <c r="C1616" s="7">
        <f>IFERROR(__xludf.DUMMYFUNCTION("GOOGLEFINANCE(A1616, ""changepct"")"),1.1)</f>
        <v>1.1</v>
      </c>
      <c r="D1616" s="9">
        <f>IFERROR(__xludf.DUMMYFUNCTION("GOOGLEFINANCE(A1616, ""priceopen"")"),250.7)</f>
        <v>250.7</v>
      </c>
      <c r="E1616" s="9">
        <f>IFERROR(__xludf.DUMMYFUNCTION("GOOGLEFINANCE(A1616, ""high"")"),254.0)</f>
        <v>254</v>
      </c>
      <c r="F1616" s="9">
        <f>IFERROR(__xludf.DUMMYFUNCTION("GOOGLEFINANCE(A1616, ""low"")"),246.05)</f>
        <v>246.05</v>
      </c>
      <c r="G1616" s="9">
        <f>IFERROR(__xludf.DUMMYFUNCTION("GOOGLEFINANCE(A1616, ""price"")"),253.45)</f>
        <v>253.45</v>
      </c>
      <c r="H1616" s="9">
        <f>IFERROR(__xludf.DUMMYFUNCTION("MAX(INDEX(GOOGLEFINANCE(A1616, ""high"", TODAY()-30, TODAY()), 0, 2))"),289.5)</f>
        <v>289.5</v>
      </c>
      <c r="I1616" s="9">
        <f>IFERROR(__xludf.DUMMYFUNCTION("MIN(INDEX(GOOGLEFINANCE(A1616, ""low"", TODAY()-30, TODAY()), 0, 2))"),235.1)</f>
        <v>235.1</v>
      </c>
      <c r="J1616" s="9">
        <f>IFERROR(__xludf.DUMMYFUNCTION("GOOGLEFINANCE(A1616, ""high52"")"),338.8)</f>
        <v>338.8</v>
      </c>
      <c r="K1616" s="9">
        <f>IFERROR(__xludf.DUMMYFUNCTION("GOOGLEFINANCE(A1616, ""low52"")"),200.0)</f>
        <v>200</v>
      </c>
      <c r="L1616" s="9">
        <f t="shared" si="1"/>
        <v>0.251918536</v>
      </c>
      <c r="M1616" s="9">
        <f t="shared" si="2"/>
        <v>0.26725</v>
      </c>
      <c r="N1616" s="9">
        <f t="shared" si="3"/>
        <v>0.03231050599</v>
      </c>
      <c r="O1616" s="9">
        <f t="shared" si="4"/>
        <v>0.3373161765</v>
      </c>
      <c r="P1616" s="9">
        <f>IFERROR(__xludf.DUMMYFUNCTION("GOOGLEFINANCE(A1616, ""pe"")"),8.62)</f>
        <v>8.62</v>
      </c>
      <c r="Q1616" s="9">
        <f>IFERROR(__xludf.DUMMYFUNCTION("IFERROR(GOOGLEFINANCE(A1616, ""volume"") / GOOGLEFINANCE(A1616, ""volumeavg""), 0)"),0.0)</f>
        <v>0</v>
      </c>
      <c r="R1616" s="9">
        <f>IFERROR(__xludf.DUMMYFUNCTION("AVERAGE(INDEX(GOOGLEFINANCE(A1616, ""price"", TODAY()-30, TODAY()), 0, 2))"),261.354347826087)</f>
        <v>261.3543478</v>
      </c>
      <c r="S1616" s="9">
        <f>IFERROR(__xludf.DUMMYFUNCTION("AVERAGE(INDEX(GOOGLEFINANCE(A1616, ""price"", TODAY()-75, TODAY()), 0, 2))"),255.3245283018868)</f>
        <v>255.3245283</v>
      </c>
      <c r="T1616" s="9">
        <f>IFERROR(__xludf.DUMMYFUNCTION("AVERAGE(INDEX(GOOGLEFINANCE(A1616, ""price"", TODAY()-300, TODAY()), 0, 2))"),252.81539603960414)</f>
        <v>252.815396</v>
      </c>
      <c r="U1616" s="9">
        <f t="shared" si="5"/>
        <v>-0.03024379694</v>
      </c>
      <c r="V1616" s="15">
        <f>IFERROR(__xludf.DUMMYFUNCTION("LET(hist, GOOGLEFINANCE(A1616,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rs))))))"),38.88888888888889)</f>
        <v>38.88888889</v>
      </c>
      <c r="W1616" s="16" t="str">
        <f>IFERROR(__xludf.DUMMYFUNCTION("IFERROR(GOOGLEFINANCE(A1616, ""volume"") / GOOGLEFINANCE(A1616, ""volumeavg""), )"),"")</f>
        <v/>
      </c>
      <c r="X1616" s="9">
        <f>IFERROR(__xludf.DUMMYFUNCTION("B1616 * GOOGLEFINANCE(A1616, ""volume"")"),5551315.35)</f>
        <v>5551315.35</v>
      </c>
      <c r="Y1616" s="9">
        <f>IFERROR(__xludf.DUMMYFUNCTION("IFERROR(((B1616 - GOOGLEFINANCE(A1616, ""priceopen"")) / GOOGLEFINANCE(A1616, ""priceopen"")) * GOOGLEFINANCE(A1616, ""volume""), 0)"),240.26027124052652)</f>
        <v>240.2602712</v>
      </c>
    </row>
    <row r="1617">
      <c r="A1617" s="4" t="s">
        <v>3409</v>
      </c>
      <c r="B1617" s="7">
        <f>IFERROR(__xludf.DUMMYFUNCTION("GOOGLEFINANCE(A1617, ""price"")"),97.17)</f>
        <v>97.17</v>
      </c>
      <c r="C1617" s="7">
        <f>IFERROR(__xludf.DUMMYFUNCTION("GOOGLEFINANCE(A1617, ""changepct"")"),0.26)</f>
        <v>0.26</v>
      </c>
      <c r="D1617" s="9">
        <f>IFERROR(__xludf.DUMMYFUNCTION("GOOGLEFINANCE(A1617, ""priceopen"")"),98.15)</f>
        <v>98.15</v>
      </c>
      <c r="E1617" s="9">
        <f>IFERROR(__xludf.DUMMYFUNCTION("GOOGLEFINANCE(A1617, ""high"")"),98.15)</f>
        <v>98.15</v>
      </c>
      <c r="F1617" s="9">
        <f>IFERROR(__xludf.DUMMYFUNCTION("GOOGLEFINANCE(A1617, ""low"")"),95.5)</f>
        <v>95.5</v>
      </c>
      <c r="G1617" s="9">
        <f>IFERROR(__xludf.DUMMYFUNCTION("GOOGLEFINANCE(A1617, ""price"")"),97.17)</f>
        <v>97.17</v>
      </c>
      <c r="H1617" s="9">
        <f>IFERROR(__xludf.DUMMYFUNCTION("MAX(INDEX(GOOGLEFINANCE(A1617, ""high"", TODAY()-30, TODAY()), 0, 2))"),113.0)</f>
        <v>113</v>
      </c>
      <c r="I1617" s="9">
        <f>IFERROR(__xludf.DUMMYFUNCTION("MIN(INDEX(GOOGLEFINANCE(A1617, ""low"", TODAY()-30, TODAY()), 0, 2))"),94.0)</f>
        <v>94</v>
      </c>
      <c r="J1617" s="9">
        <f>IFERROR(__xludf.DUMMYFUNCTION("GOOGLEFINANCE(A1617, ""high52"")"),161.8)</f>
        <v>161.8</v>
      </c>
      <c r="K1617" s="9">
        <f>IFERROR(__xludf.DUMMYFUNCTION("GOOGLEFINANCE(A1617, ""low52"")"),87.51)</f>
        <v>87.51</v>
      </c>
      <c r="L1617" s="9">
        <f t="shared" si="1"/>
        <v>0.3994437577</v>
      </c>
      <c r="M1617" s="9">
        <f t="shared" si="2"/>
        <v>0.1103873843</v>
      </c>
      <c r="N1617" s="9">
        <f t="shared" si="3"/>
        <v>0.0277486911</v>
      </c>
      <c r="O1617" s="9">
        <f t="shared" si="4"/>
        <v>0.1668421053</v>
      </c>
      <c r="P1617" s="9">
        <f>IFERROR(__xludf.DUMMYFUNCTION("GOOGLEFINANCE(A1617, ""pe"")"),32.63)</f>
        <v>32.63</v>
      </c>
      <c r="Q1617" s="9">
        <f>IFERROR(__xludf.DUMMYFUNCTION("IFERROR(GOOGLEFINANCE(A1617, ""volume"") / GOOGLEFINANCE(A1617, ""volumeavg""), 0)"),0.0)</f>
        <v>0</v>
      </c>
      <c r="R1617" s="9">
        <f>IFERROR(__xludf.DUMMYFUNCTION("AVERAGE(INDEX(GOOGLEFINANCE(A1617, ""price"", TODAY()-30, TODAY()), 0, 2))"),99.59652173913047)</f>
        <v>99.59652174</v>
      </c>
      <c r="S1617" s="9">
        <f>IFERROR(__xludf.DUMMYFUNCTION("AVERAGE(INDEX(GOOGLEFINANCE(A1617, ""price"", TODAY()-75, TODAY()), 0, 2))"),103.62867924528305)</f>
        <v>103.6286792</v>
      </c>
      <c r="T1617" s="9">
        <f>IFERROR(__xludf.DUMMYFUNCTION("AVERAGE(INDEX(GOOGLEFINANCE(A1617, ""price"", TODAY()-300, TODAY()), 0, 2))"),118.36079207920791)</f>
        <v>118.3607921</v>
      </c>
      <c r="U1617" s="9">
        <f t="shared" si="5"/>
        <v>-0.02436351889</v>
      </c>
      <c r="V1617" s="15">
        <f>IFERROR(__xludf.DUMMYFUNCTION("LET(hist, GOOGLEFINANCE(A1617,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rs))))))"),43.54005167958655)</f>
        <v>43.54005168</v>
      </c>
      <c r="W1617" s="16" t="str">
        <f>IFERROR(__xludf.DUMMYFUNCTION("IFERROR(GOOGLEFINANCE(A1617, ""volume"") / GOOGLEFINANCE(A1617, ""volumeavg""), )"),"")</f>
        <v/>
      </c>
      <c r="X1617" s="9">
        <f>IFERROR(__xludf.DUMMYFUNCTION("B1617 * GOOGLEFINANCE(A1617, ""volume"")"),383335.65)</f>
        <v>383335.65</v>
      </c>
      <c r="Y1617" s="9">
        <f>IFERROR(__xludf.DUMMYFUNCTION("IFERROR(((B1617 - GOOGLEFINANCE(A1617, ""priceopen"")) / GOOGLEFINANCE(A1617, ""priceopen"")) * GOOGLEFINANCE(A1617, ""volume""), 0)"),-39.38970962812038)</f>
        <v>-39.38970963</v>
      </c>
    </row>
    <row r="1618">
      <c r="A1618" s="4" t="s">
        <v>3410</v>
      </c>
      <c r="B1618" s="7">
        <f>IFERROR(__xludf.DUMMYFUNCTION("GOOGLEFINANCE(A1618, ""price"")"),186.0)</f>
        <v>186</v>
      </c>
      <c r="C1618" s="7">
        <f>IFERROR(__xludf.DUMMYFUNCTION("GOOGLEFINANCE(A1618, ""changepct"")"),-2.85)</f>
        <v>-2.85</v>
      </c>
      <c r="D1618" s="9">
        <f>IFERROR(__xludf.DUMMYFUNCTION("GOOGLEFINANCE(A1618, ""priceopen"")"),196.25)</f>
        <v>196.25</v>
      </c>
      <c r="E1618" s="9">
        <f>IFERROR(__xludf.DUMMYFUNCTION("GOOGLEFINANCE(A1618, ""high"")"),196.25)</f>
        <v>196.25</v>
      </c>
      <c r="F1618" s="9">
        <f>IFERROR(__xludf.DUMMYFUNCTION("GOOGLEFINANCE(A1618, ""low"")"),182.0)</f>
        <v>182</v>
      </c>
      <c r="G1618" s="9">
        <f>IFERROR(__xludf.DUMMYFUNCTION("GOOGLEFINANCE(A1618, ""price"")"),186.0)</f>
        <v>186</v>
      </c>
      <c r="H1618" s="9">
        <f>IFERROR(__xludf.DUMMYFUNCTION("MAX(INDEX(GOOGLEFINANCE(A1618, ""high"", TODAY()-30, TODAY()), 0, 2))"),199.59)</f>
        <v>199.59</v>
      </c>
      <c r="I1618" s="9">
        <f>IFERROR(__xludf.DUMMYFUNCTION("MIN(INDEX(GOOGLEFINANCE(A1618, ""low"", TODAY()-30, TODAY()), 0, 2))"),168.0)</f>
        <v>168</v>
      </c>
      <c r="J1618" s="9">
        <f>IFERROR(__xludf.DUMMYFUNCTION("GOOGLEFINANCE(A1618, ""high52"")"),224.73)</f>
        <v>224.73</v>
      </c>
      <c r="K1618" s="9">
        <f>IFERROR(__xludf.DUMMYFUNCTION("GOOGLEFINANCE(A1618, ""low52"")"),117.25)</f>
        <v>117.25</v>
      </c>
      <c r="L1618" s="9">
        <f t="shared" si="1"/>
        <v>0.1723401415</v>
      </c>
      <c r="M1618" s="9">
        <f t="shared" si="2"/>
        <v>0.5863539446</v>
      </c>
      <c r="N1618" s="9">
        <f t="shared" si="3"/>
        <v>0.0782967033</v>
      </c>
      <c r="O1618" s="9">
        <f t="shared" si="4"/>
        <v>0.5698005698</v>
      </c>
      <c r="P1618" s="9">
        <f>IFERROR(__xludf.DUMMYFUNCTION("GOOGLEFINANCE(A1618, ""pe"")"),20.87)</f>
        <v>20.87</v>
      </c>
      <c r="Q1618" s="9">
        <f>IFERROR(__xludf.DUMMYFUNCTION("IFERROR(GOOGLEFINANCE(A1618, ""volume"") / GOOGLEFINANCE(A1618, ""volumeavg""), 0)"),0.0)</f>
        <v>0</v>
      </c>
      <c r="R1618" s="9">
        <f>IFERROR(__xludf.DUMMYFUNCTION("AVERAGE(INDEX(GOOGLEFINANCE(A1618, ""price"", TODAY()-30, TODAY()), 0, 2))"),184.97826086956522)</f>
        <v>184.9782609</v>
      </c>
      <c r="S1618" s="9">
        <f>IFERROR(__xludf.DUMMYFUNCTION("AVERAGE(INDEX(GOOGLEFINANCE(A1618, ""price"", TODAY()-75, TODAY()), 0, 2))"),185.037358490566)</f>
        <v>185.0373585</v>
      </c>
      <c r="T1618" s="9">
        <f>IFERROR(__xludf.DUMMYFUNCTION("AVERAGE(INDEX(GOOGLEFINANCE(A1618, ""price"", TODAY()-300, TODAY()), 0, 2))"),171.09460396039586)</f>
        <v>171.094604</v>
      </c>
      <c r="U1618" s="9">
        <f t="shared" si="5"/>
        <v>0.005523563286</v>
      </c>
      <c r="V1618" s="15">
        <f>IFERROR(__xludf.DUMMYFUNCTION("LET(hist, GOOGLEFINANCE(A1618,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rs))))))"),77.70534550195562)</f>
        <v>77.7053455</v>
      </c>
      <c r="W1618" s="16" t="str">
        <f>IFERROR(__xludf.DUMMYFUNCTION("IFERROR(GOOGLEFINANCE(A1618, ""volume"") / GOOGLEFINANCE(A1618, ""volumeavg""), )"),"")</f>
        <v/>
      </c>
      <c r="X1618" s="9">
        <f>IFERROR(__xludf.DUMMYFUNCTION("B1618 * GOOGLEFINANCE(A1618, ""volume"")"),6241974.0)</f>
        <v>6241974</v>
      </c>
      <c r="Y1618" s="9">
        <f>IFERROR(__xludf.DUMMYFUNCTION("IFERROR(((B1618 - GOOGLEFINANCE(A1618, ""priceopen"")) / GOOGLEFINANCE(A1618, ""priceopen"")) * GOOGLEFINANCE(A1618, ""volume""), 0)"),-1752.763057324841)</f>
        <v>-1752.763057</v>
      </c>
    </row>
    <row r="1619">
      <c r="A1619" s="4" t="s">
        <v>3411</v>
      </c>
      <c r="B1619" s="7">
        <f>IFERROR(__xludf.DUMMYFUNCTION("GOOGLEFINANCE(A1619, ""price"")"),2090.0)</f>
        <v>2090</v>
      </c>
      <c r="C1619" s="7">
        <f>IFERROR(__xludf.DUMMYFUNCTION("GOOGLEFINANCE(A1619, ""changepct"")"),-3.25)</f>
        <v>-3.25</v>
      </c>
      <c r="D1619" s="9">
        <f>IFERROR(__xludf.DUMMYFUNCTION("GOOGLEFINANCE(A1619, ""priceopen"")"),2200.0)</f>
        <v>2200</v>
      </c>
      <c r="E1619" s="9">
        <f>IFERROR(__xludf.DUMMYFUNCTION("GOOGLEFINANCE(A1619, ""high"")"),2200.0)</f>
        <v>2200</v>
      </c>
      <c r="F1619" s="9">
        <f>IFERROR(__xludf.DUMMYFUNCTION("GOOGLEFINANCE(A1619, ""low"")"),2049.0)</f>
        <v>2049</v>
      </c>
      <c r="G1619" s="9">
        <f>IFERROR(__xludf.DUMMYFUNCTION("GOOGLEFINANCE(A1619, ""price"")"),2090.0)</f>
        <v>2090</v>
      </c>
      <c r="H1619" s="9">
        <f>IFERROR(__xludf.DUMMYFUNCTION("MAX(INDEX(GOOGLEFINANCE(A1619, ""high"", TODAY()-30, TODAY()), 0, 2))"),2453.0)</f>
        <v>2453</v>
      </c>
      <c r="I1619" s="9">
        <f>IFERROR(__xludf.DUMMYFUNCTION("MIN(INDEX(GOOGLEFINANCE(A1619, ""low"", TODAY()-30, TODAY()), 0, 2))"),2049.0)</f>
        <v>2049</v>
      </c>
      <c r="J1619" s="9">
        <f>IFERROR(__xludf.DUMMYFUNCTION("GOOGLEFINANCE(A1619, ""high52"")"),2991.0)</f>
        <v>2991</v>
      </c>
      <c r="K1619" s="9">
        <f>IFERROR(__xludf.DUMMYFUNCTION("GOOGLEFINANCE(A1619, ""low52"")"),1539.0)</f>
        <v>1539</v>
      </c>
      <c r="L1619" s="9">
        <f t="shared" si="1"/>
        <v>0.3012370445</v>
      </c>
      <c r="M1619" s="9">
        <f t="shared" si="2"/>
        <v>0.3580246914</v>
      </c>
      <c r="N1619" s="9">
        <f t="shared" si="3"/>
        <v>0.07369448511</v>
      </c>
      <c r="O1619" s="9">
        <f t="shared" si="4"/>
        <v>0.1014851485</v>
      </c>
      <c r="P1619" s="9">
        <f>IFERROR(__xludf.DUMMYFUNCTION("GOOGLEFINANCE(A1619, ""pe"")"),49.69)</f>
        <v>49.69</v>
      </c>
      <c r="Q1619" s="9">
        <f>IFERROR(__xludf.DUMMYFUNCTION("IFERROR(GOOGLEFINANCE(A1619, ""volume"") / GOOGLEFINANCE(A1619, ""volumeavg""), 0)"),0.0)</f>
        <v>0</v>
      </c>
      <c r="R1619" s="9">
        <f>IFERROR(__xludf.DUMMYFUNCTION("AVERAGE(INDEX(GOOGLEFINANCE(A1619, ""price"", TODAY()-30, TODAY()), 0, 2))"),2176.4782608695655)</f>
        <v>2176.478261</v>
      </c>
      <c r="S1619" s="9">
        <f>IFERROR(__xludf.DUMMYFUNCTION("AVERAGE(INDEX(GOOGLEFINANCE(A1619, ""price"", TODAY()-75, TODAY()), 0, 2))"),2014.24716981132)</f>
        <v>2014.24717</v>
      </c>
      <c r="T1619" s="9">
        <f>IFERROR(__xludf.DUMMYFUNCTION("AVERAGE(INDEX(GOOGLEFINANCE(A1619, ""price"", TODAY()-300, TODAY()), 0, 2))"),2082.6415841584153)</f>
        <v>2082.641584</v>
      </c>
      <c r="U1619" s="9">
        <f t="shared" si="5"/>
        <v>-0.03973311492</v>
      </c>
      <c r="V1619" s="15">
        <f>IFERROR(__xludf.DUMMYFUNCTION("LET(hist, GOOGLEFINANCE(A1619,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rs))))))"),32.051282051282044)</f>
        <v>32.05128205</v>
      </c>
      <c r="W1619" s="16" t="str">
        <f>IFERROR(__xludf.DUMMYFUNCTION("IFERROR(GOOGLEFINANCE(A1619, ""volume"") / GOOGLEFINANCE(A1619, ""volumeavg""), )"),"")</f>
        <v/>
      </c>
      <c r="X1619" s="9">
        <f>IFERROR(__xludf.DUMMYFUNCTION("B1619 * GOOGLEFINANCE(A1619, ""volume"")"),1692900.0)</f>
        <v>1692900</v>
      </c>
      <c r="Y1619" s="9">
        <f>IFERROR(__xludf.DUMMYFUNCTION("IFERROR(((B1619 - GOOGLEFINANCE(A1619, ""priceopen"")) / GOOGLEFINANCE(A1619, ""priceopen"")) * GOOGLEFINANCE(A1619, ""volume""), 0)"),-40.5)</f>
        <v>-40.5</v>
      </c>
    </row>
    <row r="1620">
      <c r="A1620" s="4" t="s">
        <v>3412</v>
      </c>
      <c r="B1620" s="7">
        <f>IFERROR(__xludf.DUMMYFUNCTION("GOOGLEFINANCE(A1620, ""price"")"),113.81)</f>
        <v>113.81</v>
      </c>
      <c r="C1620" s="7">
        <f>IFERROR(__xludf.DUMMYFUNCTION("GOOGLEFINANCE(A1620, ""changepct"")"),-0.72)</f>
        <v>-0.72</v>
      </c>
      <c r="D1620" s="9">
        <f>IFERROR(__xludf.DUMMYFUNCTION("GOOGLEFINANCE(A1620, ""priceopen"")"),113.62)</f>
        <v>113.62</v>
      </c>
      <c r="E1620" s="9">
        <f>IFERROR(__xludf.DUMMYFUNCTION("GOOGLEFINANCE(A1620, ""high"")"),117.0)</f>
        <v>117</v>
      </c>
      <c r="F1620" s="9">
        <f>IFERROR(__xludf.DUMMYFUNCTION("GOOGLEFINANCE(A1620, ""low"")"),113.62)</f>
        <v>113.62</v>
      </c>
      <c r="G1620" s="9">
        <f>IFERROR(__xludf.DUMMYFUNCTION("GOOGLEFINANCE(A1620, ""price"")"),113.81)</f>
        <v>113.81</v>
      </c>
      <c r="H1620" s="9">
        <f>IFERROR(__xludf.DUMMYFUNCTION("MAX(INDEX(GOOGLEFINANCE(A1620, ""high"", TODAY()-30, TODAY()), 0, 2))"),122.08)</f>
        <v>122.08</v>
      </c>
      <c r="I1620" s="9">
        <f>IFERROR(__xludf.DUMMYFUNCTION("MIN(INDEX(GOOGLEFINANCE(A1620, ""low"", TODAY()-30, TODAY()), 0, 2))"),97.01)</f>
        <v>97.01</v>
      </c>
      <c r="J1620" s="9">
        <f>IFERROR(__xludf.DUMMYFUNCTION("GOOGLEFINANCE(A1620, ""high52"")"),130.73)</f>
        <v>130.73</v>
      </c>
      <c r="K1620" s="9">
        <f>IFERROR(__xludf.DUMMYFUNCTION("GOOGLEFINANCE(A1620, ""low52"")"),69.0)</f>
        <v>69</v>
      </c>
      <c r="L1620" s="9">
        <f t="shared" si="1"/>
        <v>0.1294270634</v>
      </c>
      <c r="M1620" s="9">
        <f t="shared" si="2"/>
        <v>0.6494202899</v>
      </c>
      <c r="N1620" s="9">
        <f t="shared" si="3"/>
        <v>0.02974828375</v>
      </c>
      <c r="O1620" s="9">
        <f t="shared" si="4"/>
        <v>0.6701236538</v>
      </c>
      <c r="P1620" s="9">
        <f>IFERROR(__xludf.DUMMYFUNCTION("GOOGLEFINANCE(A1620, ""pe"")"),8.99)</f>
        <v>8.99</v>
      </c>
      <c r="Q1620" s="9">
        <f>IFERROR(__xludf.DUMMYFUNCTION("IFERROR(GOOGLEFINANCE(A1620, ""volume"") / GOOGLEFINANCE(A1620, ""volumeavg""), 0)"),0.0)</f>
        <v>0</v>
      </c>
      <c r="R1620" s="9">
        <f>IFERROR(__xludf.DUMMYFUNCTION("AVERAGE(INDEX(GOOGLEFINANCE(A1620, ""price"", TODAY()-30, TODAY()), 0, 2))"),107.78478260869566)</f>
        <v>107.7847826</v>
      </c>
      <c r="S1620" s="9">
        <f>IFERROR(__xludf.DUMMYFUNCTION("AVERAGE(INDEX(GOOGLEFINANCE(A1620, ""price"", TODAY()-75, TODAY()), 0, 2))"),110.14641509433963)</f>
        <v>110.1464151</v>
      </c>
      <c r="T1620" s="9">
        <f>IFERROR(__xludf.DUMMYFUNCTION("AVERAGE(INDEX(GOOGLEFINANCE(A1620, ""price"", TODAY()-300, TODAY()), 0, 2))"),97.8906467661691)</f>
        <v>97.89064677</v>
      </c>
      <c r="U1620" s="9">
        <f t="shared" si="5"/>
        <v>0.05590044574</v>
      </c>
      <c r="V1620" s="15">
        <f>IFERROR(__xludf.DUMMYFUNCTION("LET(hist, GOOGLEFINANCE(A1620,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rs))))))"),69.41643751909564)</f>
        <v>69.41643752</v>
      </c>
      <c r="W1620" s="16" t="str">
        <f>IFERROR(__xludf.DUMMYFUNCTION("IFERROR(GOOGLEFINANCE(A1620, ""volume"") / GOOGLEFINANCE(A1620, ""volumeavg""), )"),"")</f>
        <v/>
      </c>
      <c r="X1620" s="9">
        <f>IFERROR(__xludf.DUMMYFUNCTION("B1620 * GOOGLEFINANCE(A1620, ""volume"")"),4185704.18)</f>
        <v>4185704.18</v>
      </c>
      <c r="Y1620" s="9">
        <f>IFERROR(__xludf.DUMMYFUNCTION("IFERROR(((B1620 - GOOGLEFINANCE(A1620, ""priceopen"")) / GOOGLEFINANCE(A1620, ""priceopen"")) * GOOGLEFINANCE(A1620, ""volume""), 0)"),61.50167224080194)</f>
        <v>61.50167224</v>
      </c>
    </row>
    <row r="1621">
      <c r="A1621" s="4" t="s">
        <v>3413</v>
      </c>
      <c r="B1621" s="7">
        <f>IFERROR(__xludf.DUMMYFUNCTION("GOOGLEFINANCE(A1621, ""price"")"),289.25)</f>
        <v>289.25</v>
      </c>
      <c r="C1621" s="7">
        <f>IFERROR(__xludf.DUMMYFUNCTION("GOOGLEFINANCE(A1621, ""changepct"")"),1.12)</f>
        <v>1.12</v>
      </c>
      <c r="D1621" s="9">
        <f>IFERROR(__xludf.DUMMYFUNCTION("GOOGLEFINANCE(A1621, ""priceopen"")"),287.75)</f>
        <v>287.75</v>
      </c>
      <c r="E1621" s="9">
        <f>IFERROR(__xludf.DUMMYFUNCTION("GOOGLEFINANCE(A1621, ""high"")"),289.25)</f>
        <v>289.25</v>
      </c>
      <c r="F1621" s="9">
        <f>IFERROR(__xludf.DUMMYFUNCTION("GOOGLEFINANCE(A1621, ""low"")"),279.15)</f>
        <v>279.15</v>
      </c>
      <c r="G1621" s="9">
        <f>IFERROR(__xludf.DUMMYFUNCTION("GOOGLEFINANCE(A1621, ""price"")"),289.25)</f>
        <v>289.25</v>
      </c>
      <c r="H1621" s="9">
        <f>IFERROR(__xludf.DUMMYFUNCTION("MAX(INDEX(GOOGLEFINANCE(A1621, ""high"", TODAY()-30, TODAY()), 0, 2))"),308.85)</f>
        <v>308.85</v>
      </c>
      <c r="I1621" s="9">
        <f>IFERROR(__xludf.DUMMYFUNCTION("MIN(INDEX(GOOGLEFINANCE(A1621, ""low"", TODAY()-30, TODAY()), 0, 2))"),269.35)</f>
        <v>269.35</v>
      </c>
      <c r="J1621" s="9">
        <f>IFERROR(__xludf.DUMMYFUNCTION("GOOGLEFINANCE(A1621, ""high52"")"),357.0)</f>
        <v>357</v>
      </c>
      <c r="K1621" s="9">
        <f>IFERROR(__xludf.DUMMYFUNCTION("GOOGLEFINANCE(A1621, ""low52"")"),208.25)</f>
        <v>208.25</v>
      </c>
      <c r="L1621" s="9">
        <f t="shared" si="1"/>
        <v>0.1897759104</v>
      </c>
      <c r="M1621" s="9">
        <f t="shared" si="2"/>
        <v>0.3889555822</v>
      </c>
      <c r="N1621" s="9">
        <f t="shared" si="3"/>
        <v>0.03618126455</v>
      </c>
      <c r="O1621" s="9">
        <f t="shared" si="4"/>
        <v>0.5037974684</v>
      </c>
      <c r="P1621" s="9">
        <f>IFERROR(__xludf.DUMMYFUNCTION("GOOGLEFINANCE(A1621, ""pe"")"),15.29)</f>
        <v>15.29</v>
      </c>
      <c r="Q1621" s="9">
        <f>IFERROR(__xludf.DUMMYFUNCTION("IFERROR(GOOGLEFINANCE(A1621, ""volume"") / GOOGLEFINANCE(A1621, ""volumeavg""), 0)"),0.0)</f>
        <v>0</v>
      </c>
      <c r="R1621" s="9">
        <f>IFERROR(__xludf.DUMMYFUNCTION("AVERAGE(INDEX(GOOGLEFINANCE(A1621, ""price"", TODAY()-30, TODAY()), 0, 2))"),288.2282608695652)</f>
        <v>288.2282609</v>
      </c>
      <c r="S1621" s="9">
        <f>IFERROR(__xludf.DUMMYFUNCTION("AVERAGE(INDEX(GOOGLEFINANCE(A1621, ""price"", TODAY()-75, TODAY()), 0, 2))"),276.41264150943397)</f>
        <v>276.4126415</v>
      </c>
      <c r="T1621" s="9">
        <f>IFERROR(__xludf.DUMMYFUNCTION("AVERAGE(INDEX(GOOGLEFINANCE(A1621, ""price"", TODAY()-300, TODAY()), 0, 2))"),276.9583168316831)</f>
        <v>276.9583168</v>
      </c>
      <c r="U1621" s="9">
        <f t="shared" si="5"/>
        <v>0.003544895727</v>
      </c>
      <c r="V1621" s="15">
        <f>IFERROR(__xludf.DUMMYFUNCTION("LET(hist, GOOGLEFINANCE(A1621,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rs))))))"),44.4776119402985)</f>
        <v>44.47761194</v>
      </c>
      <c r="W1621" s="16" t="str">
        <f>IFERROR(__xludf.DUMMYFUNCTION("IFERROR(GOOGLEFINANCE(A1621, ""volume"") / GOOGLEFINANCE(A1621, ""volumeavg""), )"),"")</f>
        <v/>
      </c>
      <c r="X1621" s="9">
        <f>IFERROR(__xludf.DUMMYFUNCTION("B1621 * GOOGLEFINANCE(A1621, ""volume"")"),7905781.0)</f>
        <v>7905781</v>
      </c>
      <c r="Y1621" s="9">
        <f>IFERROR(__xludf.DUMMYFUNCTION("IFERROR(((B1621 - GOOGLEFINANCE(A1621, ""priceopen"")) / GOOGLEFINANCE(A1621, ""priceopen"")) * GOOGLEFINANCE(A1621, ""volume""), 0)"),142.47784535186796)</f>
        <v>142.4778454</v>
      </c>
    </row>
    <row r="1622">
      <c r="A1622" s="4" t="s">
        <v>3414</v>
      </c>
      <c r="B1622" s="7">
        <f>IFERROR(__xludf.DUMMYFUNCTION("GOOGLEFINANCE(A1622, ""price"")"),113.75)</f>
        <v>113.75</v>
      </c>
      <c r="C1622" s="7">
        <f>IFERROR(__xludf.DUMMYFUNCTION("GOOGLEFINANCE(A1622, ""changepct"")"),-0.3)</f>
        <v>-0.3</v>
      </c>
      <c r="D1622" s="9">
        <f>IFERROR(__xludf.DUMMYFUNCTION("GOOGLEFINANCE(A1622, ""priceopen"")"),113.35)</f>
        <v>113.35</v>
      </c>
      <c r="E1622" s="9">
        <f>IFERROR(__xludf.DUMMYFUNCTION("GOOGLEFINANCE(A1622, ""high"")"),114.42)</f>
        <v>114.42</v>
      </c>
      <c r="F1622" s="9">
        <f>IFERROR(__xludf.DUMMYFUNCTION("GOOGLEFINANCE(A1622, ""low"")"),112.87)</f>
        <v>112.87</v>
      </c>
      <c r="G1622" s="9">
        <f>IFERROR(__xludf.DUMMYFUNCTION("GOOGLEFINANCE(A1622, ""price"")"),113.75)</f>
        <v>113.75</v>
      </c>
      <c r="H1622" s="9">
        <f>IFERROR(__xludf.DUMMYFUNCTION("MAX(INDEX(GOOGLEFINANCE(A1622, ""high"", TODAY()-30, TODAY()), 0, 2))"),129.75)</f>
        <v>129.75</v>
      </c>
      <c r="I1622" s="9">
        <f>IFERROR(__xludf.DUMMYFUNCTION("MIN(INDEX(GOOGLEFINANCE(A1622, ""low"", TODAY()-30, TODAY()), 0, 2))"),111.51)</f>
        <v>111.51</v>
      </c>
      <c r="J1622" s="9">
        <f>IFERROR(__xludf.DUMMYFUNCTION("GOOGLEFINANCE(A1622, ""high52"")"),209.53)</f>
        <v>209.53</v>
      </c>
      <c r="K1622" s="9">
        <f>IFERROR(__xludf.DUMMYFUNCTION("GOOGLEFINANCE(A1622, ""low52"")"),86.27)</f>
        <v>86.27</v>
      </c>
      <c r="L1622" s="9">
        <f t="shared" si="1"/>
        <v>0.4571183124</v>
      </c>
      <c r="M1622" s="9">
        <f t="shared" si="2"/>
        <v>0.3185348325</v>
      </c>
      <c r="N1622" s="9">
        <f t="shared" si="3"/>
        <v>0.01373261274</v>
      </c>
      <c r="O1622" s="9">
        <f t="shared" si="4"/>
        <v>0.1228070175</v>
      </c>
      <c r="P1622" s="9">
        <f>IFERROR(__xludf.DUMMYFUNCTION("GOOGLEFINANCE(A1622, ""pe"")"),18.08)</f>
        <v>18.08</v>
      </c>
      <c r="Q1622" s="9">
        <f>IFERROR(__xludf.DUMMYFUNCTION("IFERROR(GOOGLEFINANCE(A1622, ""volume"") / GOOGLEFINANCE(A1622, ""volumeavg""), 0)"),0.0)</f>
        <v>0</v>
      </c>
      <c r="R1622" s="9">
        <f>IFERROR(__xludf.DUMMYFUNCTION("AVERAGE(INDEX(GOOGLEFINANCE(A1622, ""price"", TODAY()-30, TODAY()), 0, 2))"),117.13565217391306)</f>
        <v>117.1356522</v>
      </c>
      <c r="S1622" s="9">
        <f>IFERROR(__xludf.DUMMYFUNCTION("AVERAGE(INDEX(GOOGLEFINANCE(A1622, ""price"", TODAY()-75, TODAY()), 0, 2))"),119.66773584905661)</f>
        <v>119.6677358</v>
      </c>
      <c r="T1622" s="9">
        <f>IFERROR(__xludf.DUMMYFUNCTION("AVERAGE(INDEX(GOOGLEFINANCE(A1622, ""price"", TODAY()-300, TODAY()), 0, 2))"),131.8946534653465)</f>
        <v>131.8946535</v>
      </c>
      <c r="U1622" s="9">
        <f t="shared" si="5"/>
        <v>-0.02890368655</v>
      </c>
      <c r="V1622" s="15">
        <f>IFERROR(__xludf.DUMMYFUNCTION("LET(hist, GOOGLEFINANCE(A1622,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rs))))))"),48.219895287958096)</f>
        <v>48.21989529</v>
      </c>
      <c r="W1622" s="16" t="str">
        <f>IFERROR(__xludf.DUMMYFUNCTION("IFERROR(GOOGLEFINANCE(A1622, ""volume"") / GOOGLEFINANCE(A1622, ""volumeavg""), )"),"")</f>
        <v/>
      </c>
      <c r="X1622" s="9">
        <f>IFERROR(__xludf.DUMMYFUNCTION("B1622 * GOOGLEFINANCE(A1622, ""volume"")"),8599841.25)</f>
        <v>8599841.25</v>
      </c>
      <c r="Y1622" s="9">
        <f>IFERROR(__xludf.DUMMYFUNCTION("IFERROR(((B1622 - GOOGLEFINANCE(A1622, ""priceopen"")) / GOOGLEFINANCE(A1622, ""priceopen"")) * GOOGLEFINANCE(A1622, ""volume""), 0)"),266.79488310542945)</f>
        <v>266.7948831</v>
      </c>
    </row>
    <row r="1623">
      <c r="A1623" s="4" t="s">
        <v>3415</v>
      </c>
      <c r="B1623" s="7">
        <f>IFERROR(__xludf.DUMMYFUNCTION("GOOGLEFINANCE(A1623, ""price"")"),24.13)</f>
        <v>24.13</v>
      </c>
      <c r="C1623" s="7">
        <f>IFERROR(__xludf.DUMMYFUNCTION("GOOGLEFINANCE(A1623, ""changepct"")"),-5.0)</f>
        <v>-5</v>
      </c>
      <c r="D1623" s="9">
        <f>IFERROR(__xludf.DUMMYFUNCTION("GOOGLEFINANCE(A1623, ""priceopen"")"),25.25)</f>
        <v>25.25</v>
      </c>
      <c r="E1623" s="9">
        <f>IFERROR(__xludf.DUMMYFUNCTION("GOOGLEFINANCE(A1623, ""high"")"),25.39)</f>
        <v>25.39</v>
      </c>
      <c r="F1623" s="9">
        <f>IFERROR(__xludf.DUMMYFUNCTION("GOOGLEFINANCE(A1623, ""low"")"),24.13)</f>
        <v>24.13</v>
      </c>
      <c r="G1623" s="9">
        <f>IFERROR(__xludf.DUMMYFUNCTION("GOOGLEFINANCE(A1623, ""price"")"),24.13)</f>
        <v>24.13</v>
      </c>
      <c r="H1623" s="9">
        <f>IFERROR(__xludf.DUMMYFUNCTION("MAX(INDEX(GOOGLEFINANCE(A1623, ""high"", TODAY()-30, TODAY()), 0, 2))"),41.08)</f>
        <v>41.08</v>
      </c>
      <c r="I1623" s="9">
        <f>IFERROR(__xludf.DUMMYFUNCTION("MIN(INDEX(GOOGLEFINANCE(A1623, ""low"", TODAY()-30, TODAY()), 0, 2))"),23.5)</f>
        <v>23.5</v>
      </c>
      <c r="J1623" s="9">
        <f>IFERROR(__xludf.DUMMYFUNCTION("GOOGLEFINANCE(A1623, ""high52"")"),207.99)</f>
        <v>207.99</v>
      </c>
      <c r="K1623" s="9">
        <f>IFERROR(__xludf.DUMMYFUNCTION("GOOGLEFINANCE(A1623, ""low52"")"),23.5)</f>
        <v>23.5</v>
      </c>
      <c r="L1623" s="9">
        <f t="shared" si="1"/>
        <v>0.883984807</v>
      </c>
      <c r="M1623" s="9">
        <f t="shared" si="2"/>
        <v>0.02680851064</v>
      </c>
      <c r="N1623" s="9">
        <f t="shared" si="3"/>
        <v>0.05221715707</v>
      </c>
      <c r="O1623" s="9">
        <f t="shared" si="4"/>
        <v>0.03583617747</v>
      </c>
      <c r="P1623" s="9">
        <f>IFERROR(__xludf.DUMMYFUNCTION("GOOGLEFINANCE(A1623, ""pe"")"),52.0)</f>
        <v>52</v>
      </c>
      <c r="Q1623" s="9">
        <f>IFERROR(__xludf.DUMMYFUNCTION("IFERROR(GOOGLEFINANCE(A1623, ""volume"") / GOOGLEFINANCE(A1623, ""volumeavg""), 0)"),0.0)</f>
        <v>0</v>
      </c>
      <c r="R1623" s="9">
        <f>IFERROR(__xludf.DUMMYFUNCTION("AVERAGE(INDEX(GOOGLEFINANCE(A1623, ""price"", TODAY()-30, TODAY()), 0, 2))"),28.828260869565216)</f>
        <v>28.82826087</v>
      </c>
      <c r="S1623" s="9">
        <f>IFERROR(__xludf.DUMMYFUNCTION("AVERAGE(INDEX(GOOGLEFINANCE(A1623, ""price"", TODAY()-75, TODAY()), 0, 2))"),40.60037735849057)</f>
        <v>40.60037736</v>
      </c>
      <c r="T1623" s="9">
        <f>IFERROR(__xludf.DUMMYFUNCTION("AVERAGE(INDEX(GOOGLEFINANCE(A1623, ""price"", TODAY()-300, TODAY()), 0, 2))"),62.7211382113821)</f>
        <v>62.72113821</v>
      </c>
      <c r="U1623" s="9">
        <f t="shared" si="5"/>
        <v>-0.1629741347</v>
      </c>
      <c r="V1623" s="15">
        <f>IFERROR(__xludf.DUMMYFUNCTION("LET(hist, GOOGLEFINANCE(A1623,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rs))))))"),37.885154061624654)</f>
        <v>37.88515406</v>
      </c>
      <c r="W1623" s="16" t="str">
        <f>IFERROR(__xludf.DUMMYFUNCTION("IFERROR(GOOGLEFINANCE(A1623, ""volume"") / GOOGLEFINANCE(A1623, ""volumeavg""), )"),"")</f>
        <v/>
      </c>
      <c r="X1623" s="9">
        <f>IFERROR(__xludf.DUMMYFUNCTION("B1623 * GOOGLEFINANCE(A1623, ""volume"")"),6.467074061E7)</f>
        <v>64670740.61</v>
      </c>
      <c r="Y1623" s="9">
        <f>IFERROR(__xludf.DUMMYFUNCTION("IFERROR(((B1623 - GOOGLEFINANCE(A1623, ""priceopen"")) / GOOGLEFINANCE(A1623, ""priceopen"")) * GOOGLEFINANCE(A1623, ""volume""), 0)"),-118879.55009901001)</f>
        <v>-118879.5501</v>
      </c>
    </row>
    <row r="1624">
      <c r="A1624" s="4" t="s">
        <v>3416</v>
      </c>
      <c r="B1624" s="7">
        <f>IFERROR(__xludf.DUMMYFUNCTION("GOOGLEFINANCE(A1624, ""price"")"),5.97)</f>
        <v>5.97</v>
      </c>
      <c r="C1624" s="7">
        <f>IFERROR(__xludf.DUMMYFUNCTION("GOOGLEFINANCE(A1624, ""changepct"")"),-0.5)</f>
        <v>-0.5</v>
      </c>
      <c r="D1624" s="9">
        <f>IFERROR(__xludf.DUMMYFUNCTION("GOOGLEFINANCE(A1624, ""priceopen"")"),5.98)</f>
        <v>5.98</v>
      </c>
      <c r="E1624" s="9">
        <f>IFERROR(__xludf.DUMMYFUNCTION("GOOGLEFINANCE(A1624, ""high"")"),6.0)</f>
        <v>6</v>
      </c>
      <c r="F1624" s="9">
        <f>IFERROR(__xludf.DUMMYFUNCTION("GOOGLEFINANCE(A1624, ""low"")"),5.91)</f>
        <v>5.91</v>
      </c>
      <c r="G1624" s="9">
        <f>IFERROR(__xludf.DUMMYFUNCTION("GOOGLEFINANCE(A1624, ""price"")"),5.97)</f>
        <v>5.97</v>
      </c>
      <c r="H1624" s="9">
        <f>IFERROR(__xludf.DUMMYFUNCTION("MAX(INDEX(GOOGLEFINANCE(A1624, ""high"", TODAY()-30, TODAY()), 0, 2))"),6.26)</f>
        <v>6.26</v>
      </c>
      <c r="I1624" s="9">
        <f>IFERROR(__xludf.DUMMYFUNCTION("MIN(INDEX(GOOGLEFINANCE(A1624, ""low"", TODAY()-30, TODAY()), 0, 2))"),5.68)</f>
        <v>5.68</v>
      </c>
      <c r="J1624" s="9">
        <f>IFERROR(__xludf.DUMMYFUNCTION("GOOGLEFINANCE(A1624, ""high52"")"),9.77)</f>
        <v>9.77</v>
      </c>
      <c r="K1624" s="9">
        <f>IFERROR(__xludf.DUMMYFUNCTION("GOOGLEFINANCE(A1624, ""low52"")"),4.61)</f>
        <v>4.61</v>
      </c>
      <c r="L1624" s="9">
        <f t="shared" si="1"/>
        <v>0.3889457523</v>
      </c>
      <c r="M1624" s="9">
        <f t="shared" si="2"/>
        <v>0.295010846</v>
      </c>
      <c r="N1624" s="9">
        <f t="shared" si="3"/>
        <v>0.0152284264</v>
      </c>
      <c r="O1624" s="9">
        <f t="shared" si="4"/>
        <v>0.5</v>
      </c>
      <c r="P1624" s="9">
        <f>IFERROR(__xludf.DUMMYFUNCTION("GOOGLEFINANCE(A1624, ""pe"")"),66.33)</f>
        <v>66.33</v>
      </c>
      <c r="Q1624" s="9">
        <f>IFERROR(__xludf.DUMMYFUNCTION("IFERROR(GOOGLEFINANCE(A1624, ""volume"") / GOOGLEFINANCE(A1624, ""volumeavg""), 0)"),0.0)</f>
        <v>0</v>
      </c>
      <c r="R1624" s="9">
        <f>IFERROR(__xludf.DUMMYFUNCTION("AVERAGE(INDEX(GOOGLEFINANCE(A1624, ""price"", TODAY()-30, TODAY()), 0, 2))"),5.979999999999999)</f>
        <v>5.98</v>
      </c>
      <c r="S1624" s="9">
        <f>IFERROR(__xludf.DUMMYFUNCTION("AVERAGE(INDEX(GOOGLEFINANCE(A1624, ""price"", TODAY()-75, TODAY()), 0, 2))"),6.130566037735848)</f>
        <v>6.130566038</v>
      </c>
      <c r="T1624" s="9">
        <f>IFERROR(__xludf.DUMMYFUNCTION("AVERAGE(INDEX(GOOGLEFINANCE(A1624, ""price"", TODAY()-300, TODAY()), 0, 2))"),6.903168316831676)</f>
        <v>6.903168317</v>
      </c>
      <c r="U1624" s="9">
        <f t="shared" si="5"/>
        <v>-0.001672240803</v>
      </c>
      <c r="V1624" s="15">
        <f>IFERROR(__xludf.DUMMYFUNCTION("LET(hist, GOOGLEFINANCE(A1624,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rs))))))"),61.44578313253015)</f>
        <v>61.44578313</v>
      </c>
      <c r="W1624" s="16" t="str">
        <f>IFERROR(__xludf.DUMMYFUNCTION("IFERROR(GOOGLEFINANCE(A1624, ""volume"") / GOOGLEFINANCE(A1624, ""volumeavg""), )"),"")</f>
        <v/>
      </c>
      <c r="X1624" s="9">
        <f>IFERROR(__xludf.DUMMYFUNCTION("B1624 * GOOGLEFINANCE(A1624, ""volume"")"),5726919.51)</f>
        <v>5726919.51</v>
      </c>
      <c r="Y1624" s="9">
        <f>IFERROR(__xludf.DUMMYFUNCTION("IFERROR(((B1624 - GOOGLEFINANCE(A1624, ""priceopen"")) / GOOGLEFINANCE(A1624, ""priceopen"")) * GOOGLEFINANCE(A1624, ""volume""), 0)"),-1604.1521739131517)</f>
        <v>-1604.152174</v>
      </c>
    </row>
    <row r="1625">
      <c r="A1625" s="4" t="s">
        <v>3417</v>
      </c>
      <c r="B1625" s="7">
        <f>IFERROR(__xludf.DUMMYFUNCTION("GOOGLEFINANCE(A1625, ""price"")"),1152.0)</f>
        <v>1152</v>
      </c>
      <c r="C1625" s="7">
        <f>IFERROR(__xludf.DUMMYFUNCTION("GOOGLEFINANCE(A1625, ""changepct"")"),-1.41)</f>
        <v>-1.41</v>
      </c>
      <c r="D1625" s="9">
        <f>IFERROR(__xludf.DUMMYFUNCTION("GOOGLEFINANCE(A1625, ""priceopen"")"),1230.0)</f>
        <v>1230</v>
      </c>
      <c r="E1625" s="9">
        <f>IFERROR(__xludf.DUMMYFUNCTION("GOOGLEFINANCE(A1625, ""high"")"),1230.0)</f>
        <v>1230</v>
      </c>
      <c r="F1625" s="9">
        <f>IFERROR(__xludf.DUMMYFUNCTION("GOOGLEFINANCE(A1625, ""low"")"),1152.0)</f>
        <v>1152</v>
      </c>
      <c r="G1625" s="9">
        <f>IFERROR(__xludf.DUMMYFUNCTION("GOOGLEFINANCE(A1625, ""price"")"),1152.0)</f>
        <v>1152</v>
      </c>
      <c r="H1625" s="9">
        <f>IFERROR(__xludf.DUMMYFUNCTION("MAX(INDEX(GOOGLEFINANCE(A1625, ""high"", TODAY()-30, TODAY()), 0, 2))"),1280.0)</f>
        <v>1280</v>
      </c>
      <c r="I1625" s="9">
        <f>IFERROR(__xludf.DUMMYFUNCTION("MIN(INDEX(GOOGLEFINANCE(A1625, ""low"", TODAY()-30, TODAY()), 0, 2))"),1044.0)</f>
        <v>1044</v>
      </c>
      <c r="J1625" s="9">
        <f>IFERROR(__xludf.DUMMYFUNCTION("GOOGLEFINANCE(A1625, ""high52"")"),1370.5)</f>
        <v>1370.5</v>
      </c>
      <c r="K1625" s="9">
        <f>IFERROR(__xludf.DUMMYFUNCTION("GOOGLEFINANCE(A1625, ""low52"")"),898.0)</f>
        <v>898</v>
      </c>
      <c r="L1625" s="9">
        <f t="shared" si="1"/>
        <v>0.1594308646</v>
      </c>
      <c r="M1625" s="9">
        <f t="shared" si="2"/>
        <v>0.2828507795</v>
      </c>
      <c r="N1625" s="9">
        <f t="shared" si="3"/>
        <v>0.06770833333</v>
      </c>
      <c r="O1625" s="9">
        <f t="shared" si="4"/>
        <v>0.4576271186</v>
      </c>
      <c r="P1625" s="9">
        <f>IFERROR(__xludf.DUMMYFUNCTION("GOOGLEFINANCE(A1625, ""pe"")"),9.86)</f>
        <v>9.86</v>
      </c>
      <c r="Q1625" s="9">
        <f>IFERROR(__xludf.DUMMYFUNCTION("IFERROR(GOOGLEFINANCE(A1625, ""volume"") / GOOGLEFINANCE(A1625, ""volumeavg""), 0)"),0.0)</f>
        <v>0</v>
      </c>
      <c r="R1625" s="9">
        <f>IFERROR(__xludf.DUMMYFUNCTION("AVERAGE(INDEX(GOOGLEFINANCE(A1625, ""price"", TODAY()-30, TODAY()), 0, 2))"),1145.391304347826)</f>
        <v>1145.391304</v>
      </c>
      <c r="S1625" s="9">
        <f>IFERROR(__xludf.DUMMYFUNCTION("AVERAGE(INDEX(GOOGLEFINANCE(A1625, ""price"", TODAY()-75, TODAY()), 0, 2))"),1124.3018867924527)</f>
        <v>1124.301887</v>
      </c>
      <c r="T1625" s="9">
        <f>IFERROR(__xludf.DUMMYFUNCTION("AVERAGE(INDEX(GOOGLEFINANCE(A1625, ""price"", TODAY()-300, TODAY()), 0, 2))"),1090.7811881188134)</f>
        <v>1090.781188</v>
      </c>
      <c r="U1625" s="9">
        <f t="shared" si="5"/>
        <v>0.005769814759</v>
      </c>
      <c r="V1625" s="15">
        <f>IFERROR(__xludf.DUMMYFUNCTION("LET(hist, GOOGLEFINANCE(A1625,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rs))))))"),54.77341389728095)</f>
        <v>54.7734139</v>
      </c>
      <c r="W1625" s="16" t="str">
        <f>IFERROR(__xludf.DUMMYFUNCTION("IFERROR(GOOGLEFINANCE(A1625, ""volume"") / GOOGLEFINANCE(A1625, ""volumeavg""), )"),"")</f>
        <v/>
      </c>
      <c r="X1625" s="9">
        <f>IFERROR(__xludf.DUMMYFUNCTION("B1625 * GOOGLEFINANCE(A1625, ""volume"")"),2572416.0)</f>
        <v>2572416</v>
      </c>
      <c r="Y1625" s="9">
        <f>IFERROR(__xludf.DUMMYFUNCTION("IFERROR(((B1625 - GOOGLEFINANCE(A1625, ""priceopen"")) / GOOGLEFINANCE(A1625, ""priceopen"")) * GOOGLEFINANCE(A1625, ""volume""), 0)"),-141.60487804878048)</f>
        <v>-141.604878</v>
      </c>
    </row>
    <row r="1626">
      <c r="A1626" s="4" t="s">
        <v>3418</v>
      </c>
      <c r="B1626" s="7">
        <f>IFERROR(__xludf.DUMMYFUNCTION("GOOGLEFINANCE(A1626, ""price"")"),125.0)</f>
        <v>125</v>
      </c>
      <c r="C1626" s="7">
        <f>IFERROR(__xludf.DUMMYFUNCTION("GOOGLEFINANCE(A1626, ""changepct"")"),-3.45)</f>
        <v>-3.45</v>
      </c>
      <c r="D1626" s="9">
        <f>IFERROR(__xludf.DUMMYFUNCTION("GOOGLEFINANCE(A1626, ""priceopen"")"),130.99)</f>
        <v>130.99</v>
      </c>
      <c r="E1626" s="9">
        <f>IFERROR(__xludf.DUMMYFUNCTION("GOOGLEFINANCE(A1626, ""high"")"),130.99)</f>
        <v>130.99</v>
      </c>
      <c r="F1626" s="9">
        <f>IFERROR(__xludf.DUMMYFUNCTION("GOOGLEFINANCE(A1626, ""low"")"),123.0)</f>
        <v>123</v>
      </c>
      <c r="G1626" s="9">
        <f>IFERROR(__xludf.DUMMYFUNCTION("GOOGLEFINANCE(A1626, ""price"")"),125.0)</f>
        <v>125</v>
      </c>
      <c r="H1626" s="9">
        <f>IFERROR(__xludf.DUMMYFUNCTION("MAX(INDEX(GOOGLEFINANCE(A1626, ""high"", TODAY()-30, TODAY()), 0, 2))"),139.19)</f>
        <v>139.19</v>
      </c>
      <c r="I1626" s="9">
        <f>IFERROR(__xludf.DUMMYFUNCTION("MIN(INDEX(GOOGLEFINANCE(A1626, ""low"", TODAY()-30, TODAY()), 0, 2))"),115.11)</f>
        <v>115.11</v>
      </c>
      <c r="J1626" s="9">
        <f>IFERROR(__xludf.DUMMYFUNCTION("GOOGLEFINANCE(A1626, ""high52"")"),139.19)</f>
        <v>139.19</v>
      </c>
      <c r="K1626" s="9">
        <f>IFERROR(__xludf.DUMMYFUNCTION("GOOGLEFINANCE(A1626, ""low52"")"),85.0)</f>
        <v>85</v>
      </c>
      <c r="L1626" s="9">
        <f t="shared" si="1"/>
        <v>0.1019469789</v>
      </c>
      <c r="M1626" s="9">
        <f t="shared" si="2"/>
        <v>0.4705882353</v>
      </c>
      <c r="N1626" s="9">
        <f t="shared" si="3"/>
        <v>0.06495934959</v>
      </c>
      <c r="O1626" s="9">
        <f t="shared" si="4"/>
        <v>0.4107142857</v>
      </c>
      <c r="P1626" s="9">
        <f>IFERROR(__xludf.DUMMYFUNCTION("GOOGLEFINANCE(A1626, ""pe"")"),22.89)</f>
        <v>22.89</v>
      </c>
      <c r="Q1626" s="9">
        <f>IFERROR(__xludf.DUMMYFUNCTION("IFERROR(GOOGLEFINANCE(A1626, ""volume"") / GOOGLEFINANCE(A1626, ""volumeavg""), 0)"),0.0)</f>
        <v>0</v>
      </c>
      <c r="R1626" s="9">
        <f>IFERROR(__xludf.DUMMYFUNCTION("AVERAGE(INDEX(GOOGLEFINANCE(A1626, ""price"", TODAY()-30, TODAY()), 0, 2))"),124.1095652173913)</f>
        <v>124.1095652</v>
      </c>
      <c r="S1626" s="9">
        <f>IFERROR(__xludf.DUMMYFUNCTION("AVERAGE(INDEX(GOOGLEFINANCE(A1626, ""price"", TODAY()-75, TODAY()), 0, 2))"),121.1450943396226)</f>
        <v>121.1450943</v>
      </c>
      <c r="T1626" s="9">
        <f>IFERROR(__xludf.DUMMYFUNCTION("AVERAGE(INDEX(GOOGLEFINANCE(A1626, ""price"", TODAY()-300, TODAY()), 0, 2))"),115.79999999999998)</f>
        <v>115.8</v>
      </c>
      <c r="U1626" s="9">
        <f t="shared" si="5"/>
        <v>0.00717458627</v>
      </c>
      <c r="V1626" s="15">
        <f>IFERROR(__xludf.DUMMYFUNCTION("LET(hist, GOOGLEFINANCE(A1626,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rs))))))"),52.43315508021389)</f>
        <v>52.43315508</v>
      </c>
      <c r="W1626" s="16" t="str">
        <f>IFERROR(__xludf.DUMMYFUNCTION("IFERROR(GOOGLEFINANCE(A1626, ""volume"") / GOOGLEFINANCE(A1626, ""volumeavg""), )"),"")</f>
        <v/>
      </c>
      <c r="X1626" s="9">
        <f>IFERROR(__xludf.DUMMYFUNCTION("B1626 * GOOGLEFINANCE(A1626, ""volume"")"),6141625.0)</f>
        <v>6141625</v>
      </c>
      <c r="Y1626" s="9">
        <f>IFERROR(__xludf.DUMMYFUNCTION("IFERROR(((B1626 - GOOGLEFINANCE(A1626, ""priceopen"")) / GOOGLEFINANCE(A1626, ""priceopen"")) * GOOGLEFINANCE(A1626, ""volume""), 0)"),-2246.7873120085537)</f>
        <v>-2246.787312</v>
      </c>
    </row>
    <row r="1627">
      <c r="A1627" s="4" t="s">
        <v>3419</v>
      </c>
      <c r="B1627" s="7">
        <f>IFERROR(__xludf.DUMMYFUNCTION("GOOGLEFINANCE(A1627, ""price"")"),650.0)</f>
        <v>650</v>
      </c>
      <c r="C1627" s="7">
        <f>IFERROR(__xludf.DUMMYFUNCTION("GOOGLEFINANCE(A1627, ""changepct"")"),5.57)</f>
        <v>5.57</v>
      </c>
      <c r="D1627" s="9">
        <f>IFERROR(__xludf.DUMMYFUNCTION("GOOGLEFINANCE(A1627, ""priceopen"")"),616.85)</f>
        <v>616.85</v>
      </c>
      <c r="E1627" s="9">
        <f>IFERROR(__xludf.DUMMYFUNCTION("GOOGLEFINANCE(A1627, ""high"")"),664.0)</f>
        <v>664</v>
      </c>
      <c r="F1627" s="9">
        <f>IFERROR(__xludf.DUMMYFUNCTION("GOOGLEFINANCE(A1627, ""low"")"),606.2)</f>
        <v>606.2</v>
      </c>
      <c r="G1627" s="9">
        <f>IFERROR(__xludf.DUMMYFUNCTION("GOOGLEFINANCE(A1627, ""price"")"),650.0)</f>
        <v>650</v>
      </c>
      <c r="H1627" s="9">
        <f>IFERROR(__xludf.DUMMYFUNCTION("MAX(INDEX(GOOGLEFINANCE(A1627, ""high"", TODAY()-30, TODAY()), 0, 2))"),665.0)</f>
        <v>665</v>
      </c>
      <c r="I1627" s="9">
        <f>IFERROR(__xludf.DUMMYFUNCTION("MIN(INDEX(GOOGLEFINANCE(A1627, ""low"", TODAY()-30, TODAY()), 0, 2))"),454.4)</f>
        <v>454.4</v>
      </c>
      <c r="J1627" s="9">
        <f>IFERROR(__xludf.DUMMYFUNCTION("GOOGLEFINANCE(A1627, ""high52"")"),665.0)</f>
        <v>665</v>
      </c>
      <c r="K1627" s="9">
        <f>IFERROR(__xludf.DUMMYFUNCTION("GOOGLEFINANCE(A1627, ""low52"")"),190.03)</f>
        <v>190.03</v>
      </c>
      <c r="L1627" s="9">
        <f t="shared" si="1"/>
        <v>0.02255639098</v>
      </c>
      <c r="M1627" s="9">
        <f t="shared" si="2"/>
        <v>2.420512551</v>
      </c>
      <c r="N1627" s="9">
        <f t="shared" si="3"/>
        <v>0.09534806994</v>
      </c>
      <c r="O1627" s="9">
        <f t="shared" si="4"/>
        <v>0.9287749288</v>
      </c>
      <c r="P1627" s="9">
        <f>IFERROR(__xludf.DUMMYFUNCTION("GOOGLEFINANCE(A1627, ""pe"")"),35.69)</f>
        <v>35.69</v>
      </c>
      <c r="Q1627" s="9">
        <f>IFERROR(__xludf.DUMMYFUNCTION("IFERROR(GOOGLEFINANCE(A1627, ""volume"") / GOOGLEFINANCE(A1627, ""volumeavg""), 0)"),0.0)</f>
        <v>0</v>
      </c>
      <c r="R1627" s="9">
        <f>IFERROR(__xludf.DUMMYFUNCTION("AVERAGE(INDEX(GOOGLEFINANCE(A1627, ""price"", TODAY()-30, TODAY()), 0, 2))"),574.2239130434783)</f>
        <v>574.223913</v>
      </c>
      <c r="S1627" s="9">
        <f>IFERROR(__xludf.DUMMYFUNCTION("AVERAGE(INDEX(GOOGLEFINANCE(A1627, ""price"", TODAY()-75, TODAY()), 0, 2))"),522.3349056603773)</f>
        <v>522.3349057</v>
      </c>
      <c r="T1627" s="9">
        <f>IFERROR(__xludf.DUMMYFUNCTION("AVERAGE(INDEX(GOOGLEFINANCE(A1627, ""price"", TODAY()-300, TODAY()), 0, 2))"),364.187079207921)</f>
        <v>364.1870792</v>
      </c>
      <c r="U1627" s="9">
        <f t="shared" si="5"/>
        <v>0.1319626112</v>
      </c>
      <c r="V1627" s="15">
        <f>IFERROR(__xludf.DUMMYFUNCTION("LET(hist, GOOGLEFINANCE(A1627,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rs))))))"),62.7906976744186)</f>
        <v>62.79069767</v>
      </c>
      <c r="W1627" s="16" t="str">
        <f>IFERROR(__xludf.DUMMYFUNCTION("IFERROR(GOOGLEFINANCE(A1627, ""volume"") / GOOGLEFINANCE(A1627, ""volumeavg""), )"),"")</f>
        <v/>
      </c>
      <c r="X1627" s="9">
        <f>IFERROR(__xludf.DUMMYFUNCTION("B1627 * GOOGLEFINANCE(A1627, ""volume"")"),1.6042715E8)</f>
        <v>160427150</v>
      </c>
      <c r="Y1627" s="9">
        <f>IFERROR(__xludf.DUMMYFUNCTION("IFERROR(((B1627 - GOOGLEFINANCE(A1627, ""priceopen"")) / GOOGLEFINANCE(A1627, ""priceopen"")) * GOOGLEFINANCE(A1627, ""volume""), 0)"),13263.81559536353)</f>
        <v>13263.8156</v>
      </c>
    </row>
    <row r="1628">
      <c r="A1628" s="4" t="s">
        <v>3420</v>
      </c>
      <c r="B1628" s="7">
        <f>IFERROR(__xludf.DUMMYFUNCTION("GOOGLEFINANCE(A1628, ""price"")"),30.17)</f>
        <v>30.17</v>
      </c>
      <c r="C1628" s="7">
        <f>IFERROR(__xludf.DUMMYFUNCTION("GOOGLEFINANCE(A1628, ""changepct"")"),-0.95)</f>
        <v>-0.95</v>
      </c>
      <c r="D1628" s="9">
        <f>IFERROR(__xludf.DUMMYFUNCTION("GOOGLEFINANCE(A1628, ""priceopen"")"),30.59)</f>
        <v>30.59</v>
      </c>
      <c r="E1628" s="9">
        <f>IFERROR(__xludf.DUMMYFUNCTION("GOOGLEFINANCE(A1628, ""high"")"),30.63)</f>
        <v>30.63</v>
      </c>
      <c r="F1628" s="9">
        <f>IFERROR(__xludf.DUMMYFUNCTION("GOOGLEFINANCE(A1628, ""low"")"),29.7)</f>
        <v>29.7</v>
      </c>
      <c r="G1628" s="9">
        <f>IFERROR(__xludf.DUMMYFUNCTION("GOOGLEFINANCE(A1628, ""price"")"),30.17)</f>
        <v>30.17</v>
      </c>
      <c r="H1628" s="9">
        <f>IFERROR(__xludf.DUMMYFUNCTION("MAX(INDEX(GOOGLEFINANCE(A1628, ""high"", TODAY()-30, TODAY()), 0, 2))"),35.0)</f>
        <v>35</v>
      </c>
      <c r="I1628" s="9">
        <f>IFERROR(__xludf.DUMMYFUNCTION("MIN(INDEX(GOOGLEFINANCE(A1628, ""low"", TODAY()-30, TODAY()), 0, 2))"),29.66)</f>
        <v>29.66</v>
      </c>
      <c r="J1628" s="9">
        <f>IFERROR(__xludf.DUMMYFUNCTION("GOOGLEFINANCE(A1628, ""high52"")"),51.46)</f>
        <v>51.46</v>
      </c>
      <c r="K1628" s="9">
        <f>IFERROR(__xludf.DUMMYFUNCTION("GOOGLEFINANCE(A1628, ""low52"")"),21.0)</f>
        <v>21</v>
      </c>
      <c r="L1628" s="9">
        <f t="shared" si="1"/>
        <v>0.4137193937</v>
      </c>
      <c r="M1628" s="9">
        <f t="shared" si="2"/>
        <v>0.4366666667</v>
      </c>
      <c r="N1628" s="9">
        <f t="shared" si="3"/>
        <v>0.03131313131</v>
      </c>
      <c r="O1628" s="9">
        <f t="shared" si="4"/>
        <v>0.09550561798</v>
      </c>
      <c r="P1628" s="9">
        <f>IFERROR(__xludf.DUMMYFUNCTION("GOOGLEFINANCE(A1628, ""pe"")"),3.14)</f>
        <v>3.14</v>
      </c>
      <c r="Q1628" s="9">
        <f>IFERROR(__xludf.DUMMYFUNCTION("IFERROR(GOOGLEFINANCE(A1628, ""volume"") / GOOGLEFINANCE(A1628, ""volumeavg""), 0)"),0.0)</f>
        <v>0</v>
      </c>
      <c r="R1628" s="9">
        <f>IFERROR(__xludf.DUMMYFUNCTION("AVERAGE(INDEX(GOOGLEFINANCE(A1628, ""price"", TODAY()-30, TODAY()), 0, 2))"),31.480869565217393)</f>
        <v>31.48086957</v>
      </c>
      <c r="S1628" s="9">
        <f>IFERROR(__xludf.DUMMYFUNCTION("AVERAGE(INDEX(GOOGLEFINANCE(A1628, ""price"", TODAY()-75, TODAY()), 0, 2))"),33.18377358490566)</f>
        <v>33.18377358</v>
      </c>
      <c r="T1628" s="9">
        <f>IFERROR(__xludf.DUMMYFUNCTION("AVERAGE(INDEX(GOOGLEFINANCE(A1628, ""price"", TODAY()-300, TODAY()), 0, 2))"),31.99480198019802)</f>
        <v>31.99480198</v>
      </c>
      <c r="U1628" s="9">
        <f t="shared" si="5"/>
        <v>-0.04164019556</v>
      </c>
      <c r="V1628" s="15">
        <f>IFERROR(__xludf.DUMMYFUNCTION("LET(hist, GOOGLEFINANCE(A1628,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rs))))))"),45.71734475374733)</f>
        <v>45.71734475</v>
      </c>
      <c r="W1628" s="16" t="str">
        <f>IFERROR(__xludf.DUMMYFUNCTION("IFERROR(GOOGLEFINANCE(A1628, ""volume"") / GOOGLEFINANCE(A1628, ""volumeavg""), )"),"")</f>
        <v/>
      </c>
      <c r="X1628" s="9">
        <f>IFERROR(__xludf.DUMMYFUNCTION("B1628 * GOOGLEFINANCE(A1628, ""volume"")"),1.4876434790000001E7)</f>
        <v>14876434.79</v>
      </c>
      <c r="Y1628" s="9">
        <f>IFERROR(__xludf.DUMMYFUNCTION("IFERROR(((B1628 - GOOGLEFINANCE(A1628, ""priceopen"")) / GOOGLEFINANCE(A1628, ""priceopen"")) * GOOGLEFINANCE(A1628, ""volume""), 0)"),-6770.073226544593)</f>
        <v>-6770.073227</v>
      </c>
    </row>
    <row r="1629">
      <c r="A1629" s="4" t="s">
        <v>3421</v>
      </c>
      <c r="B1629" s="7">
        <f>IFERROR(__xludf.DUMMYFUNCTION("GOOGLEFINANCE(A1629, ""price"")"),45.87)</f>
        <v>45.87</v>
      </c>
      <c r="C1629" s="7">
        <f>IFERROR(__xludf.DUMMYFUNCTION("GOOGLEFINANCE(A1629, ""changepct"")"),-1.46)</f>
        <v>-1.46</v>
      </c>
      <c r="D1629" s="9">
        <f>IFERROR(__xludf.DUMMYFUNCTION("GOOGLEFINANCE(A1629, ""priceopen"")"),47.5)</f>
        <v>47.5</v>
      </c>
      <c r="E1629" s="9">
        <f>IFERROR(__xludf.DUMMYFUNCTION("GOOGLEFINANCE(A1629, ""high"")"),47.5)</f>
        <v>47.5</v>
      </c>
      <c r="F1629" s="9">
        <f>IFERROR(__xludf.DUMMYFUNCTION("GOOGLEFINANCE(A1629, ""low"")"),45.87)</f>
        <v>45.87</v>
      </c>
      <c r="G1629" s="9">
        <f>IFERROR(__xludf.DUMMYFUNCTION("GOOGLEFINANCE(A1629, ""price"")"),45.87)</f>
        <v>45.87</v>
      </c>
      <c r="H1629" s="9">
        <f>IFERROR(__xludf.DUMMYFUNCTION("MAX(INDEX(GOOGLEFINANCE(A1629, ""high"", TODAY()-30, TODAY()), 0, 2))"),50.0)</f>
        <v>50</v>
      </c>
      <c r="I1629" s="9">
        <f>IFERROR(__xludf.DUMMYFUNCTION("MIN(INDEX(GOOGLEFINANCE(A1629, ""low"", TODAY()-30, TODAY()), 0, 2))"),44.3)</f>
        <v>44.3</v>
      </c>
      <c r="J1629" s="9">
        <f>IFERROR(__xludf.DUMMYFUNCTION("GOOGLEFINANCE(A1629, ""high52"")"),80.0)</f>
        <v>80</v>
      </c>
      <c r="K1629" s="9">
        <f>IFERROR(__xludf.DUMMYFUNCTION("GOOGLEFINANCE(A1629, ""low52"")"),38.0)</f>
        <v>38</v>
      </c>
      <c r="L1629" s="9">
        <f t="shared" si="1"/>
        <v>0.426625</v>
      </c>
      <c r="M1629" s="9">
        <f t="shared" si="2"/>
        <v>0.2071052632</v>
      </c>
      <c r="N1629" s="9">
        <f t="shared" si="3"/>
        <v>0.0355352082</v>
      </c>
      <c r="O1629" s="9">
        <f t="shared" si="4"/>
        <v>0.2754385965</v>
      </c>
      <c r="P1629" s="9">
        <f>IFERROR(__xludf.DUMMYFUNCTION("GOOGLEFINANCE(A1629, ""pe"")"),406.87)</f>
        <v>406.87</v>
      </c>
      <c r="Q1629" s="9">
        <f>IFERROR(__xludf.DUMMYFUNCTION("IFERROR(GOOGLEFINANCE(A1629, ""volume"") / GOOGLEFINANCE(A1629, ""volumeavg""), 0)"),0.0)</f>
        <v>0</v>
      </c>
      <c r="R1629" s="9">
        <f>IFERROR(__xludf.DUMMYFUNCTION("AVERAGE(INDEX(GOOGLEFINANCE(A1629, ""price"", TODAY()-30, TODAY()), 0, 2))"),46.713913043478264)</f>
        <v>46.71391304</v>
      </c>
      <c r="S1629" s="9">
        <f>IFERROR(__xludf.DUMMYFUNCTION("AVERAGE(INDEX(GOOGLEFINANCE(A1629, ""price"", TODAY()-75, TODAY()), 0, 2))"),48.29245283018867)</f>
        <v>48.29245283</v>
      </c>
      <c r="T1629" s="9">
        <f>IFERROR(__xludf.DUMMYFUNCTION("AVERAGE(INDEX(GOOGLEFINANCE(A1629, ""price"", TODAY()-300, TODAY()), 0, 2))"),54.281831683168285)</f>
        <v>54.28183168</v>
      </c>
      <c r="U1629" s="9">
        <f t="shared" si="5"/>
        <v>-0.01806556095</v>
      </c>
      <c r="V1629" s="15">
        <f>IFERROR(__xludf.DUMMYFUNCTION("LET(hist, GOOGLEFINANCE(A1629,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rs))))))"),47.12778429073856)</f>
        <v>47.12778429</v>
      </c>
      <c r="W1629" s="16" t="str">
        <f>IFERROR(__xludf.DUMMYFUNCTION("IFERROR(GOOGLEFINANCE(A1629, ""volume"") / GOOGLEFINANCE(A1629, ""volumeavg""), )"),"")</f>
        <v/>
      </c>
      <c r="X1629" s="9">
        <f>IFERROR(__xludf.DUMMYFUNCTION("B1629 * GOOGLEFINANCE(A1629, ""volume"")"),1470316.98)</f>
        <v>1470316.98</v>
      </c>
      <c r="Y1629" s="9">
        <f>IFERROR(__xludf.DUMMYFUNCTION("IFERROR(((B1629 - GOOGLEFINANCE(A1629, ""priceopen"")) / GOOGLEFINANCE(A1629, ""priceopen"")) * GOOGLEFINANCE(A1629, ""volume""), 0)"),-1099.9583157894754)</f>
        <v>-1099.958316</v>
      </c>
    </row>
    <row r="1630">
      <c r="A1630" s="4" t="s">
        <v>3422</v>
      </c>
      <c r="B1630" s="7">
        <f>IFERROR(__xludf.DUMMYFUNCTION("GOOGLEFINANCE(A1630, ""price"")"),190.01)</f>
        <v>190.01</v>
      </c>
      <c r="C1630" s="7">
        <f>IFERROR(__xludf.DUMMYFUNCTION("GOOGLEFINANCE(A1630, ""changepct"")"),0.24)</f>
        <v>0.24</v>
      </c>
      <c r="D1630" s="9">
        <f>IFERROR(__xludf.DUMMYFUNCTION("GOOGLEFINANCE(A1630, ""priceopen"")"),191.6)</f>
        <v>191.6</v>
      </c>
      <c r="E1630" s="9">
        <f>IFERROR(__xludf.DUMMYFUNCTION("GOOGLEFINANCE(A1630, ""high"")"),195.7)</f>
        <v>195.7</v>
      </c>
      <c r="F1630" s="9">
        <f>IFERROR(__xludf.DUMMYFUNCTION("GOOGLEFINANCE(A1630, ""low"")"),189.5)</f>
        <v>189.5</v>
      </c>
      <c r="G1630" s="9">
        <f>IFERROR(__xludf.DUMMYFUNCTION("GOOGLEFINANCE(A1630, ""price"")"),190.01)</f>
        <v>190.01</v>
      </c>
      <c r="H1630" s="9">
        <f>IFERROR(__xludf.DUMMYFUNCTION("MAX(INDEX(GOOGLEFINANCE(A1630, ""high"", TODAY()-30, TODAY()), 0, 2))"),202.95)</f>
        <v>202.95</v>
      </c>
      <c r="I1630" s="9">
        <f>IFERROR(__xludf.DUMMYFUNCTION("MIN(INDEX(GOOGLEFINANCE(A1630, ""low"", TODAY()-30, TODAY()), 0, 2))"),171.0)</f>
        <v>171</v>
      </c>
      <c r="J1630" s="9">
        <f>IFERROR(__xludf.DUMMYFUNCTION("GOOGLEFINANCE(A1630, ""high52"")"),295.0)</f>
        <v>295</v>
      </c>
      <c r="K1630" s="9">
        <f>IFERROR(__xludf.DUMMYFUNCTION("GOOGLEFINANCE(A1630, ""low52"")"),125.0)</f>
        <v>125</v>
      </c>
      <c r="L1630" s="9">
        <f t="shared" si="1"/>
        <v>0.3558983051</v>
      </c>
      <c r="M1630" s="9">
        <f t="shared" si="2"/>
        <v>0.52008</v>
      </c>
      <c r="N1630" s="9">
        <f t="shared" si="3"/>
        <v>0.0327176781</v>
      </c>
      <c r="O1630" s="9">
        <f t="shared" si="4"/>
        <v>0.5949921753</v>
      </c>
      <c r="P1630" s="9">
        <f>IFERROR(__xludf.DUMMYFUNCTION("GOOGLEFINANCE(A1630, ""pe"")"),24.71)</f>
        <v>24.71</v>
      </c>
      <c r="Q1630" s="9">
        <f>IFERROR(__xludf.DUMMYFUNCTION("IFERROR(GOOGLEFINANCE(A1630, ""volume"") / GOOGLEFINANCE(A1630, ""volumeavg""), 0)"),0.0)</f>
        <v>0</v>
      </c>
      <c r="R1630" s="9">
        <f>IFERROR(__xludf.DUMMYFUNCTION("AVERAGE(INDEX(GOOGLEFINANCE(A1630, ""price"", TODAY()-30, TODAY()), 0, 2))"),183.51608695652175)</f>
        <v>183.516087</v>
      </c>
      <c r="S1630" s="9">
        <f>IFERROR(__xludf.DUMMYFUNCTION("AVERAGE(INDEX(GOOGLEFINANCE(A1630, ""price"", TODAY()-75, TODAY()), 0, 2))"),187.72132075471697)</f>
        <v>187.7213208</v>
      </c>
      <c r="T1630" s="9">
        <f>IFERROR(__xludf.DUMMYFUNCTION("AVERAGE(INDEX(GOOGLEFINANCE(A1630, ""price"", TODAY()-300, TODAY()), 0, 2))"),187.59148514851495)</f>
        <v>187.5914851</v>
      </c>
      <c r="U1630" s="9">
        <f t="shared" si="5"/>
        <v>0.0353860697</v>
      </c>
      <c r="V1630" s="15">
        <f>IFERROR(__xludf.DUMMYFUNCTION("LET(hist, GOOGLEFINANCE(A1630,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rs))))))"),66.72682156553128)</f>
        <v>66.72682157</v>
      </c>
      <c r="W1630" s="16" t="str">
        <f>IFERROR(__xludf.DUMMYFUNCTION("IFERROR(GOOGLEFINANCE(A1630, ""volume"") / GOOGLEFINANCE(A1630, ""volumeavg""), )"),"")</f>
        <v/>
      </c>
      <c r="X1630" s="9">
        <f>IFERROR(__xludf.DUMMYFUNCTION("B1630 * GOOGLEFINANCE(A1630, ""volume"")"),1943232.27)</f>
        <v>1943232.27</v>
      </c>
      <c r="Y1630" s="9">
        <f>IFERROR(__xludf.DUMMYFUNCTION("IFERROR(((B1630 - GOOGLEFINANCE(A1630, ""priceopen"")) / GOOGLEFINANCE(A1630, ""priceopen"")) * GOOGLEFINANCE(A1630, ""volume""), 0)"),-84.86915448851794)</f>
        <v>-84.86915449</v>
      </c>
    </row>
    <row r="1631">
      <c r="A1631" s="4" t="s">
        <v>3423</v>
      </c>
      <c r="B1631" s="7">
        <f>IFERROR(__xludf.DUMMYFUNCTION("GOOGLEFINANCE(A1631, ""price"")"),159.0)</f>
        <v>159</v>
      </c>
      <c r="C1631" s="7">
        <f>IFERROR(__xludf.DUMMYFUNCTION("GOOGLEFINANCE(A1631, ""changepct"")"),0.25)</f>
        <v>0.25</v>
      </c>
      <c r="D1631" s="9">
        <f>IFERROR(__xludf.DUMMYFUNCTION("GOOGLEFINANCE(A1631, ""priceopen"")"),158.6)</f>
        <v>158.6</v>
      </c>
      <c r="E1631" s="9">
        <f>IFERROR(__xludf.DUMMYFUNCTION("GOOGLEFINANCE(A1631, ""high"")"),163.7)</f>
        <v>163.7</v>
      </c>
      <c r="F1631" s="9">
        <f>IFERROR(__xludf.DUMMYFUNCTION("GOOGLEFINANCE(A1631, ""low"")"),157.21)</f>
        <v>157.21</v>
      </c>
      <c r="G1631" s="9">
        <f>IFERROR(__xludf.DUMMYFUNCTION("GOOGLEFINANCE(A1631, ""price"")"),159.0)</f>
        <v>159</v>
      </c>
      <c r="H1631" s="9">
        <f>IFERROR(__xludf.DUMMYFUNCTION("MAX(INDEX(GOOGLEFINANCE(A1631, ""high"", TODAY()-30, TODAY()), 0, 2))"),167.46)</f>
        <v>167.46</v>
      </c>
      <c r="I1631" s="9">
        <f>IFERROR(__xludf.DUMMYFUNCTION("MIN(INDEX(GOOGLEFINANCE(A1631, ""low"", TODAY()-30, TODAY()), 0, 2))"),121.5)</f>
        <v>121.5</v>
      </c>
      <c r="J1631" s="9">
        <f>IFERROR(__xludf.DUMMYFUNCTION("GOOGLEFINANCE(A1631, ""high52"")"),167.46)</f>
        <v>167.46</v>
      </c>
      <c r="K1631" s="9">
        <f>IFERROR(__xludf.DUMMYFUNCTION("GOOGLEFINANCE(A1631, ""low52"")"),82.7)</f>
        <v>82.7</v>
      </c>
      <c r="L1631" s="9">
        <f t="shared" si="1"/>
        <v>0.05051952705</v>
      </c>
      <c r="M1631" s="9">
        <f t="shared" si="2"/>
        <v>0.9226118501</v>
      </c>
      <c r="N1631" s="9">
        <f t="shared" si="3"/>
        <v>0.04128236117</v>
      </c>
      <c r="O1631" s="9">
        <f t="shared" si="4"/>
        <v>0.815926893</v>
      </c>
      <c r="P1631" s="9">
        <f>IFERROR(__xludf.DUMMYFUNCTION("GOOGLEFINANCE(A1631, ""pe"")"),35.18)</f>
        <v>35.18</v>
      </c>
      <c r="Q1631" s="9">
        <f>IFERROR(__xludf.DUMMYFUNCTION("IFERROR(GOOGLEFINANCE(A1631, ""volume"") / GOOGLEFINANCE(A1631, ""volumeavg""), 0)"),0.0)</f>
        <v>0</v>
      </c>
      <c r="R1631" s="9">
        <f>IFERROR(__xludf.DUMMYFUNCTION("AVERAGE(INDEX(GOOGLEFINANCE(A1631, ""price"", TODAY()-30, TODAY()), 0, 2))"),137.13173913043482)</f>
        <v>137.1317391</v>
      </c>
      <c r="S1631" s="9">
        <f>IFERROR(__xludf.DUMMYFUNCTION("AVERAGE(INDEX(GOOGLEFINANCE(A1631, ""price"", TODAY()-75, TODAY()), 0, 2))"),126.1288679245283)</f>
        <v>126.1288679</v>
      </c>
      <c r="T1631" s="9">
        <f>IFERROR(__xludf.DUMMYFUNCTION("AVERAGE(INDEX(GOOGLEFINANCE(A1631, ""price"", TODAY()-300, TODAY()), 0, 2))"),115.12108910891091)</f>
        <v>115.1210891</v>
      </c>
      <c r="U1631" s="9">
        <f t="shared" si="5"/>
        <v>0.1594689968</v>
      </c>
      <c r="V1631" s="15">
        <f>IFERROR(__xludf.DUMMYFUNCTION("LET(hist, GOOGLEFINANCE(A1631,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rs))))))"),75.67160431835299)</f>
        <v>75.67160432</v>
      </c>
      <c r="W1631" s="16" t="str">
        <f>IFERROR(__xludf.DUMMYFUNCTION("IFERROR(GOOGLEFINANCE(A1631, ""volume"") / GOOGLEFINANCE(A1631, ""volumeavg""), )"),"")</f>
        <v/>
      </c>
      <c r="X1631" s="9">
        <f>IFERROR(__xludf.DUMMYFUNCTION("B1631 * GOOGLEFINANCE(A1631, ""volume"")"),1.8277845E7)</f>
        <v>18277845</v>
      </c>
      <c r="Y1631" s="9">
        <f>IFERROR(__xludf.DUMMYFUNCTION("IFERROR(((B1631 - GOOGLEFINANCE(A1631, ""priceopen"")) / GOOGLEFINANCE(A1631, ""priceopen"")) * GOOGLEFINANCE(A1631, ""volume""), 0)"),289.92433795712896)</f>
        <v>289.924338</v>
      </c>
    </row>
    <row r="1632">
      <c r="A1632" s="4" t="s">
        <v>3424</v>
      </c>
      <c r="B1632" s="7">
        <f>IFERROR(__xludf.DUMMYFUNCTION("GOOGLEFINANCE(A1632, ""price"")"),11.16)</f>
        <v>11.16</v>
      </c>
      <c r="C1632" s="7">
        <f>IFERROR(__xludf.DUMMYFUNCTION("GOOGLEFINANCE(A1632, ""changepct"")"),3.24)</f>
        <v>3.24</v>
      </c>
      <c r="D1632" s="9">
        <f>IFERROR(__xludf.DUMMYFUNCTION("GOOGLEFINANCE(A1632, ""priceopen"")"),10.89)</f>
        <v>10.89</v>
      </c>
      <c r="E1632" s="9">
        <f>IFERROR(__xludf.DUMMYFUNCTION("GOOGLEFINANCE(A1632, ""high"")"),11.5)</f>
        <v>11.5</v>
      </c>
      <c r="F1632" s="9">
        <f>IFERROR(__xludf.DUMMYFUNCTION("GOOGLEFINANCE(A1632, ""low"")"),10.6)</f>
        <v>10.6</v>
      </c>
      <c r="G1632" s="9">
        <f>IFERROR(__xludf.DUMMYFUNCTION("GOOGLEFINANCE(A1632, ""price"")"),11.16)</f>
        <v>11.16</v>
      </c>
      <c r="H1632" s="9">
        <f>IFERROR(__xludf.DUMMYFUNCTION("MAX(INDEX(GOOGLEFINANCE(A1632, ""high"", TODAY()-30, TODAY()), 0, 2))"),11.5)</f>
        <v>11.5</v>
      </c>
      <c r="I1632" s="9">
        <f>IFERROR(__xludf.DUMMYFUNCTION("MIN(INDEX(GOOGLEFINANCE(A1632, ""low"", TODAY()-30, TODAY()), 0, 2))"),9.78)</f>
        <v>9.78</v>
      </c>
      <c r="J1632" s="9">
        <f>IFERROR(__xludf.DUMMYFUNCTION("GOOGLEFINANCE(A1632, ""high52"")"),23.56)</f>
        <v>23.56</v>
      </c>
      <c r="K1632" s="9">
        <f>IFERROR(__xludf.DUMMYFUNCTION("GOOGLEFINANCE(A1632, ""low52"")"),8.82)</f>
        <v>8.82</v>
      </c>
      <c r="L1632" s="9">
        <f t="shared" si="1"/>
        <v>0.5263157895</v>
      </c>
      <c r="M1632" s="9">
        <f t="shared" si="2"/>
        <v>0.2653061224</v>
      </c>
      <c r="N1632" s="9">
        <f t="shared" si="3"/>
        <v>0.08490566038</v>
      </c>
      <c r="O1632" s="9">
        <f t="shared" si="4"/>
        <v>0.8023255814</v>
      </c>
      <c r="P1632" s="9">
        <f>IFERROR(__xludf.DUMMYFUNCTION("GOOGLEFINANCE(A1632, ""pe"")"),37.2)</f>
        <v>37.2</v>
      </c>
      <c r="Q1632" s="9">
        <f>IFERROR(__xludf.DUMMYFUNCTION("IFERROR(GOOGLEFINANCE(A1632, ""volume"") / GOOGLEFINANCE(A1632, ""volumeavg""), 0)"),0.0)</f>
        <v>0</v>
      </c>
      <c r="R1632" s="9">
        <f>IFERROR(__xludf.DUMMYFUNCTION("AVERAGE(INDEX(GOOGLEFINANCE(A1632, ""price"", TODAY()-30, TODAY()), 0, 2))"),10.190869565217392)</f>
        <v>10.19086957</v>
      </c>
      <c r="S1632" s="9">
        <f>IFERROR(__xludf.DUMMYFUNCTION("AVERAGE(INDEX(GOOGLEFINANCE(A1632, ""price"", TODAY()-75, TODAY()), 0, 2))"),10.443207547169807)</f>
        <v>10.44320755</v>
      </c>
      <c r="T1632" s="9">
        <f>IFERROR(__xludf.DUMMYFUNCTION("AVERAGE(INDEX(GOOGLEFINANCE(A1632, ""price"", TODAY()-300, TODAY()), 0, 2))"),15.871287128712876)</f>
        <v>15.87128713</v>
      </c>
      <c r="U1632" s="9">
        <f t="shared" si="5"/>
        <v>0.09509791373</v>
      </c>
      <c r="V1632" s="15">
        <f>IFERROR(__xludf.DUMMYFUNCTION("LET(hist, GOOGLEFINANCE(A1632,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rs))))))"),77.66497461928941)</f>
        <v>77.66497462</v>
      </c>
      <c r="W1632" s="16" t="str">
        <f>IFERROR(__xludf.DUMMYFUNCTION("IFERROR(GOOGLEFINANCE(A1632, ""volume"") / GOOGLEFINANCE(A1632, ""volumeavg""), )"),"")</f>
        <v/>
      </c>
      <c r="X1632" s="9">
        <f>IFERROR(__xludf.DUMMYFUNCTION("B1632 * GOOGLEFINANCE(A1632, ""volume"")"),1.6986543372E8)</f>
        <v>169865433.7</v>
      </c>
      <c r="Y1632" s="9">
        <f>IFERROR(__xludf.DUMMYFUNCTION("IFERROR(((B1632 - GOOGLEFINANCE(A1632, ""priceopen"")) / GOOGLEFINANCE(A1632, ""priceopen"")) * GOOGLEFINANCE(A1632, ""volume""), 0)"),377378.1074380159)</f>
        <v>377378.1074</v>
      </c>
    </row>
    <row r="1633">
      <c r="A1633" s="4" t="s">
        <v>3425</v>
      </c>
      <c r="B1633" s="7">
        <f>IFERROR(__xludf.DUMMYFUNCTION("GOOGLEFINANCE(A1633, ""price"")"),39.25)</f>
        <v>39.25</v>
      </c>
      <c r="C1633" s="7">
        <f>IFERROR(__xludf.DUMMYFUNCTION("GOOGLEFINANCE(A1633, ""changepct"")"),1.63)</f>
        <v>1.63</v>
      </c>
      <c r="D1633" s="9">
        <f>IFERROR(__xludf.DUMMYFUNCTION("GOOGLEFINANCE(A1633, ""priceopen"")"),38.63)</f>
        <v>38.63</v>
      </c>
      <c r="E1633" s="9">
        <f>IFERROR(__xludf.DUMMYFUNCTION("GOOGLEFINANCE(A1633, ""high"")"),40.5)</f>
        <v>40.5</v>
      </c>
      <c r="F1633" s="9">
        <f>IFERROR(__xludf.DUMMYFUNCTION("GOOGLEFINANCE(A1633, ""low"")"),38.0)</f>
        <v>38</v>
      </c>
      <c r="G1633" s="9">
        <f>IFERROR(__xludf.DUMMYFUNCTION("GOOGLEFINANCE(A1633, ""price"")"),39.25)</f>
        <v>39.25</v>
      </c>
      <c r="H1633" s="9">
        <f>IFERROR(__xludf.DUMMYFUNCTION("MAX(INDEX(GOOGLEFINANCE(A1633, ""high"", TODAY()-30, TODAY()), 0, 2))"),43.4)</f>
        <v>43.4</v>
      </c>
      <c r="I1633" s="9">
        <f>IFERROR(__xludf.DUMMYFUNCTION("MIN(INDEX(GOOGLEFINANCE(A1633, ""low"", TODAY()-30, TODAY()), 0, 2))"),35.47)</f>
        <v>35.47</v>
      </c>
      <c r="J1633" s="9">
        <f>IFERROR(__xludf.DUMMYFUNCTION("GOOGLEFINANCE(A1633, ""high52"")"),59.8)</f>
        <v>59.8</v>
      </c>
      <c r="K1633" s="9">
        <f>IFERROR(__xludf.DUMMYFUNCTION("GOOGLEFINANCE(A1633, ""low52"")"),30.5)</f>
        <v>30.5</v>
      </c>
      <c r="L1633" s="9">
        <f t="shared" si="1"/>
        <v>0.3436454849</v>
      </c>
      <c r="M1633" s="9">
        <f t="shared" si="2"/>
        <v>0.2868852459</v>
      </c>
      <c r="N1633" s="9">
        <f t="shared" si="3"/>
        <v>0.06578947368</v>
      </c>
      <c r="O1633" s="9">
        <f t="shared" si="4"/>
        <v>0.4766708701</v>
      </c>
      <c r="P1633" s="9">
        <f>IFERROR(__xludf.DUMMYFUNCTION("GOOGLEFINANCE(A1633, ""pe"")"),126.61)</f>
        <v>126.61</v>
      </c>
      <c r="Q1633" s="9">
        <f>IFERROR(__xludf.DUMMYFUNCTION("IFERROR(GOOGLEFINANCE(A1633, ""volume"") / GOOGLEFINANCE(A1633, ""volumeavg""), 0)"),0.0)</f>
        <v>0</v>
      </c>
      <c r="R1633" s="9">
        <f>IFERROR(__xludf.DUMMYFUNCTION("AVERAGE(INDEX(GOOGLEFINANCE(A1633, ""price"", TODAY()-30, TODAY()), 0, 2))"),37.71391304347826)</f>
        <v>37.71391304</v>
      </c>
      <c r="S1633" s="9">
        <f>IFERROR(__xludf.DUMMYFUNCTION("AVERAGE(INDEX(GOOGLEFINANCE(A1633, ""price"", TODAY()-75, TODAY()), 0, 2))"),37.64754716981132)</f>
        <v>37.64754717</v>
      </c>
      <c r="T1633" s="9">
        <f>IFERROR(__xludf.DUMMYFUNCTION("AVERAGE(INDEX(GOOGLEFINANCE(A1633, ""price"", TODAY()-300, TODAY()), 0, 2))"),40.081435643564355)</f>
        <v>40.08143564</v>
      </c>
      <c r="U1633" s="9">
        <f t="shared" si="5"/>
        <v>0.04072998086</v>
      </c>
      <c r="V1633" s="15">
        <f>IFERROR(__xludf.DUMMYFUNCTION("LET(hist, GOOGLEFINANCE(A1633,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rs))))))"),69.75609756097558)</f>
        <v>69.75609756</v>
      </c>
      <c r="W1633" s="16" t="str">
        <f>IFERROR(__xludf.DUMMYFUNCTION("IFERROR(GOOGLEFINANCE(A1633, ""volume"") / GOOGLEFINANCE(A1633, ""volumeavg""), )"),"")</f>
        <v/>
      </c>
      <c r="X1633" s="9">
        <f>IFERROR(__xludf.DUMMYFUNCTION("B1633 * GOOGLEFINANCE(A1633, ""volume"")"),6512595.5)</f>
        <v>6512595.5</v>
      </c>
      <c r="Y1633" s="9">
        <f>IFERROR(__xludf.DUMMYFUNCTION("IFERROR(((B1633 - GOOGLEFINANCE(A1633, ""priceopen"")) / GOOGLEFINANCE(A1633, ""priceopen"")) * GOOGLEFINANCE(A1633, ""volume""), 0)"),2663.062904478373)</f>
        <v>2663.062904</v>
      </c>
    </row>
    <row r="1634">
      <c r="A1634" s="4" t="s">
        <v>3426</v>
      </c>
      <c r="B1634" s="7">
        <f>IFERROR(__xludf.DUMMYFUNCTION("GOOGLEFINANCE(A1634, ""price"")"),260.98)</f>
        <v>260.98</v>
      </c>
      <c r="C1634" s="7">
        <f>IFERROR(__xludf.DUMMYFUNCTION("GOOGLEFINANCE(A1634, ""changepct"")"),-5.0)</f>
        <v>-5</v>
      </c>
      <c r="D1634" s="9">
        <f>IFERROR(__xludf.DUMMYFUNCTION("GOOGLEFINANCE(A1634, ""priceopen"")"),268.8)</f>
        <v>268.8</v>
      </c>
      <c r="E1634" s="9">
        <f>IFERROR(__xludf.DUMMYFUNCTION("GOOGLEFINANCE(A1634, ""high"")"),268.8)</f>
        <v>268.8</v>
      </c>
      <c r="F1634" s="9">
        <f>IFERROR(__xludf.DUMMYFUNCTION("GOOGLEFINANCE(A1634, ""low"")"),260.98)</f>
        <v>260.98</v>
      </c>
      <c r="G1634" s="9">
        <f>IFERROR(__xludf.DUMMYFUNCTION("GOOGLEFINANCE(A1634, ""price"")"),260.98)</f>
        <v>260.98</v>
      </c>
      <c r="H1634" s="9">
        <f>IFERROR(__xludf.DUMMYFUNCTION("MAX(INDEX(GOOGLEFINANCE(A1634, ""high"", TODAY()-30, TODAY()), 0, 2))"),278.61)</f>
        <v>278.61</v>
      </c>
      <c r="I1634" s="9">
        <f>IFERROR(__xludf.DUMMYFUNCTION("MIN(INDEX(GOOGLEFINANCE(A1634, ""low"", TODAY()-30, TODAY()), 0, 2))"),216.0)</f>
        <v>216</v>
      </c>
      <c r="J1634" s="9">
        <f>IFERROR(__xludf.DUMMYFUNCTION("GOOGLEFINANCE(A1634, ""high52"")"),278.61)</f>
        <v>278.61</v>
      </c>
      <c r="K1634" s="9">
        <f>IFERROR(__xludf.DUMMYFUNCTION("GOOGLEFINANCE(A1634, ""low52"")"),135.0)</f>
        <v>135</v>
      </c>
      <c r="L1634" s="9">
        <f t="shared" si="1"/>
        <v>0.06327841786</v>
      </c>
      <c r="M1634" s="9">
        <f t="shared" si="2"/>
        <v>0.9331851852</v>
      </c>
      <c r="N1634" s="9">
        <f t="shared" si="3"/>
        <v>0.02996398191</v>
      </c>
      <c r="O1634" s="9">
        <f t="shared" si="4"/>
        <v>0.7184155886</v>
      </c>
      <c r="P1634" s="9">
        <f>IFERROR(__xludf.DUMMYFUNCTION("GOOGLEFINANCE(A1634, ""pe"")"),21.2)</f>
        <v>21.2</v>
      </c>
      <c r="Q1634" s="9">
        <f>IFERROR(__xludf.DUMMYFUNCTION("IFERROR(GOOGLEFINANCE(A1634, ""volume"") / GOOGLEFINANCE(A1634, ""volumeavg""), 0)"),0.0)</f>
        <v>0</v>
      </c>
      <c r="R1634" s="9">
        <f>IFERROR(__xludf.DUMMYFUNCTION("AVERAGE(INDEX(GOOGLEFINANCE(A1634, ""price"", TODAY()-30, TODAY()), 0, 2))"),241.15695652173915)</f>
        <v>241.1569565</v>
      </c>
      <c r="S1634" s="9">
        <f>IFERROR(__xludf.DUMMYFUNCTION("AVERAGE(INDEX(GOOGLEFINANCE(A1634, ""price"", TODAY()-75, TODAY()), 0, 2))"),223.9977358490566)</f>
        <v>223.9977358</v>
      </c>
      <c r="T1634" s="9">
        <f>IFERROR(__xludf.DUMMYFUNCTION("AVERAGE(INDEX(GOOGLEFINANCE(A1634, ""price"", TODAY()-300, TODAY()), 0, 2))"),192.11618811881186)</f>
        <v>192.1161881</v>
      </c>
      <c r="U1634" s="9">
        <f t="shared" si="5"/>
        <v>0.08219975805</v>
      </c>
      <c r="V1634" s="15">
        <f>IFERROR(__xludf.DUMMYFUNCTION("LET(hist, GOOGLEFINANCE(A1634,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rs))))))"),69.23691570115864)</f>
        <v>69.2369157</v>
      </c>
      <c r="W1634" s="16" t="str">
        <f>IFERROR(__xludf.DUMMYFUNCTION("IFERROR(GOOGLEFINANCE(A1634, ""volume"") / GOOGLEFINANCE(A1634, ""volumeavg""), )"),"")</f>
        <v/>
      </c>
      <c r="X1634" s="9">
        <f>IFERROR(__xludf.DUMMYFUNCTION("B1634 * GOOGLEFINANCE(A1634, ""volume"")"),2197451.6)</f>
        <v>2197451.6</v>
      </c>
      <c r="Y1634" s="9">
        <f>IFERROR(__xludf.DUMMYFUNCTION("IFERROR(((B1634 - GOOGLEFINANCE(A1634, ""priceopen"")) / GOOGLEFINANCE(A1634, ""priceopen"")) * GOOGLEFINANCE(A1634, ""volume""), 0)"),-244.956845238095)</f>
        <v>-244.9568452</v>
      </c>
    </row>
    <row r="1635">
      <c r="A1635" s="4" t="s">
        <v>3427</v>
      </c>
      <c r="B1635" s="7">
        <f>IFERROR(__xludf.DUMMYFUNCTION("GOOGLEFINANCE(A1635, ""price"")"),81.7)</f>
        <v>81.7</v>
      </c>
      <c r="C1635" s="7">
        <f>IFERROR(__xludf.DUMMYFUNCTION("GOOGLEFINANCE(A1635, ""changepct"")"),-0.44)</f>
        <v>-0.44</v>
      </c>
      <c r="D1635" s="9">
        <f>IFERROR(__xludf.DUMMYFUNCTION("GOOGLEFINANCE(A1635, ""priceopen"")"),82.06)</f>
        <v>82.06</v>
      </c>
      <c r="E1635" s="9">
        <f>IFERROR(__xludf.DUMMYFUNCTION("GOOGLEFINANCE(A1635, ""high"")"),82.06)</f>
        <v>82.06</v>
      </c>
      <c r="F1635" s="9">
        <f>IFERROR(__xludf.DUMMYFUNCTION("GOOGLEFINANCE(A1635, ""low"")"),79.0)</f>
        <v>79</v>
      </c>
      <c r="G1635" s="9">
        <f>IFERROR(__xludf.DUMMYFUNCTION("GOOGLEFINANCE(A1635, ""price"")"),81.7)</f>
        <v>81.7</v>
      </c>
      <c r="H1635" s="9">
        <f>IFERROR(__xludf.DUMMYFUNCTION("MAX(INDEX(GOOGLEFINANCE(A1635, ""high"", TODAY()-30, TODAY()), 0, 2))"),87.5)</f>
        <v>87.5</v>
      </c>
      <c r="I1635" s="9">
        <f>IFERROR(__xludf.DUMMYFUNCTION("MIN(INDEX(GOOGLEFINANCE(A1635, ""low"", TODAY()-30, TODAY()), 0, 2))"),70.74)</f>
        <v>70.74</v>
      </c>
      <c r="J1635" s="9">
        <f>IFERROR(__xludf.DUMMYFUNCTION("GOOGLEFINANCE(A1635, ""high52"")"),105.27)</f>
        <v>105.27</v>
      </c>
      <c r="K1635" s="9">
        <f>IFERROR(__xludf.DUMMYFUNCTION("GOOGLEFINANCE(A1635, ""low52"")"),49.5)</f>
        <v>49.5</v>
      </c>
      <c r="L1635" s="9">
        <f t="shared" si="1"/>
        <v>0.2239004465</v>
      </c>
      <c r="M1635" s="9">
        <f t="shared" si="2"/>
        <v>0.6505050505</v>
      </c>
      <c r="N1635" s="9">
        <f t="shared" si="3"/>
        <v>0.03873417722</v>
      </c>
      <c r="O1635" s="9">
        <f t="shared" si="4"/>
        <v>0.6539379475</v>
      </c>
      <c r="P1635" s="9" t="str">
        <f>IFERROR(__xludf.DUMMYFUNCTION("GOOGLEFINANCE(A1635, ""pe"")"),"#N/A")</f>
        <v>#N/A</v>
      </c>
      <c r="Q1635" s="9">
        <f>IFERROR(__xludf.DUMMYFUNCTION("IFERROR(GOOGLEFINANCE(A1635, ""volume"") / GOOGLEFINANCE(A1635, ""volumeavg""), 0)"),0.0)</f>
        <v>0</v>
      </c>
      <c r="R1635" s="9">
        <f>IFERROR(__xludf.DUMMYFUNCTION("AVERAGE(INDEX(GOOGLEFINANCE(A1635, ""price"", TODAY()-30, TODAY()), 0, 2))"),80.61608695652174)</f>
        <v>80.61608696</v>
      </c>
      <c r="S1635" s="9">
        <f>IFERROR(__xludf.DUMMYFUNCTION("AVERAGE(INDEX(GOOGLEFINANCE(A1635, ""price"", TODAY()-75, TODAY()), 0, 2))"),73.39301886792451)</f>
        <v>73.39301887</v>
      </c>
      <c r="T1635" s="9">
        <f>IFERROR(__xludf.DUMMYFUNCTION("AVERAGE(INDEX(GOOGLEFINANCE(A1635, ""price"", TODAY()-300, TODAY()), 0, 2))"),69.70151260504201)</f>
        <v>69.70151261</v>
      </c>
      <c r="U1635" s="9">
        <f t="shared" si="5"/>
        <v>0.01344536909</v>
      </c>
      <c r="V1635" s="15">
        <f>IFERROR(__xludf.DUMMYFUNCTION("LET(hist, GOOGLEFINANCE(A1635,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rs))))))"),49.98011928429422)</f>
        <v>49.98011928</v>
      </c>
      <c r="W1635" s="16" t="str">
        <f>IFERROR(__xludf.DUMMYFUNCTION("IFERROR(GOOGLEFINANCE(A1635, ""volume"") / GOOGLEFINANCE(A1635, ""volumeavg""), )"),"")</f>
        <v/>
      </c>
      <c r="X1635" s="9">
        <f>IFERROR(__xludf.DUMMYFUNCTION("B1635 * GOOGLEFINANCE(A1635, ""volume"")"),2586295.2)</f>
        <v>2586295.2</v>
      </c>
      <c r="Y1635" s="9">
        <f>IFERROR(__xludf.DUMMYFUNCTION("IFERROR(((B1635 - GOOGLEFINANCE(A1635, ""priceopen"")) / GOOGLEFINANCE(A1635, ""priceopen"")) * GOOGLEFINANCE(A1635, ""volume""), 0)"),-138.87594443090398)</f>
        <v>-138.8759444</v>
      </c>
    </row>
    <row r="1636">
      <c r="A1636" s="4" t="s">
        <v>3428</v>
      </c>
      <c r="B1636" s="7">
        <f>IFERROR(__xludf.DUMMYFUNCTION("GOOGLEFINANCE(A1636, ""price"")"),266.0)</f>
        <v>266</v>
      </c>
      <c r="C1636" s="7">
        <f>IFERROR(__xludf.DUMMYFUNCTION("GOOGLEFINANCE(A1636, ""changepct"")"),-0.04)</f>
        <v>-0.04</v>
      </c>
      <c r="D1636" s="9">
        <f>IFERROR(__xludf.DUMMYFUNCTION("GOOGLEFINANCE(A1636, ""priceopen"")"),267.95)</f>
        <v>267.95</v>
      </c>
      <c r="E1636" s="9">
        <f>IFERROR(__xludf.DUMMYFUNCTION("GOOGLEFINANCE(A1636, ""high"")"),275.0)</f>
        <v>275</v>
      </c>
      <c r="F1636" s="9">
        <f>IFERROR(__xludf.DUMMYFUNCTION("GOOGLEFINANCE(A1636, ""low"")"),261.0)</f>
        <v>261</v>
      </c>
      <c r="G1636" s="9">
        <f>IFERROR(__xludf.DUMMYFUNCTION("GOOGLEFINANCE(A1636, ""price"")"),266.0)</f>
        <v>266</v>
      </c>
      <c r="H1636" s="9">
        <f>IFERROR(__xludf.DUMMYFUNCTION("MAX(INDEX(GOOGLEFINANCE(A1636, ""high"", TODAY()-30, TODAY()), 0, 2))"),279.95)</f>
        <v>279.95</v>
      </c>
      <c r="I1636" s="9">
        <f>IFERROR(__xludf.DUMMYFUNCTION("MIN(INDEX(GOOGLEFINANCE(A1636, ""low"", TODAY()-30, TODAY()), 0, 2))"),250.1)</f>
        <v>250.1</v>
      </c>
      <c r="J1636" s="9">
        <f>IFERROR(__xludf.DUMMYFUNCTION("GOOGLEFINANCE(A1636, ""high52"")"),356.9)</f>
        <v>356.9</v>
      </c>
      <c r="K1636" s="9">
        <f>IFERROR(__xludf.DUMMYFUNCTION("GOOGLEFINANCE(A1636, ""low52"")"),163.21)</f>
        <v>163.21</v>
      </c>
      <c r="L1636" s="9">
        <f t="shared" si="1"/>
        <v>0.2546931914</v>
      </c>
      <c r="M1636" s="9">
        <f t="shared" si="2"/>
        <v>0.6298020955</v>
      </c>
      <c r="N1636" s="9">
        <f t="shared" si="3"/>
        <v>0.05363984674</v>
      </c>
      <c r="O1636" s="9">
        <f t="shared" si="4"/>
        <v>0.5326633166</v>
      </c>
      <c r="P1636" s="9">
        <f>IFERROR(__xludf.DUMMYFUNCTION("GOOGLEFINANCE(A1636, ""pe"")"),14.7)</f>
        <v>14.7</v>
      </c>
      <c r="Q1636" s="9">
        <f>IFERROR(__xludf.DUMMYFUNCTION("IFERROR(GOOGLEFINANCE(A1636, ""volume"") / GOOGLEFINANCE(A1636, ""volumeavg""), 0)"),0.0)</f>
        <v>0</v>
      </c>
      <c r="R1636" s="9">
        <f>IFERROR(__xludf.DUMMYFUNCTION("AVERAGE(INDEX(GOOGLEFINANCE(A1636, ""price"", TODAY()-30, TODAY()), 0, 2))"),264.50217391304346)</f>
        <v>264.5021739</v>
      </c>
      <c r="S1636" s="9">
        <f>IFERROR(__xludf.DUMMYFUNCTION("AVERAGE(INDEX(GOOGLEFINANCE(A1636, ""price"", TODAY()-75, TODAY()), 0, 2))"),259.43754716981135)</f>
        <v>259.4375472</v>
      </c>
      <c r="T1636" s="9">
        <f>IFERROR(__xludf.DUMMYFUNCTION("AVERAGE(INDEX(GOOGLEFINANCE(A1636, ""price"", TODAY()-300, TODAY()), 0, 2))"),234.3941584158416)</f>
        <v>234.3941584</v>
      </c>
      <c r="U1636" s="9">
        <f t="shared" si="5"/>
        <v>0.005662812009</v>
      </c>
      <c r="V1636" s="15">
        <f>IFERROR(__xludf.DUMMYFUNCTION("LET(hist, GOOGLEFINANCE(A1636,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rs))))))"),45.643153526971005)</f>
        <v>45.64315353</v>
      </c>
      <c r="W1636" s="16" t="str">
        <f>IFERROR(__xludf.DUMMYFUNCTION("IFERROR(GOOGLEFINANCE(A1636, ""volume"") / GOOGLEFINANCE(A1636, ""volumeavg""), )"),"")</f>
        <v/>
      </c>
      <c r="X1636" s="9">
        <f>IFERROR(__xludf.DUMMYFUNCTION("B1636 * GOOGLEFINANCE(A1636, ""volume"")"),6778478.0)</f>
        <v>6778478</v>
      </c>
      <c r="Y1636" s="9">
        <f>IFERROR(__xludf.DUMMYFUNCTION("IFERROR(((B1636 - GOOGLEFINANCE(A1636, ""priceopen"")) / GOOGLEFINANCE(A1636, ""priceopen"")) * GOOGLEFINANCE(A1636, ""volume""), 0)"),-185.45194999066882)</f>
        <v>-185.45195</v>
      </c>
    </row>
    <row r="1637">
      <c r="A1637" s="4" t="s">
        <v>3429</v>
      </c>
      <c r="B1637" s="7">
        <f>IFERROR(__xludf.DUMMYFUNCTION("GOOGLEFINANCE(A1637, ""price"")"),161.98)</f>
        <v>161.98</v>
      </c>
      <c r="C1637" s="7">
        <f>IFERROR(__xludf.DUMMYFUNCTION("GOOGLEFINANCE(A1637, ""changepct"")"),-1.63)</f>
        <v>-1.63</v>
      </c>
      <c r="D1637" s="9">
        <f>IFERROR(__xludf.DUMMYFUNCTION("GOOGLEFINANCE(A1637, ""priceopen"")"),165.88)</f>
        <v>165.88</v>
      </c>
      <c r="E1637" s="9">
        <f>IFERROR(__xludf.DUMMYFUNCTION("GOOGLEFINANCE(A1637, ""high"")"),167.02)</f>
        <v>167.02</v>
      </c>
      <c r="F1637" s="9">
        <f>IFERROR(__xludf.DUMMYFUNCTION("GOOGLEFINANCE(A1637, ""low"")"),159.45)</f>
        <v>159.45</v>
      </c>
      <c r="G1637" s="9">
        <f>IFERROR(__xludf.DUMMYFUNCTION("GOOGLEFINANCE(A1637, ""price"")"),161.98)</f>
        <v>161.98</v>
      </c>
      <c r="H1637" s="9">
        <f>IFERROR(__xludf.DUMMYFUNCTION("MAX(INDEX(GOOGLEFINANCE(A1637, ""high"", TODAY()-30, TODAY()), 0, 2))"),179.99)</f>
        <v>179.99</v>
      </c>
      <c r="I1637" s="9">
        <f>IFERROR(__xludf.DUMMYFUNCTION("MIN(INDEX(GOOGLEFINANCE(A1637, ""low"", TODAY()-30, TODAY()), 0, 2))"),152.41)</f>
        <v>152.41</v>
      </c>
      <c r="J1637" s="9">
        <f>IFERROR(__xludf.DUMMYFUNCTION("GOOGLEFINANCE(A1637, ""high52"")"),179.99)</f>
        <v>179.99</v>
      </c>
      <c r="K1637" s="9">
        <f>IFERROR(__xludf.DUMMYFUNCTION("GOOGLEFINANCE(A1637, ""low52"")"),130.6)</f>
        <v>130.6</v>
      </c>
      <c r="L1637" s="9">
        <f t="shared" si="1"/>
        <v>0.1000611145</v>
      </c>
      <c r="M1637" s="9">
        <f t="shared" si="2"/>
        <v>0.2402756508</v>
      </c>
      <c r="N1637" s="9">
        <f t="shared" si="3"/>
        <v>0.04747569771</v>
      </c>
      <c r="O1637" s="9">
        <f t="shared" si="4"/>
        <v>0.3469905729</v>
      </c>
      <c r="P1637" s="9">
        <f>IFERROR(__xludf.DUMMYFUNCTION("GOOGLEFINANCE(A1637, ""pe"")"),39.9)</f>
        <v>39.9</v>
      </c>
      <c r="Q1637" s="9">
        <f>IFERROR(__xludf.DUMMYFUNCTION("IFERROR(GOOGLEFINANCE(A1637, ""volume"") / GOOGLEFINANCE(A1637, ""volumeavg""), 0)"),0.0)</f>
        <v>0</v>
      </c>
      <c r="R1637" s="9">
        <f>IFERROR(__xludf.DUMMYFUNCTION("AVERAGE(INDEX(GOOGLEFINANCE(A1637, ""price"", TODAY()-30, TODAY()), 0, 2))"),161.2021739130435)</f>
        <v>161.2021739</v>
      </c>
      <c r="S1637" s="9">
        <f>IFERROR(__xludf.DUMMYFUNCTION("AVERAGE(INDEX(GOOGLEFINANCE(A1637, ""price"", TODAY()-75, TODAY()), 0, 2))"),156.32358490566037)</f>
        <v>156.3235849</v>
      </c>
      <c r="T1637" s="9">
        <f>IFERROR(__xludf.DUMMYFUNCTION("AVERAGE(INDEX(GOOGLEFINANCE(A1637, ""price"", TODAY()-300, TODAY()), 0, 2))"),154.63725000000005)</f>
        <v>154.63725</v>
      </c>
      <c r="U1637" s="9">
        <f t="shared" si="5"/>
        <v>0.004825158793</v>
      </c>
      <c r="V1637" s="15">
        <f>IFERROR(__xludf.DUMMYFUNCTION("LET(hist, GOOGLEFINANCE(A1637,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rs))))))"),53.56294536817099)</f>
        <v>53.56294537</v>
      </c>
      <c r="W1637" s="16" t="str">
        <f>IFERROR(__xludf.DUMMYFUNCTION("IFERROR(GOOGLEFINANCE(A1637, ""volume"") / GOOGLEFINANCE(A1637, ""volumeavg""), )"),"")</f>
        <v/>
      </c>
      <c r="X1637" s="9">
        <f>IFERROR(__xludf.DUMMYFUNCTION("B1637 * GOOGLEFINANCE(A1637, ""volume"")"),2.6736418799999997E7)</f>
        <v>26736418.8</v>
      </c>
      <c r="Y1637" s="9">
        <f>IFERROR(__xludf.DUMMYFUNCTION("IFERROR(((B1637 - GOOGLEFINANCE(A1637, ""priceopen"")) / GOOGLEFINANCE(A1637, ""priceopen"")) * GOOGLEFINANCE(A1637, ""volume""), 0)"),-3880.7210031348022)</f>
        <v>-3880.721003</v>
      </c>
    </row>
    <row r="1638">
      <c r="A1638" s="4" t="s">
        <v>3430</v>
      </c>
      <c r="B1638" s="7">
        <f>IFERROR(__xludf.DUMMYFUNCTION("GOOGLEFINANCE(A1638, ""price"")"),41.7)</f>
        <v>41.7</v>
      </c>
      <c r="C1638" s="7">
        <f>IFERROR(__xludf.DUMMYFUNCTION("GOOGLEFINANCE(A1638, ""changepct"")"),-2.07)</f>
        <v>-2.07</v>
      </c>
      <c r="D1638" s="9">
        <f>IFERROR(__xludf.DUMMYFUNCTION("GOOGLEFINANCE(A1638, ""priceopen"")"),42.58)</f>
        <v>42.58</v>
      </c>
      <c r="E1638" s="9">
        <f>IFERROR(__xludf.DUMMYFUNCTION("GOOGLEFINANCE(A1638, ""high"")"),44.0)</f>
        <v>44</v>
      </c>
      <c r="F1638" s="9">
        <f>IFERROR(__xludf.DUMMYFUNCTION("GOOGLEFINANCE(A1638, ""low"")"),41.51)</f>
        <v>41.51</v>
      </c>
      <c r="G1638" s="9">
        <f>IFERROR(__xludf.DUMMYFUNCTION("GOOGLEFINANCE(A1638, ""price"")"),41.7)</f>
        <v>41.7</v>
      </c>
      <c r="H1638" s="9">
        <f>IFERROR(__xludf.DUMMYFUNCTION("MAX(INDEX(GOOGLEFINANCE(A1638, ""high"", TODAY()-30, TODAY()), 0, 2))"),46.25)</f>
        <v>46.25</v>
      </c>
      <c r="I1638" s="9">
        <f>IFERROR(__xludf.DUMMYFUNCTION("MIN(INDEX(GOOGLEFINANCE(A1638, ""low"", TODAY()-30, TODAY()), 0, 2))"),40.96)</f>
        <v>40.96</v>
      </c>
      <c r="J1638" s="9">
        <f>IFERROR(__xludf.DUMMYFUNCTION("GOOGLEFINANCE(A1638, ""high52"")"),72.77)</f>
        <v>72.77</v>
      </c>
      <c r="K1638" s="9">
        <f>IFERROR(__xludf.DUMMYFUNCTION("GOOGLEFINANCE(A1638, ""low52"")"),39.31)</f>
        <v>39.31</v>
      </c>
      <c r="L1638" s="9">
        <f t="shared" si="1"/>
        <v>0.42696166</v>
      </c>
      <c r="M1638" s="9">
        <f t="shared" si="2"/>
        <v>0.06079877894</v>
      </c>
      <c r="N1638" s="9">
        <f t="shared" si="3"/>
        <v>0.05998554565</v>
      </c>
      <c r="O1638" s="9">
        <f t="shared" si="4"/>
        <v>0.1398865784</v>
      </c>
      <c r="P1638" s="9">
        <f>IFERROR(__xludf.DUMMYFUNCTION("GOOGLEFINANCE(A1638, ""pe"")"),59.57)</f>
        <v>59.57</v>
      </c>
      <c r="Q1638" s="9">
        <f>IFERROR(__xludf.DUMMYFUNCTION("IFERROR(GOOGLEFINANCE(A1638, ""volume"") / GOOGLEFINANCE(A1638, ""volumeavg""), 0)"),0.0)</f>
        <v>0</v>
      </c>
      <c r="R1638" s="9">
        <f>IFERROR(__xludf.DUMMYFUNCTION("AVERAGE(INDEX(GOOGLEFINANCE(A1638, ""price"", TODAY()-30, TODAY()), 0, 2))"),42.805652173913046)</f>
        <v>42.80565217</v>
      </c>
      <c r="S1638" s="9">
        <f>IFERROR(__xludf.DUMMYFUNCTION("AVERAGE(INDEX(GOOGLEFINANCE(A1638, ""price"", TODAY()-75, TODAY()), 0, 2))"),45.72773584905661)</f>
        <v>45.72773585</v>
      </c>
      <c r="T1638" s="9">
        <f>IFERROR(__xludf.DUMMYFUNCTION("AVERAGE(INDEX(GOOGLEFINANCE(A1638, ""price"", TODAY()-300, TODAY()), 0, 2))"),52.001881188118865)</f>
        <v>52.00188119</v>
      </c>
      <c r="U1638" s="9">
        <f t="shared" si="5"/>
        <v>-0.02582958366</v>
      </c>
      <c r="V1638" s="15">
        <f>IFERROR(__xludf.DUMMYFUNCTION("LET(hist, GOOGLEFINANCE(A1638,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rs))))))"),31.89655172413795)</f>
        <v>31.89655172</v>
      </c>
      <c r="W1638" s="16" t="str">
        <f>IFERROR(__xludf.DUMMYFUNCTION("IFERROR(GOOGLEFINANCE(A1638, ""volume"") / GOOGLEFINANCE(A1638, ""volumeavg""), )"),"")</f>
        <v/>
      </c>
      <c r="X1638" s="9">
        <f>IFERROR(__xludf.DUMMYFUNCTION("B1638 * GOOGLEFINANCE(A1638, ""volume"")"),6111760.5)</f>
        <v>6111760.5</v>
      </c>
      <c r="Y1638" s="9">
        <f>IFERROR(__xludf.DUMMYFUNCTION("IFERROR(((B1638 - GOOGLEFINANCE(A1638, ""priceopen"")) / GOOGLEFINANCE(A1638, ""priceopen"")) * GOOGLEFINANCE(A1638, ""volume""), 0)"),-3029.055894786269)</f>
        <v>-3029.055895</v>
      </c>
    </row>
    <row r="1639">
      <c r="A1639" s="4" t="s">
        <v>3431</v>
      </c>
      <c r="B1639" s="7">
        <f>IFERROR(__xludf.DUMMYFUNCTION("GOOGLEFINANCE(A1639, ""price"")"),547.9)</f>
        <v>547.9</v>
      </c>
      <c r="C1639" s="7">
        <f>IFERROR(__xludf.DUMMYFUNCTION("GOOGLEFINANCE(A1639, ""changepct"")"),2.41)</f>
        <v>2.41</v>
      </c>
      <c r="D1639" s="9">
        <f>IFERROR(__xludf.DUMMYFUNCTION("GOOGLEFINANCE(A1639, ""priceopen"")"),530.0)</f>
        <v>530</v>
      </c>
      <c r="E1639" s="9">
        <f>IFERROR(__xludf.DUMMYFUNCTION("GOOGLEFINANCE(A1639, ""high"")"),548.0)</f>
        <v>548</v>
      </c>
      <c r="F1639" s="9">
        <f>IFERROR(__xludf.DUMMYFUNCTION("GOOGLEFINANCE(A1639, ""low"")"),530.0)</f>
        <v>530</v>
      </c>
      <c r="G1639" s="9">
        <f>IFERROR(__xludf.DUMMYFUNCTION("GOOGLEFINANCE(A1639, ""price"")"),547.9)</f>
        <v>547.9</v>
      </c>
      <c r="H1639" s="9">
        <f>IFERROR(__xludf.DUMMYFUNCTION("MAX(INDEX(GOOGLEFINANCE(A1639, ""high"", TODAY()-30, TODAY()), 0, 2))"),609.0)</f>
        <v>609</v>
      </c>
      <c r="I1639" s="9">
        <f>IFERROR(__xludf.DUMMYFUNCTION("MIN(INDEX(GOOGLEFINANCE(A1639, ""low"", TODAY()-30, TODAY()), 0, 2))"),511.05)</f>
        <v>511.05</v>
      </c>
      <c r="J1639" s="9">
        <f>IFERROR(__xludf.DUMMYFUNCTION("GOOGLEFINANCE(A1639, ""high52"")"),751.4)</f>
        <v>751.4</v>
      </c>
      <c r="K1639" s="9">
        <f>IFERROR(__xludf.DUMMYFUNCTION("GOOGLEFINANCE(A1639, ""low52"")"),137.0)</f>
        <v>137</v>
      </c>
      <c r="L1639" s="9">
        <f t="shared" si="1"/>
        <v>0.2708277881</v>
      </c>
      <c r="M1639" s="9">
        <f t="shared" si="2"/>
        <v>2.999270073</v>
      </c>
      <c r="N1639" s="9">
        <f t="shared" si="3"/>
        <v>0.03396226415</v>
      </c>
      <c r="O1639" s="9">
        <f t="shared" si="4"/>
        <v>0.3762123532</v>
      </c>
      <c r="P1639" s="9">
        <f>IFERROR(__xludf.DUMMYFUNCTION("GOOGLEFINANCE(A1639, ""pe"")"),9.82)</f>
        <v>9.82</v>
      </c>
      <c r="Q1639" s="9">
        <f>IFERROR(__xludf.DUMMYFUNCTION("IFERROR(GOOGLEFINANCE(A1639, ""volume"") / GOOGLEFINANCE(A1639, ""volumeavg""), 0)"),0.0)</f>
        <v>0</v>
      </c>
      <c r="R1639" s="9">
        <f>IFERROR(__xludf.DUMMYFUNCTION("AVERAGE(INDEX(GOOGLEFINANCE(A1639, ""price"", TODAY()-30, TODAY()), 0, 2))"),554.6)</f>
        <v>554.6</v>
      </c>
      <c r="S1639" s="9">
        <f>IFERROR(__xludf.DUMMYFUNCTION("AVERAGE(INDEX(GOOGLEFINANCE(A1639, ""price"", TODAY()-75, TODAY()), 0, 2))"),569.5037735849057)</f>
        <v>569.5037736</v>
      </c>
      <c r="T1639" s="9">
        <f>IFERROR(__xludf.DUMMYFUNCTION("AVERAGE(INDEX(GOOGLEFINANCE(A1639, ""price"", TODAY()-300, TODAY()), 0, 2))"),499.44134831460667)</f>
        <v>499.4413483</v>
      </c>
      <c r="U1639" s="9">
        <f t="shared" si="5"/>
        <v>-0.01208077894</v>
      </c>
      <c r="V1639" s="15">
        <f>IFERROR(__xludf.DUMMYFUNCTION("LET(hist, GOOGLEFINANCE(A1639,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rs))))))"),42.019950124688265)</f>
        <v>42.01995012</v>
      </c>
      <c r="W1639" s="16" t="str">
        <f>IFERROR(__xludf.DUMMYFUNCTION("IFERROR(GOOGLEFINANCE(A1639, ""volume"") / GOOGLEFINANCE(A1639, ""volumeavg""), )"),"")</f>
        <v/>
      </c>
      <c r="X1639" s="9">
        <f>IFERROR(__xludf.DUMMYFUNCTION("B1639 * GOOGLEFINANCE(A1639, ""volume"")"),158343.1)</f>
        <v>158343.1</v>
      </c>
      <c r="Y1639" s="9">
        <f>IFERROR(__xludf.DUMMYFUNCTION("IFERROR(((B1639 - GOOGLEFINANCE(A1639, ""priceopen"")) / GOOGLEFINANCE(A1639, ""priceopen"")) * GOOGLEFINANCE(A1639, ""volume""), 0)"),9.760566037735837)</f>
        <v>9.760566038</v>
      </c>
    </row>
    <row r="1640">
      <c r="A1640" s="4" t="s">
        <v>3432</v>
      </c>
      <c r="B1640" s="7">
        <f>IFERROR(__xludf.DUMMYFUNCTION("GOOGLEFINANCE(A1640, ""price"")"),419.65)</f>
        <v>419.65</v>
      </c>
      <c r="C1640" s="7">
        <f>IFERROR(__xludf.DUMMYFUNCTION("GOOGLEFINANCE(A1640, ""changepct"")"),1.12)</f>
        <v>1.12</v>
      </c>
      <c r="D1640" s="9">
        <f>IFERROR(__xludf.DUMMYFUNCTION("GOOGLEFINANCE(A1640, ""priceopen"")"),412.95)</f>
        <v>412.95</v>
      </c>
      <c r="E1640" s="9">
        <f>IFERROR(__xludf.DUMMYFUNCTION("GOOGLEFINANCE(A1640, ""high"")"),424.45)</f>
        <v>424.45</v>
      </c>
      <c r="F1640" s="9">
        <f>IFERROR(__xludf.DUMMYFUNCTION("GOOGLEFINANCE(A1640, ""low"")"),412.95)</f>
        <v>412.95</v>
      </c>
      <c r="G1640" s="9">
        <f>IFERROR(__xludf.DUMMYFUNCTION("GOOGLEFINANCE(A1640, ""price"")"),419.65)</f>
        <v>419.65</v>
      </c>
      <c r="H1640" s="9">
        <f>IFERROR(__xludf.DUMMYFUNCTION("MAX(INDEX(GOOGLEFINANCE(A1640, ""high"", TODAY()-30, TODAY()), 0, 2))"),487.6)</f>
        <v>487.6</v>
      </c>
      <c r="I1640" s="9">
        <f>IFERROR(__xludf.DUMMYFUNCTION("MIN(INDEX(GOOGLEFINANCE(A1640, ""low"", TODAY()-30, TODAY()), 0, 2))"),411.0)</f>
        <v>411</v>
      </c>
      <c r="J1640" s="9">
        <f>IFERROR(__xludf.DUMMYFUNCTION("GOOGLEFINANCE(A1640, ""high52"")"),550.0)</f>
        <v>550</v>
      </c>
      <c r="K1640" s="9">
        <f>IFERROR(__xludf.DUMMYFUNCTION("GOOGLEFINANCE(A1640, ""low52"")"),347.1)</f>
        <v>347.1</v>
      </c>
      <c r="L1640" s="9">
        <f t="shared" si="1"/>
        <v>0.237</v>
      </c>
      <c r="M1640" s="9">
        <f t="shared" si="2"/>
        <v>0.2090175742</v>
      </c>
      <c r="N1640" s="9">
        <f t="shared" si="3"/>
        <v>0.0278484078</v>
      </c>
      <c r="O1640" s="9">
        <f t="shared" si="4"/>
        <v>0.112924282</v>
      </c>
      <c r="P1640" s="9">
        <f>IFERROR(__xludf.DUMMYFUNCTION("GOOGLEFINANCE(A1640, ""pe"")"),19.16)</f>
        <v>19.16</v>
      </c>
      <c r="Q1640" s="9">
        <f>IFERROR(__xludf.DUMMYFUNCTION("IFERROR(GOOGLEFINANCE(A1640, ""volume"") / GOOGLEFINANCE(A1640, ""volumeavg""), 0)"),0.0)</f>
        <v>0</v>
      </c>
      <c r="R1640" s="9">
        <f>IFERROR(__xludf.DUMMYFUNCTION("AVERAGE(INDEX(GOOGLEFINANCE(A1640, ""price"", TODAY()-30, TODAY()), 0, 2))"),430.9608695652175)</f>
        <v>430.9608696</v>
      </c>
      <c r="S1640" s="9">
        <f>IFERROR(__xludf.DUMMYFUNCTION("AVERAGE(INDEX(GOOGLEFINANCE(A1640, ""price"", TODAY()-75, TODAY()), 0, 2))"),426.42830188679255)</f>
        <v>426.4283019</v>
      </c>
      <c r="T1640" s="9">
        <f>IFERROR(__xludf.DUMMYFUNCTION("AVERAGE(INDEX(GOOGLEFINANCE(A1640, ""price"", TODAY()-300, TODAY()), 0, 2))"),429.83019801980174)</f>
        <v>429.830198</v>
      </c>
      <c r="U1640" s="9">
        <f t="shared" si="5"/>
        <v>-0.0262456997</v>
      </c>
      <c r="V1640" s="15">
        <f>IFERROR(__xludf.DUMMYFUNCTION("LET(hist, GOOGLEFINANCE(A1640,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rs))))))"),27.354627354627382)</f>
        <v>27.35462735</v>
      </c>
      <c r="W1640" s="16" t="str">
        <f>IFERROR(__xludf.DUMMYFUNCTION("IFERROR(GOOGLEFINANCE(A1640, ""volume"") / GOOGLEFINANCE(A1640, ""volumeavg""), )"),"")</f>
        <v/>
      </c>
      <c r="X1640" s="9">
        <f>IFERROR(__xludf.DUMMYFUNCTION("B1640 * GOOGLEFINANCE(A1640, ""volume"")"),1666010.5)</f>
        <v>1666010.5</v>
      </c>
      <c r="Y1640" s="9">
        <f>IFERROR(__xludf.DUMMYFUNCTION("IFERROR(((B1640 - GOOGLEFINANCE(A1640, ""priceopen"")) / GOOGLEFINANCE(A1640, ""priceopen"")) * GOOGLEFINANCE(A1640, ""volume""), 0)"),64.41215643540369)</f>
        <v>64.41215644</v>
      </c>
    </row>
    <row r="1641">
      <c r="A1641" s="4" t="s">
        <v>3433</v>
      </c>
      <c r="B1641" s="7">
        <f>IFERROR(__xludf.DUMMYFUNCTION("GOOGLEFINANCE(A1641, ""price"")"),38.28)</f>
        <v>38.28</v>
      </c>
      <c r="C1641" s="7">
        <f>IFERROR(__xludf.DUMMYFUNCTION("GOOGLEFINANCE(A1641, ""changepct"")"),0.47)</f>
        <v>0.47</v>
      </c>
      <c r="D1641" s="9">
        <f>IFERROR(__xludf.DUMMYFUNCTION("GOOGLEFINANCE(A1641, ""priceopen"")"),38.01)</f>
        <v>38.01</v>
      </c>
      <c r="E1641" s="9">
        <f>IFERROR(__xludf.DUMMYFUNCTION("GOOGLEFINANCE(A1641, ""high"")"),38.5)</f>
        <v>38.5</v>
      </c>
      <c r="F1641" s="9">
        <f>IFERROR(__xludf.DUMMYFUNCTION("GOOGLEFINANCE(A1641, ""low"")"),38.01)</f>
        <v>38.01</v>
      </c>
      <c r="G1641" s="9">
        <f>IFERROR(__xludf.DUMMYFUNCTION("GOOGLEFINANCE(A1641, ""price"")"),38.28)</f>
        <v>38.28</v>
      </c>
      <c r="H1641" s="9">
        <f>IFERROR(__xludf.DUMMYFUNCTION("MAX(INDEX(GOOGLEFINANCE(A1641, ""high"", TODAY()-30, TODAY()), 0, 2))"),40.92)</f>
        <v>40.92</v>
      </c>
      <c r="I1641" s="9">
        <f>IFERROR(__xludf.DUMMYFUNCTION("MIN(INDEX(GOOGLEFINANCE(A1641, ""low"", TODAY()-30, TODAY()), 0, 2))"),36.52)</f>
        <v>36.52</v>
      </c>
      <c r="J1641" s="9">
        <f>IFERROR(__xludf.DUMMYFUNCTION("GOOGLEFINANCE(A1641, ""high52"")"),41.5)</f>
        <v>41.5</v>
      </c>
      <c r="K1641" s="9">
        <f>IFERROR(__xludf.DUMMYFUNCTION("GOOGLEFINANCE(A1641, ""low52"")"),24.0)</f>
        <v>24</v>
      </c>
      <c r="L1641" s="9">
        <f t="shared" si="1"/>
        <v>0.07759036145</v>
      </c>
      <c r="M1641" s="9">
        <f t="shared" si="2"/>
        <v>0.595</v>
      </c>
      <c r="N1641" s="9">
        <f t="shared" si="3"/>
        <v>0.01289134438</v>
      </c>
      <c r="O1641" s="9">
        <f t="shared" si="4"/>
        <v>0.4</v>
      </c>
      <c r="P1641" s="9" t="str">
        <f>IFERROR(__xludf.DUMMYFUNCTION("GOOGLEFINANCE(A1641, ""pe"")"),"#N/A")</f>
        <v>#N/A</v>
      </c>
      <c r="Q1641" s="9">
        <f>IFERROR(__xludf.DUMMYFUNCTION("IFERROR(GOOGLEFINANCE(A1641, ""volume"") / GOOGLEFINANCE(A1641, ""volumeavg""), 0)"),0.0)</f>
        <v>0</v>
      </c>
      <c r="R1641" s="9">
        <f>IFERROR(__xludf.DUMMYFUNCTION("AVERAGE(INDEX(GOOGLEFINANCE(A1641, ""price"", TODAY()-30, TODAY()), 0, 2))"),38.30304347826087)</f>
        <v>38.30304348</v>
      </c>
      <c r="S1641" s="9">
        <f>IFERROR(__xludf.DUMMYFUNCTION("AVERAGE(INDEX(GOOGLEFINANCE(A1641, ""price"", TODAY()-75, TODAY()), 0, 2))"),37.6732075471698)</f>
        <v>37.67320755</v>
      </c>
      <c r="T1641" s="9">
        <f>IFERROR(__xludf.DUMMYFUNCTION("AVERAGE(INDEX(GOOGLEFINANCE(A1641, ""price"", TODAY()-300, TODAY()), 0, 2))"),34.016089108910876)</f>
        <v>34.01608911</v>
      </c>
      <c r="U1641" s="9">
        <f t="shared" si="5"/>
        <v>-0.0006016095894</v>
      </c>
      <c r="V1641" s="15">
        <f>IFERROR(__xludf.DUMMYFUNCTION("LET(hist, GOOGLEFINANCE(A1641,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rs))))))"),52.16693418940607)</f>
        <v>52.16693419</v>
      </c>
      <c r="W1641" s="16" t="str">
        <f>IFERROR(__xludf.DUMMYFUNCTION("IFERROR(GOOGLEFINANCE(A1641, ""volume"") / GOOGLEFINANCE(A1641, ""volumeavg""), )"),"")</f>
        <v/>
      </c>
      <c r="X1641" s="9">
        <f>IFERROR(__xludf.DUMMYFUNCTION("B1641 * GOOGLEFINANCE(A1641, ""volume"")"),1829324.6400000001)</f>
        <v>1829324.64</v>
      </c>
      <c r="Y1641" s="9">
        <f>IFERROR(__xludf.DUMMYFUNCTION("IFERROR(((B1641 - GOOGLEFINANCE(A1641, ""priceopen"")) / GOOGLEFINANCE(A1641, ""priceopen"")) * GOOGLEFINANCE(A1641, ""volume""), 0)"),339.45698500395025)</f>
        <v>339.456985</v>
      </c>
    </row>
    <row r="1642">
      <c r="A1642" s="4" t="s">
        <v>3434</v>
      </c>
      <c r="B1642" s="7">
        <f>IFERROR(__xludf.DUMMYFUNCTION("GOOGLEFINANCE(A1642, ""price"")"),158.79)</f>
        <v>158.79</v>
      </c>
      <c r="C1642" s="7">
        <f>IFERROR(__xludf.DUMMYFUNCTION("GOOGLEFINANCE(A1642, ""changepct"")"),-1.14)</f>
        <v>-1.14</v>
      </c>
      <c r="D1642" s="9">
        <f>IFERROR(__xludf.DUMMYFUNCTION("GOOGLEFINANCE(A1642, ""priceopen"")"),159.9)</f>
        <v>159.9</v>
      </c>
      <c r="E1642" s="9">
        <f>IFERROR(__xludf.DUMMYFUNCTION("GOOGLEFINANCE(A1642, ""high"")"),159.9)</f>
        <v>159.9</v>
      </c>
      <c r="F1642" s="9">
        <f>IFERROR(__xludf.DUMMYFUNCTION("GOOGLEFINANCE(A1642, ""low"")"),153.99)</f>
        <v>153.99</v>
      </c>
      <c r="G1642" s="9">
        <f>IFERROR(__xludf.DUMMYFUNCTION("GOOGLEFINANCE(A1642, ""price"")"),158.79)</f>
        <v>158.79</v>
      </c>
      <c r="H1642" s="9">
        <f>IFERROR(__xludf.DUMMYFUNCTION("MAX(INDEX(GOOGLEFINANCE(A1642, ""high"", TODAY()-30, TODAY()), 0, 2))"),164.6)</f>
        <v>164.6</v>
      </c>
      <c r="I1642" s="9">
        <f>IFERROR(__xludf.DUMMYFUNCTION("MIN(INDEX(GOOGLEFINANCE(A1642, ""low"", TODAY()-30, TODAY()), 0, 2))"),125.1)</f>
        <v>125.1</v>
      </c>
      <c r="J1642" s="9">
        <f>IFERROR(__xludf.DUMMYFUNCTION("GOOGLEFINANCE(A1642, ""high52"")"),164.6)</f>
        <v>164.6</v>
      </c>
      <c r="K1642" s="9">
        <f>IFERROR(__xludf.DUMMYFUNCTION("GOOGLEFINANCE(A1642, ""low52"")"),56.0)</f>
        <v>56</v>
      </c>
      <c r="L1642" s="9">
        <f t="shared" si="1"/>
        <v>0.03529769137</v>
      </c>
      <c r="M1642" s="9">
        <f t="shared" si="2"/>
        <v>1.835535714</v>
      </c>
      <c r="N1642" s="9">
        <f t="shared" si="3"/>
        <v>0.03837911553</v>
      </c>
      <c r="O1642" s="9">
        <f t="shared" si="4"/>
        <v>0.8529113924</v>
      </c>
      <c r="P1642" s="9">
        <f>IFERROR(__xludf.DUMMYFUNCTION("GOOGLEFINANCE(A1642, ""pe"")"),17.36)</f>
        <v>17.36</v>
      </c>
      <c r="Q1642" s="9">
        <f>IFERROR(__xludf.DUMMYFUNCTION("IFERROR(GOOGLEFINANCE(A1642, ""volume"") / GOOGLEFINANCE(A1642, ""volumeavg""), 0)"),0.0)</f>
        <v>0</v>
      </c>
      <c r="R1642" s="9">
        <f>IFERROR(__xludf.DUMMYFUNCTION("AVERAGE(INDEX(GOOGLEFINANCE(A1642, ""price"", TODAY()-30, TODAY()), 0, 2))"),148.11434782608697)</f>
        <v>148.1143478</v>
      </c>
      <c r="S1642" s="9">
        <f>IFERROR(__xludf.DUMMYFUNCTION("AVERAGE(INDEX(GOOGLEFINANCE(A1642, ""price"", TODAY()-75, TODAY()), 0, 2))"),128.8281132075472)</f>
        <v>128.8281132</v>
      </c>
      <c r="T1642" s="9">
        <f>IFERROR(__xludf.DUMMYFUNCTION("AVERAGE(INDEX(GOOGLEFINANCE(A1642, ""price"", TODAY()-300, TODAY()), 0, 2))"),89.72975247524751)</f>
        <v>89.72975248</v>
      </c>
      <c r="U1642" s="9">
        <f t="shared" si="5"/>
        <v>0.07207709672</v>
      </c>
      <c r="V1642" s="15">
        <f>IFERROR(__xludf.DUMMYFUNCTION("LET(hist, GOOGLEFINANCE(A1642,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rs))))))"),46.951088127558705)</f>
        <v>46.95108813</v>
      </c>
      <c r="W1642" s="16" t="str">
        <f>IFERROR(__xludf.DUMMYFUNCTION("IFERROR(GOOGLEFINANCE(A1642, ""volume"") / GOOGLEFINANCE(A1642, ""volumeavg""), )"),"")</f>
        <v/>
      </c>
      <c r="X1642" s="9">
        <f>IFERROR(__xludf.DUMMYFUNCTION("B1642 * GOOGLEFINANCE(A1642, ""volume"")"),7099500.899999999)</f>
        <v>7099500.9</v>
      </c>
      <c r="Y1642" s="9">
        <f>IFERROR(__xludf.DUMMYFUNCTION("IFERROR(((B1642 - GOOGLEFINANCE(A1642, ""priceopen"")) / GOOGLEFINANCE(A1642, ""priceopen"")) * GOOGLEFINANCE(A1642, ""volume""), 0)"),-310.3696060037562)</f>
        <v>-310.369606</v>
      </c>
    </row>
    <row r="1643">
      <c r="A1643" s="4" t="s">
        <v>3435</v>
      </c>
      <c r="B1643" s="7">
        <f>IFERROR(__xludf.DUMMYFUNCTION("GOOGLEFINANCE(A1643, ""price"")"),268.3)</f>
        <v>268.3</v>
      </c>
      <c r="C1643" s="7">
        <f>IFERROR(__xludf.DUMMYFUNCTION("GOOGLEFINANCE(A1643, ""changepct"")"),-1.99)</f>
        <v>-1.99</v>
      </c>
      <c r="D1643" s="9">
        <f>IFERROR(__xludf.DUMMYFUNCTION("GOOGLEFINANCE(A1643, ""priceopen"")"),269.0)</f>
        <v>269</v>
      </c>
      <c r="E1643" s="9">
        <f>IFERROR(__xludf.DUMMYFUNCTION("GOOGLEFINANCE(A1643, ""high"")"),269.0)</f>
        <v>269</v>
      </c>
      <c r="F1643" s="9">
        <f>IFERROR(__xludf.DUMMYFUNCTION("GOOGLEFINANCE(A1643, ""low"")"),268.3)</f>
        <v>268.3</v>
      </c>
      <c r="G1643" s="9">
        <f>IFERROR(__xludf.DUMMYFUNCTION("GOOGLEFINANCE(A1643, ""price"")"),268.3)</f>
        <v>268.3</v>
      </c>
      <c r="H1643" s="9">
        <f>IFERROR(__xludf.DUMMYFUNCTION("MAX(INDEX(GOOGLEFINANCE(A1643, ""high"", TODAY()-30, TODAY()), 0, 2))"),290.7)</f>
        <v>290.7</v>
      </c>
      <c r="I1643" s="9">
        <f>IFERROR(__xludf.DUMMYFUNCTION("MIN(INDEX(GOOGLEFINANCE(A1643, ""low"", TODAY()-30, TODAY()), 0, 2))"),208.7)</f>
        <v>208.7</v>
      </c>
      <c r="J1643" s="9">
        <f>IFERROR(__xludf.DUMMYFUNCTION("GOOGLEFINANCE(A1643, ""high52"")"),290.7)</f>
        <v>290.7</v>
      </c>
      <c r="K1643" s="9">
        <f>IFERROR(__xludf.DUMMYFUNCTION("GOOGLEFINANCE(A1643, ""low52"")"),88.72)</f>
        <v>88.72</v>
      </c>
      <c r="L1643" s="9">
        <f t="shared" si="1"/>
        <v>0.07705538356</v>
      </c>
      <c r="M1643" s="9">
        <f t="shared" si="2"/>
        <v>2.02412083</v>
      </c>
      <c r="N1643" s="9">
        <f t="shared" si="3"/>
        <v>0.002609019754</v>
      </c>
      <c r="O1643" s="9">
        <f t="shared" si="4"/>
        <v>0.7268292683</v>
      </c>
      <c r="P1643" s="9">
        <f>IFERROR(__xludf.DUMMYFUNCTION("GOOGLEFINANCE(A1643, ""pe"")"),57.21)</f>
        <v>57.21</v>
      </c>
      <c r="Q1643" s="9">
        <f>IFERROR(__xludf.DUMMYFUNCTION("IFERROR(GOOGLEFINANCE(A1643, ""volume"") / GOOGLEFINANCE(A1643, ""volumeavg""), 0)"),0.0)</f>
        <v>0</v>
      </c>
      <c r="R1643" s="9">
        <f>IFERROR(__xludf.DUMMYFUNCTION("AVERAGE(INDEX(GOOGLEFINANCE(A1643, ""price"", TODAY()-30, TODAY()), 0, 2))"),249.72695652173914)</f>
        <v>249.7269565</v>
      </c>
      <c r="S1643" s="9">
        <f>IFERROR(__xludf.DUMMYFUNCTION("AVERAGE(INDEX(GOOGLEFINANCE(A1643, ""price"", TODAY()-75, TODAY()), 0, 2))"),210.1239622641509)</f>
        <v>210.1239623</v>
      </c>
      <c r="T1643" s="9">
        <f>IFERROR(__xludf.DUMMYFUNCTION("AVERAGE(INDEX(GOOGLEFINANCE(A1643, ""price"", TODAY()-300, TODAY()), 0, 2))"),154.5784158415842)</f>
        <v>154.5784158</v>
      </c>
      <c r="U1643" s="9">
        <f t="shared" si="5"/>
        <v>0.0743734026</v>
      </c>
      <c r="V1643" s="15">
        <f>IFERROR(__xludf.DUMMYFUNCTION("LET(hist, GOOGLEFINANCE(A1643,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rs))))))"),68.48413974565125)</f>
        <v>68.48413975</v>
      </c>
      <c r="W1643" s="16" t="str">
        <f>IFERROR(__xludf.DUMMYFUNCTION("IFERROR(GOOGLEFINANCE(A1643, ""volume"") / GOOGLEFINANCE(A1643, ""volumeavg""), )"),"")</f>
        <v/>
      </c>
      <c r="X1643" s="9">
        <f>IFERROR(__xludf.DUMMYFUNCTION("B1643 * GOOGLEFINANCE(A1643, ""volume"")"),891024.3)</f>
        <v>891024.3</v>
      </c>
      <c r="Y1643" s="9">
        <f>IFERROR(__xludf.DUMMYFUNCTION("IFERROR(((B1643 - GOOGLEFINANCE(A1643, ""priceopen"")) / GOOGLEFINANCE(A1643, ""priceopen"")) * GOOGLEFINANCE(A1643, ""volume""), 0)"),-8.642007434944098)</f>
        <v>-8.642007435</v>
      </c>
    </row>
    <row r="1644">
      <c r="A1644" s="4" t="s">
        <v>3436</v>
      </c>
      <c r="B1644" s="7">
        <f>IFERROR(__xludf.DUMMYFUNCTION("GOOGLEFINANCE(A1644, ""price"")"),179.89)</f>
        <v>179.89</v>
      </c>
      <c r="C1644" s="7">
        <f>IFERROR(__xludf.DUMMYFUNCTION("GOOGLEFINANCE(A1644, ""changepct"")"),-6.67)</f>
        <v>-6.67</v>
      </c>
      <c r="D1644" s="9">
        <f>IFERROR(__xludf.DUMMYFUNCTION("GOOGLEFINANCE(A1644, ""priceopen"")"),192.0)</f>
        <v>192</v>
      </c>
      <c r="E1644" s="9">
        <f>IFERROR(__xludf.DUMMYFUNCTION("GOOGLEFINANCE(A1644, ""high"")"),196.0)</f>
        <v>196</v>
      </c>
      <c r="F1644" s="9">
        <f>IFERROR(__xludf.DUMMYFUNCTION("GOOGLEFINANCE(A1644, ""low"")"),178.0)</f>
        <v>178</v>
      </c>
      <c r="G1644" s="9">
        <f>IFERROR(__xludf.DUMMYFUNCTION("GOOGLEFINANCE(A1644, ""price"")"),179.89)</f>
        <v>179.89</v>
      </c>
      <c r="H1644" s="9">
        <f>IFERROR(__xludf.DUMMYFUNCTION("MAX(INDEX(GOOGLEFINANCE(A1644, ""high"", TODAY()-30, TODAY()), 0, 2))"),215.55)</f>
        <v>215.55</v>
      </c>
      <c r="I1644" s="9">
        <f>IFERROR(__xludf.DUMMYFUNCTION("MIN(INDEX(GOOGLEFINANCE(A1644, ""low"", TODAY()-30, TODAY()), 0, 2))"),178.0)</f>
        <v>178</v>
      </c>
      <c r="J1644" s="9">
        <f>IFERROR(__xludf.DUMMYFUNCTION("GOOGLEFINANCE(A1644, ""high52"")"),307.68)</f>
        <v>307.68</v>
      </c>
      <c r="K1644" s="9">
        <f>IFERROR(__xludf.DUMMYFUNCTION("GOOGLEFINANCE(A1644, ""low52"")"),145.13)</f>
        <v>145.13</v>
      </c>
      <c r="L1644" s="9">
        <f t="shared" si="1"/>
        <v>0.4153341134</v>
      </c>
      <c r="M1644" s="9">
        <f t="shared" si="2"/>
        <v>0.2395094054</v>
      </c>
      <c r="N1644" s="9">
        <f t="shared" si="3"/>
        <v>0.1011235955</v>
      </c>
      <c r="O1644" s="9">
        <f t="shared" si="4"/>
        <v>0.05033288948</v>
      </c>
      <c r="P1644" s="9">
        <f>IFERROR(__xludf.DUMMYFUNCTION("GOOGLEFINANCE(A1644, ""pe"")"),18.26)</f>
        <v>18.26</v>
      </c>
      <c r="Q1644" s="9">
        <f>IFERROR(__xludf.DUMMYFUNCTION("IFERROR(GOOGLEFINANCE(A1644, ""volume"") / GOOGLEFINANCE(A1644, ""volumeavg""), 0)"),0.0)</f>
        <v>0</v>
      </c>
      <c r="R1644" s="9">
        <f>IFERROR(__xludf.DUMMYFUNCTION("AVERAGE(INDEX(GOOGLEFINANCE(A1644, ""price"", TODAY()-30, TODAY()), 0, 2))"),196.4469565217391)</f>
        <v>196.4469565</v>
      </c>
      <c r="S1644" s="9">
        <f>IFERROR(__xludf.DUMMYFUNCTION("AVERAGE(INDEX(GOOGLEFINANCE(A1644, ""price"", TODAY()-75, TODAY()), 0, 2))"),203.27245283018868)</f>
        <v>203.2724528</v>
      </c>
      <c r="T1644" s="9">
        <f>IFERROR(__xludf.DUMMYFUNCTION("AVERAGE(INDEX(GOOGLEFINANCE(A1644, ""price"", TODAY()-300, TODAY()), 0, 2))"),209.65876237623743)</f>
        <v>209.6587624</v>
      </c>
      <c r="U1644" s="9">
        <f t="shared" si="5"/>
        <v>-0.08428207194</v>
      </c>
      <c r="V1644" s="15">
        <f>IFERROR(__xludf.DUMMYFUNCTION("LET(hist, GOOGLEFINANCE(A1644,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rs))))))"),31.679498146564)</f>
        <v>31.67949815</v>
      </c>
      <c r="W1644" s="16" t="str">
        <f>IFERROR(__xludf.DUMMYFUNCTION("IFERROR(GOOGLEFINANCE(A1644, ""volume"") / GOOGLEFINANCE(A1644, ""volumeavg""), )"),"")</f>
        <v/>
      </c>
      <c r="X1644" s="9">
        <f>IFERROR(__xludf.DUMMYFUNCTION("B1644 * GOOGLEFINANCE(A1644, ""volume"")"),2.8318283799999997E7)</f>
        <v>28318283.8</v>
      </c>
      <c r="Y1644" s="9">
        <f>IFERROR(__xludf.DUMMYFUNCTION("IFERROR(((B1644 - GOOGLEFINANCE(A1644, ""priceopen"")) / GOOGLEFINANCE(A1644, ""priceopen"")) * GOOGLEFINANCE(A1644, ""volume""), 0)"),-9928.93854166668)</f>
        <v>-9928.938542</v>
      </c>
    </row>
    <row r="1645">
      <c r="A1645" s="4" t="s">
        <v>3437</v>
      </c>
      <c r="B1645" s="7">
        <f>IFERROR(__xludf.DUMMYFUNCTION("GOOGLEFINANCE(A1645, ""price"")"),65.1)</f>
        <v>65.1</v>
      </c>
      <c r="C1645" s="7">
        <f>IFERROR(__xludf.DUMMYFUNCTION("GOOGLEFINANCE(A1645, ""changepct"")"),-2.84)</f>
        <v>-2.84</v>
      </c>
      <c r="D1645" s="9">
        <f>IFERROR(__xludf.DUMMYFUNCTION("GOOGLEFINANCE(A1645, ""priceopen"")"),66.1)</f>
        <v>66.1</v>
      </c>
      <c r="E1645" s="9">
        <f>IFERROR(__xludf.DUMMYFUNCTION("GOOGLEFINANCE(A1645, ""high"")"),67.2)</f>
        <v>67.2</v>
      </c>
      <c r="F1645" s="9">
        <f>IFERROR(__xludf.DUMMYFUNCTION("GOOGLEFINANCE(A1645, ""low"")"),64.01)</f>
        <v>64.01</v>
      </c>
      <c r="G1645" s="9">
        <f>IFERROR(__xludf.DUMMYFUNCTION("GOOGLEFINANCE(A1645, ""price"")"),65.1)</f>
        <v>65.1</v>
      </c>
      <c r="H1645" s="9">
        <f>IFERROR(__xludf.DUMMYFUNCTION("MAX(INDEX(GOOGLEFINANCE(A1645, ""high"", TODAY()-30, TODAY()), 0, 2))"),70.25)</f>
        <v>70.25</v>
      </c>
      <c r="I1645" s="9">
        <f>IFERROR(__xludf.DUMMYFUNCTION("MIN(INDEX(GOOGLEFINANCE(A1645, ""low"", TODAY()-30, TODAY()), 0, 2))"),63.4)</f>
        <v>63.4</v>
      </c>
      <c r="J1645" s="9">
        <f>IFERROR(__xludf.DUMMYFUNCTION("GOOGLEFINANCE(A1645, ""high52"")"),93.0)</f>
        <v>93</v>
      </c>
      <c r="K1645" s="9">
        <f>IFERROR(__xludf.DUMMYFUNCTION("GOOGLEFINANCE(A1645, ""low52"")"),37.0)</f>
        <v>37</v>
      </c>
      <c r="L1645" s="9">
        <f t="shared" si="1"/>
        <v>0.3</v>
      </c>
      <c r="M1645" s="9">
        <f t="shared" si="2"/>
        <v>0.7594594595</v>
      </c>
      <c r="N1645" s="9">
        <f t="shared" si="3"/>
        <v>0.04983596313</v>
      </c>
      <c r="O1645" s="9">
        <f t="shared" si="4"/>
        <v>0.2481751825</v>
      </c>
      <c r="P1645" s="9" t="str">
        <f>IFERROR(__xludf.DUMMYFUNCTION("GOOGLEFINANCE(A1645, ""pe"")"),"#N/A")</f>
        <v>#N/A</v>
      </c>
      <c r="Q1645" s="9">
        <f>IFERROR(__xludf.DUMMYFUNCTION("IFERROR(GOOGLEFINANCE(A1645, ""volume"") / GOOGLEFINANCE(A1645, ""volumeavg""), 0)"),0.0)</f>
        <v>0</v>
      </c>
      <c r="R1645" s="9">
        <f>IFERROR(__xludf.DUMMYFUNCTION("AVERAGE(INDEX(GOOGLEFINANCE(A1645, ""price"", TODAY()-30, TODAY()), 0, 2))"),67.0191304347826)</f>
        <v>67.01913043</v>
      </c>
      <c r="S1645" s="9">
        <f>IFERROR(__xludf.DUMMYFUNCTION("AVERAGE(INDEX(GOOGLEFINANCE(A1645, ""price"", TODAY()-75, TODAY()), 0, 2))"),66.70773584905662)</f>
        <v>66.70773585</v>
      </c>
      <c r="T1645" s="9">
        <f>IFERROR(__xludf.DUMMYFUNCTION("AVERAGE(INDEX(GOOGLEFINANCE(A1645, ""price"", TODAY()-300, TODAY()), 0, 2))"),60.21777227722775)</f>
        <v>60.21777228</v>
      </c>
      <c r="U1645" s="9">
        <f t="shared" si="5"/>
        <v>-0.02863556155</v>
      </c>
      <c r="V1645" s="15">
        <f>IFERROR(__xludf.DUMMYFUNCTION("LET(hist, GOOGLEFINANCE(A1645,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rs))))))"),37.04225352112678)</f>
        <v>37.04225352</v>
      </c>
      <c r="W1645" s="16" t="str">
        <f>IFERROR(__xludf.DUMMYFUNCTION("IFERROR(GOOGLEFINANCE(A1645, ""volume"") / GOOGLEFINANCE(A1645, ""volumeavg""), )"),"")</f>
        <v/>
      </c>
      <c r="X1645" s="9">
        <f>IFERROR(__xludf.DUMMYFUNCTION("B1645 * GOOGLEFINANCE(A1645, ""volume"")"),2386045.1999999997)</f>
        <v>2386045.2</v>
      </c>
      <c r="Y1645" s="9">
        <f>IFERROR(__xludf.DUMMYFUNCTION("IFERROR(((B1645 - GOOGLEFINANCE(A1645, ""priceopen"")) / GOOGLEFINANCE(A1645, ""priceopen"")) * GOOGLEFINANCE(A1645, ""volume""), 0)"),-554.4931921331317)</f>
        <v>-554.4931921</v>
      </c>
    </row>
    <row r="1646">
      <c r="A1646" s="4" t="s">
        <v>3438</v>
      </c>
      <c r="B1646" s="7">
        <f>IFERROR(__xludf.DUMMYFUNCTION("GOOGLEFINANCE(A1646, ""price"")"),77.5)</f>
        <v>77.5</v>
      </c>
      <c r="C1646" s="7">
        <f>IFERROR(__xludf.DUMMYFUNCTION("GOOGLEFINANCE(A1646, ""changepct"")"),2.12)</f>
        <v>2.12</v>
      </c>
      <c r="D1646" s="9">
        <f>IFERROR(__xludf.DUMMYFUNCTION("GOOGLEFINANCE(A1646, ""priceopen"")"),76.0)</f>
        <v>76</v>
      </c>
      <c r="E1646" s="9">
        <f>IFERROR(__xludf.DUMMYFUNCTION("GOOGLEFINANCE(A1646, ""high"")"),78.42)</f>
        <v>78.42</v>
      </c>
      <c r="F1646" s="9">
        <f>IFERROR(__xludf.DUMMYFUNCTION("GOOGLEFINANCE(A1646, ""low"")"),75.51)</f>
        <v>75.51</v>
      </c>
      <c r="G1646" s="9">
        <f>IFERROR(__xludf.DUMMYFUNCTION("GOOGLEFINANCE(A1646, ""price"")"),77.5)</f>
        <v>77.5</v>
      </c>
      <c r="H1646" s="9">
        <f>IFERROR(__xludf.DUMMYFUNCTION("MAX(INDEX(GOOGLEFINANCE(A1646, ""high"", TODAY()-30, TODAY()), 0, 2))"),85.5)</f>
        <v>85.5</v>
      </c>
      <c r="I1646" s="9">
        <f>IFERROR(__xludf.DUMMYFUNCTION("MIN(INDEX(GOOGLEFINANCE(A1646, ""low"", TODAY()-30, TODAY()), 0, 2))"),74.52)</f>
        <v>74.52</v>
      </c>
      <c r="J1646" s="9">
        <f>IFERROR(__xludf.DUMMYFUNCTION("GOOGLEFINANCE(A1646, ""high52"")"),90.33)</f>
        <v>90.33</v>
      </c>
      <c r="K1646" s="9">
        <f>IFERROR(__xludf.DUMMYFUNCTION("GOOGLEFINANCE(A1646, ""low52"")"),50.01)</f>
        <v>50.01</v>
      </c>
      <c r="L1646" s="9">
        <f t="shared" si="1"/>
        <v>0.1420347614</v>
      </c>
      <c r="M1646" s="9">
        <f t="shared" si="2"/>
        <v>0.549690062</v>
      </c>
      <c r="N1646" s="9">
        <f t="shared" si="3"/>
        <v>0.03853794199</v>
      </c>
      <c r="O1646" s="9">
        <f t="shared" si="4"/>
        <v>0.2714025501</v>
      </c>
      <c r="P1646" s="9">
        <f>IFERROR(__xludf.DUMMYFUNCTION("GOOGLEFINANCE(A1646, ""pe"")"),20.08)</f>
        <v>20.08</v>
      </c>
      <c r="Q1646" s="9">
        <f>IFERROR(__xludf.DUMMYFUNCTION("IFERROR(GOOGLEFINANCE(A1646, ""volume"") / GOOGLEFINANCE(A1646, ""volumeavg""), 0)"),0.0)</f>
        <v>0</v>
      </c>
      <c r="R1646" s="9">
        <f>IFERROR(__xludf.DUMMYFUNCTION("AVERAGE(INDEX(GOOGLEFINANCE(A1646, ""price"", TODAY()-30, TODAY()), 0, 2))"),79.14782608695654)</f>
        <v>79.14782609</v>
      </c>
      <c r="S1646" s="9">
        <f>IFERROR(__xludf.DUMMYFUNCTION("AVERAGE(INDEX(GOOGLEFINANCE(A1646, ""price"", TODAY()-75, TODAY()), 0, 2))"),74.99509433962264)</f>
        <v>74.99509434</v>
      </c>
      <c r="T1646" s="9">
        <f>IFERROR(__xludf.DUMMYFUNCTION("AVERAGE(INDEX(GOOGLEFINANCE(A1646, ""price"", TODAY()-300, TODAY()), 0, 2))"),68.45816831683169)</f>
        <v>68.45816832</v>
      </c>
      <c r="U1646" s="9">
        <f t="shared" si="5"/>
        <v>-0.02081960009</v>
      </c>
      <c r="V1646" s="15">
        <f>IFERROR(__xludf.DUMMYFUNCTION("LET(hist, GOOGLEFINANCE(A1646,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rs))))))"),47.63948497854079)</f>
        <v>47.63948498</v>
      </c>
      <c r="W1646" s="16" t="str">
        <f>IFERROR(__xludf.DUMMYFUNCTION("IFERROR(GOOGLEFINANCE(A1646, ""volume"") / GOOGLEFINANCE(A1646, ""volumeavg""), )"),"")</f>
        <v/>
      </c>
      <c r="X1646" s="9">
        <f>IFERROR(__xludf.DUMMYFUNCTION("B1646 * GOOGLEFINANCE(A1646, ""volume"")"),9996105.0)</f>
        <v>9996105</v>
      </c>
      <c r="Y1646" s="9">
        <f>IFERROR(__xludf.DUMMYFUNCTION("IFERROR(((B1646 - GOOGLEFINANCE(A1646, ""priceopen"")) / GOOGLEFINANCE(A1646, ""priceopen"")) * GOOGLEFINANCE(A1646, ""volume""), 0)"),2545.6973684210525)</f>
        <v>2545.697368</v>
      </c>
    </row>
    <row r="1647">
      <c r="A1647" s="4" t="s">
        <v>3439</v>
      </c>
      <c r="B1647" s="7">
        <f>IFERROR(__xludf.DUMMYFUNCTION("GOOGLEFINANCE(A1647, ""price"")"),61.5)</f>
        <v>61.5</v>
      </c>
      <c r="C1647" s="7">
        <f>IFERROR(__xludf.DUMMYFUNCTION("GOOGLEFINANCE(A1647, ""changepct"")"),0.84)</f>
        <v>0.84</v>
      </c>
      <c r="D1647" s="9">
        <f>IFERROR(__xludf.DUMMYFUNCTION("GOOGLEFINANCE(A1647, ""priceopen"")"),60.05)</f>
        <v>60.05</v>
      </c>
      <c r="E1647" s="9">
        <f>IFERROR(__xludf.DUMMYFUNCTION("GOOGLEFINANCE(A1647, ""high"")"),62.06)</f>
        <v>62.06</v>
      </c>
      <c r="F1647" s="9">
        <f>IFERROR(__xludf.DUMMYFUNCTION("GOOGLEFINANCE(A1647, ""low"")"),60.0)</f>
        <v>60</v>
      </c>
      <c r="G1647" s="9">
        <f>IFERROR(__xludf.DUMMYFUNCTION("GOOGLEFINANCE(A1647, ""price"")"),61.5)</f>
        <v>61.5</v>
      </c>
      <c r="H1647" s="9">
        <f>IFERROR(__xludf.DUMMYFUNCTION("MAX(INDEX(GOOGLEFINANCE(A1647, ""high"", TODAY()-30, TODAY()), 0, 2))"),64.83)</f>
        <v>64.83</v>
      </c>
      <c r="I1647" s="9">
        <f>IFERROR(__xludf.DUMMYFUNCTION("MIN(INDEX(GOOGLEFINANCE(A1647, ""low"", TODAY()-30, TODAY()), 0, 2))"),54.0)</f>
        <v>54</v>
      </c>
      <c r="J1647" s="9">
        <f>IFERROR(__xludf.DUMMYFUNCTION("GOOGLEFINANCE(A1647, ""high52"")"),90.7)</f>
        <v>90.7</v>
      </c>
      <c r="K1647" s="9">
        <f>IFERROR(__xludf.DUMMYFUNCTION("GOOGLEFINANCE(A1647, ""low52"")"),50.8)</f>
        <v>50.8</v>
      </c>
      <c r="L1647" s="9">
        <f t="shared" si="1"/>
        <v>0.3219404631</v>
      </c>
      <c r="M1647" s="9">
        <f t="shared" si="2"/>
        <v>0.2106299213</v>
      </c>
      <c r="N1647" s="9">
        <f t="shared" si="3"/>
        <v>0.03433333333</v>
      </c>
      <c r="O1647" s="9">
        <f t="shared" si="4"/>
        <v>0.6925207756</v>
      </c>
      <c r="P1647" s="9">
        <f>IFERROR(__xludf.DUMMYFUNCTION("GOOGLEFINANCE(A1647, ""pe"")"),15.04)</f>
        <v>15.04</v>
      </c>
      <c r="Q1647" s="9">
        <f>IFERROR(__xludf.DUMMYFUNCTION("IFERROR(GOOGLEFINANCE(A1647, ""volume"") / GOOGLEFINANCE(A1647, ""volumeavg""), 0)"),0.0)</f>
        <v>0</v>
      </c>
      <c r="R1647" s="9">
        <f>IFERROR(__xludf.DUMMYFUNCTION("AVERAGE(INDEX(GOOGLEFINANCE(A1647, ""price"", TODAY()-30, TODAY()), 0, 2))"),60.60391304347826)</f>
        <v>60.60391304</v>
      </c>
      <c r="S1647" s="9">
        <f>IFERROR(__xludf.DUMMYFUNCTION("AVERAGE(INDEX(GOOGLEFINANCE(A1647, ""price"", TODAY()-75, TODAY()), 0, 2))"),57.58603773584906)</f>
        <v>57.58603774</v>
      </c>
      <c r="T1647" s="9">
        <f>IFERROR(__xludf.DUMMYFUNCTION("AVERAGE(INDEX(GOOGLEFINANCE(A1647, ""price"", TODAY()-300, TODAY()), 0, 2))"),64.08361386138614)</f>
        <v>64.08361386</v>
      </c>
      <c r="U1647" s="9">
        <f t="shared" si="5"/>
        <v>0.01478595872</v>
      </c>
      <c r="V1647" s="15">
        <f>IFERROR(__xludf.DUMMYFUNCTION("LET(hist, GOOGLEFINANCE(A1647,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rs))))))"),45.8091286307054)</f>
        <v>45.80912863</v>
      </c>
      <c r="W1647" s="16" t="str">
        <f>IFERROR(__xludf.DUMMYFUNCTION("IFERROR(GOOGLEFINANCE(A1647, ""volume"") / GOOGLEFINANCE(A1647, ""volumeavg""), )"),"")</f>
        <v/>
      </c>
      <c r="X1647" s="9">
        <f>IFERROR(__xludf.DUMMYFUNCTION("B1647 * GOOGLEFINANCE(A1647, ""volume"")"),3287728.5)</f>
        <v>3287728.5</v>
      </c>
      <c r="Y1647" s="9">
        <f>IFERROR(__xludf.DUMMYFUNCTION("IFERROR(((B1647 - GOOGLEFINANCE(A1647, ""priceopen"")) / GOOGLEFINANCE(A1647, ""priceopen"")) * GOOGLEFINANCE(A1647, ""volume""), 0)"),1290.8501248959228)</f>
        <v>1290.850125</v>
      </c>
    </row>
    <row r="1648">
      <c r="A1648" s="4" t="s">
        <v>3440</v>
      </c>
      <c r="B1648" s="7">
        <f>IFERROR(__xludf.DUMMYFUNCTION("GOOGLEFINANCE(A1648, ""price"")"),977.0)</f>
        <v>977</v>
      </c>
      <c r="C1648" s="7">
        <f>IFERROR(__xludf.DUMMYFUNCTION("GOOGLEFINANCE(A1648, ""changepct"")"),-1.51)</f>
        <v>-1.51</v>
      </c>
      <c r="D1648" s="9">
        <f>IFERROR(__xludf.DUMMYFUNCTION("GOOGLEFINANCE(A1648, ""priceopen"")"),995.3)</f>
        <v>995.3</v>
      </c>
      <c r="E1648" s="9">
        <f>IFERROR(__xludf.DUMMYFUNCTION("GOOGLEFINANCE(A1648, ""high"")"),1000.0)</f>
        <v>1000</v>
      </c>
      <c r="F1648" s="9">
        <f>IFERROR(__xludf.DUMMYFUNCTION("GOOGLEFINANCE(A1648, ""low"")"),977.0)</f>
        <v>977</v>
      </c>
      <c r="G1648" s="9">
        <f>IFERROR(__xludf.DUMMYFUNCTION("GOOGLEFINANCE(A1648, ""price"")"),977.0)</f>
        <v>977</v>
      </c>
      <c r="H1648" s="9">
        <f>IFERROR(__xludf.DUMMYFUNCTION("MAX(INDEX(GOOGLEFINANCE(A1648, ""high"", TODAY()-30, TODAY()), 0, 2))"),1109.9)</f>
        <v>1109.9</v>
      </c>
      <c r="I1648" s="9">
        <f>IFERROR(__xludf.DUMMYFUNCTION("MIN(INDEX(GOOGLEFINANCE(A1648, ""low"", TODAY()-30, TODAY()), 0, 2))"),970.1)</f>
        <v>970.1</v>
      </c>
      <c r="J1648" s="9">
        <f>IFERROR(__xludf.DUMMYFUNCTION("GOOGLEFINANCE(A1648, ""high52"")"),1520.0)</f>
        <v>1520</v>
      </c>
      <c r="K1648" s="9">
        <f>IFERROR(__xludf.DUMMYFUNCTION("GOOGLEFINANCE(A1648, ""low52"")"),929.0)</f>
        <v>929</v>
      </c>
      <c r="L1648" s="9">
        <f t="shared" si="1"/>
        <v>0.3572368421</v>
      </c>
      <c r="M1648" s="9">
        <f t="shared" si="2"/>
        <v>0.05166846071</v>
      </c>
      <c r="N1648" s="9">
        <f t="shared" si="3"/>
        <v>0.02354145343</v>
      </c>
      <c r="O1648" s="9">
        <f t="shared" si="4"/>
        <v>0.04935622318</v>
      </c>
      <c r="P1648" s="9">
        <f>IFERROR(__xludf.DUMMYFUNCTION("GOOGLEFINANCE(A1648, ""pe"")"),22.78)</f>
        <v>22.78</v>
      </c>
      <c r="Q1648" s="9">
        <f>IFERROR(__xludf.DUMMYFUNCTION("IFERROR(GOOGLEFINANCE(A1648, ""volume"") / GOOGLEFINANCE(A1648, ""volumeavg""), 0)"),0.0)</f>
        <v>0</v>
      </c>
      <c r="R1648" s="9">
        <f>IFERROR(__xludf.DUMMYFUNCTION("AVERAGE(INDEX(GOOGLEFINANCE(A1648, ""price"", TODAY()-30, TODAY()), 0, 2))"),1023.1152173913044)</f>
        <v>1023.115217</v>
      </c>
      <c r="S1648" s="9">
        <f>IFERROR(__xludf.DUMMYFUNCTION("AVERAGE(INDEX(GOOGLEFINANCE(A1648, ""price"", TODAY()-75, TODAY()), 0, 2))"),1019.7566037735847)</f>
        <v>1019.756604</v>
      </c>
      <c r="T1648" s="9">
        <f>IFERROR(__xludf.DUMMYFUNCTION("AVERAGE(INDEX(GOOGLEFINANCE(A1648, ""price"", TODAY()-300, TODAY()), 0, 2))"),1120.3571782178224)</f>
        <v>1120.357178</v>
      </c>
      <c r="U1648" s="9">
        <f t="shared" si="5"/>
        <v>-0.0450733374</v>
      </c>
      <c r="V1648" s="15">
        <f>IFERROR(__xludf.DUMMYFUNCTION("LET(hist, GOOGLEFINANCE(A1648,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rs))))))"),46.31483166515013)</f>
        <v>46.31483167</v>
      </c>
      <c r="W1648" s="16" t="str">
        <f>IFERROR(__xludf.DUMMYFUNCTION("IFERROR(GOOGLEFINANCE(A1648, ""volume"") / GOOGLEFINANCE(A1648, ""volumeavg""), )"),"")</f>
        <v/>
      </c>
      <c r="X1648" s="9">
        <f>IFERROR(__xludf.DUMMYFUNCTION("B1648 * GOOGLEFINANCE(A1648, ""volume"")"),1262284.0)</f>
        <v>1262284</v>
      </c>
      <c r="Y1648" s="9">
        <f>IFERROR(__xludf.DUMMYFUNCTION("IFERROR(((B1648 - GOOGLEFINANCE(A1648, ""priceopen"")) / GOOGLEFINANCE(A1648, ""priceopen"")) * GOOGLEFINANCE(A1648, ""volume""), 0)"),-23.75524967346523)</f>
        <v>-23.75524967</v>
      </c>
    </row>
    <row r="1649">
      <c r="A1649" s="4" t="s">
        <v>3441</v>
      </c>
      <c r="B1649" s="7">
        <f>IFERROR(__xludf.DUMMYFUNCTION("GOOGLEFINANCE(A1649, ""price"")"),24.29)</f>
        <v>24.29</v>
      </c>
      <c r="C1649" s="7">
        <f>IFERROR(__xludf.DUMMYFUNCTION("GOOGLEFINANCE(A1649, ""changepct"")"),-0.41)</f>
        <v>-0.41</v>
      </c>
      <c r="D1649" s="9">
        <f>IFERROR(__xludf.DUMMYFUNCTION("GOOGLEFINANCE(A1649, ""priceopen"")"),23.81)</f>
        <v>23.81</v>
      </c>
      <c r="E1649" s="9">
        <f>IFERROR(__xludf.DUMMYFUNCTION("GOOGLEFINANCE(A1649, ""high"")"),25.2)</f>
        <v>25.2</v>
      </c>
      <c r="F1649" s="9">
        <f>IFERROR(__xludf.DUMMYFUNCTION("GOOGLEFINANCE(A1649, ""low"")"),23.81)</f>
        <v>23.81</v>
      </c>
      <c r="G1649" s="9">
        <f>IFERROR(__xludf.DUMMYFUNCTION("GOOGLEFINANCE(A1649, ""price"")"),24.29)</f>
        <v>24.29</v>
      </c>
      <c r="H1649" s="9">
        <f>IFERROR(__xludf.DUMMYFUNCTION("MAX(INDEX(GOOGLEFINANCE(A1649, ""high"", TODAY()-30, TODAY()), 0, 2))"),26.28)</f>
        <v>26.28</v>
      </c>
      <c r="I1649" s="9">
        <f>IFERROR(__xludf.DUMMYFUNCTION("MIN(INDEX(GOOGLEFINANCE(A1649, ""low"", TODAY()-30, TODAY()), 0, 2))"),21.96)</f>
        <v>21.96</v>
      </c>
      <c r="J1649" s="9">
        <f>IFERROR(__xludf.DUMMYFUNCTION("GOOGLEFINANCE(A1649, ""high52"")"),28.99)</f>
        <v>28.99</v>
      </c>
      <c r="K1649" s="9">
        <f>IFERROR(__xludf.DUMMYFUNCTION("GOOGLEFINANCE(A1649, ""low52"")"),16.1)</f>
        <v>16.1</v>
      </c>
      <c r="L1649" s="9">
        <f t="shared" si="1"/>
        <v>0.1621248706</v>
      </c>
      <c r="M1649" s="9">
        <f t="shared" si="2"/>
        <v>0.5086956522</v>
      </c>
      <c r="N1649" s="9">
        <f t="shared" si="3"/>
        <v>0.05837883242</v>
      </c>
      <c r="O1649" s="9">
        <f t="shared" si="4"/>
        <v>0.5393518519</v>
      </c>
      <c r="P1649" s="9">
        <f>IFERROR(__xludf.DUMMYFUNCTION("GOOGLEFINANCE(A1649, ""pe"")"),38.56)</f>
        <v>38.56</v>
      </c>
      <c r="Q1649" s="9">
        <f>IFERROR(__xludf.DUMMYFUNCTION("IFERROR(GOOGLEFINANCE(A1649, ""volume"") / GOOGLEFINANCE(A1649, ""volumeavg""), 0)"),0.0)</f>
        <v>0</v>
      </c>
      <c r="R1649" s="9">
        <f>IFERROR(__xludf.DUMMYFUNCTION("AVERAGE(INDEX(GOOGLEFINANCE(A1649, ""price"", TODAY()-30, TODAY()), 0, 2))"),23.601739130434783)</f>
        <v>23.60173913</v>
      </c>
      <c r="S1649" s="9">
        <f>IFERROR(__xludf.DUMMYFUNCTION("AVERAGE(INDEX(GOOGLEFINANCE(A1649, ""price"", TODAY()-75, TODAY()), 0, 2))"),23.850943396226416)</f>
        <v>23.8509434</v>
      </c>
      <c r="T1649" s="9">
        <f>IFERROR(__xludf.DUMMYFUNCTION("AVERAGE(INDEX(GOOGLEFINANCE(A1649, ""price"", TODAY()-300, TODAY()), 0, 2))"),22.577722772277223)</f>
        <v>22.57772277</v>
      </c>
      <c r="U1649" s="9">
        <f t="shared" si="5"/>
        <v>0.0291614472</v>
      </c>
      <c r="V1649" s="15">
        <f>IFERROR(__xludf.DUMMYFUNCTION("LET(hist, GOOGLEFINANCE(A1649,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rs))))))"),67.50902527075813)</f>
        <v>67.50902527</v>
      </c>
      <c r="W1649" s="16" t="str">
        <f>IFERROR(__xludf.DUMMYFUNCTION("IFERROR(GOOGLEFINANCE(A1649, ""volume"") / GOOGLEFINANCE(A1649, ""volumeavg""), )"),"")</f>
        <v/>
      </c>
      <c r="X1649" s="9">
        <f>IFERROR(__xludf.DUMMYFUNCTION("B1649 * GOOGLEFINANCE(A1649, ""volume"")"),4745245.82)</f>
        <v>4745245.82</v>
      </c>
      <c r="Y1649" s="9">
        <f>IFERROR(__xludf.DUMMYFUNCTION("IFERROR(((B1649 - GOOGLEFINANCE(A1649, ""priceopen"")) / GOOGLEFINANCE(A1649, ""priceopen"")) * GOOGLEFINANCE(A1649, ""volume""), 0)"),3938.338513229739)</f>
        <v>3938.338513</v>
      </c>
    </row>
    <row r="1650">
      <c r="A1650" s="4" t="s">
        <v>3442</v>
      </c>
      <c r="B1650" s="7">
        <f>IFERROR(__xludf.DUMMYFUNCTION("GOOGLEFINANCE(A1650, ""price"")"),294.27)</f>
        <v>294.27</v>
      </c>
      <c r="C1650" s="7">
        <f>IFERROR(__xludf.DUMMYFUNCTION("GOOGLEFINANCE(A1650, ""changepct"")"),5.0)</f>
        <v>5</v>
      </c>
      <c r="D1650" s="9">
        <f>IFERROR(__xludf.DUMMYFUNCTION("GOOGLEFINANCE(A1650, ""priceopen"")"),280.26)</f>
        <v>280.26</v>
      </c>
      <c r="E1650" s="9">
        <f>IFERROR(__xludf.DUMMYFUNCTION("GOOGLEFINANCE(A1650, ""high"")"),294.27)</f>
        <v>294.27</v>
      </c>
      <c r="F1650" s="9">
        <f>IFERROR(__xludf.DUMMYFUNCTION("GOOGLEFINANCE(A1650, ""low"")"),280.26)</f>
        <v>280.26</v>
      </c>
      <c r="G1650" s="9">
        <f>IFERROR(__xludf.DUMMYFUNCTION("GOOGLEFINANCE(A1650, ""price"")"),294.27)</f>
        <v>294.27</v>
      </c>
      <c r="H1650" s="9">
        <f>IFERROR(__xludf.DUMMYFUNCTION("MAX(INDEX(GOOGLEFINANCE(A1650, ""high"", TODAY()-30, TODAY()), 0, 2))"),294.27)</f>
        <v>294.27</v>
      </c>
      <c r="I1650" s="9">
        <f>IFERROR(__xludf.DUMMYFUNCTION("MIN(INDEX(GOOGLEFINANCE(A1650, ""low"", TODAY()-30, TODAY()), 0, 2))"),177.0)</f>
        <v>177</v>
      </c>
      <c r="J1650" s="9">
        <f>IFERROR(__xludf.DUMMYFUNCTION("GOOGLEFINANCE(A1650, ""high52"")"),294.27)</f>
        <v>294.27</v>
      </c>
      <c r="K1650" s="9">
        <f>IFERROR(__xludf.DUMMYFUNCTION("GOOGLEFINANCE(A1650, ""low52"")"),104.0)</f>
        <v>104</v>
      </c>
      <c r="L1650" s="9">
        <f t="shared" si="1"/>
        <v>0</v>
      </c>
      <c r="M1650" s="9">
        <f t="shared" si="2"/>
        <v>1.829519231</v>
      </c>
      <c r="N1650" s="9">
        <f t="shared" si="3"/>
        <v>0.04998929565</v>
      </c>
      <c r="O1650" s="9">
        <f t="shared" si="4"/>
        <v>1</v>
      </c>
      <c r="P1650" s="9">
        <f>IFERROR(__xludf.DUMMYFUNCTION("GOOGLEFINANCE(A1650, ""pe"")"),19.07)</f>
        <v>19.07</v>
      </c>
      <c r="Q1650" s="9">
        <f>IFERROR(__xludf.DUMMYFUNCTION("IFERROR(GOOGLEFINANCE(A1650, ""volume"") / GOOGLEFINANCE(A1650, ""volumeavg""), 0)"),0.0)</f>
        <v>0</v>
      </c>
      <c r="R1650" s="9">
        <f>IFERROR(__xludf.DUMMYFUNCTION("AVERAGE(INDEX(GOOGLEFINANCE(A1650, ""price"", TODAY()-30, TODAY()), 0, 2))"),213.2591304347826)</f>
        <v>213.2591304</v>
      </c>
      <c r="S1650" s="9">
        <f>IFERROR(__xludf.DUMMYFUNCTION("AVERAGE(INDEX(GOOGLEFINANCE(A1650, ""price"", TODAY()-75, TODAY()), 0, 2))"),208.13037735849056)</f>
        <v>208.1303774</v>
      </c>
      <c r="T1650" s="9">
        <f>IFERROR(__xludf.DUMMYFUNCTION("AVERAGE(INDEX(GOOGLEFINANCE(A1650, ""price"", TODAY()-300, TODAY()), 0, 2))"),160.47237623762368)</f>
        <v>160.4723762</v>
      </c>
      <c r="U1650" s="9">
        <f t="shared" si="5"/>
        <v>0.37987058</v>
      </c>
      <c r="V1650" s="15">
        <f>IFERROR(__xludf.DUMMYFUNCTION("LET(hist, GOOGLEFINANCE(A1650,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rs))))))"),91.29136813374276)</f>
        <v>91.29136813</v>
      </c>
      <c r="W1650" s="16" t="str">
        <f>IFERROR(__xludf.DUMMYFUNCTION("IFERROR(GOOGLEFINANCE(A1650, ""volume"") / GOOGLEFINANCE(A1650, ""volumeavg""), )"),"")</f>
        <v/>
      </c>
      <c r="X1650" s="9">
        <f>IFERROR(__xludf.DUMMYFUNCTION("B1650 * GOOGLEFINANCE(A1650, ""volume"")"),8.549750007E7)</f>
        <v>85497500.07</v>
      </c>
      <c r="Y1650" s="9">
        <f>IFERROR(__xludf.DUMMYFUNCTION("IFERROR(((B1650 - GOOGLEFINANCE(A1650, ""priceopen"")) / GOOGLEFINANCE(A1650, ""priceopen"")) * GOOGLEFINANCE(A1650, ""volume""), 0)"),14523.93994861913)</f>
        <v>14523.93995</v>
      </c>
    </row>
    <row r="1651">
      <c r="A1651" s="4" t="s">
        <v>3443</v>
      </c>
      <c r="B1651" s="7">
        <f>IFERROR(__xludf.DUMMYFUNCTION("GOOGLEFINANCE(A1651, ""price"")"),274.83)</f>
        <v>274.83</v>
      </c>
      <c r="C1651" s="7">
        <f>IFERROR(__xludf.DUMMYFUNCTION("GOOGLEFINANCE(A1651, ""changepct"")"),5.0)</f>
        <v>5</v>
      </c>
      <c r="D1651" s="9">
        <f>IFERROR(__xludf.DUMMYFUNCTION("GOOGLEFINANCE(A1651, ""priceopen"")"),259.0)</f>
        <v>259</v>
      </c>
      <c r="E1651" s="9">
        <f>IFERROR(__xludf.DUMMYFUNCTION("GOOGLEFINANCE(A1651, ""high"")"),274.83)</f>
        <v>274.83</v>
      </c>
      <c r="F1651" s="9">
        <f>IFERROR(__xludf.DUMMYFUNCTION("GOOGLEFINANCE(A1651, ""low"")"),253.0)</f>
        <v>253</v>
      </c>
      <c r="G1651" s="9">
        <f>IFERROR(__xludf.DUMMYFUNCTION("GOOGLEFINANCE(A1651, ""price"")"),274.83)</f>
        <v>274.83</v>
      </c>
      <c r="H1651" s="9">
        <f>IFERROR(__xludf.DUMMYFUNCTION("MAX(INDEX(GOOGLEFINANCE(A1651, ""high"", TODAY()-30, TODAY()), 0, 2))"),279.8)</f>
        <v>279.8</v>
      </c>
      <c r="I1651" s="9">
        <f>IFERROR(__xludf.DUMMYFUNCTION("MIN(INDEX(GOOGLEFINANCE(A1651, ""low"", TODAY()-30, TODAY()), 0, 2))"),216.4)</f>
        <v>216.4</v>
      </c>
      <c r="J1651" s="9">
        <f>IFERROR(__xludf.DUMMYFUNCTION("GOOGLEFINANCE(A1651, ""high52"")"),279.8)</f>
        <v>279.8</v>
      </c>
      <c r="K1651" s="9">
        <f>IFERROR(__xludf.DUMMYFUNCTION("GOOGLEFINANCE(A1651, ""low52"")"),104.85)</f>
        <v>104.85</v>
      </c>
      <c r="L1651" s="9">
        <f t="shared" si="1"/>
        <v>0.01776268763</v>
      </c>
      <c r="M1651" s="9">
        <f t="shared" si="2"/>
        <v>1.621173104</v>
      </c>
      <c r="N1651" s="9">
        <f t="shared" si="3"/>
        <v>0.08628458498</v>
      </c>
      <c r="O1651" s="9">
        <f t="shared" si="4"/>
        <v>0.9216088328</v>
      </c>
      <c r="P1651" s="9">
        <f>IFERROR(__xludf.DUMMYFUNCTION("GOOGLEFINANCE(A1651, ""pe"")"),21.14)</f>
        <v>21.14</v>
      </c>
      <c r="Q1651" s="9">
        <f>IFERROR(__xludf.DUMMYFUNCTION("IFERROR(GOOGLEFINANCE(A1651, ""volume"") / GOOGLEFINANCE(A1651, ""volumeavg""), 0)"),0.0)</f>
        <v>0</v>
      </c>
      <c r="R1651" s="9">
        <f>IFERROR(__xludf.DUMMYFUNCTION("AVERAGE(INDEX(GOOGLEFINANCE(A1651, ""price"", TODAY()-30, TODAY()), 0, 2))"),244.38826086956524)</f>
        <v>244.3882609</v>
      </c>
      <c r="S1651" s="9">
        <f>IFERROR(__xludf.DUMMYFUNCTION("AVERAGE(INDEX(GOOGLEFINANCE(A1651, ""price"", TODAY()-75, TODAY()), 0, 2))"),221.049245283019)</f>
        <v>221.0492453</v>
      </c>
      <c r="T1651" s="9">
        <f>IFERROR(__xludf.DUMMYFUNCTION("AVERAGE(INDEX(GOOGLEFINANCE(A1651, ""price"", TODAY()-300, TODAY()), 0, 2))"),170.9341089108911)</f>
        <v>170.9341089</v>
      </c>
      <c r="U1651" s="9">
        <f t="shared" si="5"/>
        <v>0.1245630172</v>
      </c>
      <c r="V1651" s="15">
        <f>IFERROR(__xludf.DUMMYFUNCTION("LET(hist, GOOGLEFINANCE(A1651,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rs))))))"),65.2110133152787)</f>
        <v>65.21101332</v>
      </c>
      <c r="W1651" s="16" t="str">
        <f>IFERROR(__xludf.DUMMYFUNCTION("IFERROR(GOOGLEFINANCE(A1651, ""volume"") / GOOGLEFINANCE(A1651, ""volumeavg""), )"),"")</f>
        <v/>
      </c>
      <c r="X1651" s="9">
        <f>IFERROR(__xludf.DUMMYFUNCTION("B1651 * GOOGLEFINANCE(A1651, ""volume"")"),1.712080968E7)</f>
        <v>17120809.68</v>
      </c>
      <c r="Y1651" s="9">
        <f>IFERROR(__xludf.DUMMYFUNCTION("IFERROR(((B1651 - GOOGLEFINANCE(A1651, ""priceopen"")) / GOOGLEFINANCE(A1651, ""priceopen"")) * GOOGLEFINANCE(A1651, ""volume""), 0)"),3807.5122779922744)</f>
        <v>3807.512278</v>
      </c>
    </row>
    <row r="1652">
      <c r="A1652" s="4" t="s">
        <v>3444</v>
      </c>
      <c r="B1652" s="7">
        <f>IFERROR(__xludf.DUMMYFUNCTION("GOOGLEFINANCE(A1652, ""price"")"),24.72)</f>
        <v>24.72</v>
      </c>
      <c r="C1652" s="7">
        <f>IFERROR(__xludf.DUMMYFUNCTION("GOOGLEFINANCE(A1652, ""changepct"")"),0.57)</f>
        <v>0.57</v>
      </c>
      <c r="D1652" s="9">
        <f>IFERROR(__xludf.DUMMYFUNCTION("GOOGLEFINANCE(A1652, ""priceopen"")"),26.0)</f>
        <v>26</v>
      </c>
      <c r="E1652" s="9">
        <f>IFERROR(__xludf.DUMMYFUNCTION("GOOGLEFINANCE(A1652, ""high"")"),26.0)</f>
        <v>26</v>
      </c>
      <c r="F1652" s="9">
        <f>IFERROR(__xludf.DUMMYFUNCTION("GOOGLEFINANCE(A1652, ""low"")"),24.32)</f>
        <v>24.32</v>
      </c>
      <c r="G1652" s="9">
        <f>IFERROR(__xludf.DUMMYFUNCTION("GOOGLEFINANCE(A1652, ""price"")"),24.72)</f>
        <v>24.72</v>
      </c>
      <c r="H1652" s="9">
        <f>IFERROR(__xludf.DUMMYFUNCTION("MAX(INDEX(GOOGLEFINANCE(A1652, ""high"", TODAY()-30, TODAY()), 0, 2))"),26.3)</f>
        <v>26.3</v>
      </c>
      <c r="I1652" s="9">
        <f>IFERROR(__xludf.DUMMYFUNCTION("MIN(INDEX(GOOGLEFINANCE(A1652, ""low"", TODAY()-30, TODAY()), 0, 2))"),22.18)</f>
        <v>22.18</v>
      </c>
      <c r="J1652" s="9">
        <f>IFERROR(__xludf.DUMMYFUNCTION("GOOGLEFINANCE(A1652, ""high52"")"),37.97)</f>
        <v>37.97</v>
      </c>
      <c r="K1652" s="9">
        <f>IFERROR(__xludf.DUMMYFUNCTION("GOOGLEFINANCE(A1652, ""low52"")"),18.2)</f>
        <v>18.2</v>
      </c>
      <c r="L1652" s="9">
        <f t="shared" si="1"/>
        <v>0.348959705</v>
      </c>
      <c r="M1652" s="9">
        <f t="shared" si="2"/>
        <v>0.3582417582</v>
      </c>
      <c r="N1652" s="9">
        <f t="shared" si="3"/>
        <v>0.06907894737</v>
      </c>
      <c r="O1652" s="9">
        <f t="shared" si="4"/>
        <v>0.6165048544</v>
      </c>
      <c r="P1652" s="9">
        <f>IFERROR(__xludf.DUMMYFUNCTION("GOOGLEFINANCE(A1652, ""pe"")"),15.85)</f>
        <v>15.85</v>
      </c>
      <c r="Q1652" s="9">
        <f>IFERROR(__xludf.DUMMYFUNCTION("IFERROR(GOOGLEFINANCE(A1652, ""volume"") / GOOGLEFINANCE(A1652, ""volumeavg""), 0)"),0.0)</f>
        <v>0</v>
      </c>
      <c r="R1652" s="9">
        <f>IFERROR(__xludf.DUMMYFUNCTION("AVERAGE(INDEX(GOOGLEFINANCE(A1652, ""price"", TODAY()-30, TODAY()), 0, 2))"),23.64695652173913)</f>
        <v>23.64695652</v>
      </c>
      <c r="S1652" s="9">
        <f>IFERROR(__xludf.DUMMYFUNCTION("AVERAGE(INDEX(GOOGLEFINANCE(A1652, ""price"", TODAY()-75, TODAY()), 0, 2))"),23.91226415094339)</f>
        <v>23.91226415</v>
      </c>
      <c r="T1652" s="9">
        <f>IFERROR(__xludf.DUMMYFUNCTION("AVERAGE(INDEX(GOOGLEFINANCE(A1652, ""price"", TODAY()-300, TODAY()), 0, 2))"),25.750990099009908)</f>
        <v>25.7509901</v>
      </c>
      <c r="U1652" s="9">
        <f t="shared" si="5"/>
        <v>0.04537765684</v>
      </c>
      <c r="V1652" s="15">
        <f>IFERROR(__xludf.DUMMYFUNCTION("LET(hist, GOOGLEFINANCE(A1652,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rs))))))"),65.81196581196579)</f>
        <v>65.81196581</v>
      </c>
      <c r="W1652" s="16" t="str">
        <f>IFERROR(__xludf.DUMMYFUNCTION("IFERROR(GOOGLEFINANCE(A1652, ""volume"") / GOOGLEFINANCE(A1652, ""volumeavg""), )"),"")</f>
        <v/>
      </c>
      <c r="X1652" s="9">
        <f>IFERROR(__xludf.DUMMYFUNCTION("B1652 * GOOGLEFINANCE(A1652, ""volume"")"),5180199.6)</f>
        <v>5180199.6</v>
      </c>
      <c r="Y1652" s="9">
        <f>IFERROR(__xludf.DUMMYFUNCTION("IFERROR(((B1652 - GOOGLEFINANCE(A1652, ""priceopen"")) / GOOGLEFINANCE(A1652, ""priceopen"")) * GOOGLEFINANCE(A1652, ""volume""), 0)"),-10316.553846153854)</f>
        <v>-10316.55385</v>
      </c>
    </row>
    <row r="1653">
      <c r="A1653" s="4" t="s">
        <v>3445</v>
      </c>
      <c r="B1653" s="7">
        <f>IFERROR(__xludf.DUMMYFUNCTION("GOOGLEFINANCE(A1653, ""price"")"),98.44)</f>
        <v>98.44</v>
      </c>
      <c r="C1653" s="7">
        <f>IFERROR(__xludf.DUMMYFUNCTION("GOOGLEFINANCE(A1653, ""changepct"")"),1.2)</f>
        <v>1.2</v>
      </c>
      <c r="D1653" s="9">
        <f>IFERROR(__xludf.DUMMYFUNCTION("GOOGLEFINANCE(A1653, ""priceopen"")"),98.66)</f>
        <v>98.66</v>
      </c>
      <c r="E1653" s="9">
        <f>IFERROR(__xludf.DUMMYFUNCTION("GOOGLEFINANCE(A1653, ""high"")"),98.89)</f>
        <v>98.89</v>
      </c>
      <c r="F1653" s="9">
        <f>IFERROR(__xludf.DUMMYFUNCTION("GOOGLEFINANCE(A1653, ""low"")"),96.71)</f>
        <v>96.71</v>
      </c>
      <c r="G1653" s="9">
        <f>IFERROR(__xludf.DUMMYFUNCTION("GOOGLEFINANCE(A1653, ""price"")"),98.44)</f>
        <v>98.44</v>
      </c>
      <c r="H1653" s="9">
        <f>IFERROR(__xludf.DUMMYFUNCTION("MAX(INDEX(GOOGLEFINANCE(A1653, ""high"", TODAY()-30, TODAY()), 0, 2))"),114.99)</f>
        <v>114.99</v>
      </c>
      <c r="I1653" s="9">
        <f>IFERROR(__xludf.DUMMYFUNCTION("MIN(INDEX(GOOGLEFINANCE(A1653, ""low"", TODAY()-30, TODAY()), 0, 2))"),96.11)</f>
        <v>96.11</v>
      </c>
      <c r="J1653" s="9">
        <f>IFERROR(__xludf.DUMMYFUNCTION("GOOGLEFINANCE(A1653, ""high52"")"),139.6)</f>
        <v>139.6</v>
      </c>
      <c r="K1653" s="9">
        <f>IFERROR(__xludf.DUMMYFUNCTION("GOOGLEFINANCE(A1653, ""low52"")"),85.01)</f>
        <v>85.01</v>
      </c>
      <c r="L1653" s="9">
        <f t="shared" si="1"/>
        <v>0.2948424069</v>
      </c>
      <c r="M1653" s="9">
        <f t="shared" si="2"/>
        <v>0.157981414</v>
      </c>
      <c r="N1653" s="9">
        <f t="shared" si="3"/>
        <v>0.02254161927</v>
      </c>
      <c r="O1653" s="9">
        <f t="shared" si="4"/>
        <v>0.1234110169</v>
      </c>
      <c r="P1653" s="9">
        <f>IFERROR(__xludf.DUMMYFUNCTION("GOOGLEFINANCE(A1653, ""pe"")"),18.54)</f>
        <v>18.54</v>
      </c>
      <c r="Q1653" s="9">
        <f>IFERROR(__xludf.DUMMYFUNCTION("IFERROR(GOOGLEFINANCE(A1653, ""volume"") / GOOGLEFINANCE(A1653, ""volumeavg""), 0)"),0.0)</f>
        <v>0</v>
      </c>
      <c r="R1653" s="9">
        <f>IFERROR(__xludf.DUMMYFUNCTION("AVERAGE(INDEX(GOOGLEFINANCE(A1653, ""price"", TODAY()-30, TODAY()), 0, 2))"),103.59695652173914)</f>
        <v>103.5969565</v>
      </c>
      <c r="S1653" s="9">
        <f>IFERROR(__xludf.DUMMYFUNCTION("AVERAGE(INDEX(GOOGLEFINANCE(A1653, ""price"", TODAY()-75, TODAY()), 0, 2))"),104.43622641509437)</f>
        <v>104.4362264</v>
      </c>
      <c r="T1653" s="9">
        <f>IFERROR(__xludf.DUMMYFUNCTION("AVERAGE(INDEX(GOOGLEFINANCE(A1653, ""price"", TODAY()-300, TODAY()), 0, 2))"),108.50430693069303)</f>
        <v>108.5043069</v>
      </c>
      <c r="U1653" s="9">
        <f t="shared" si="5"/>
        <v>-0.04977903497</v>
      </c>
      <c r="V1653" s="15">
        <f>IFERROR(__xludf.DUMMYFUNCTION("LET(hist, GOOGLEFINANCE(A1653,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rs))))))"),32.731063238359994)</f>
        <v>32.73106324</v>
      </c>
      <c r="W1653" s="16" t="str">
        <f>IFERROR(__xludf.DUMMYFUNCTION("IFERROR(GOOGLEFINANCE(A1653, ""volume"") / GOOGLEFINANCE(A1653, ""volumeavg""), )"),"")</f>
        <v/>
      </c>
      <c r="X1653" s="9">
        <f>IFERROR(__xludf.DUMMYFUNCTION("B1653 * GOOGLEFINANCE(A1653, ""volume"")"),1915543.96)</f>
        <v>1915543.96</v>
      </c>
      <c r="Y1653" s="9">
        <f>IFERROR(__xludf.DUMMYFUNCTION("IFERROR(((B1653 - GOOGLEFINANCE(A1653, ""priceopen"")) / GOOGLEFINANCE(A1653, ""priceopen"")) * GOOGLEFINANCE(A1653, ""volume""), 0)"),-43.391242651530284)</f>
        <v>-43.39124265</v>
      </c>
    </row>
    <row r="1654">
      <c r="A1654" s="4" t="s">
        <v>3446</v>
      </c>
      <c r="B1654" s="7">
        <f>IFERROR(__xludf.DUMMYFUNCTION("GOOGLEFINANCE(A1654, ""price"")"),108.99)</f>
        <v>108.99</v>
      </c>
      <c r="C1654" s="7">
        <f>IFERROR(__xludf.DUMMYFUNCTION("GOOGLEFINANCE(A1654, ""changepct"")"),-1.39)</f>
        <v>-1.39</v>
      </c>
      <c r="D1654" s="9">
        <f>IFERROR(__xludf.DUMMYFUNCTION("GOOGLEFINANCE(A1654, ""priceopen"")"),108.34)</f>
        <v>108.34</v>
      </c>
      <c r="E1654" s="9">
        <f>IFERROR(__xludf.DUMMYFUNCTION("GOOGLEFINANCE(A1654, ""high"")"),111.5)</f>
        <v>111.5</v>
      </c>
      <c r="F1654" s="9">
        <f>IFERROR(__xludf.DUMMYFUNCTION("GOOGLEFINANCE(A1654, ""low"")"),106.51)</f>
        <v>106.51</v>
      </c>
      <c r="G1654" s="9">
        <f>IFERROR(__xludf.DUMMYFUNCTION("GOOGLEFINANCE(A1654, ""price"")"),108.99)</f>
        <v>108.99</v>
      </c>
      <c r="H1654" s="9">
        <f>IFERROR(__xludf.DUMMYFUNCTION("MAX(INDEX(GOOGLEFINANCE(A1654, ""high"", TODAY()-30, TODAY()), 0, 2))"),125.42)</f>
        <v>125.42</v>
      </c>
      <c r="I1654" s="9">
        <f>IFERROR(__xludf.DUMMYFUNCTION("MIN(INDEX(GOOGLEFINANCE(A1654, ""low"", TODAY()-30, TODAY()), 0, 2))"),106.1)</f>
        <v>106.1</v>
      </c>
      <c r="J1654" s="9">
        <f>IFERROR(__xludf.DUMMYFUNCTION("GOOGLEFINANCE(A1654, ""high52"")"),133.9)</f>
        <v>133.9</v>
      </c>
      <c r="K1654" s="9">
        <f>IFERROR(__xludf.DUMMYFUNCTION("GOOGLEFINANCE(A1654, ""low52"")"),59.31)</f>
        <v>59.31</v>
      </c>
      <c r="L1654" s="9">
        <f t="shared" si="1"/>
        <v>0.186034354</v>
      </c>
      <c r="M1654" s="9">
        <f t="shared" si="2"/>
        <v>0.8376327769</v>
      </c>
      <c r="N1654" s="9">
        <f t="shared" si="3"/>
        <v>0.04685006103</v>
      </c>
      <c r="O1654" s="9">
        <f t="shared" si="4"/>
        <v>0.1495859213</v>
      </c>
      <c r="P1654" s="9">
        <f>IFERROR(__xludf.DUMMYFUNCTION("GOOGLEFINANCE(A1654, ""pe"")"),177.76)</f>
        <v>177.76</v>
      </c>
      <c r="Q1654" s="9">
        <f>IFERROR(__xludf.DUMMYFUNCTION("IFERROR(GOOGLEFINANCE(A1654, ""volume"") / GOOGLEFINANCE(A1654, ""volumeavg""), 0)"),0.0)</f>
        <v>0</v>
      </c>
      <c r="R1654" s="9">
        <f>IFERROR(__xludf.DUMMYFUNCTION("AVERAGE(INDEX(GOOGLEFINANCE(A1654, ""price"", TODAY()-30, TODAY()), 0, 2))"),115.51739130434785)</f>
        <v>115.5173913</v>
      </c>
      <c r="S1654" s="9">
        <f>IFERROR(__xludf.DUMMYFUNCTION("AVERAGE(INDEX(GOOGLEFINANCE(A1654, ""price"", TODAY()-75, TODAY()), 0, 2))"),115.37132075471695)</f>
        <v>115.3713208</v>
      </c>
      <c r="T1654" s="9">
        <f>IFERROR(__xludf.DUMMYFUNCTION("AVERAGE(INDEX(GOOGLEFINANCE(A1654, ""price"", TODAY()-300, TODAY()), 0, 2))"),85.8527722772277)</f>
        <v>85.85277228</v>
      </c>
      <c r="U1654" s="9">
        <f t="shared" si="5"/>
        <v>-0.05650570213</v>
      </c>
      <c r="V1654" s="15">
        <f>IFERROR(__xludf.DUMMYFUNCTION("LET(hist, GOOGLEFINANCE(A1654,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rs))))))"),31.316239316239333)</f>
        <v>31.31623932</v>
      </c>
      <c r="W1654" s="16" t="str">
        <f>IFERROR(__xludf.DUMMYFUNCTION("IFERROR(GOOGLEFINANCE(A1654, ""volume"") / GOOGLEFINANCE(A1654, ""volumeavg""), )"),"")</f>
        <v/>
      </c>
      <c r="X1654" s="9">
        <f>IFERROR(__xludf.DUMMYFUNCTION("B1654 * GOOGLEFINANCE(A1654, ""volume"")"),4104890.3699999996)</f>
        <v>4104890.37</v>
      </c>
      <c r="Y1654" s="9">
        <f>IFERROR(__xludf.DUMMYFUNCTION("IFERROR(((B1654 - GOOGLEFINANCE(A1654, ""priceopen"")) / GOOGLEFINANCE(A1654, ""priceopen"")) * GOOGLEFINANCE(A1654, ""volume""), 0)"),225.9640945172575)</f>
        <v>225.9640945</v>
      </c>
    </row>
    <row r="1655">
      <c r="A1655" s="4" t="s">
        <v>3447</v>
      </c>
      <c r="B1655" s="7">
        <f>IFERROR(__xludf.DUMMYFUNCTION("GOOGLEFINANCE(A1655, ""price"")"),672.0)</f>
        <v>672</v>
      </c>
      <c r="C1655" s="7">
        <f>IFERROR(__xludf.DUMMYFUNCTION("GOOGLEFINANCE(A1655, ""changepct"")"),1.57)</f>
        <v>1.57</v>
      </c>
      <c r="D1655" s="9">
        <f>IFERROR(__xludf.DUMMYFUNCTION("GOOGLEFINANCE(A1655, ""priceopen"")"),665.6)</f>
        <v>665.6</v>
      </c>
      <c r="E1655" s="9">
        <f>IFERROR(__xludf.DUMMYFUNCTION("GOOGLEFINANCE(A1655, ""high"")"),672.0)</f>
        <v>672</v>
      </c>
      <c r="F1655" s="9">
        <f>IFERROR(__xludf.DUMMYFUNCTION("GOOGLEFINANCE(A1655, ""low"")"),650.05)</f>
        <v>650.05</v>
      </c>
      <c r="G1655" s="9">
        <f>IFERROR(__xludf.DUMMYFUNCTION("GOOGLEFINANCE(A1655, ""price"")"),672.0)</f>
        <v>672</v>
      </c>
      <c r="H1655" s="9">
        <f>IFERROR(__xludf.DUMMYFUNCTION("MAX(INDEX(GOOGLEFINANCE(A1655, ""high"", TODAY()-30, TODAY()), 0, 2))"),798.9)</f>
        <v>798.9</v>
      </c>
      <c r="I1655" s="9">
        <f>IFERROR(__xludf.DUMMYFUNCTION("MIN(INDEX(GOOGLEFINANCE(A1655, ""low"", TODAY()-30, TODAY()), 0, 2))"),650.05)</f>
        <v>650.05</v>
      </c>
      <c r="J1655" s="9">
        <f>IFERROR(__xludf.DUMMYFUNCTION("GOOGLEFINANCE(A1655, ""high52"")"),894.98)</f>
        <v>894.98</v>
      </c>
      <c r="K1655" s="9">
        <f>IFERROR(__xludf.DUMMYFUNCTION("GOOGLEFINANCE(A1655, ""low52"")"),620.65)</f>
        <v>620.65</v>
      </c>
      <c r="L1655" s="9">
        <f t="shared" si="1"/>
        <v>0.2491452323</v>
      </c>
      <c r="M1655" s="9">
        <f t="shared" si="2"/>
        <v>0.08273584146</v>
      </c>
      <c r="N1655" s="9">
        <f t="shared" si="3"/>
        <v>0.03376663334</v>
      </c>
      <c r="O1655" s="9">
        <f t="shared" si="4"/>
        <v>0.1474638898</v>
      </c>
      <c r="P1655" s="9">
        <f>IFERROR(__xludf.DUMMYFUNCTION("GOOGLEFINANCE(A1655, ""pe"")"),30.82)</f>
        <v>30.82</v>
      </c>
      <c r="Q1655" s="9">
        <f>IFERROR(__xludf.DUMMYFUNCTION("IFERROR(GOOGLEFINANCE(A1655, ""volume"") / GOOGLEFINANCE(A1655, ""volumeavg""), 0)"),0.0)</f>
        <v>0</v>
      </c>
      <c r="R1655" s="9">
        <f>IFERROR(__xludf.DUMMYFUNCTION("AVERAGE(INDEX(GOOGLEFINANCE(A1655, ""price"", TODAY()-30, TODAY()), 0, 2))"),672.1891304347826)</f>
        <v>672.1891304</v>
      </c>
      <c r="S1655" s="9">
        <f>IFERROR(__xludf.DUMMYFUNCTION("AVERAGE(INDEX(GOOGLEFINANCE(A1655, ""price"", TODAY()-75, TODAY()), 0, 2))"),675.6349056603776)</f>
        <v>675.6349057</v>
      </c>
      <c r="T1655" s="9">
        <f>IFERROR(__xludf.DUMMYFUNCTION("AVERAGE(INDEX(GOOGLEFINANCE(A1655, ""price"", TODAY()-300, TODAY()), 0, 2))"),707.0278481012657)</f>
        <v>707.0278481</v>
      </c>
      <c r="U1655" s="9">
        <f t="shared" si="5"/>
        <v>-0.0002813649109</v>
      </c>
      <c r="V1655" s="15">
        <f>IFERROR(__xludf.DUMMYFUNCTION("LET(hist, GOOGLEFINANCE(A1655,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rs))))))"),50.5317053958251)</f>
        <v>50.5317054</v>
      </c>
      <c r="W1655" s="16" t="str">
        <f>IFERROR(__xludf.DUMMYFUNCTION("IFERROR(GOOGLEFINANCE(A1655, ""volume"") / GOOGLEFINANCE(A1655, ""volumeavg""), )"),"")</f>
        <v/>
      </c>
      <c r="X1655" s="9">
        <f>IFERROR(__xludf.DUMMYFUNCTION("B1655 * GOOGLEFINANCE(A1655, ""volume"")"),2294880.0)</f>
        <v>2294880</v>
      </c>
      <c r="Y1655" s="9">
        <f>IFERROR(__xludf.DUMMYFUNCTION("IFERROR(((B1655 - GOOGLEFINANCE(A1655, ""priceopen"")) / GOOGLEFINANCE(A1655, ""priceopen"")) * GOOGLEFINANCE(A1655, ""volume""), 0)"),32.836538461538346)</f>
        <v>32.83653846</v>
      </c>
    </row>
    <row r="1656">
      <c r="A1656" s="4" t="s">
        <v>3448</v>
      </c>
      <c r="B1656" s="7">
        <f>IFERROR(__xludf.DUMMYFUNCTION("GOOGLEFINANCE(A1656, ""price"")"),448.3)</f>
        <v>448.3</v>
      </c>
      <c r="C1656" s="7">
        <f>IFERROR(__xludf.DUMMYFUNCTION("GOOGLEFINANCE(A1656, ""changepct"")"),5.43)</f>
        <v>5.43</v>
      </c>
      <c r="D1656" s="9">
        <f>IFERROR(__xludf.DUMMYFUNCTION("GOOGLEFINANCE(A1656, ""priceopen"")"),450.0)</f>
        <v>450</v>
      </c>
      <c r="E1656" s="9">
        <f>IFERROR(__xludf.DUMMYFUNCTION("GOOGLEFINANCE(A1656, ""high"")"),455.0)</f>
        <v>455</v>
      </c>
      <c r="F1656" s="9">
        <f>IFERROR(__xludf.DUMMYFUNCTION("GOOGLEFINANCE(A1656, ""low"")"),426.1)</f>
        <v>426.1</v>
      </c>
      <c r="G1656" s="9">
        <f>IFERROR(__xludf.DUMMYFUNCTION("GOOGLEFINANCE(A1656, ""price"")"),448.3)</f>
        <v>448.3</v>
      </c>
      <c r="H1656" s="9">
        <f>IFERROR(__xludf.DUMMYFUNCTION("MAX(INDEX(GOOGLEFINANCE(A1656, ""high"", TODAY()-30, TODAY()), 0, 2))"),467.5)</f>
        <v>467.5</v>
      </c>
      <c r="I1656" s="9">
        <f>IFERROR(__xludf.DUMMYFUNCTION("MIN(INDEX(GOOGLEFINANCE(A1656, ""low"", TODAY()-30, TODAY()), 0, 2))"),365.0)</f>
        <v>365</v>
      </c>
      <c r="J1656" s="9">
        <f>IFERROR(__xludf.DUMMYFUNCTION("GOOGLEFINANCE(A1656, ""high52"")"),474.0)</f>
        <v>474</v>
      </c>
      <c r="K1656" s="9">
        <f>IFERROR(__xludf.DUMMYFUNCTION("GOOGLEFINANCE(A1656, ""low52"")"),275.0)</f>
        <v>275</v>
      </c>
      <c r="L1656" s="9">
        <f t="shared" si="1"/>
        <v>0.05421940928</v>
      </c>
      <c r="M1656" s="9">
        <f t="shared" si="2"/>
        <v>0.6301818182</v>
      </c>
      <c r="N1656" s="9">
        <f t="shared" si="3"/>
        <v>0.06782445435</v>
      </c>
      <c r="O1656" s="9">
        <f t="shared" si="4"/>
        <v>0.8126829268</v>
      </c>
      <c r="P1656" s="9">
        <f>IFERROR(__xludf.DUMMYFUNCTION("GOOGLEFINANCE(A1656, ""pe"")"),84.74)</f>
        <v>84.74</v>
      </c>
      <c r="Q1656" s="9">
        <f>IFERROR(__xludf.DUMMYFUNCTION("IFERROR(GOOGLEFINANCE(A1656, ""volume"") / GOOGLEFINANCE(A1656, ""volumeavg""), 0)"),0.0)</f>
        <v>0</v>
      </c>
      <c r="R1656" s="9">
        <f>IFERROR(__xludf.DUMMYFUNCTION("AVERAGE(INDEX(GOOGLEFINANCE(A1656, ""price"", TODAY()-30, TODAY()), 0, 2))"),418.76956521739135)</f>
        <v>418.7695652</v>
      </c>
      <c r="S1656" s="9">
        <f>IFERROR(__xludf.DUMMYFUNCTION("AVERAGE(INDEX(GOOGLEFINANCE(A1656, ""price"", TODAY()-75, TODAY()), 0, 2))"),396.74099999999993)</f>
        <v>396.741</v>
      </c>
      <c r="T1656" s="9">
        <f>IFERROR(__xludf.DUMMYFUNCTION("AVERAGE(INDEX(GOOGLEFINANCE(A1656, ""price"", TODAY()-300, TODAY()), 0, 2))"),336.8166666666668)</f>
        <v>336.8166667</v>
      </c>
      <c r="U1656" s="9">
        <f t="shared" si="5"/>
        <v>0.07051714651</v>
      </c>
      <c r="V1656" s="15">
        <f>IFERROR(__xludf.DUMMYFUNCTION("LET(hist, GOOGLEFINANCE(A1656,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rs))))))"),65.13790891597178)</f>
        <v>65.13790892</v>
      </c>
      <c r="W1656" s="16" t="str">
        <f>IFERROR(__xludf.DUMMYFUNCTION("IFERROR(GOOGLEFINANCE(A1656, ""volume"") / GOOGLEFINANCE(A1656, ""volumeavg""), )"),"")</f>
        <v/>
      </c>
      <c r="X1656" s="9">
        <f>IFERROR(__xludf.DUMMYFUNCTION("B1656 * GOOGLEFINANCE(A1656, ""volume"")"),3082959.1)</f>
        <v>3082959.1</v>
      </c>
      <c r="Y1656" s="9">
        <f>IFERROR(__xludf.DUMMYFUNCTION("IFERROR(((B1656 - GOOGLEFINANCE(A1656, ""priceopen"")) / GOOGLEFINANCE(A1656, ""priceopen"")) * GOOGLEFINANCE(A1656, ""volume""), 0)"),-25.979777777777603)</f>
        <v>-25.97977778</v>
      </c>
    </row>
    <row r="1657">
      <c r="A1657" s="4" t="s">
        <v>3449</v>
      </c>
      <c r="B1657" s="7">
        <f>IFERROR(__xludf.DUMMYFUNCTION("GOOGLEFINANCE(A1657, ""price"")"),142.5)</f>
        <v>142.5</v>
      </c>
      <c r="C1657" s="7">
        <f>IFERROR(__xludf.DUMMYFUNCTION("GOOGLEFINANCE(A1657, ""changepct"")"),-7.74)</f>
        <v>-7.74</v>
      </c>
      <c r="D1657" s="9">
        <f>IFERROR(__xludf.DUMMYFUNCTION("GOOGLEFINANCE(A1657, ""priceopen"")"),148.0)</f>
        <v>148</v>
      </c>
      <c r="E1657" s="9">
        <f>IFERROR(__xludf.DUMMYFUNCTION("GOOGLEFINANCE(A1657, ""high"")"),149.0)</f>
        <v>149</v>
      </c>
      <c r="F1657" s="9">
        <f>IFERROR(__xludf.DUMMYFUNCTION("GOOGLEFINANCE(A1657, ""low"")"),139.9)</f>
        <v>139.9</v>
      </c>
      <c r="G1657" s="9">
        <f>IFERROR(__xludf.DUMMYFUNCTION("GOOGLEFINANCE(A1657, ""price"")"),142.5)</f>
        <v>142.5</v>
      </c>
      <c r="H1657" s="9">
        <f>IFERROR(__xludf.DUMMYFUNCTION("MAX(INDEX(GOOGLEFINANCE(A1657, ""high"", TODAY()-30, TODAY()), 0, 2))"),165.44)</f>
        <v>165.44</v>
      </c>
      <c r="I1657" s="9">
        <f>IFERROR(__xludf.DUMMYFUNCTION("MIN(INDEX(GOOGLEFINANCE(A1657, ""low"", TODAY()-30, TODAY()), 0, 2))"),136.1)</f>
        <v>136.1</v>
      </c>
      <c r="J1657" s="9">
        <f>IFERROR(__xludf.DUMMYFUNCTION("GOOGLEFINANCE(A1657, ""high52"")"),179.0)</f>
        <v>179</v>
      </c>
      <c r="K1657" s="9">
        <f>IFERROR(__xludf.DUMMYFUNCTION("GOOGLEFINANCE(A1657, ""low52"")"),100.0)</f>
        <v>100</v>
      </c>
      <c r="L1657" s="9">
        <f t="shared" si="1"/>
        <v>0.2039106145</v>
      </c>
      <c r="M1657" s="9">
        <f t="shared" si="2"/>
        <v>0.425</v>
      </c>
      <c r="N1657" s="9">
        <f t="shared" si="3"/>
        <v>0.06504646176</v>
      </c>
      <c r="O1657" s="9">
        <f t="shared" si="4"/>
        <v>0.2181322427</v>
      </c>
      <c r="P1657" s="9">
        <f>IFERROR(__xludf.DUMMYFUNCTION("GOOGLEFINANCE(A1657, ""pe"")"),10.4)</f>
        <v>10.4</v>
      </c>
      <c r="Q1657" s="9">
        <f>IFERROR(__xludf.DUMMYFUNCTION("IFERROR(GOOGLEFINANCE(A1657, ""volume"") / GOOGLEFINANCE(A1657, ""volumeavg""), 0)"),0.0)</f>
        <v>0</v>
      </c>
      <c r="R1657" s="9">
        <f>IFERROR(__xludf.DUMMYFUNCTION("AVERAGE(INDEX(GOOGLEFINANCE(A1657, ""price"", TODAY()-30, TODAY()), 0, 2))"),148.08739130434782)</f>
        <v>148.0873913</v>
      </c>
      <c r="S1657" s="9">
        <f>IFERROR(__xludf.DUMMYFUNCTION("AVERAGE(INDEX(GOOGLEFINANCE(A1657, ""price"", TODAY()-75, TODAY()), 0, 2))"),140.66943396226415)</f>
        <v>140.669434</v>
      </c>
      <c r="T1657" s="9">
        <f>IFERROR(__xludf.DUMMYFUNCTION("AVERAGE(INDEX(GOOGLEFINANCE(A1657, ""price"", TODAY()-300, TODAY()), 0, 2))"),138.01683168316828)</f>
        <v>138.0168317</v>
      </c>
      <c r="U1657" s="9">
        <f t="shared" si="5"/>
        <v>-0.03773036486</v>
      </c>
      <c r="V1657" s="15">
        <f>IFERROR(__xludf.DUMMYFUNCTION("LET(hist, GOOGLEFINANCE(A1657,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rs))))))"),50.37322417529497)</f>
        <v>50.37322418</v>
      </c>
      <c r="W1657" s="16" t="str">
        <f>IFERROR(__xludf.DUMMYFUNCTION("IFERROR(GOOGLEFINANCE(A1657, ""volume"") / GOOGLEFINANCE(A1657, ""volumeavg""), )"),"")</f>
        <v/>
      </c>
      <c r="X1657" s="9">
        <f>IFERROR(__xludf.DUMMYFUNCTION("B1657 * GOOGLEFINANCE(A1657, ""volume"")"),3.2388255E7)</f>
        <v>32388255</v>
      </c>
      <c r="Y1657" s="9">
        <f>IFERROR(__xludf.DUMMYFUNCTION("IFERROR(((B1657 - GOOGLEFINANCE(A1657, ""priceopen"")) / GOOGLEFINANCE(A1657, ""priceopen"")) * GOOGLEFINANCE(A1657, ""volume""), 0)"),-8446.43918918919)</f>
        <v>-8446.439189</v>
      </c>
    </row>
    <row r="1658">
      <c r="A1658" s="4" t="s">
        <v>3450</v>
      </c>
      <c r="B1658" s="7">
        <f>IFERROR(__xludf.DUMMYFUNCTION("GOOGLEFINANCE(A1658, ""price"")"),27.2)</f>
        <v>27.2</v>
      </c>
      <c r="C1658" s="7">
        <f>IFERROR(__xludf.DUMMYFUNCTION("GOOGLEFINANCE(A1658, ""changepct"")"),0.11)</f>
        <v>0.11</v>
      </c>
      <c r="D1658" s="9">
        <f>IFERROR(__xludf.DUMMYFUNCTION("GOOGLEFINANCE(A1658, ""priceopen"")"),27.99)</f>
        <v>27.99</v>
      </c>
      <c r="E1658" s="9">
        <f>IFERROR(__xludf.DUMMYFUNCTION("GOOGLEFINANCE(A1658, ""high"")"),27.99)</f>
        <v>27.99</v>
      </c>
      <c r="F1658" s="9">
        <f>IFERROR(__xludf.DUMMYFUNCTION("GOOGLEFINANCE(A1658, ""low"")"),27.0)</f>
        <v>27</v>
      </c>
      <c r="G1658" s="9">
        <f>IFERROR(__xludf.DUMMYFUNCTION("GOOGLEFINANCE(A1658, ""price"")"),27.2)</f>
        <v>27.2</v>
      </c>
      <c r="H1658" s="9">
        <f>IFERROR(__xludf.DUMMYFUNCTION("MAX(INDEX(GOOGLEFINANCE(A1658, ""high"", TODAY()-30, TODAY()), 0, 2))"),28.45)</f>
        <v>28.45</v>
      </c>
      <c r="I1658" s="9">
        <f>IFERROR(__xludf.DUMMYFUNCTION("MIN(INDEX(GOOGLEFINANCE(A1658, ""low"", TODAY()-30, TODAY()), 0, 2))"),23.37)</f>
        <v>23.37</v>
      </c>
      <c r="J1658" s="9">
        <f>IFERROR(__xludf.DUMMYFUNCTION("GOOGLEFINANCE(A1658, ""high52"")"),34.37)</f>
        <v>34.37</v>
      </c>
      <c r="K1658" s="9">
        <f>IFERROR(__xludf.DUMMYFUNCTION("GOOGLEFINANCE(A1658, ""low52"")"),21.47)</f>
        <v>21.47</v>
      </c>
      <c r="L1658" s="9">
        <f t="shared" si="1"/>
        <v>0.2086121618</v>
      </c>
      <c r="M1658" s="9">
        <f t="shared" si="2"/>
        <v>0.2668840242</v>
      </c>
      <c r="N1658" s="9">
        <f t="shared" si="3"/>
        <v>0.03666666667</v>
      </c>
      <c r="O1658" s="9">
        <f t="shared" si="4"/>
        <v>0.7539370079</v>
      </c>
      <c r="P1658" s="9">
        <f>IFERROR(__xludf.DUMMYFUNCTION("GOOGLEFINANCE(A1658, ""pe"")"),16.29)</f>
        <v>16.29</v>
      </c>
      <c r="Q1658" s="9">
        <f>IFERROR(__xludf.DUMMYFUNCTION("IFERROR(GOOGLEFINANCE(A1658, ""volume"") / GOOGLEFINANCE(A1658, ""volumeavg""), 0)"),0.0)</f>
        <v>0</v>
      </c>
      <c r="R1658" s="9">
        <f>IFERROR(__xludf.DUMMYFUNCTION("AVERAGE(INDEX(GOOGLEFINANCE(A1658, ""price"", TODAY()-30, TODAY()), 0, 2))"),24.910434782608693)</f>
        <v>24.91043478</v>
      </c>
      <c r="S1658" s="9">
        <f>IFERROR(__xludf.DUMMYFUNCTION("AVERAGE(INDEX(GOOGLEFINANCE(A1658, ""price"", TODAY()-75, TODAY()), 0, 2))"),25.521886792452836)</f>
        <v>25.52188679</v>
      </c>
      <c r="T1658" s="9">
        <f>IFERROR(__xludf.DUMMYFUNCTION("AVERAGE(INDEX(GOOGLEFINANCE(A1658, ""price"", TODAY()-300, TODAY()), 0, 2))"),26.04222772277227)</f>
        <v>26.04222772</v>
      </c>
      <c r="U1658" s="9">
        <f t="shared" si="5"/>
        <v>0.09191189304</v>
      </c>
      <c r="V1658" s="15">
        <f>IFERROR(__xludf.DUMMYFUNCTION("LET(hist, GOOGLEFINANCE(A1658,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rs))))))"),72.4137931034483)</f>
        <v>72.4137931</v>
      </c>
      <c r="W1658" s="16" t="str">
        <f>IFERROR(__xludf.DUMMYFUNCTION("IFERROR(GOOGLEFINANCE(A1658, ""volume"") / GOOGLEFINANCE(A1658, ""volumeavg""), )"),"")</f>
        <v/>
      </c>
      <c r="X1658" s="9">
        <f>IFERROR(__xludf.DUMMYFUNCTION("B1658 * GOOGLEFINANCE(A1658, ""volume"")"),5340774.399999999)</f>
        <v>5340774.4</v>
      </c>
      <c r="Y1658" s="9">
        <f>IFERROR(__xludf.DUMMYFUNCTION("IFERROR(((B1658 - GOOGLEFINANCE(A1658, ""priceopen"")) / GOOGLEFINANCE(A1658, ""priceopen"")) * GOOGLEFINANCE(A1658, ""volume""), 0)"),-5541.910682386561)</f>
        <v>-5541.910682</v>
      </c>
    </row>
    <row r="1659">
      <c r="A1659" s="4" t="s">
        <v>3451</v>
      </c>
      <c r="B1659" s="7">
        <f>IFERROR(__xludf.DUMMYFUNCTION("GOOGLEFINANCE(A1659, ""price"")"),266.0)</f>
        <v>266</v>
      </c>
      <c r="C1659" s="7">
        <f>IFERROR(__xludf.DUMMYFUNCTION("GOOGLEFINANCE(A1659, ""changepct"")"),-3.34)</f>
        <v>-3.34</v>
      </c>
      <c r="D1659" s="9">
        <f>IFERROR(__xludf.DUMMYFUNCTION("GOOGLEFINANCE(A1659, ""priceopen"")"),258.0)</f>
        <v>258</v>
      </c>
      <c r="E1659" s="9">
        <f>IFERROR(__xludf.DUMMYFUNCTION("GOOGLEFINANCE(A1659, ""high"")"),266.9)</f>
        <v>266.9</v>
      </c>
      <c r="F1659" s="9">
        <f>IFERROR(__xludf.DUMMYFUNCTION("GOOGLEFINANCE(A1659, ""low"")"),254.05)</f>
        <v>254.05</v>
      </c>
      <c r="G1659" s="9">
        <f>IFERROR(__xludf.DUMMYFUNCTION("GOOGLEFINANCE(A1659, ""price"")"),266.0)</f>
        <v>266</v>
      </c>
      <c r="H1659" s="9">
        <f>IFERROR(__xludf.DUMMYFUNCTION("MAX(INDEX(GOOGLEFINANCE(A1659, ""high"", TODAY()-30, TODAY()), 0, 2))"),348.0)</f>
        <v>348</v>
      </c>
      <c r="I1659" s="9">
        <f>IFERROR(__xludf.DUMMYFUNCTION("MIN(INDEX(GOOGLEFINANCE(A1659, ""low"", TODAY()-30, TODAY()), 0, 2))"),254.05)</f>
        <v>254.05</v>
      </c>
      <c r="J1659" s="9">
        <f>IFERROR(__xludf.DUMMYFUNCTION("GOOGLEFINANCE(A1659, ""high52"")"),579.0)</f>
        <v>579</v>
      </c>
      <c r="K1659" s="9">
        <f>IFERROR(__xludf.DUMMYFUNCTION("GOOGLEFINANCE(A1659, ""low52"")"),235.0)</f>
        <v>235</v>
      </c>
      <c r="L1659" s="9">
        <f t="shared" si="1"/>
        <v>0.5405872193</v>
      </c>
      <c r="M1659" s="9">
        <f t="shared" si="2"/>
        <v>0.1319148936</v>
      </c>
      <c r="N1659" s="9">
        <f t="shared" si="3"/>
        <v>0.05058059437</v>
      </c>
      <c r="O1659" s="9">
        <f t="shared" si="4"/>
        <v>0.1271953167</v>
      </c>
      <c r="P1659" s="9">
        <f>IFERROR(__xludf.DUMMYFUNCTION("GOOGLEFINANCE(A1659, ""pe"")"),24.14)</f>
        <v>24.14</v>
      </c>
      <c r="Q1659" s="9">
        <f>IFERROR(__xludf.DUMMYFUNCTION("IFERROR(GOOGLEFINANCE(A1659, ""volume"") / GOOGLEFINANCE(A1659, ""volumeavg""), 0)"),0.0)</f>
        <v>0</v>
      </c>
      <c r="R1659" s="9">
        <f>IFERROR(__xludf.DUMMYFUNCTION("AVERAGE(INDEX(GOOGLEFINANCE(A1659, ""price"", TODAY()-30, TODAY()), 0, 2))"),294.21739130434787)</f>
        <v>294.2173913</v>
      </c>
      <c r="S1659" s="9">
        <f>IFERROR(__xludf.DUMMYFUNCTION("AVERAGE(INDEX(GOOGLEFINANCE(A1659, ""price"", TODAY()-75, TODAY()), 0, 2))"),301.267924528302)</f>
        <v>301.2679245</v>
      </c>
      <c r="T1659" s="9">
        <f>IFERROR(__xludf.DUMMYFUNCTION("AVERAGE(INDEX(GOOGLEFINANCE(A1659, ""price"", TODAY()-300, TODAY()), 0, 2))"),353.0383663366337)</f>
        <v>353.0383663</v>
      </c>
      <c r="U1659" s="9">
        <f t="shared" si="5"/>
        <v>-0.09590660559</v>
      </c>
      <c r="V1659" s="15">
        <f>IFERROR(__xludf.DUMMYFUNCTION("LET(hist, GOOGLEFINANCE(A1659,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rs))))))"),14.285714285714306)</f>
        <v>14.28571429</v>
      </c>
      <c r="W1659" s="16" t="str">
        <f>IFERROR(__xludf.DUMMYFUNCTION("IFERROR(GOOGLEFINANCE(A1659, ""volume"") / GOOGLEFINANCE(A1659, ""volumeavg""), )"),"")</f>
        <v/>
      </c>
      <c r="X1659" s="9">
        <f>IFERROR(__xludf.DUMMYFUNCTION("B1659 * GOOGLEFINANCE(A1659, ""volume"")"),6.5732058E7)</f>
        <v>65732058</v>
      </c>
      <c r="Y1659" s="9">
        <f>IFERROR(__xludf.DUMMYFUNCTION("IFERROR(((B1659 - GOOGLEFINANCE(A1659, ""priceopen"")) / GOOGLEFINANCE(A1659, ""priceopen"")) * GOOGLEFINANCE(A1659, ""volume""), 0)"),7662.418604651162)</f>
        <v>7662.418605</v>
      </c>
    </row>
    <row r="1660">
      <c r="A1660" s="4" t="s">
        <v>3452</v>
      </c>
      <c r="B1660" s="7">
        <f>IFERROR(__xludf.DUMMYFUNCTION("GOOGLEFINANCE(A1660, ""price"")"),411.0)</f>
        <v>411</v>
      </c>
      <c r="C1660" s="7">
        <f>IFERROR(__xludf.DUMMYFUNCTION("GOOGLEFINANCE(A1660, ""changepct"")"),-2.86)</f>
        <v>-2.86</v>
      </c>
      <c r="D1660" s="9">
        <f>IFERROR(__xludf.DUMMYFUNCTION("GOOGLEFINANCE(A1660, ""priceopen"")"),402.0)</f>
        <v>402</v>
      </c>
      <c r="E1660" s="9">
        <f>IFERROR(__xludf.DUMMYFUNCTION("GOOGLEFINANCE(A1660, ""high"")"),429.4)</f>
        <v>429.4</v>
      </c>
      <c r="F1660" s="9">
        <f>IFERROR(__xludf.DUMMYFUNCTION("GOOGLEFINANCE(A1660, ""low"")"),402.0)</f>
        <v>402</v>
      </c>
      <c r="G1660" s="9">
        <f>IFERROR(__xludf.DUMMYFUNCTION("GOOGLEFINANCE(A1660, ""price"")"),411.0)</f>
        <v>411</v>
      </c>
      <c r="H1660" s="9">
        <f>IFERROR(__xludf.DUMMYFUNCTION("MAX(INDEX(GOOGLEFINANCE(A1660, ""high"", TODAY()-30, TODAY()), 0, 2))"),438.35)</f>
        <v>438.35</v>
      </c>
      <c r="I1660" s="9">
        <f>IFERROR(__xludf.DUMMYFUNCTION("MIN(INDEX(GOOGLEFINANCE(A1660, ""low"", TODAY()-30, TODAY()), 0, 2))"),401.0)</f>
        <v>401</v>
      </c>
      <c r="J1660" s="9">
        <f>IFERROR(__xludf.DUMMYFUNCTION("GOOGLEFINANCE(A1660, ""high52"")"),489.9)</f>
        <v>489.9</v>
      </c>
      <c r="K1660" s="9">
        <f>IFERROR(__xludf.DUMMYFUNCTION("GOOGLEFINANCE(A1660, ""low52"")"),215.0)</f>
        <v>215</v>
      </c>
      <c r="L1660" s="9">
        <f t="shared" si="1"/>
        <v>0.1610532762</v>
      </c>
      <c r="M1660" s="9">
        <f t="shared" si="2"/>
        <v>0.911627907</v>
      </c>
      <c r="N1660" s="9">
        <f t="shared" si="3"/>
        <v>0.06815920398</v>
      </c>
      <c r="O1660" s="9">
        <f t="shared" si="4"/>
        <v>0.2677376171</v>
      </c>
      <c r="P1660" s="9">
        <f>IFERROR(__xludf.DUMMYFUNCTION("GOOGLEFINANCE(A1660, ""pe"")"),115.45)</f>
        <v>115.45</v>
      </c>
      <c r="Q1660" s="9">
        <f>IFERROR(__xludf.DUMMYFUNCTION("IFERROR(GOOGLEFINANCE(A1660, ""volume"") / GOOGLEFINANCE(A1660, ""volumeavg""), 0)"),0.0)</f>
        <v>0</v>
      </c>
      <c r="R1660" s="9">
        <f>IFERROR(__xludf.DUMMYFUNCTION("AVERAGE(INDEX(GOOGLEFINANCE(A1660, ""price"", TODAY()-30, TODAY()), 0, 2))"),417.658695652174)</f>
        <v>417.6586957</v>
      </c>
      <c r="S1660" s="9">
        <f>IFERROR(__xludf.DUMMYFUNCTION("AVERAGE(INDEX(GOOGLEFINANCE(A1660, ""price"", TODAY()-75, TODAY()), 0, 2))"),427.78773584905645)</f>
        <v>427.7877358</v>
      </c>
      <c r="T1660" s="9">
        <f>IFERROR(__xludf.DUMMYFUNCTION("AVERAGE(INDEX(GOOGLEFINANCE(A1660, ""price"", TODAY()-300, TODAY()), 0, 2))"),351.1009405940595)</f>
        <v>351.1009406</v>
      </c>
      <c r="U1660" s="9">
        <f t="shared" si="5"/>
        <v>-0.01594291157</v>
      </c>
      <c r="V1660" s="15">
        <f>IFERROR(__xludf.DUMMYFUNCTION("LET(hist, GOOGLEFINANCE(A1660,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rs))))))"),46.821305841924406)</f>
        <v>46.82130584</v>
      </c>
      <c r="W1660" s="16" t="str">
        <f>IFERROR(__xludf.DUMMYFUNCTION("IFERROR(GOOGLEFINANCE(A1660, ""volume"") / GOOGLEFINANCE(A1660, ""volumeavg""), )"),"")</f>
        <v/>
      </c>
      <c r="X1660" s="9">
        <f>IFERROR(__xludf.DUMMYFUNCTION("B1660 * GOOGLEFINANCE(A1660, ""volume"")"),999552.0)</f>
        <v>999552</v>
      </c>
      <c r="Y1660" s="9">
        <f>IFERROR(__xludf.DUMMYFUNCTION("IFERROR(((B1660 - GOOGLEFINANCE(A1660, ""priceopen"")) / GOOGLEFINANCE(A1660, ""priceopen"")) * GOOGLEFINANCE(A1660, ""volume""), 0)"),54.447761194029844)</f>
        <v>54.44776119</v>
      </c>
    </row>
    <row r="1661">
      <c r="A1661" s="4" t="s">
        <v>3453</v>
      </c>
      <c r="B1661" s="7">
        <f>IFERROR(__xludf.DUMMYFUNCTION("GOOGLEFINANCE(A1661, ""price"")"),160.95)</f>
        <v>160.95</v>
      </c>
      <c r="C1661" s="7">
        <f>IFERROR(__xludf.DUMMYFUNCTION("GOOGLEFINANCE(A1661, ""changepct"")"),-4.71)</f>
        <v>-4.71</v>
      </c>
      <c r="D1661" s="9">
        <f>IFERROR(__xludf.DUMMYFUNCTION("GOOGLEFINANCE(A1661, ""priceopen"")"),166.0)</f>
        <v>166</v>
      </c>
      <c r="E1661" s="9">
        <f>IFERROR(__xludf.DUMMYFUNCTION("GOOGLEFINANCE(A1661, ""high"")"),167.49)</f>
        <v>167.49</v>
      </c>
      <c r="F1661" s="9">
        <f>IFERROR(__xludf.DUMMYFUNCTION("GOOGLEFINANCE(A1661, ""low"")"),158.01)</f>
        <v>158.01</v>
      </c>
      <c r="G1661" s="9">
        <f>IFERROR(__xludf.DUMMYFUNCTION("GOOGLEFINANCE(A1661, ""price"")"),160.95)</f>
        <v>160.95</v>
      </c>
      <c r="H1661" s="9">
        <f>IFERROR(__xludf.DUMMYFUNCTION("MAX(INDEX(GOOGLEFINANCE(A1661, ""high"", TODAY()-30, TODAY()), 0, 2))"),179.97)</f>
        <v>179.97</v>
      </c>
      <c r="I1661" s="9">
        <f>IFERROR(__xludf.DUMMYFUNCTION("MIN(INDEX(GOOGLEFINANCE(A1661, ""low"", TODAY()-30, TODAY()), 0, 2))"),158.01)</f>
        <v>158.01</v>
      </c>
      <c r="J1661" s="9">
        <f>IFERROR(__xludf.DUMMYFUNCTION("GOOGLEFINANCE(A1661, ""high52"")"),206.0)</f>
        <v>206</v>
      </c>
      <c r="K1661" s="9">
        <f>IFERROR(__xludf.DUMMYFUNCTION("GOOGLEFINANCE(A1661, ""low52"")"),158.01)</f>
        <v>158.01</v>
      </c>
      <c r="L1661" s="9">
        <f t="shared" si="1"/>
        <v>0.2186893204</v>
      </c>
      <c r="M1661" s="9">
        <f t="shared" si="2"/>
        <v>0.01860641732</v>
      </c>
      <c r="N1661" s="9">
        <f t="shared" si="3"/>
        <v>0.05999620277</v>
      </c>
      <c r="O1661" s="9">
        <f t="shared" si="4"/>
        <v>0.1338797814</v>
      </c>
      <c r="P1661" s="9">
        <f>IFERROR(__xludf.DUMMYFUNCTION("GOOGLEFINANCE(A1661, ""pe"")"),10.36)</f>
        <v>10.36</v>
      </c>
      <c r="Q1661" s="9">
        <f>IFERROR(__xludf.DUMMYFUNCTION("IFERROR(GOOGLEFINANCE(A1661, ""volume"") / GOOGLEFINANCE(A1661, ""volumeavg""), 0)"),0.0)</f>
        <v>0</v>
      </c>
      <c r="R1661" s="9">
        <f>IFERROR(__xludf.DUMMYFUNCTION("AVERAGE(INDEX(GOOGLEFINANCE(A1661, ""price"", TODAY()-30, TODAY()), 0, 2))"),168.97521739130434)</f>
        <v>168.9752174</v>
      </c>
      <c r="S1661" s="9">
        <f>IFERROR(__xludf.DUMMYFUNCTION("AVERAGE(INDEX(GOOGLEFINANCE(A1661, ""price"", TODAY()-75, TODAY()), 0, 2))"),173.69830188679242)</f>
        <v>173.6983019</v>
      </c>
      <c r="T1661" s="9">
        <f>IFERROR(__xludf.DUMMYFUNCTION("AVERAGE(INDEX(GOOGLEFINANCE(A1661, ""price"", TODAY()-300, TODAY()), 0, 2))"),179.62888888888892)</f>
        <v>179.6288889</v>
      </c>
      <c r="U1661" s="9">
        <f t="shared" si="5"/>
        <v>-0.04749345801</v>
      </c>
      <c r="V1661" s="15">
        <f>IFERROR(__xludf.DUMMYFUNCTION("LET(hist, GOOGLEFINANCE(A1661,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rs))))))"),43.52022058823528)</f>
        <v>43.52022059</v>
      </c>
      <c r="W1661" s="16" t="str">
        <f>IFERROR(__xludf.DUMMYFUNCTION("IFERROR(GOOGLEFINANCE(A1661, ""volume"") / GOOGLEFINANCE(A1661, ""volumeavg""), )"),"")</f>
        <v/>
      </c>
      <c r="X1661" s="9">
        <f>IFERROR(__xludf.DUMMYFUNCTION("B1661 * GOOGLEFINANCE(A1661, ""volume"")"),3.41413578E7)</f>
        <v>34141357.8</v>
      </c>
      <c r="Y1661" s="9">
        <f>IFERROR(__xludf.DUMMYFUNCTION("IFERROR(((B1661 - GOOGLEFINANCE(A1661, ""priceopen"")) / GOOGLEFINANCE(A1661, ""priceopen"")) * GOOGLEFINANCE(A1661, ""volume""), 0)"),-6453.169879518086)</f>
        <v>-6453.16988</v>
      </c>
    </row>
    <row r="1662">
      <c r="A1662" s="4" t="s">
        <v>3454</v>
      </c>
      <c r="B1662" s="7">
        <f>IFERROR(__xludf.DUMMYFUNCTION("GOOGLEFINANCE(A1662, ""price"")"),26.65)</f>
        <v>26.65</v>
      </c>
      <c r="C1662" s="7">
        <f>IFERROR(__xludf.DUMMYFUNCTION("GOOGLEFINANCE(A1662, ""changepct"")"),-2.56)</f>
        <v>-2.56</v>
      </c>
      <c r="D1662" s="9">
        <f>IFERROR(__xludf.DUMMYFUNCTION("GOOGLEFINANCE(A1662, ""priceopen"")"),27.31)</f>
        <v>27.31</v>
      </c>
      <c r="E1662" s="9">
        <f>IFERROR(__xludf.DUMMYFUNCTION("GOOGLEFINANCE(A1662, ""high"")"),27.69)</f>
        <v>27.69</v>
      </c>
      <c r="F1662" s="9">
        <f>IFERROR(__xludf.DUMMYFUNCTION("GOOGLEFINANCE(A1662, ""low"")"),26.41)</f>
        <v>26.41</v>
      </c>
      <c r="G1662" s="9">
        <f>IFERROR(__xludf.DUMMYFUNCTION("GOOGLEFINANCE(A1662, ""price"")"),26.65)</f>
        <v>26.65</v>
      </c>
      <c r="H1662" s="9">
        <f>IFERROR(__xludf.DUMMYFUNCTION("MAX(INDEX(GOOGLEFINANCE(A1662, ""high"", TODAY()-30, TODAY()), 0, 2))"),31.3)</f>
        <v>31.3</v>
      </c>
      <c r="I1662" s="9">
        <f>IFERROR(__xludf.DUMMYFUNCTION("MIN(INDEX(GOOGLEFINANCE(A1662, ""low"", TODAY()-30, TODAY()), 0, 2))"),24.01)</f>
        <v>24.01</v>
      </c>
      <c r="J1662" s="9">
        <f>IFERROR(__xludf.DUMMYFUNCTION("GOOGLEFINANCE(A1662, ""high52"")"),31.3)</f>
        <v>31.3</v>
      </c>
      <c r="K1662" s="9">
        <f>IFERROR(__xludf.DUMMYFUNCTION("GOOGLEFINANCE(A1662, ""low52"")"),17.52)</f>
        <v>17.52</v>
      </c>
      <c r="L1662" s="9">
        <f t="shared" si="1"/>
        <v>0.1485623003</v>
      </c>
      <c r="M1662" s="9">
        <f t="shared" si="2"/>
        <v>0.5211187215</v>
      </c>
      <c r="N1662" s="9">
        <f t="shared" si="3"/>
        <v>0.04846648997</v>
      </c>
      <c r="O1662" s="9">
        <f t="shared" si="4"/>
        <v>0.3621399177</v>
      </c>
      <c r="P1662" s="9" t="str">
        <f>IFERROR(__xludf.DUMMYFUNCTION("GOOGLEFINANCE(A1662, ""pe"")"),"#N/A")</f>
        <v>#N/A</v>
      </c>
      <c r="Q1662" s="9">
        <f>IFERROR(__xludf.DUMMYFUNCTION("IFERROR(GOOGLEFINANCE(A1662, ""volume"") / GOOGLEFINANCE(A1662, ""volumeavg""), 0)"),0.0)</f>
        <v>0</v>
      </c>
      <c r="R1662" s="9">
        <f>IFERROR(__xludf.DUMMYFUNCTION("AVERAGE(INDEX(GOOGLEFINANCE(A1662, ""price"", TODAY()-30, TODAY()), 0, 2))"),26.086956521739136)</f>
        <v>26.08695652</v>
      </c>
      <c r="S1662" s="9">
        <f>IFERROR(__xludf.DUMMYFUNCTION("AVERAGE(INDEX(GOOGLEFINANCE(A1662, ""price"", TODAY()-75, TODAY()), 0, 2))"),24.344339622641503)</f>
        <v>24.34433962</v>
      </c>
      <c r="T1662" s="9">
        <f>IFERROR(__xludf.DUMMYFUNCTION("AVERAGE(INDEX(GOOGLEFINANCE(A1662, ""price"", TODAY()-300, TODAY()), 0, 2))"),23.33391089108912)</f>
        <v>23.33391089</v>
      </c>
      <c r="U1662" s="9">
        <f t="shared" si="5"/>
        <v>0.02158333333</v>
      </c>
      <c r="V1662" s="15">
        <f>IFERROR(__xludf.DUMMYFUNCTION("LET(hist, GOOGLEFINANCE(A1662,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rs))))))"),61.45374449339207)</f>
        <v>61.45374449</v>
      </c>
      <c r="W1662" s="16" t="str">
        <f>IFERROR(__xludf.DUMMYFUNCTION("IFERROR(GOOGLEFINANCE(A1662, ""volume"") / GOOGLEFINANCE(A1662, ""volumeavg""), )"),"")</f>
        <v/>
      </c>
      <c r="X1662" s="9">
        <f>IFERROR(__xludf.DUMMYFUNCTION("B1662 * GOOGLEFINANCE(A1662, ""volume"")"),2488230.55)</f>
        <v>2488230.55</v>
      </c>
      <c r="Y1662" s="9">
        <f>IFERROR(__xludf.DUMMYFUNCTION("IFERROR(((B1662 - GOOGLEFINANCE(A1662, ""priceopen"")) / GOOGLEFINANCE(A1662, ""priceopen"")) * GOOGLEFINANCE(A1662, ""volume""), 0)"),-2256.3976565360676)</f>
        <v>-2256.397657</v>
      </c>
    </row>
    <row r="1663">
      <c r="A1663" s="4" t="s">
        <v>3455</v>
      </c>
      <c r="B1663" s="7">
        <f>IFERROR(__xludf.DUMMYFUNCTION("GOOGLEFINANCE(A1663, ""price"")"),323.65)</f>
        <v>323.65</v>
      </c>
      <c r="C1663" s="7">
        <f>IFERROR(__xludf.DUMMYFUNCTION("GOOGLEFINANCE(A1663, ""changepct"")"),2.78)</f>
        <v>2.78</v>
      </c>
      <c r="D1663" s="9">
        <f>IFERROR(__xludf.DUMMYFUNCTION("GOOGLEFINANCE(A1663, ""priceopen"")"),320.0)</f>
        <v>320</v>
      </c>
      <c r="E1663" s="9">
        <f>IFERROR(__xludf.DUMMYFUNCTION("GOOGLEFINANCE(A1663, ""high"")"),327.85)</f>
        <v>327.85</v>
      </c>
      <c r="F1663" s="9">
        <f>IFERROR(__xludf.DUMMYFUNCTION("GOOGLEFINANCE(A1663, ""low"")"),311.0)</f>
        <v>311</v>
      </c>
      <c r="G1663" s="9">
        <f>IFERROR(__xludf.DUMMYFUNCTION("GOOGLEFINANCE(A1663, ""price"")"),323.65)</f>
        <v>323.65</v>
      </c>
      <c r="H1663" s="9">
        <f>IFERROR(__xludf.DUMMYFUNCTION("MAX(INDEX(GOOGLEFINANCE(A1663, ""high"", TODAY()-30, TODAY()), 0, 2))"),377.9)</f>
        <v>377.9</v>
      </c>
      <c r="I1663" s="9">
        <f>IFERROR(__xludf.DUMMYFUNCTION("MIN(INDEX(GOOGLEFINANCE(A1663, ""low"", TODAY()-30, TODAY()), 0, 2))"),305.0)</f>
        <v>305</v>
      </c>
      <c r="J1663" s="9">
        <f>IFERROR(__xludf.DUMMYFUNCTION("GOOGLEFINANCE(A1663, ""high52"")"),388.9)</f>
        <v>388.9</v>
      </c>
      <c r="K1663" s="9">
        <f>IFERROR(__xludf.DUMMYFUNCTION("GOOGLEFINANCE(A1663, ""low52"")"),231.5)</f>
        <v>231.5</v>
      </c>
      <c r="L1663" s="9">
        <f t="shared" si="1"/>
        <v>0.1677809205</v>
      </c>
      <c r="M1663" s="9">
        <f t="shared" si="2"/>
        <v>0.3980561555</v>
      </c>
      <c r="N1663" s="9">
        <f t="shared" si="3"/>
        <v>0.05418006431</v>
      </c>
      <c r="O1663" s="9">
        <f t="shared" si="4"/>
        <v>0.255829904</v>
      </c>
      <c r="P1663" s="9">
        <f>IFERROR(__xludf.DUMMYFUNCTION("GOOGLEFINANCE(A1663, ""pe"")"),28.39)</f>
        <v>28.39</v>
      </c>
      <c r="Q1663" s="9">
        <f>IFERROR(__xludf.DUMMYFUNCTION("IFERROR(GOOGLEFINANCE(A1663, ""volume"") / GOOGLEFINANCE(A1663, ""volumeavg""), 0)"),0.0)</f>
        <v>0</v>
      </c>
      <c r="R1663" s="9">
        <f>IFERROR(__xludf.DUMMYFUNCTION("AVERAGE(INDEX(GOOGLEFINANCE(A1663, ""price"", TODAY()-30, TODAY()), 0, 2))"),342.8195652173913)</f>
        <v>342.8195652</v>
      </c>
      <c r="S1663" s="9">
        <f>IFERROR(__xludf.DUMMYFUNCTION("AVERAGE(INDEX(GOOGLEFINANCE(A1663, ""price"", TODAY()-75, TODAY()), 0, 2))"),318.5801886792454)</f>
        <v>318.5801887</v>
      </c>
      <c r="T1663" s="9">
        <f>IFERROR(__xludf.DUMMYFUNCTION("AVERAGE(INDEX(GOOGLEFINANCE(A1663, ""price"", TODAY()-300, TODAY()), 0, 2))"),297.5959798994975)</f>
        <v>297.5959799</v>
      </c>
      <c r="U1663" s="9">
        <f t="shared" si="5"/>
        <v>-0.05591736051</v>
      </c>
      <c r="V1663" s="15">
        <f>IFERROR(__xludf.DUMMYFUNCTION("LET(hist, GOOGLEFINANCE(A1663,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rs))))))"),33.17353787152447)</f>
        <v>33.17353787</v>
      </c>
      <c r="W1663" s="16" t="str">
        <f>IFERROR(__xludf.DUMMYFUNCTION("IFERROR(GOOGLEFINANCE(A1663, ""volume"") / GOOGLEFINANCE(A1663, ""volumeavg""), )"),"")</f>
        <v/>
      </c>
      <c r="X1663" s="9">
        <f>IFERROR(__xludf.DUMMYFUNCTION("B1663 * GOOGLEFINANCE(A1663, ""volume"")"),293226.89999999997)</f>
        <v>293226.9</v>
      </c>
      <c r="Y1663" s="9">
        <f>IFERROR(__xludf.DUMMYFUNCTION("IFERROR(((B1663 - GOOGLEFINANCE(A1663, ""priceopen"")) / GOOGLEFINANCE(A1663, ""priceopen"")) * GOOGLEFINANCE(A1663, ""volume""), 0)"),10.334062499999936)</f>
        <v>10.3340625</v>
      </c>
    </row>
    <row r="1664">
      <c r="A1664" s="4" t="s">
        <v>3456</v>
      </c>
      <c r="B1664" s="7">
        <f>IFERROR(__xludf.DUMMYFUNCTION("GOOGLEFINANCE(A1664, ""price"")"),46.1)</f>
        <v>46.1</v>
      </c>
      <c r="C1664" s="7">
        <f>IFERROR(__xludf.DUMMYFUNCTION("GOOGLEFINANCE(A1664, ""changepct"")"),-2.19)</f>
        <v>-2.19</v>
      </c>
      <c r="D1664" s="9">
        <f>IFERROR(__xludf.DUMMYFUNCTION("GOOGLEFINANCE(A1664, ""priceopen"")"),48.25)</f>
        <v>48.25</v>
      </c>
      <c r="E1664" s="9">
        <f>IFERROR(__xludf.DUMMYFUNCTION("GOOGLEFINANCE(A1664, ""high"")"),48.25)</f>
        <v>48.25</v>
      </c>
      <c r="F1664" s="9">
        <f>IFERROR(__xludf.DUMMYFUNCTION("GOOGLEFINANCE(A1664, ""low"")"),45.11)</f>
        <v>45.11</v>
      </c>
      <c r="G1664" s="9">
        <f>IFERROR(__xludf.DUMMYFUNCTION("GOOGLEFINANCE(A1664, ""price"")"),46.1)</f>
        <v>46.1</v>
      </c>
      <c r="H1664" s="9">
        <f>IFERROR(__xludf.DUMMYFUNCTION("MAX(INDEX(GOOGLEFINANCE(A1664, ""high"", TODAY()-30, TODAY()), 0, 2))"),57.2)</f>
        <v>57.2</v>
      </c>
      <c r="I1664" s="9">
        <f>IFERROR(__xludf.DUMMYFUNCTION("MIN(INDEX(GOOGLEFINANCE(A1664, ""low"", TODAY()-30, TODAY()), 0, 2))"),36.12)</f>
        <v>36.12</v>
      </c>
      <c r="J1664" s="9">
        <f>IFERROR(__xludf.DUMMYFUNCTION("GOOGLEFINANCE(A1664, ""high52"")"),65.5)</f>
        <v>65.5</v>
      </c>
      <c r="K1664" s="9">
        <f>IFERROR(__xludf.DUMMYFUNCTION("GOOGLEFINANCE(A1664, ""low52"")"),35.46)</f>
        <v>35.46</v>
      </c>
      <c r="L1664" s="9">
        <f t="shared" si="1"/>
        <v>0.2961832061</v>
      </c>
      <c r="M1664" s="9">
        <f t="shared" si="2"/>
        <v>0.3000564016</v>
      </c>
      <c r="N1664" s="9">
        <f t="shared" si="3"/>
        <v>0.0696076258</v>
      </c>
      <c r="O1664" s="9">
        <f t="shared" si="4"/>
        <v>0.4734345351</v>
      </c>
      <c r="P1664" s="9">
        <f>IFERROR(__xludf.DUMMYFUNCTION("GOOGLEFINANCE(A1664, ""pe"")"),15.18)</f>
        <v>15.18</v>
      </c>
      <c r="Q1664" s="9">
        <f>IFERROR(__xludf.DUMMYFUNCTION("IFERROR(GOOGLEFINANCE(A1664, ""volume"") / GOOGLEFINANCE(A1664, ""volumeavg""), 0)"),0.0)</f>
        <v>0</v>
      </c>
      <c r="R1664" s="9">
        <f>IFERROR(__xludf.DUMMYFUNCTION("AVERAGE(INDEX(GOOGLEFINANCE(A1664, ""price"", TODAY()-30, TODAY()), 0, 2))"),42.70086956521739)</f>
        <v>42.70086957</v>
      </c>
      <c r="S1664" s="9">
        <f>IFERROR(__xludf.DUMMYFUNCTION("AVERAGE(INDEX(GOOGLEFINANCE(A1664, ""price"", TODAY()-75, TODAY()), 0, 2))"),40.72528301886792)</f>
        <v>40.72528302</v>
      </c>
      <c r="T1664" s="9">
        <f>IFERROR(__xludf.DUMMYFUNCTION("AVERAGE(INDEX(GOOGLEFINANCE(A1664, ""price"", TODAY()-300, TODAY()), 0, 2))"),46.17673267326733)</f>
        <v>46.17673267</v>
      </c>
      <c r="U1664" s="9">
        <f t="shared" si="5"/>
        <v>0.07960330713</v>
      </c>
      <c r="V1664" s="15">
        <f>IFERROR(__xludf.DUMMYFUNCTION("LET(hist, GOOGLEFINANCE(A1664,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rs))))))"),64.14439430753211)</f>
        <v>64.14439431</v>
      </c>
      <c r="W1664" s="16" t="str">
        <f>IFERROR(__xludf.DUMMYFUNCTION("IFERROR(GOOGLEFINANCE(A1664, ""volume"") / GOOGLEFINANCE(A1664, ""volumeavg""), )"),"")</f>
        <v/>
      </c>
      <c r="X1664" s="9">
        <f>IFERROR(__xludf.DUMMYFUNCTION("B1664 * GOOGLEFINANCE(A1664, ""volume"")"),5755354.5)</f>
        <v>5755354.5</v>
      </c>
      <c r="Y1664" s="9">
        <f>IFERROR(__xludf.DUMMYFUNCTION("IFERROR(((B1664 - GOOGLEFINANCE(A1664, ""priceopen"")) / GOOGLEFINANCE(A1664, ""priceopen"")) * GOOGLEFINANCE(A1664, ""volume""), 0)"),-5563.041450777198)</f>
        <v>-5563.041451</v>
      </c>
    </row>
    <row r="1665">
      <c r="A1665" s="4" t="s">
        <v>3457</v>
      </c>
      <c r="B1665" s="7">
        <f>IFERROR(__xludf.DUMMYFUNCTION("GOOGLEFINANCE(A1665, ""price"")"),108.9)</f>
        <v>108.9</v>
      </c>
      <c r="C1665" s="7">
        <f>IFERROR(__xludf.DUMMYFUNCTION("GOOGLEFINANCE(A1665, ""changepct"")"),-1.01)</f>
        <v>-1.01</v>
      </c>
      <c r="D1665" s="9">
        <f>IFERROR(__xludf.DUMMYFUNCTION("GOOGLEFINANCE(A1665, ""priceopen"")"),110.5)</f>
        <v>110.5</v>
      </c>
      <c r="E1665" s="9">
        <f>IFERROR(__xludf.DUMMYFUNCTION("GOOGLEFINANCE(A1665, ""high"")"),111.05)</f>
        <v>111.05</v>
      </c>
      <c r="F1665" s="9">
        <f>IFERROR(__xludf.DUMMYFUNCTION("GOOGLEFINANCE(A1665, ""low"")"),107.01)</f>
        <v>107.01</v>
      </c>
      <c r="G1665" s="9">
        <f>IFERROR(__xludf.DUMMYFUNCTION("GOOGLEFINANCE(A1665, ""price"")"),108.9)</f>
        <v>108.9</v>
      </c>
      <c r="H1665" s="9">
        <f>IFERROR(__xludf.DUMMYFUNCTION("MAX(INDEX(GOOGLEFINANCE(A1665, ""high"", TODAY()-30, TODAY()), 0, 2))"),119.5)</f>
        <v>119.5</v>
      </c>
      <c r="I1665" s="9">
        <f>IFERROR(__xludf.DUMMYFUNCTION("MIN(INDEX(GOOGLEFINANCE(A1665, ""low"", TODAY()-30, TODAY()), 0, 2))"),94.0)</f>
        <v>94</v>
      </c>
      <c r="J1665" s="9">
        <f>IFERROR(__xludf.DUMMYFUNCTION("GOOGLEFINANCE(A1665, ""high52"")"),129.9)</f>
        <v>129.9</v>
      </c>
      <c r="K1665" s="9">
        <f>IFERROR(__xludf.DUMMYFUNCTION("GOOGLEFINANCE(A1665, ""low52"")"),80.05)</f>
        <v>80.05</v>
      </c>
      <c r="L1665" s="9">
        <f t="shared" si="1"/>
        <v>0.1616628176</v>
      </c>
      <c r="M1665" s="9">
        <f t="shared" si="2"/>
        <v>0.3603997502</v>
      </c>
      <c r="N1665" s="9">
        <f t="shared" si="3"/>
        <v>0.03775348098</v>
      </c>
      <c r="O1665" s="9">
        <f t="shared" si="4"/>
        <v>0.5843137255</v>
      </c>
      <c r="P1665" s="9">
        <f>IFERROR(__xludf.DUMMYFUNCTION("GOOGLEFINANCE(A1665, ""pe"")"),19.38)</f>
        <v>19.38</v>
      </c>
      <c r="Q1665" s="9">
        <f>IFERROR(__xludf.DUMMYFUNCTION("IFERROR(GOOGLEFINANCE(A1665, ""volume"") / GOOGLEFINANCE(A1665, ""volumeavg""), 0)"),0.0)</f>
        <v>0</v>
      </c>
      <c r="R1665" s="9">
        <f>IFERROR(__xludf.DUMMYFUNCTION("AVERAGE(INDEX(GOOGLEFINANCE(A1665, ""price"", TODAY()-30, TODAY()), 0, 2))"),105.6995652173913)</f>
        <v>105.6995652</v>
      </c>
      <c r="S1665" s="9">
        <f>IFERROR(__xludf.DUMMYFUNCTION("AVERAGE(INDEX(GOOGLEFINANCE(A1665, ""price"", TODAY()-75, TODAY()), 0, 2))"),104.65943396226422)</f>
        <v>104.659434</v>
      </c>
      <c r="T1665" s="9">
        <f>IFERROR(__xludf.DUMMYFUNCTION("AVERAGE(INDEX(GOOGLEFINANCE(A1665, ""price"", TODAY()-300, TODAY()), 0, 2))"),100.10850000000005)</f>
        <v>100.1085</v>
      </c>
      <c r="U1665" s="9">
        <f t="shared" si="5"/>
        <v>0.03027859931</v>
      </c>
      <c r="V1665" s="15">
        <f>IFERROR(__xludf.DUMMYFUNCTION("LET(hist, GOOGLEFINANCE(A1665,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rs))))))"),64.9959360606882)</f>
        <v>64.99593606</v>
      </c>
      <c r="W1665" s="16" t="str">
        <f>IFERROR(__xludf.DUMMYFUNCTION("IFERROR(GOOGLEFINANCE(A1665, ""volume"") / GOOGLEFINANCE(A1665, ""volumeavg""), )"),"")</f>
        <v/>
      </c>
      <c r="X1665" s="9">
        <f>IFERROR(__xludf.DUMMYFUNCTION("B1665 * GOOGLEFINANCE(A1665, ""volume"")"),1151617.5)</f>
        <v>1151617.5</v>
      </c>
      <c r="Y1665" s="9">
        <f>IFERROR(__xludf.DUMMYFUNCTION("IFERROR(((B1665 - GOOGLEFINANCE(A1665, ""priceopen"")) / GOOGLEFINANCE(A1665, ""priceopen"")) * GOOGLEFINANCE(A1665, ""volume""), 0)"),-153.1221719457008)</f>
        <v>-153.1221719</v>
      </c>
    </row>
    <row r="1666">
      <c r="A1666" s="4" t="s">
        <v>3458</v>
      </c>
      <c r="B1666" s="7">
        <f>IFERROR(__xludf.DUMMYFUNCTION("GOOGLEFINANCE(A1666, ""price"")"),1599.9)</f>
        <v>1599.9</v>
      </c>
      <c r="C1666" s="7">
        <f>IFERROR(__xludf.DUMMYFUNCTION("GOOGLEFINANCE(A1666, ""changepct"")"),5.56)</f>
        <v>5.56</v>
      </c>
      <c r="D1666" s="9">
        <f>IFERROR(__xludf.DUMMYFUNCTION("GOOGLEFINANCE(A1666, ""priceopen"")"),1515.7)</f>
        <v>1515.7</v>
      </c>
      <c r="E1666" s="9">
        <f>IFERROR(__xludf.DUMMYFUNCTION("GOOGLEFINANCE(A1666, ""high"")"),1599.9)</f>
        <v>1599.9</v>
      </c>
      <c r="F1666" s="9">
        <f>IFERROR(__xludf.DUMMYFUNCTION("GOOGLEFINANCE(A1666, ""low"")"),1515.7)</f>
        <v>1515.7</v>
      </c>
      <c r="G1666" s="9">
        <f>IFERROR(__xludf.DUMMYFUNCTION("GOOGLEFINANCE(A1666, ""price"")"),1599.9)</f>
        <v>1599.9</v>
      </c>
      <c r="H1666" s="9">
        <f>IFERROR(__xludf.DUMMYFUNCTION("MAX(INDEX(GOOGLEFINANCE(A1666, ""high"", TODAY()-30, TODAY()), 0, 2))"),2018.9)</f>
        <v>2018.9</v>
      </c>
      <c r="I1666" s="9">
        <f>IFERROR(__xludf.DUMMYFUNCTION("MIN(INDEX(GOOGLEFINANCE(A1666, ""low"", TODAY()-30, TODAY()), 0, 2))"),1445.7)</f>
        <v>1445.7</v>
      </c>
      <c r="J1666" s="9">
        <f>IFERROR(__xludf.DUMMYFUNCTION("GOOGLEFINANCE(A1666, ""high52"")"),2018.9)</f>
        <v>2018.9</v>
      </c>
      <c r="K1666" s="9">
        <f>IFERROR(__xludf.DUMMYFUNCTION("GOOGLEFINANCE(A1666, ""low52"")"),1445.7)</f>
        <v>1445.7</v>
      </c>
      <c r="L1666" s="9">
        <f t="shared" si="1"/>
        <v>0.2075387587</v>
      </c>
      <c r="M1666" s="9">
        <f t="shared" si="2"/>
        <v>0.106661133</v>
      </c>
      <c r="N1666" s="9">
        <f t="shared" si="3"/>
        <v>0.05555189022</v>
      </c>
      <c r="O1666" s="9">
        <f t="shared" si="4"/>
        <v>0.2690160502</v>
      </c>
      <c r="P1666" s="9">
        <f>IFERROR(__xludf.DUMMYFUNCTION("GOOGLEFINANCE(A1666, ""pe"")"),9.93)</f>
        <v>9.93</v>
      </c>
      <c r="Q1666" s="9">
        <f>IFERROR(__xludf.DUMMYFUNCTION("IFERROR(GOOGLEFINANCE(A1666, ""volume"") / GOOGLEFINANCE(A1666, ""volumeavg""), 0)"),0.0)</f>
        <v>0</v>
      </c>
      <c r="R1666" s="9">
        <f>IFERROR(__xludf.DUMMYFUNCTION("AVERAGE(INDEX(GOOGLEFINANCE(A1666, ""price"", TODAY()-30, TODAY()), 0, 2))"),1788.6434782608696)</f>
        <v>1788.643478</v>
      </c>
      <c r="S1666" s="9">
        <f>IFERROR(__xludf.DUMMYFUNCTION("AVERAGE(INDEX(GOOGLEFINANCE(A1666, ""price"", TODAY()-75, TODAY()), 0, 2))"),1767.8754716981134)</f>
        <v>1767.875472</v>
      </c>
      <c r="T1666" s="9">
        <f>IFERROR(__xludf.DUMMYFUNCTION("AVERAGE(INDEX(GOOGLEFINANCE(A1666, ""price"", TODAY()-300, TODAY()), 0, 2))"),1757.3318750000003)</f>
        <v>1757.331875</v>
      </c>
      <c r="U1666" s="9">
        <f t="shared" si="5"/>
        <v>-0.105523253</v>
      </c>
      <c r="V1666" s="15">
        <f>IFERROR(__xludf.DUMMYFUNCTION("LET(hist, GOOGLEFINANCE(A1666,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rs))))))"),38.203151961348226)</f>
        <v>38.20315196</v>
      </c>
      <c r="W1666" s="16" t="str">
        <f>IFERROR(__xludf.DUMMYFUNCTION("IFERROR(GOOGLEFINANCE(A1666, ""volume"") / GOOGLEFINANCE(A1666, ""volumeavg""), )"),"")</f>
        <v/>
      </c>
      <c r="X1666" s="9">
        <f>IFERROR(__xludf.DUMMYFUNCTION("B1666 * GOOGLEFINANCE(A1666, ""volume"")"),1.2580013700000001E7)</f>
        <v>12580013.7</v>
      </c>
      <c r="Y1666" s="9">
        <f>IFERROR(__xludf.DUMMYFUNCTION("IFERROR(((B1666 - GOOGLEFINANCE(A1666, ""priceopen"")) / GOOGLEFINANCE(A1666, ""priceopen"")) * GOOGLEFINANCE(A1666, ""volume""), 0)"),436.8045127663788)</f>
        <v>436.8045128</v>
      </c>
    </row>
    <row r="1667">
      <c r="A1667" s="107" t="s">
        <v>3459</v>
      </c>
      <c r="B1667" s="7">
        <f>IFERROR(__xludf.DUMMYFUNCTION("GOOGLEFINANCE(A1667, ""price"")"),173.35)</f>
        <v>173.35</v>
      </c>
      <c r="C1667" s="7">
        <f>IFERROR(__xludf.DUMMYFUNCTION("GOOGLEFINANCE(A1667, ""changepct"")"),3.72)</f>
        <v>3.72</v>
      </c>
      <c r="D1667" s="9">
        <f>IFERROR(__xludf.DUMMYFUNCTION("GOOGLEFINANCE(A1667, ""priceopen"")"),169.96)</f>
        <v>169.96</v>
      </c>
      <c r="E1667" s="9">
        <f>IFERROR(__xludf.DUMMYFUNCTION("GOOGLEFINANCE(A1667, ""high"")"),178.73)</f>
        <v>178.73</v>
      </c>
      <c r="F1667" s="9">
        <f>IFERROR(__xludf.DUMMYFUNCTION("GOOGLEFINANCE(A1667, ""low"")"),167.3)</f>
        <v>167.3</v>
      </c>
      <c r="G1667" s="9">
        <f>IFERROR(__xludf.DUMMYFUNCTION("GOOGLEFINANCE(A1667, ""price"")"),173.35)</f>
        <v>173.35</v>
      </c>
      <c r="H1667" s="9">
        <f>IFERROR(__xludf.DUMMYFUNCTION("MAX(INDEX(GOOGLEFINANCE(A1667, ""high"", TODAY()-30, TODAY()), 0, 2))"),178.73)</f>
        <v>178.73</v>
      </c>
      <c r="I1667" s="9">
        <f>IFERROR(__xludf.DUMMYFUNCTION("MIN(INDEX(GOOGLEFINANCE(A1667, ""low"", TODAY()-30, TODAY()), 0, 2))"),145.02)</f>
        <v>145.02</v>
      </c>
      <c r="J1667" s="9">
        <f>IFERROR(__xludf.DUMMYFUNCTION("GOOGLEFINANCE(A1667, ""high52"")"),180.5)</f>
        <v>180.5</v>
      </c>
      <c r="K1667" s="9">
        <f>IFERROR(__xludf.DUMMYFUNCTION("GOOGLEFINANCE(A1667, ""low52"")"),96.0)</f>
        <v>96</v>
      </c>
      <c r="L1667" s="9">
        <f t="shared" si="1"/>
        <v>0.03961218837</v>
      </c>
      <c r="M1667" s="9">
        <f t="shared" si="2"/>
        <v>0.8057291667</v>
      </c>
      <c r="N1667" s="9">
        <f t="shared" si="3"/>
        <v>0.06832038255</v>
      </c>
      <c r="O1667" s="9">
        <f t="shared" si="4"/>
        <v>0.8404034411</v>
      </c>
      <c r="P1667" s="9">
        <f>IFERROR(__xludf.DUMMYFUNCTION("GOOGLEFINANCE(A1667, ""pe"")"),23.08)</f>
        <v>23.08</v>
      </c>
      <c r="Q1667" s="9">
        <f>IFERROR(__xludf.DUMMYFUNCTION("IFERROR(GOOGLEFINANCE(A1667, ""volume"") / GOOGLEFINANCE(A1667, ""volumeavg""), 0)"),0.0)</f>
        <v>0</v>
      </c>
      <c r="R1667" s="9">
        <f>IFERROR(__xludf.DUMMYFUNCTION("AVERAGE(INDEX(GOOGLEFINANCE(A1667, ""price"", TODAY()-30, TODAY()), 0, 2))"),156.2886956521739)</f>
        <v>156.2886957</v>
      </c>
      <c r="S1667" s="9">
        <f>IFERROR(__xludf.DUMMYFUNCTION("AVERAGE(INDEX(GOOGLEFINANCE(A1667, ""price"", TODAY()-75, TODAY()), 0, 2))"),150.24999999999997)</f>
        <v>150.25</v>
      </c>
      <c r="T1667" s="9">
        <f>IFERROR(__xludf.DUMMYFUNCTION("AVERAGE(INDEX(GOOGLEFINANCE(A1667, ""price"", TODAY()-300, TODAY()), 0, 2))"),137.19278606965173)</f>
        <v>137.1927861</v>
      </c>
      <c r="U1667" s="9">
        <f t="shared" si="5"/>
        <v>0.1091653128</v>
      </c>
      <c r="V1667" s="15">
        <f>IFERROR(__xludf.DUMMYFUNCTION("LET(hist, GOOGLEFINANCE(A1667,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rs))))))"),74.82694970004613)</f>
        <v>74.8269497</v>
      </c>
      <c r="W1667" s="16" t="str">
        <f>IFERROR(__xludf.DUMMYFUNCTION("IFERROR(GOOGLEFINANCE(A1667, ""volume"") / GOOGLEFINANCE(A1667, ""volumeavg""), )"),"")</f>
        <v/>
      </c>
      <c r="X1667" s="9">
        <f>IFERROR(__xludf.DUMMYFUNCTION("B1667 * GOOGLEFINANCE(A1667, ""volume"")"),1.2437463795E8)</f>
        <v>124374638</v>
      </c>
      <c r="Y1667" s="9">
        <f>IFERROR(__xludf.DUMMYFUNCTION("IFERROR(((B1667 - GOOGLEFINANCE(A1667, ""priceopen"")) / GOOGLEFINANCE(A1667, ""priceopen"")) * GOOGLEFINANCE(A1667, ""volume""), 0)"),14310.702694751648)</f>
        <v>14310.70269</v>
      </c>
    </row>
    <row r="1668">
      <c r="A1668" s="4" t="s">
        <v>3460</v>
      </c>
      <c r="B1668" s="7">
        <f>IFERROR(__xludf.DUMMYFUNCTION("GOOGLEFINANCE(A1668, ""price"")"),83.0)</f>
        <v>83</v>
      </c>
      <c r="C1668" s="7">
        <f>IFERROR(__xludf.DUMMYFUNCTION("GOOGLEFINANCE(A1668, ""changepct"")"),-1.04)</f>
        <v>-1.04</v>
      </c>
      <c r="D1668" s="9">
        <f>IFERROR(__xludf.DUMMYFUNCTION("GOOGLEFINANCE(A1668, ""priceopen"")"),84.1)</f>
        <v>84.1</v>
      </c>
      <c r="E1668" s="9">
        <f>IFERROR(__xludf.DUMMYFUNCTION("GOOGLEFINANCE(A1668, ""high"")"),85.89)</f>
        <v>85.89</v>
      </c>
      <c r="F1668" s="9">
        <f>IFERROR(__xludf.DUMMYFUNCTION("GOOGLEFINANCE(A1668, ""low"")"),82.5)</f>
        <v>82.5</v>
      </c>
      <c r="G1668" s="9">
        <f>IFERROR(__xludf.DUMMYFUNCTION("GOOGLEFINANCE(A1668, ""price"")"),83.0)</f>
        <v>83</v>
      </c>
      <c r="H1668" s="9">
        <f>IFERROR(__xludf.DUMMYFUNCTION("MAX(INDEX(GOOGLEFINANCE(A1668, ""high"", TODAY()-30, TODAY()), 0, 2))"),89.8)</f>
        <v>89.8</v>
      </c>
      <c r="I1668" s="9">
        <f>IFERROR(__xludf.DUMMYFUNCTION("MIN(INDEX(GOOGLEFINANCE(A1668, ""low"", TODAY()-30, TODAY()), 0, 2))"),48.0)</f>
        <v>48</v>
      </c>
      <c r="J1668" s="9">
        <f>IFERROR(__xludf.DUMMYFUNCTION("GOOGLEFINANCE(A1668, ""high52"")"),89.8)</f>
        <v>89.8</v>
      </c>
      <c r="K1668" s="9">
        <f>IFERROR(__xludf.DUMMYFUNCTION("GOOGLEFINANCE(A1668, ""low52"")"),35.21)</f>
        <v>35.21</v>
      </c>
      <c r="L1668" s="9">
        <f t="shared" si="1"/>
        <v>0.07572383073</v>
      </c>
      <c r="M1668" s="9">
        <f t="shared" si="2"/>
        <v>1.357284862</v>
      </c>
      <c r="N1668" s="9">
        <f t="shared" si="3"/>
        <v>0.04109090909</v>
      </c>
      <c r="O1668" s="9">
        <f t="shared" si="4"/>
        <v>0.8373205742</v>
      </c>
      <c r="P1668" s="9" t="str">
        <f>IFERROR(__xludf.DUMMYFUNCTION("GOOGLEFINANCE(A1668, ""pe"")"),"#N/A")</f>
        <v>#N/A</v>
      </c>
      <c r="Q1668" s="9">
        <f>IFERROR(__xludf.DUMMYFUNCTION("IFERROR(GOOGLEFINANCE(A1668, ""volume"") / GOOGLEFINANCE(A1668, ""volumeavg""), 0)"),0.0)</f>
        <v>0</v>
      </c>
      <c r="R1668" s="9">
        <f>IFERROR(__xludf.DUMMYFUNCTION("AVERAGE(INDEX(GOOGLEFINANCE(A1668, ""price"", TODAY()-30, TODAY()), 0, 2))"),69.33695652173913)</f>
        <v>69.33695652</v>
      </c>
      <c r="S1668" s="9">
        <f>IFERROR(__xludf.DUMMYFUNCTION("AVERAGE(INDEX(GOOGLEFINANCE(A1668, ""price"", TODAY()-75, TODAY()), 0, 2))"),59.25056603773585)</f>
        <v>59.25056604</v>
      </c>
      <c r="T1668" s="9">
        <f>IFERROR(__xludf.DUMMYFUNCTION("AVERAGE(INDEX(GOOGLEFINANCE(A1668, ""price"", TODAY()-300, TODAY()), 0, 2))"),59.73727722772279)</f>
        <v>59.73727723</v>
      </c>
      <c r="U1668" s="9">
        <f t="shared" si="5"/>
        <v>0.1970528296</v>
      </c>
      <c r="V1668" s="15">
        <f>IFERROR(__xludf.DUMMYFUNCTION("LET(hist, GOOGLEFINANCE(A1668,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rs))))))"),75.30617345663588)</f>
        <v>75.30617346</v>
      </c>
      <c r="W1668" s="16" t="str">
        <f>IFERROR(__xludf.DUMMYFUNCTION("IFERROR(GOOGLEFINANCE(A1668, ""volume"") / GOOGLEFINANCE(A1668, ""volumeavg""), )"),"")</f>
        <v/>
      </c>
      <c r="X1668" s="9">
        <f>IFERROR(__xludf.DUMMYFUNCTION("B1668 * GOOGLEFINANCE(A1668, ""volume"")"),9221632.0)</f>
        <v>9221632</v>
      </c>
      <c r="Y1668" s="9">
        <f>IFERROR(__xludf.DUMMYFUNCTION("IFERROR(((B1668 - GOOGLEFINANCE(A1668, ""priceopen"")) / GOOGLEFINANCE(A1668, ""priceopen"")) * GOOGLEFINANCE(A1668, ""volume""), 0)"),-1453.2033293697905)</f>
        <v>-1453.203329</v>
      </c>
    </row>
    <row r="1669">
      <c r="A1669" s="4" t="s">
        <v>3461</v>
      </c>
      <c r="B1669" s="7">
        <f>IFERROR(__xludf.DUMMYFUNCTION("GOOGLEFINANCE(A1669, ""price"")"),37.5)</f>
        <v>37.5</v>
      </c>
      <c r="C1669" s="7">
        <f>IFERROR(__xludf.DUMMYFUNCTION("GOOGLEFINANCE(A1669, ""changepct"")"),-0.16)</f>
        <v>-0.16</v>
      </c>
      <c r="D1669" s="9">
        <f>IFERROR(__xludf.DUMMYFUNCTION("GOOGLEFINANCE(A1669, ""priceopen"")"),37.56)</f>
        <v>37.56</v>
      </c>
      <c r="E1669" s="9">
        <f>IFERROR(__xludf.DUMMYFUNCTION("GOOGLEFINANCE(A1669, ""high"")"),37.99)</f>
        <v>37.99</v>
      </c>
      <c r="F1669" s="9">
        <f>IFERROR(__xludf.DUMMYFUNCTION("GOOGLEFINANCE(A1669, ""low"")"),36.1)</f>
        <v>36.1</v>
      </c>
      <c r="G1669" s="9">
        <f>IFERROR(__xludf.DUMMYFUNCTION("GOOGLEFINANCE(A1669, ""price"")"),37.5)</f>
        <v>37.5</v>
      </c>
      <c r="H1669" s="9">
        <f>IFERROR(__xludf.DUMMYFUNCTION("MAX(INDEX(GOOGLEFINANCE(A1669, ""high"", TODAY()-30, TODAY()), 0, 2))"),42.27)</f>
        <v>42.27</v>
      </c>
      <c r="I1669" s="9">
        <f>IFERROR(__xludf.DUMMYFUNCTION("MIN(INDEX(GOOGLEFINANCE(A1669, ""low"", TODAY()-30, TODAY()), 0, 2))"),36.1)</f>
        <v>36.1</v>
      </c>
      <c r="J1669" s="9">
        <f>IFERROR(__xludf.DUMMYFUNCTION("GOOGLEFINANCE(A1669, ""high52"")"),56.6)</f>
        <v>56.6</v>
      </c>
      <c r="K1669" s="9">
        <f>IFERROR(__xludf.DUMMYFUNCTION("GOOGLEFINANCE(A1669, ""low52"")"),36.1)</f>
        <v>36.1</v>
      </c>
      <c r="L1669" s="9">
        <f t="shared" si="1"/>
        <v>0.3374558304</v>
      </c>
      <c r="M1669" s="9">
        <f t="shared" si="2"/>
        <v>0.03878116343</v>
      </c>
      <c r="N1669" s="9">
        <f t="shared" si="3"/>
        <v>0.05235457064</v>
      </c>
      <c r="O1669" s="9">
        <f t="shared" si="4"/>
        <v>0.226904376</v>
      </c>
      <c r="P1669" s="9">
        <f>IFERROR(__xludf.DUMMYFUNCTION("GOOGLEFINANCE(A1669, ""pe"")"),0.44)</f>
        <v>0.44</v>
      </c>
      <c r="Q1669" s="9">
        <f>IFERROR(__xludf.DUMMYFUNCTION("IFERROR(GOOGLEFINANCE(A1669, ""volume"") / GOOGLEFINANCE(A1669, ""volumeavg""), 0)"),0.0)</f>
        <v>0</v>
      </c>
      <c r="R1669" s="9">
        <f>IFERROR(__xludf.DUMMYFUNCTION("AVERAGE(INDEX(GOOGLEFINANCE(A1669, ""price"", TODAY()-30, TODAY()), 0, 2))"),38.52434782608695)</f>
        <v>38.52434783</v>
      </c>
      <c r="S1669" s="9">
        <f>IFERROR(__xludf.DUMMYFUNCTION("AVERAGE(INDEX(GOOGLEFINANCE(A1669, ""price"", TODAY()-75, TODAY()), 0, 2))"),41.538301886792446)</f>
        <v>41.53830189</v>
      </c>
      <c r="T1669" s="9">
        <f>IFERROR(__xludf.DUMMYFUNCTION("AVERAGE(INDEX(GOOGLEFINANCE(A1669, ""price"", TODAY()-300, TODAY()), 0, 2))"),42.49830508474576)</f>
        <v>42.49830508</v>
      </c>
      <c r="U1669" s="9">
        <f t="shared" si="5"/>
        <v>-0.02658962147</v>
      </c>
      <c r="V1669" s="15">
        <f>IFERROR(__xludf.DUMMYFUNCTION("LET(hist, GOOGLEFINANCE(A1669,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rs))))))"),43.78109452736318)</f>
        <v>43.78109453</v>
      </c>
      <c r="W1669" s="16" t="str">
        <f>IFERROR(__xludf.DUMMYFUNCTION("IFERROR(GOOGLEFINANCE(A1669, ""volume"") / GOOGLEFINANCE(A1669, ""volumeavg""), )"),"")</f>
        <v/>
      </c>
      <c r="X1669" s="9">
        <f>IFERROR(__xludf.DUMMYFUNCTION("B1669 * GOOGLEFINANCE(A1669, ""volume"")"),356100.0)</f>
        <v>356100</v>
      </c>
      <c r="Y1669" s="9">
        <f>IFERROR(__xludf.DUMMYFUNCTION("IFERROR(((B1669 - GOOGLEFINANCE(A1669, ""priceopen"")) / GOOGLEFINANCE(A1669, ""priceopen"")) * GOOGLEFINANCE(A1669, ""volume""), 0)"),-15.169329073483002)</f>
        <v>-15.16932907</v>
      </c>
    </row>
    <row r="1670">
      <c r="A1670" s="4" t="s">
        <v>3462</v>
      </c>
      <c r="B1670" s="7">
        <f>IFERROR(__xludf.DUMMYFUNCTION("GOOGLEFINANCE(A1670, ""price"")"),327.1)</f>
        <v>327.1</v>
      </c>
      <c r="C1670" s="7">
        <f>IFERROR(__xludf.DUMMYFUNCTION("GOOGLEFINANCE(A1670, ""changepct"")"),1.22)</f>
        <v>1.22</v>
      </c>
      <c r="D1670" s="9">
        <f>IFERROR(__xludf.DUMMYFUNCTION("GOOGLEFINANCE(A1670, ""priceopen"")"),323.15)</f>
        <v>323.15</v>
      </c>
      <c r="E1670" s="9">
        <f>IFERROR(__xludf.DUMMYFUNCTION("GOOGLEFINANCE(A1670, ""high"")"),330.4)</f>
        <v>330.4</v>
      </c>
      <c r="F1670" s="9">
        <f>IFERROR(__xludf.DUMMYFUNCTION("GOOGLEFINANCE(A1670, ""low"")"),321.0)</f>
        <v>321</v>
      </c>
      <c r="G1670" s="9">
        <f>IFERROR(__xludf.DUMMYFUNCTION("GOOGLEFINANCE(A1670, ""price"")"),327.1)</f>
        <v>327.1</v>
      </c>
      <c r="H1670" s="9">
        <f>IFERROR(__xludf.DUMMYFUNCTION("MAX(INDEX(GOOGLEFINANCE(A1670, ""high"", TODAY()-30, TODAY()), 0, 2))"),330.4)</f>
        <v>330.4</v>
      </c>
      <c r="I1670" s="9">
        <f>IFERROR(__xludf.DUMMYFUNCTION("MIN(INDEX(GOOGLEFINANCE(A1670, ""low"", TODAY()-30, TODAY()), 0, 2))"),311.05)</f>
        <v>311.05</v>
      </c>
      <c r="J1670" s="9">
        <f>IFERROR(__xludf.DUMMYFUNCTION("GOOGLEFINANCE(A1670, ""high52"")"),333.9)</f>
        <v>333.9</v>
      </c>
      <c r="K1670" s="9">
        <f>IFERROR(__xludf.DUMMYFUNCTION("GOOGLEFINANCE(A1670, ""low52"")"),112.0)</f>
        <v>112</v>
      </c>
      <c r="L1670" s="9">
        <f t="shared" si="1"/>
        <v>0.02036537886</v>
      </c>
      <c r="M1670" s="9">
        <f t="shared" si="2"/>
        <v>1.920535714</v>
      </c>
      <c r="N1670" s="9">
        <f t="shared" si="3"/>
        <v>0.0292834891</v>
      </c>
      <c r="O1670" s="9">
        <f t="shared" si="4"/>
        <v>0.8294573643</v>
      </c>
      <c r="P1670" s="9">
        <f>IFERROR(__xludf.DUMMYFUNCTION("GOOGLEFINANCE(A1670, ""pe"")"),37.0)</f>
        <v>37</v>
      </c>
      <c r="Q1670" s="9">
        <f>IFERROR(__xludf.DUMMYFUNCTION("IFERROR(GOOGLEFINANCE(A1670, ""volume"") / GOOGLEFINANCE(A1670, ""volumeavg""), 0)"),0.0)</f>
        <v>0</v>
      </c>
      <c r="R1670" s="9">
        <f>IFERROR(__xludf.DUMMYFUNCTION("AVERAGE(INDEX(GOOGLEFINANCE(A1670, ""price"", TODAY()-30, TODAY()), 0, 2))"),321.2282608695652)</f>
        <v>321.2282609</v>
      </c>
      <c r="S1670" s="9">
        <f>IFERROR(__xludf.DUMMYFUNCTION("AVERAGE(INDEX(GOOGLEFINANCE(A1670, ""price"", TODAY()-75, TODAY()), 0, 2))"),313.67660377358493)</f>
        <v>313.6766038</v>
      </c>
      <c r="T1670" s="9">
        <f>IFERROR(__xludf.DUMMYFUNCTION("AVERAGE(INDEX(GOOGLEFINANCE(A1670, ""price"", TODAY()-300, TODAY()), 0, 2))"),200.18567164179095)</f>
        <v>200.1856716</v>
      </c>
      <c r="U1670" s="9">
        <f t="shared" si="5"/>
        <v>0.01827902413</v>
      </c>
      <c r="V1670" s="15">
        <f>IFERROR(__xludf.DUMMYFUNCTION("LET(hist, GOOGLEFINANCE(A1670,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rs))))))"),68.39378238341979)</f>
        <v>68.39378238</v>
      </c>
      <c r="W1670" s="16" t="str">
        <f>IFERROR(__xludf.DUMMYFUNCTION("IFERROR(GOOGLEFINANCE(A1670, ""volume"") / GOOGLEFINANCE(A1670, ""volumeavg""), )"),"")</f>
        <v/>
      </c>
      <c r="X1670" s="9">
        <f>IFERROR(__xludf.DUMMYFUNCTION("B1670 * GOOGLEFINANCE(A1670, ""volume"")"),4875425.5)</f>
        <v>4875425.5</v>
      </c>
      <c r="Y1670" s="9">
        <f>IFERROR(__xludf.DUMMYFUNCTION("IFERROR(((B1670 - GOOGLEFINANCE(A1670, ""priceopen"")) / GOOGLEFINANCE(A1670, ""priceopen"")) * GOOGLEFINANCE(A1670, ""volume""), 0)"),182.1901593687163)</f>
        <v>182.1901594</v>
      </c>
    </row>
    <row r="1671">
      <c r="A1671" s="4" t="s">
        <v>3463</v>
      </c>
      <c r="B1671" s="7">
        <f>IFERROR(__xludf.DUMMYFUNCTION("GOOGLEFINANCE(A1671, ""price"")"),132.1)</f>
        <v>132.1</v>
      </c>
      <c r="C1671" s="7">
        <f>IFERROR(__xludf.DUMMYFUNCTION("GOOGLEFINANCE(A1671, ""changepct"")"),-2.08)</f>
        <v>-2.08</v>
      </c>
      <c r="D1671" s="9">
        <f>IFERROR(__xludf.DUMMYFUNCTION("GOOGLEFINANCE(A1671, ""priceopen"")"),134.14)</f>
        <v>134.14</v>
      </c>
      <c r="E1671" s="9">
        <f>IFERROR(__xludf.DUMMYFUNCTION("GOOGLEFINANCE(A1671, ""high"")"),135.63)</f>
        <v>135.63</v>
      </c>
      <c r="F1671" s="9">
        <f>IFERROR(__xludf.DUMMYFUNCTION("GOOGLEFINANCE(A1671, ""low"")"),132.0)</f>
        <v>132</v>
      </c>
      <c r="G1671" s="9">
        <f>IFERROR(__xludf.DUMMYFUNCTION("GOOGLEFINANCE(A1671, ""price"")"),132.1)</f>
        <v>132.1</v>
      </c>
      <c r="H1671" s="9">
        <f>IFERROR(__xludf.DUMMYFUNCTION("MAX(INDEX(GOOGLEFINANCE(A1671, ""high"", TODAY()-30, TODAY()), 0, 2))"),147.1)</f>
        <v>147.1</v>
      </c>
      <c r="I1671" s="9">
        <f>IFERROR(__xludf.DUMMYFUNCTION("MIN(INDEX(GOOGLEFINANCE(A1671, ""low"", TODAY()-30, TODAY()), 0, 2))"),132.0)</f>
        <v>132</v>
      </c>
      <c r="J1671" s="9">
        <f>IFERROR(__xludf.DUMMYFUNCTION("GOOGLEFINANCE(A1671, ""high52"")"),150.9)</f>
        <v>150.9</v>
      </c>
      <c r="K1671" s="9">
        <f>IFERROR(__xludf.DUMMYFUNCTION("GOOGLEFINANCE(A1671, ""low52"")"),110.3)</f>
        <v>110.3</v>
      </c>
      <c r="L1671" s="9">
        <f t="shared" si="1"/>
        <v>0.1245858184</v>
      </c>
      <c r="M1671" s="9">
        <f t="shared" si="2"/>
        <v>0.1976427924</v>
      </c>
      <c r="N1671" s="9">
        <f t="shared" si="3"/>
        <v>0.0275</v>
      </c>
      <c r="O1671" s="9">
        <f t="shared" si="4"/>
        <v>0.006622516556</v>
      </c>
      <c r="P1671" s="9">
        <f>IFERROR(__xludf.DUMMYFUNCTION("GOOGLEFINANCE(A1671, ""pe"")"),21.28)</f>
        <v>21.28</v>
      </c>
      <c r="Q1671" s="9">
        <f>IFERROR(__xludf.DUMMYFUNCTION("IFERROR(GOOGLEFINANCE(A1671, ""volume"") / GOOGLEFINANCE(A1671, ""volumeavg""), 0)"),0.0)</f>
        <v>0</v>
      </c>
      <c r="R1671" s="9">
        <f>IFERROR(__xludf.DUMMYFUNCTION("AVERAGE(INDEX(GOOGLEFINANCE(A1671, ""price"", TODAY()-30, TODAY()), 0, 2))"),136.3691304347826)</f>
        <v>136.3691304</v>
      </c>
      <c r="S1671" s="9">
        <f>IFERROR(__xludf.DUMMYFUNCTION("AVERAGE(INDEX(GOOGLEFINANCE(A1671, ""price"", TODAY()-75, TODAY()), 0, 2))"),132.641320754717)</f>
        <v>132.6413208</v>
      </c>
      <c r="T1671" s="9">
        <f>IFERROR(__xludf.DUMMYFUNCTION("AVERAGE(INDEX(GOOGLEFINANCE(A1671, ""price"", TODAY()-300, TODAY()), 0, 2))"),127.95836633663373)</f>
        <v>127.9583663</v>
      </c>
      <c r="U1671" s="9">
        <f t="shared" si="5"/>
        <v>-0.03130569522</v>
      </c>
      <c r="V1671" s="15">
        <f>IFERROR(__xludf.DUMMYFUNCTION("LET(hist, GOOGLEFINANCE(A1671,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rs))))))"),43.40974212034384)</f>
        <v>43.40974212</v>
      </c>
      <c r="W1671" s="16" t="str">
        <f>IFERROR(__xludf.DUMMYFUNCTION("IFERROR(GOOGLEFINANCE(A1671, ""volume"") / GOOGLEFINANCE(A1671, ""volumeavg""), )"),"")</f>
        <v/>
      </c>
      <c r="X1671" s="9">
        <f>IFERROR(__xludf.DUMMYFUNCTION("B1671 * GOOGLEFINANCE(A1671, ""volume"")"),4401968.3)</f>
        <v>4401968.3</v>
      </c>
      <c r="Y1671" s="9">
        <f>IFERROR(__xludf.DUMMYFUNCTION("IFERROR(((B1671 - GOOGLEFINANCE(A1671, ""priceopen"")) / GOOGLEFINANCE(A1671, ""priceopen"")) * GOOGLEFINANCE(A1671, ""volume""), 0)"),-506.775905770089)</f>
        <v>-506.7759058</v>
      </c>
    </row>
    <row r="1672">
      <c r="A1672" s="4" t="s">
        <v>3464</v>
      </c>
      <c r="B1672" s="7">
        <f>IFERROR(__xludf.DUMMYFUNCTION("GOOGLEFINANCE(A1672, ""price"")"),316.2)</f>
        <v>316.2</v>
      </c>
      <c r="C1672" s="7">
        <f>IFERROR(__xludf.DUMMYFUNCTION("GOOGLEFINANCE(A1672, ""changepct"")"),-4.8)</f>
        <v>-4.8</v>
      </c>
      <c r="D1672" s="9">
        <f>IFERROR(__xludf.DUMMYFUNCTION("GOOGLEFINANCE(A1672, ""priceopen"")"),339.75)</f>
        <v>339.75</v>
      </c>
      <c r="E1672" s="9">
        <f>IFERROR(__xludf.DUMMYFUNCTION("GOOGLEFINANCE(A1672, ""high"")"),339.75)</f>
        <v>339.75</v>
      </c>
      <c r="F1672" s="9">
        <f>IFERROR(__xludf.DUMMYFUNCTION("GOOGLEFINANCE(A1672, ""low"")"),314.0)</f>
        <v>314</v>
      </c>
      <c r="G1672" s="9">
        <f>IFERROR(__xludf.DUMMYFUNCTION("GOOGLEFINANCE(A1672, ""price"")"),316.2)</f>
        <v>316.2</v>
      </c>
      <c r="H1672" s="9">
        <f>IFERROR(__xludf.DUMMYFUNCTION("MAX(INDEX(GOOGLEFINANCE(A1672, ""high"", TODAY()-30, TODAY()), 0, 2))"),419.7)</f>
        <v>419.7</v>
      </c>
      <c r="I1672" s="9">
        <f>IFERROR(__xludf.DUMMYFUNCTION("MIN(INDEX(GOOGLEFINANCE(A1672, ""low"", TODAY()-30, TODAY()), 0, 2))"),314.0)</f>
        <v>314</v>
      </c>
      <c r="J1672" s="9">
        <f>IFERROR(__xludf.DUMMYFUNCTION("GOOGLEFINANCE(A1672, ""high52"")"),590.0)</f>
        <v>590</v>
      </c>
      <c r="K1672" s="9">
        <f>IFERROR(__xludf.DUMMYFUNCTION("GOOGLEFINANCE(A1672, ""low52"")"),307.05)</f>
        <v>307.05</v>
      </c>
      <c r="L1672" s="9">
        <f t="shared" si="1"/>
        <v>0.4640677966</v>
      </c>
      <c r="M1672" s="9">
        <f t="shared" si="2"/>
        <v>0.02979970689</v>
      </c>
      <c r="N1672" s="9">
        <f t="shared" si="3"/>
        <v>0.08200636943</v>
      </c>
      <c r="O1672" s="9">
        <f t="shared" si="4"/>
        <v>0.02081362346</v>
      </c>
      <c r="P1672" s="9">
        <f>IFERROR(__xludf.DUMMYFUNCTION("GOOGLEFINANCE(A1672, ""pe"")"),4.65)</f>
        <v>4.65</v>
      </c>
      <c r="Q1672" s="9">
        <f>IFERROR(__xludf.DUMMYFUNCTION("IFERROR(GOOGLEFINANCE(A1672, ""volume"") / GOOGLEFINANCE(A1672, ""volumeavg""), 0)"),0.0)</f>
        <v>0</v>
      </c>
      <c r="R1672" s="9">
        <f>IFERROR(__xludf.DUMMYFUNCTION("AVERAGE(INDEX(GOOGLEFINANCE(A1672, ""price"", TODAY()-30, TODAY()), 0, 2))"),368.8695652173913)</f>
        <v>368.8695652</v>
      </c>
      <c r="S1672" s="9">
        <f>IFERROR(__xludf.DUMMYFUNCTION("AVERAGE(INDEX(GOOGLEFINANCE(A1672, ""price"", TODAY()-75, TODAY()), 0, 2))"),365.08679245283025)</f>
        <v>365.0867925</v>
      </c>
      <c r="T1672" s="9">
        <f>IFERROR(__xludf.DUMMYFUNCTION("AVERAGE(INDEX(GOOGLEFINANCE(A1672, ""price"", TODAY()-300, TODAY()), 0, 2))"),412.6443069306931)</f>
        <v>412.6443069</v>
      </c>
      <c r="U1672" s="9">
        <f t="shared" si="5"/>
        <v>-0.1427864215</v>
      </c>
      <c r="V1672" s="15">
        <f>IFERROR(__xludf.DUMMYFUNCTION("LET(hist, GOOGLEFINANCE(A1672,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rs))))))"),30.4044117647059)</f>
        <v>30.40441176</v>
      </c>
      <c r="W1672" s="16" t="str">
        <f>IFERROR(__xludf.DUMMYFUNCTION("IFERROR(GOOGLEFINANCE(A1672, ""volume"") / GOOGLEFINANCE(A1672, ""volumeavg""), )"),"")</f>
        <v/>
      </c>
      <c r="X1672" s="9">
        <f>IFERROR(__xludf.DUMMYFUNCTION("B1672 * GOOGLEFINANCE(A1672, ""volume"")"),1.35437946E7)</f>
        <v>13543794.6</v>
      </c>
      <c r="Y1672" s="9">
        <f>IFERROR(__xludf.DUMMYFUNCTION("IFERROR(((B1672 - GOOGLEFINANCE(A1672, ""priceopen"")) / GOOGLEFINANCE(A1672, ""priceopen"")) * GOOGLEFINANCE(A1672, ""volume""), 0)"),-2968.9982339955864)</f>
        <v>-2968.998234</v>
      </c>
    </row>
    <row r="1673">
      <c r="A1673" s="4" t="s">
        <v>3465</v>
      </c>
      <c r="B1673" s="7">
        <f>IFERROR(__xludf.DUMMYFUNCTION("GOOGLEFINANCE(A1673, ""price"")"),47.93)</f>
        <v>47.93</v>
      </c>
      <c r="C1673" s="7">
        <f>IFERROR(__xludf.DUMMYFUNCTION("GOOGLEFINANCE(A1673, ""changepct"")"),-1.9)</f>
        <v>-1.9</v>
      </c>
      <c r="D1673" s="9">
        <f>IFERROR(__xludf.DUMMYFUNCTION("GOOGLEFINANCE(A1673, ""priceopen"")"),47.99)</f>
        <v>47.99</v>
      </c>
      <c r="E1673" s="9">
        <f>IFERROR(__xludf.DUMMYFUNCTION("GOOGLEFINANCE(A1673, ""high"")"),47.99)</f>
        <v>47.99</v>
      </c>
      <c r="F1673" s="9">
        <f>IFERROR(__xludf.DUMMYFUNCTION("GOOGLEFINANCE(A1673, ""low"")"),46.8)</f>
        <v>46.8</v>
      </c>
      <c r="G1673" s="9">
        <f>IFERROR(__xludf.DUMMYFUNCTION("GOOGLEFINANCE(A1673, ""price"")"),47.93)</f>
        <v>47.93</v>
      </c>
      <c r="H1673" s="9">
        <f>IFERROR(__xludf.DUMMYFUNCTION("MAX(INDEX(GOOGLEFINANCE(A1673, ""high"", TODAY()-30, TODAY()), 0, 2))"),57.71)</f>
        <v>57.71</v>
      </c>
      <c r="I1673" s="9">
        <f>IFERROR(__xludf.DUMMYFUNCTION("MIN(INDEX(GOOGLEFINANCE(A1673, ""low"", TODAY()-30, TODAY()), 0, 2))"),45.1)</f>
        <v>45.1</v>
      </c>
      <c r="J1673" s="9">
        <f>IFERROR(__xludf.DUMMYFUNCTION("GOOGLEFINANCE(A1673, ""high52"")"),78.41)</f>
        <v>78.41</v>
      </c>
      <c r="K1673" s="9">
        <f>IFERROR(__xludf.DUMMYFUNCTION("GOOGLEFINANCE(A1673, ""low52"")"),28.5)</f>
        <v>28.5</v>
      </c>
      <c r="L1673" s="9">
        <f t="shared" si="1"/>
        <v>0.3887259278</v>
      </c>
      <c r="M1673" s="9">
        <f t="shared" si="2"/>
        <v>0.681754386</v>
      </c>
      <c r="N1673" s="9">
        <f t="shared" si="3"/>
        <v>0.02542735043</v>
      </c>
      <c r="O1673" s="9">
        <f t="shared" si="4"/>
        <v>0.2244250595</v>
      </c>
      <c r="P1673" s="9" t="str">
        <f>IFERROR(__xludf.DUMMYFUNCTION("GOOGLEFINANCE(A1673, ""pe"")"),"#N/A")</f>
        <v>#N/A</v>
      </c>
      <c r="Q1673" s="9">
        <f>IFERROR(__xludf.DUMMYFUNCTION("IFERROR(GOOGLEFINANCE(A1673, ""volume"") / GOOGLEFINANCE(A1673, ""volumeavg""), 0)"),0.0)</f>
        <v>0</v>
      </c>
      <c r="R1673" s="9">
        <f>IFERROR(__xludf.DUMMYFUNCTION("AVERAGE(INDEX(GOOGLEFINANCE(A1673, ""price"", TODAY()-30, TODAY()), 0, 2))"),52.35565217391304)</f>
        <v>52.35565217</v>
      </c>
      <c r="S1673" s="9">
        <f>IFERROR(__xludf.DUMMYFUNCTION("AVERAGE(INDEX(GOOGLEFINANCE(A1673, ""price"", TODAY()-75, TODAY()), 0, 2))"),58.83981132075471)</f>
        <v>58.83981132</v>
      </c>
      <c r="T1673" s="9">
        <f>IFERROR(__xludf.DUMMYFUNCTION("AVERAGE(INDEX(GOOGLEFINANCE(A1673, ""price"", TODAY()-300, TODAY()), 0, 2))"),51.888811881188104)</f>
        <v>51.88881188</v>
      </c>
      <c r="U1673" s="9">
        <f t="shared" si="5"/>
        <v>-0.08453055191</v>
      </c>
      <c r="V1673" s="15">
        <f>IFERROR(__xludf.DUMMYFUNCTION("LET(hist, GOOGLEFINANCE(A1673,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rs))))))"),29.42206654991243)</f>
        <v>29.42206655</v>
      </c>
      <c r="W1673" s="16" t="str">
        <f>IFERROR(__xludf.DUMMYFUNCTION("IFERROR(GOOGLEFINANCE(A1673, ""volume"") / GOOGLEFINANCE(A1673, ""volumeavg""), )"),"")</f>
        <v/>
      </c>
      <c r="X1673" s="9">
        <f>IFERROR(__xludf.DUMMYFUNCTION("B1673 * GOOGLEFINANCE(A1673, ""volume"")"),2.094066493E7)</f>
        <v>20940664.93</v>
      </c>
      <c r="Y1673" s="9">
        <f>IFERROR(__xludf.DUMMYFUNCTION("IFERROR(((B1673 - GOOGLEFINANCE(A1673, ""priceopen"")) / GOOGLEFINANCE(A1673, ""priceopen"")) * GOOGLEFINANCE(A1673, ""volume""), 0)"),-546.2400500104395)</f>
        <v>-546.24005</v>
      </c>
    </row>
    <row r="1674">
      <c r="A1674" s="4" t="s">
        <v>3466</v>
      </c>
      <c r="B1674" s="7">
        <f>IFERROR(__xludf.DUMMYFUNCTION("GOOGLEFINANCE(A1674, ""price"")"),102.45)</f>
        <v>102.45</v>
      </c>
      <c r="C1674" s="7">
        <f>IFERROR(__xludf.DUMMYFUNCTION("GOOGLEFINANCE(A1674, ""changepct"")"),-0.26)</f>
        <v>-0.26</v>
      </c>
      <c r="D1674" s="9">
        <f>IFERROR(__xludf.DUMMYFUNCTION("GOOGLEFINANCE(A1674, ""priceopen"")"),101.84)</f>
        <v>101.84</v>
      </c>
      <c r="E1674" s="9">
        <f>IFERROR(__xludf.DUMMYFUNCTION("GOOGLEFINANCE(A1674, ""high"")"),102.88)</f>
        <v>102.88</v>
      </c>
      <c r="F1674" s="9">
        <f>IFERROR(__xludf.DUMMYFUNCTION("GOOGLEFINANCE(A1674, ""low"")"),101.11)</f>
        <v>101.11</v>
      </c>
      <c r="G1674" s="9">
        <f>IFERROR(__xludf.DUMMYFUNCTION("GOOGLEFINANCE(A1674, ""price"")"),102.45)</f>
        <v>102.45</v>
      </c>
      <c r="H1674" s="9">
        <f>IFERROR(__xludf.DUMMYFUNCTION("MAX(INDEX(GOOGLEFINANCE(A1674, ""high"", TODAY()-30, TODAY()), 0, 2))"),109.8)</f>
        <v>109.8</v>
      </c>
      <c r="I1674" s="9">
        <f>IFERROR(__xludf.DUMMYFUNCTION("MIN(INDEX(GOOGLEFINANCE(A1674, ""low"", TODAY()-30, TODAY()), 0, 2))"),94.27)</f>
        <v>94.27</v>
      </c>
      <c r="J1674" s="9">
        <f>IFERROR(__xludf.DUMMYFUNCTION("GOOGLEFINANCE(A1674, ""high52"")"),113.0)</f>
        <v>113</v>
      </c>
      <c r="K1674" s="9">
        <f>IFERROR(__xludf.DUMMYFUNCTION("GOOGLEFINANCE(A1674, ""low52"")"),94.27)</f>
        <v>94.27</v>
      </c>
      <c r="L1674" s="9">
        <f t="shared" si="1"/>
        <v>0.09336283186</v>
      </c>
      <c r="M1674" s="9">
        <f t="shared" si="2"/>
        <v>0.08677203776</v>
      </c>
      <c r="N1674" s="9">
        <f t="shared" si="3"/>
        <v>0.01750568688</v>
      </c>
      <c r="O1674" s="9">
        <f t="shared" si="4"/>
        <v>0.5267224726</v>
      </c>
      <c r="P1674" s="9">
        <f>IFERROR(__xludf.DUMMYFUNCTION("GOOGLEFINANCE(A1674, ""pe"")"),8.4)</f>
        <v>8.4</v>
      </c>
      <c r="Q1674" s="9">
        <f>IFERROR(__xludf.DUMMYFUNCTION("IFERROR(GOOGLEFINANCE(A1674, ""volume"") / GOOGLEFINANCE(A1674, ""volumeavg""), 0)"),0.0)</f>
        <v>0</v>
      </c>
      <c r="R1674" s="9">
        <f>IFERROR(__xludf.DUMMYFUNCTION("AVERAGE(INDEX(GOOGLEFINANCE(A1674, ""price"", TODAY()-30, TODAY()), 0, 2))"),101.17478260869565)</f>
        <v>101.1747826</v>
      </c>
      <c r="S1674" s="9">
        <f>IFERROR(__xludf.DUMMYFUNCTION("AVERAGE(INDEX(GOOGLEFINANCE(A1674, ""price"", TODAY()-75, TODAY()), 0, 2))"),101.63666666666667)</f>
        <v>101.6366667</v>
      </c>
      <c r="T1674" s="9">
        <f>IFERROR(__xludf.DUMMYFUNCTION("AVERAGE(INDEX(GOOGLEFINANCE(A1674, ""price"", TODAY()-300, TODAY()), 0, 2))"),101.63666666666667)</f>
        <v>101.6366667</v>
      </c>
      <c r="U1674" s="9">
        <f t="shared" si="5"/>
        <v>0.0126041031</v>
      </c>
      <c r="V1674" s="15">
        <f>IFERROR(__xludf.DUMMYFUNCTION("LET(hist, GOOGLEFINANCE(A1674,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rs))))))"),57.68737988468933)</f>
        <v>57.68737988</v>
      </c>
      <c r="W1674" s="16" t="str">
        <f>IFERROR(__xludf.DUMMYFUNCTION("IFERROR(GOOGLEFINANCE(A1674, ""volume"") / GOOGLEFINANCE(A1674, ""volumeavg""), )"),"")</f>
        <v/>
      </c>
      <c r="X1674" s="9">
        <f>IFERROR(__xludf.DUMMYFUNCTION("B1674 * GOOGLEFINANCE(A1674, ""volume"")"),1.5286154700000001E7)</f>
        <v>15286154.7</v>
      </c>
      <c r="Y1674" s="9">
        <f>IFERROR(__xludf.DUMMYFUNCTION("IFERROR(((B1674 - GOOGLEFINANCE(A1674, ""priceopen"")) / GOOGLEFINANCE(A1674, ""priceopen"")) * GOOGLEFINANCE(A1674, ""volume""), 0)"),893.712293794186)</f>
        <v>893.7122938</v>
      </c>
    </row>
    <row r="1675">
      <c r="A1675" s="4" t="s">
        <v>3467</v>
      </c>
      <c r="B1675" s="7">
        <f>IFERROR(__xludf.DUMMYFUNCTION("GOOGLEFINANCE(A1675, ""price"")"),196.0)</f>
        <v>196</v>
      </c>
      <c r="C1675" s="7">
        <f>IFERROR(__xludf.DUMMYFUNCTION("GOOGLEFINANCE(A1675, ""changepct"")"),-0.42)</f>
        <v>-0.42</v>
      </c>
      <c r="D1675" s="9">
        <f>IFERROR(__xludf.DUMMYFUNCTION("GOOGLEFINANCE(A1675, ""priceopen"")"),198.0)</f>
        <v>198</v>
      </c>
      <c r="E1675" s="9">
        <f>IFERROR(__xludf.DUMMYFUNCTION("GOOGLEFINANCE(A1675, ""high"")"),200.0)</f>
        <v>200</v>
      </c>
      <c r="F1675" s="9">
        <f>IFERROR(__xludf.DUMMYFUNCTION("GOOGLEFINANCE(A1675, ""low"")"),194.0)</f>
        <v>194</v>
      </c>
      <c r="G1675" s="9">
        <f>IFERROR(__xludf.DUMMYFUNCTION("GOOGLEFINANCE(A1675, ""price"")"),196.0)</f>
        <v>196</v>
      </c>
      <c r="H1675" s="9">
        <f>IFERROR(__xludf.DUMMYFUNCTION("MAX(INDEX(GOOGLEFINANCE(A1675, ""high"", TODAY()-30, TODAY()), 0, 2))"),219.0)</f>
        <v>219</v>
      </c>
      <c r="I1675" s="9">
        <f>IFERROR(__xludf.DUMMYFUNCTION("MIN(INDEX(GOOGLEFINANCE(A1675, ""low"", TODAY()-30, TODAY()), 0, 2))"),181.0)</f>
        <v>181</v>
      </c>
      <c r="J1675" s="9">
        <f>IFERROR(__xludf.DUMMYFUNCTION("GOOGLEFINANCE(A1675, ""high52"")"),219.0)</f>
        <v>219</v>
      </c>
      <c r="K1675" s="9">
        <f>IFERROR(__xludf.DUMMYFUNCTION("GOOGLEFINANCE(A1675, ""low52"")"),148.27)</f>
        <v>148.27</v>
      </c>
      <c r="L1675" s="9">
        <f t="shared" si="1"/>
        <v>0.1050228311</v>
      </c>
      <c r="M1675" s="9">
        <f t="shared" si="2"/>
        <v>0.3219127268</v>
      </c>
      <c r="N1675" s="9">
        <f t="shared" si="3"/>
        <v>0.03092783505</v>
      </c>
      <c r="O1675" s="9">
        <f t="shared" si="4"/>
        <v>0.3947368421</v>
      </c>
      <c r="P1675" s="9">
        <f>IFERROR(__xludf.DUMMYFUNCTION("GOOGLEFINANCE(A1675, ""pe"")"),78.23)</f>
        <v>78.23</v>
      </c>
      <c r="Q1675" s="9">
        <f>IFERROR(__xludf.DUMMYFUNCTION("IFERROR(GOOGLEFINANCE(A1675, ""volume"") / GOOGLEFINANCE(A1675, ""volumeavg""), 0)"),0.0)</f>
        <v>0</v>
      </c>
      <c r="R1675" s="9">
        <f>IFERROR(__xludf.DUMMYFUNCTION("AVERAGE(INDEX(GOOGLEFINANCE(A1675, ""price"", TODAY()-30, TODAY()), 0, 2))"),196.79739130434783)</f>
        <v>196.7973913</v>
      </c>
      <c r="S1675" s="9">
        <f>IFERROR(__xludf.DUMMYFUNCTION("AVERAGE(INDEX(GOOGLEFINANCE(A1675, ""price"", TODAY()-75, TODAY()), 0, 2))"),190.55358490566036)</f>
        <v>190.5535849</v>
      </c>
      <c r="T1675" s="9">
        <f>IFERROR(__xludf.DUMMYFUNCTION("AVERAGE(INDEX(GOOGLEFINANCE(A1675, ""price"", TODAY()-300, TODAY()), 0, 2))"),189.74658227848104)</f>
        <v>189.7465823</v>
      </c>
      <c r="U1675" s="9">
        <f t="shared" si="5"/>
        <v>-0.004051838792</v>
      </c>
      <c r="V1675" s="15">
        <f>IFERROR(__xludf.DUMMYFUNCTION("LET(hist, GOOGLEFINANCE(A1675,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rs))))))"),45.487804878048806)</f>
        <v>45.48780488</v>
      </c>
      <c r="W1675" s="16" t="str">
        <f>IFERROR(__xludf.DUMMYFUNCTION("IFERROR(GOOGLEFINANCE(A1675, ""volume"") / GOOGLEFINANCE(A1675, ""volumeavg""), )"),"")</f>
        <v/>
      </c>
      <c r="X1675" s="9">
        <f>IFERROR(__xludf.DUMMYFUNCTION("B1675 * GOOGLEFINANCE(A1675, ""volume"")"),225792.0)</f>
        <v>225792</v>
      </c>
      <c r="Y1675" s="9">
        <f>IFERROR(__xludf.DUMMYFUNCTION("IFERROR(((B1675 - GOOGLEFINANCE(A1675, ""priceopen"")) / GOOGLEFINANCE(A1675, ""priceopen"")) * GOOGLEFINANCE(A1675, ""volume""), 0)"),-11.636363636363637)</f>
        <v>-11.63636364</v>
      </c>
    </row>
    <row r="1676">
      <c r="A1676" s="4" t="s">
        <v>3468</v>
      </c>
      <c r="B1676" s="7">
        <f>IFERROR(__xludf.DUMMYFUNCTION("GOOGLEFINANCE(A1676, ""price"")"),379.7)</f>
        <v>379.7</v>
      </c>
      <c r="C1676" s="7">
        <f>IFERROR(__xludf.DUMMYFUNCTION("GOOGLEFINANCE(A1676, ""changepct"")"),0.92)</f>
        <v>0.92</v>
      </c>
      <c r="D1676" s="9">
        <f>IFERROR(__xludf.DUMMYFUNCTION("GOOGLEFINANCE(A1676, ""priceopen"")"),374.4)</f>
        <v>374.4</v>
      </c>
      <c r="E1676" s="9">
        <f>IFERROR(__xludf.DUMMYFUNCTION("GOOGLEFINANCE(A1676, ""high"")"),379.85)</f>
        <v>379.85</v>
      </c>
      <c r="F1676" s="9">
        <f>IFERROR(__xludf.DUMMYFUNCTION("GOOGLEFINANCE(A1676, ""low"")"),370.05)</f>
        <v>370.05</v>
      </c>
      <c r="G1676" s="9">
        <f>IFERROR(__xludf.DUMMYFUNCTION("GOOGLEFINANCE(A1676, ""price"")"),379.7)</f>
        <v>379.7</v>
      </c>
      <c r="H1676" s="9">
        <f>IFERROR(__xludf.DUMMYFUNCTION("MAX(INDEX(GOOGLEFINANCE(A1676, ""high"", TODAY()-30, TODAY()), 0, 2))"),386.0)</f>
        <v>386</v>
      </c>
      <c r="I1676" s="9">
        <f>IFERROR(__xludf.DUMMYFUNCTION("MIN(INDEX(GOOGLEFINANCE(A1676, ""low"", TODAY()-30, TODAY()), 0, 2))"),350.0)</f>
        <v>350</v>
      </c>
      <c r="J1676" s="9">
        <f>IFERROR(__xludf.DUMMYFUNCTION("GOOGLEFINANCE(A1676, ""high52"")"),764.0)</f>
        <v>764</v>
      </c>
      <c r="K1676" s="9">
        <f>IFERROR(__xludf.DUMMYFUNCTION("GOOGLEFINANCE(A1676, ""low52"")"),290.35)</f>
        <v>290.35</v>
      </c>
      <c r="L1676" s="9">
        <f t="shared" si="1"/>
        <v>0.5030104712</v>
      </c>
      <c r="M1676" s="9">
        <f t="shared" si="2"/>
        <v>0.3077320475</v>
      </c>
      <c r="N1676" s="9">
        <f t="shared" si="3"/>
        <v>0.02648290772</v>
      </c>
      <c r="O1676" s="9">
        <f t="shared" si="4"/>
        <v>0.825</v>
      </c>
      <c r="P1676" s="9" t="str">
        <f>IFERROR(__xludf.DUMMYFUNCTION("GOOGLEFINANCE(A1676, ""pe"")"),"#N/A")</f>
        <v>#N/A</v>
      </c>
      <c r="Q1676" s="9">
        <f>IFERROR(__xludf.DUMMYFUNCTION("IFERROR(GOOGLEFINANCE(A1676, ""volume"") / GOOGLEFINANCE(A1676, ""volumeavg""), 0)"),0.0)</f>
        <v>0</v>
      </c>
      <c r="R1676" s="9">
        <f>IFERROR(__xludf.DUMMYFUNCTION("AVERAGE(INDEX(GOOGLEFINANCE(A1676, ""price"", TODAY()-30, TODAY()), 0, 2))"),372.50869565217397)</f>
        <v>372.5086957</v>
      </c>
      <c r="S1676" s="9">
        <f>IFERROR(__xludf.DUMMYFUNCTION("AVERAGE(INDEX(GOOGLEFINANCE(A1676, ""price"", TODAY()-75, TODAY()), 0, 2))"),378.65094339622635)</f>
        <v>378.6509434</v>
      </c>
      <c r="T1676" s="9">
        <f>IFERROR(__xludf.DUMMYFUNCTION("AVERAGE(INDEX(GOOGLEFINANCE(A1676, ""price"", TODAY()-300, TODAY()), 0, 2))"),420.3928217821784)</f>
        <v>420.3928218</v>
      </c>
      <c r="U1676" s="9">
        <f t="shared" si="5"/>
        <v>0.01930506437</v>
      </c>
      <c r="V1676" s="15">
        <f>IFERROR(__xludf.DUMMYFUNCTION("LET(hist, GOOGLEFINANCE(A1676,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rs))))))"),59.53525641025641)</f>
        <v>59.53525641</v>
      </c>
      <c r="W1676" s="16" t="str">
        <f>IFERROR(__xludf.DUMMYFUNCTION("IFERROR(GOOGLEFINANCE(A1676, ""volume"") / GOOGLEFINANCE(A1676, ""volumeavg""), )"),"")</f>
        <v/>
      </c>
      <c r="X1676" s="9">
        <f>IFERROR(__xludf.DUMMYFUNCTION("B1676 * GOOGLEFINANCE(A1676, ""volume"")"),1286043.9)</f>
        <v>1286043.9</v>
      </c>
      <c r="Y1676" s="9">
        <f>IFERROR(__xludf.DUMMYFUNCTION("IFERROR(((B1676 - GOOGLEFINANCE(A1676, ""priceopen"")) / GOOGLEFINANCE(A1676, ""priceopen"")) * GOOGLEFINANCE(A1676, ""volume""), 0)"),47.94631410256421)</f>
        <v>47.9463141</v>
      </c>
    </row>
    <row r="1677">
      <c r="A1677" s="4" t="s">
        <v>3469</v>
      </c>
      <c r="B1677" s="7">
        <f>IFERROR(__xludf.DUMMYFUNCTION("GOOGLEFINANCE(A1677, ""price"")"),80.1)</f>
        <v>80.1</v>
      </c>
      <c r="C1677" s="7">
        <f>IFERROR(__xludf.DUMMYFUNCTION("GOOGLEFINANCE(A1677, ""changepct"")"),-3.8)</f>
        <v>-3.8</v>
      </c>
      <c r="D1677" s="9">
        <f>IFERROR(__xludf.DUMMYFUNCTION("GOOGLEFINANCE(A1677, ""priceopen"")"),80.75)</f>
        <v>80.75</v>
      </c>
      <c r="E1677" s="9">
        <f>IFERROR(__xludf.DUMMYFUNCTION("GOOGLEFINANCE(A1677, ""high"")"),83.18)</f>
        <v>83.18</v>
      </c>
      <c r="F1677" s="9">
        <f>IFERROR(__xludf.DUMMYFUNCTION("GOOGLEFINANCE(A1677, ""low"")"),77.01)</f>
        <v>77.01</v>
      </c>
      <c r="G1677" s="9">
        <f>IFERROR(__xludf.DUMMYFUNCTION("GOOGLEFINANCE(A1677, ""price"")"),80.1)</f>
        <v>80.1</v>
      </c>
      <c r="H1677" s="9">
        <f>IFERROR(__xludf.DUMMYFUNCTION("MAX(INDEX(GOOGLEFINANCE(A1677, ""high"", TODAY()-30, TODAY()), 0, 2))"),89.45)</f>
        <v>89.45</v>
      </c>
      <c r="I1677" s="9">
        <f>IFERROR(__xludf.DUMMYFUNCTION("MIN(INDEX(GOOGLEFINANCE(A1677, ""low"", TODAY()-30, TODAY()), 0, 2))"),77.01)</f>
        <v>77.01</v>
      </c>
      <c r="J1677" s="9">
        <f>IFERROR(__xludf.DUMMYFUNCTION("GOOGLEFINANCE(A1677, ""high52"")"),130.7)</f>
        <v>130.7</v>
      </c>
      <c r="K1677" s="9">
        <f>IFERROR(__xludf.DUMMYFUNCTION("GOOGLEFINANCE(A1677, ""low52"")"),63.06)</f>
        <v>63.06</v>
      </c>
      <c r="L1677" s="9">
        <f t="shared" si="1"/>
        <v>0.3871461362</v>
      </c>
      <c r="M1677" s="9">
        <f t="shared" si="2"/>
        <v>0.2702188392</v>
      </c>
      <c r="N1677" s="9">
        <f t="shared" si="3"/>
        <v>0.080119465</v>
      </c>
      <c r="O1677" s="9">
        <f t="shared" si="4"/>
        <v>0.248392283</v>
      </c>
      <c r="P1677" s="9">
        <f>IFERROR(__xludf.DUMMYFUNCTION("GOOGLEFINANCE(A1677, ""pe"")"),11.05)</f>
        <v>11.05</v>
      </c>
      <c r="Q1677" s="9">
        <f>IFERROR(__xludf.DUMMYFUNCTION("IFERROR(GOOGLEFINANCE(A1677, ""volume"") / GOOGLEFINANCE(A1677, ""volumeavg""), 0)"),0.0)</f>
        <v>0</v>
      </c>
      <c r="R1677" s="9">
        <f>IFERROR(__xludf.DUMMYFUNCTION("AVERAGE(INDEX(GOOGLEFINANCE(A1677, ""price"", TODAY()-30, TODAY()), 0, 2))"),83.93347826086956)</f>
        <v>83.93347826</v>
      </c>
      <c r="S1677" s="9">
        <f>IFERROR(__xludf.DUMMYFUNCTION("AVERAGE(INDEX(GOOGLEFINANCE(A1677, ""price"", TODAY()-75, TODAY()), 0, 2))"),86.08698113207546)</f>
        <v>86.08698113</v>
      </c>
      <c r="T1677" s="9">
        <f>IFERROR(__xludf.DUMMYFUNCTION("AVERAGE(INDEX(GOOGLEFINANCE(A1677, ""price"", TODAY()-300, TODAY()), 0, 2))"),89.60064356435639)</f>
        <v>89.60064356</v>
      </c>
      <c r="U1677" s="9">
        <f t="shared" si="5"/>
        <v>-0.04567281543</v>
      </c>
      <c r="V1677" s="15">
        <f>IFERROR(__xludf.DUMMYFUNCTION("LET(hist, GOOGLEFINANCE(A1677,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rs))))))"),43.447180301826826)</f>
        <v>43.4471803</v>
      </c>
      <c r="W1677" s="16" t="str">
        <f>IFERROR(__xludf.DUMMYFUNCTION("IFERROR(GOOGLEFINANCE(A1677, ""volume"") / GOOGLEFINANCE(A1677, ""volumeavg""), )"),"")</f>
        <v/>
      </c>
      <c r="X1677" s="9">
        <f>IFERROR(__xludf.DUMMYFUNCTION("B1677 * GOOGLEFINANCE(A1677, ""volume"")"),3.3051102299999997E7)</f>
        <v>33051102.3</v>
      </c>
      <c r="Y1677" s="9">
        <f>IFERROR(__xludf.DUMMYFUNCTION("IFERROR(((B1677 - GOOGLEFINANCE(A1677, ""priceopen"")) / GOOGLEFINANCE(A1677, ""priceopen"")) * GOOGLEFINANCE(A1677, ""volume""), 0)"),-3321.423529411794)</f>
        <v>-3321.423529</v>
      </c>
    </row>
    <row r="1678">
      <c r="A1678" s="4" t="s">
        <v>3470</v>
      </c>
      <c r="B1678" s="7">
        <f>IFERROR(__xludf.DUMMYFUNCTION("GOOGLEFINANCE(A1678, ""price"")"),94.5)</f>
        <v>94.5</v>
      </c>
      <c r="C1678" s="7">
        <f>IFERROR(__xludf.DUMMYFUNCTION("GOOGLEFINANCE(A1678, ""changepct"")"),0.06)</f>
        <v>0.06</v>
      </c>
      <c r="D1678" s="9">
        <f>IFERROR(__xludf.DUMMYFUNCTION("GOOGLEFINANCE(A1678, ""priceopen"")"),94.45)</f>
        <v>94.45</v>
      </c>
      <c r="E1678" s="9">
        <f>IFERROR(__xludf.DUMMYFUNCTION("GOOGLEFINANCE(A1678, ""high"")"),95.0)</f>
        <v>95</v>
      </c>
      <c r="F1678" s="9">
        <f>IFERROR(__xludf.DUMMYFUNCTION("GOOGLEFINANCE(A1678, ""low"")"),94.0)</f>
        <v>94</v>
      </c>
      <c r="G1678" s="9">
        <f>IFERROR(__xludf.DUMMYFUNCTION("GOOGLEFINANCE(A1678, ""price"")"),94.5)</f>
        <v>94.5</v>
      </c>
      <c r="H1678" s="9">
        <f>IFERROR(__xludf.DUMMYFUNCTION("MAX(INDEX(GOOGLEFINANCE(A1678, ""high"", TODAY()-30, TODAY()), 0, 2))"),101.79)</f>
        <v>101.79</v>
      </c>
      <c r="I1678" s="9">
        <f>IFERROR(__xludf.DUMMYFUNCTION("MIN(INDEX(GOOGLEFINANCE(A1678, ""low"", TODAY()-30, TODAY()), 0, 2))"),87.25)</f>
        <v>87.25</v>
      </c>
      <c r="J1678" s="9">
        <f>IFERROR(__xludf.DUMMYFUNCTION("GOOGLEFINANCE(A1678, ""high52"")"),144.3)</f>
        <v>144.3</v>
      </c>
      <c r="K1678" s="9">
        <f>IFERROR(__xludf.DUMMYFUNCTION("GOOGLEFINANCE(A1678, ""low52"")"),69.1)</f>
        <v>69.1</v>
      </c>
      <c r="L1678" s="9">
        <f t="shared" si="1"/>
        <v>0.3451143451</v>
      </c>
      <c r="M1678" s="9">
        <f t="shared" si="2"/>
        <v>0.3675832127</v>
      </c>
      <c r="N1678" s="9">
        <f t="shared" si="3"/>
        <v>0.01063829787</v>
      </c>
      <c r="O1678" s="9">
        <f t="shared" si="4"/>
        <v>0.4986244842</v>
      </c>
      <c r="P1678" s="9">
        <f>IFERROR(__xludf.DUMMYFUNCTION("GOOGLEFINANCE(A1678, ""pe"")"),22.39)</f>
        <v>22.39</v>
      </c>
      <c r="Q1678" s="9">
        <f>IFERROR(__xludf.DUMMYFUNCTION("IFERROR(GOOGLEFINANCE(A1678, ""volume"") / GOOGLEFINANCE(A1678, ""volumeavg""), 0)"),0.0)</f>
        <v>0</v>
      </c>
      <c r="R1678" s="9">
        <f>IFERROR(__xludf.DUMMYFUNCTION("AVERAGE(INDEX(GOOGLEFINANCE(A1678, ""price"", TODAY()-30, TODAY()), 0, 2))"),94.40695652173912)</f>
        <v>94.40695652</v>
      </c>
      <c r="S1678" s="9">
        <f>IFERROR(__xludf.DUMMYFUNCTION("AVERAGE(INDEX(GOOGLEFINANCE(A1678, ""price"", TODAY()-75, TODAY()), 0, 2))"),101.2767924528302)</f>
        <v>101.2767925</v>
      </c>
      <c r="T1678" s="9">
        <f>IFERROR(__xludf.DUMMYFUNCTION("AVERAGE(INDEX(GOOGLEFINANCE(A1678, ""price"", TODAY()-300, TODAY()), 0, 2))"),96.21094059405935)</f>
        <v>96.21094059</v>
      </c>
      <c r="U1678" s="9">
        <f t="shared" si="5"/>
        <v>0.0009855574387</v>
      </c>
      <c r="V1678" s="15">
        <f>IFERROR(__xludf.DUMMYFUNCTION("LET(hist, GOOGLEFINANCE(A1678,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rs))))))"),60.46647230320697)</f>
        <v>60.4664723</v>
      </c>
      <c r="W1678" s="16" t="str">
        <f>IFERROR(__xludf.DUMMYFUNCTION("IFERROR(GOOGLEFINANCE(A1678, ""volume"") / GOOGLEFINANCE(A1678, ""volumeavg""), )"),"")</f>
        <v/>
      </c>
      <c r="X1678" s="9">
        <f>IFERROR(__xludf.DUMMYFUNCTION("B1678 * GOOGLEFINANCE(A1678, ""volume"")"),2183233.5)</f>
        <v>2183233.5</v>
      </c>
      <c r="Y1678" s="9">
        <f>IFERROR(__xludf.DUMMYFUNCTION("IFERROR(((B1678 - GOOGLEFINANCE(A1678, ""priceopen"")) / GOOGLEFINANCE(A1678, ""priceopen"")) * GOOGLEFINANCE(A1678, ""volume""), 0)"),12.230280571730379)</f>
        <v>12.23028057</v>
      </c>
    </row>
    <row r="1679">
      <c r="A1679" s="4" t="s">
        <v>3471</v>
      </c>
      <c r="B1679" s="7">
        <f>IFERROR(__xludf.DUMMYFUNCTION("GOOGLEFINANCE(A1679, ""price"")"),103.0)</f>
        <v>103</v>
      </c>
      <c r="C1679" s="7">
        <f>IFERROR(__xludf.DUMMYFUNCTION("GOOGLEFINANCE(A1679, ""changepct"")"),2.88)</f>
        <v>2.88</v>
      </c>
      <c r="D1679" s="9">
        <f>IFERROR(__xludf.DUMMYFUNCTION("GOOGLEFINANCE(A1679, ""priceopen"")"),81.6)</f>
        <v>81.6</v>
      </c>
      <c r="E1679" s="9">
        <f>IFERROR(__xludf.DUMMYFUNCTION("GOOGLEFINANCE(A1679, ""high"")"),104.65)</f>
        <v>104.65</v>
      </c>
      <c r="F1679" s="9">
        <f>IFERROR(__xludf.DUMMYFUNCTION("GOOGLEFINANCE(A1679, ""low"")"),81.6)</f>
        <v>81.6</v>
      </c>
      <c r="G1679" s="9">
        <f>IFERROR(__xludf.DUMMYFUNCTION("GOOGLEFINANCE(A1679, ""price"")"),103.0)</f>
        <v>103</v>
      </c>
      <c r="H1679" s="9">
        <f>IFERROR(__xludf.DUMMYFUNCTION("MAX(INDEX(GOOGLEFINANCE(A1679, ""high"", TODAY()-30, TODAY()), 0, 2))"),106.9)</f>
        <v>106.9</v>
      </c>
      <c r="I1679" s="9">
        <f>IFERROR(__xludf.DUMMYFUNCTION("MIN(INDEX(GOOGLEFINANCE(A1679, ""low"", TODAY()-30, TODAY()), 0, 2))"),81.6)</f>
        <v>81.6</v>
      </c>
      <c r="J1679" s="9">
        <f>IFERROR(__xludf.DUMMYFUNCTION("GOOGLEFINANCE(A1679, ""high52"")"),121.9)</f>
        <v>121.9</v>
      </c>
      <c r="K1679" s="9">
        <f>IFERROR(__xludf.DUMMYFUNCTION("GOOGLEFINANCE(A1679, ""low52"")"),55.3)</f>
        <v>55.3</v>
      </c>
      <c r="L1679" s="9">
        <f t="shared" si="1"/>
        <v>0.1550451189</v>
      </c>
      <c r="M1679" s="9">
        <f t="shared" si="2"/>
        <v>0.8625678119</v>
      </c>
      <c r="N1679" s="9">
        <f t="shared" si="3"/>
        <v>0.2824754902</v>
      </c>
      <c r="O1679" s="9">
        <f t="shared" si="4"/>
        <v>0.8458498024</v>
      </c>
      <c r="P1679" s="9">
        <f>IFERROR(__xludf.DUMMYFUNCTION("GOOGLEFINANCE(A1679, ""pe"")"),19.77)</f>
        <v>19.77</v>
      </c>
      <c r="Q1679" s="9">
        <f>IFERROR(__xludf.DUMMYFUNCTION("IFERROR(GOOGLEFINANCE(A1679, ""volume"") / GOOGLEFINANCE(A1679, ""volumeavg""), 0)"),0.0)</f>
        <v>0</v>
      </c>
      <c r="R1679" s="9">
        <f>IFERROR(__xludf.DUMMYFUNCTION("AVERAGE(INDEX(GOOGLEFINANCE(A1679, ""price"", TODAY()-30, TODAY()), 0, 2))"),102.22652173913042)</f>
        <v>102.2265217</v>
      </c>
      <c r="S1679" s="9">
        <f>IFERROR(__xludf.DUMMYFUNCTION("AVERAGE(INDEX(GOOGLEFINANCE(A1679, ""price"", TODAY()-75, TODAY()), 0, 2))"),103.24226415094338)</f>
        <v>103.2422642</v>
      </c>
      <c r="T1679" s="9">
        <f>IFERROR(__xludf.DUMMYFUNCTION("AVERAGE(INDEX(GOOGLEFINANCE(A1679, ""price"", TODAY()-300, TODAY()), 0, 2))"),93.91658415841592)</f>
        <v>93.91658416</v>
      </c>
      <c r="U1679" s="9">
        <f t="shared" si="5"/>
        <v>0.007566316918</v>
      </c>
      <c r="V1679" s="15">
        <f>IFERROR(__xludf.DUMMYFUNCTION("LET(hist, GOOGLEFINANCE(A1679,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rs))))))"),50.365591397849464)</f>
        <v>50.3655914</v>
      </c>
      <c r="W1679" s="16" t="str">
        <f>IFERROR(__xludf.DUMMYFUNCTION("IFERROR(GOOGLEFINANCE(A1679, ""volume"") / GOOGLEFINANCE(A1679, ""volumeavg""), )"),"")</f>
        <v/>
      </c>
      <c r="X1679" s="9">
        <f>IFERROR(__xludf.DUMMYFUNCTION("B1679 * GOOGLEFINANCE(A1679, ""volume"")"),2.6024495E7)</f>
        <v>26024495</v>
      </c>
      <c r="Y1679" s="9">
        <f>IFERROR(__xludf.DUMMYFUNCTION("IFERROR(((B1679 - GOOGLEFINANCE(A1679, ""priceopen"")) / GOOGLEFINANCE(A1679, ""priceopen"")) * GOOGLEFINANCE(A1679, ""volume""), 0)"),66262.63480392158)</f>
        <v>66262.6348</v>
      </c>
    </row>
    <row r="1680">
      <c r="A1680" s="4" t="s">
        <v>3472</v>
      </c>
      <c r="B1680" s="7">
        <f>IFERROR(__xludf.DUMMYFUNCTION("GOOGLEFINANCE(A1680, ""price"")"),14.48)</f>
        <v>14.48</v>
      </c>
      <c r="C1680" s="7">
        <f>IFERROR(__xludf.DUMMYFUNCTION("GOOGLEFINANCE(A1680, ""changepct"")"),0.98)</f>
        <v>0.98</v>
      </c>
      <c r="D1680" s="9">
        <f>IFERROR(__xludf.DUMMYFUNCTION("GOOGLEFINANCE(A1680, ""priceopen"")"),14.41)</f>
        <v>14.41</v>
      </c>
      <c r="E1680" s="9">
        <f>IFERROR(__xludf.DUMMYFUNCTION("GOOGLEFINANCE(A1680, ""high"")"),14.65)</f>
        <v>14.65</v>
      </c>
      <c r="F1680" s="9">
        <f>IFERROR(__xludf.DUMMYFUNCTION("GOOGLEFINANCE(A1680, ""low"")"),14.12)</f>
        <v>14.12</v>
      </c>
      <c r="G1680" s="9">
        <f>IFERROR(__xludf.DUMMYFUNCTION("GOOGLEFINANCE(A1680, ""price"")"),14.48)</f>
        <v>14.48</v>
      </c>
      <c r="H1680" s="9">
        <f>IFERROR(__xludf.DUMMYFUNCTION("MAX(INDEX(GOOGLEFINANCE(A1680, ""high"", TODAY()-30, TODAY()), 0, 2))"),17.19)</f>
        <v>17.19</v>
      </c>
      <c r="I1680" s="9">
        <f>IFERROR(__xludf.DUMMYFUNCTION("MIN(INDEX(GOOGLEFINANCE(A1680, ""low"", TODAY()-30, TODAY()), 0, 2))"),13.91)</f>
        <v>13.91</v>
      </c>
      <c r="J1680" s="9">
        <f>IFERROR(__xludf.DUMMYFUNCTION("GOOGLEFINANCE(A1680, ""high52"")"),18.4)</f>
        <v>18.4</v>
      </c>
      <c r="K1680" s="9">
        <f>IFERROR(__xludf.DUMMYFUNCTION("GOOGLEFINANCE(A1680, ""low52"")"),9.53)</f>
        <v>9.53</v>
      </c>
      <c r="L1680" s="9">
        <f t="shared" si="1"/>
        <v>0.2130434783</v>
      </c>
      <c r="M1680" s="9">
        <f t="shared" si="2"/>
        <v>0.519412382</v>
      </c>
      <c r="N1680" s="9">
        <f t="shared" si="3"/>
        <v>0.03753541076</v>
      </c>
      <c r="O1680" s="9">
        <f t="shared" si="4"/>
        <v>0.1737804878</v>
      </c>
      <c r="P1680" s="9">
        <f>IFERROR(__xludf.DUMMYFUNCTION("GOOGLEFINANCE(A1680, ""pe"")"),10.04)</f>
        <v>10.04</v>
      </c>
      <c r="Q1680" s="9">
        <f>IFERROR(__xludf.DUMMYFUNCTION("IFERROR(GOOGLEFINANCE(A1680, ""volume"") / GOOGLEFINANCE(A1680, ""volumeavg""), 0)"),0.0)</f>
        <v>0</v>
      </c>
      <c r="R1680" s="9">
        <f>IFERROR(__xludf.DUMMYFUNCTION("AVERAGE(INDEX(GOOGLEFINANCE(A1680, ""price"", TODAY()-30, TODAY()), 0, 2))"),15.838260869565215)</f>
        <v>15.83826087</v>
      </c>
      <c r="S1680" s="9">
        <f>IFERROR(__xludf.DUMMYFUNCTION("AVERAGE(INDEX(GOOGLEFINANCE(A1680, ""price"", TODAY()-75, TODAY()), 0, 2))"),15.982830188679246)</f>
        <v>15.98283019</v>
      </c>
      <c r="T1680" s="9">
        <f>IFERROR(__xludf.DUMMYFUNCTION("AVERAGE(INDEX(GOOGLEFINANCE(A1680, ""price"", TODAY()-300, TODAY()), 0, 2))"),13.899108910891083)</f>
        <v>13.89910891</v>
      </c>
      <c r="U1680" s="9">
        <f t="shared" si="5"/>
        <v>-0.08575820797</v>
      </c>
      <c r="V1680" s="15">
        <f>IFERROR(__xludf.DUMMYFUNCTION("LET(hist, GOOGLEFINANCE(A1680,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rs))))))"),28.69955156950668)</f>
        <v>28.69955157</v>
      </c>
      <c r="W1680" s="16" t="str">
        <f>IFERROR(__xludf.DUMMYFUNCTION("IFERROR(GOOGLEFINANCE(A1680, ""volume"") / GOOGLEFINANCE(A1680, ""volumeavg""), )"),"")</f>
        <v/>
      </c>
      <c r="X1680" s="9">
        <f>IFERROR(__xludf.DUMMYFUNCTION("B1680 * GOOGLEFINANCE(A1680, ""volume"")"),933250.48)</f>
        <v>933250.48</v>
      </c>
      <c r="Y1680" s="9">
        <f>IFERROR(__xludf.DUMMYFUNCTION("IFERROR(((B1680 - GOOGLEFINANCE(A1680, ""priceopen"")) / GOOGLEFINANCE(A1680, ""priceopen"")) * GOOGLEFINANCE(A1680, ""volume""), 0)"),313.0860513532282)</f>
        <v>313.0860514</v>
      </c>
    </row>
    <row r="1681">
      <c r="A1681" s="4" t="s">
        <v>3473</v>
      </c>
      <c r="B1681" s="7">
        <f>IFERROR(__xludf.DUMMYFUNCTION("GOOGLEFINANCE(A1681, ""price"")"),2.83)</f>
        <v>2.83</v>
      </c>
      <c r="C1681" s="7">
        <f>IFERROR(__xludf.DUMMYFUNCTION("GOOGLEFINANCE(A1681, ""changepct"")"),0.71)</f>
        <v>0.71</v>
      </c>
      <c r="D1681" s="9">
        <f>IFERROR(__xludf.DUMMYFUNCTION("GOOGLEFINANCE(A1681, ""priceopen"")"),2.83)</f>
        <v>2.83</v>
      </c>
      <c r="E1681" s="9">
        <f>IFERROR(__xludf.DUMMYFUNCTION("GOOGLEFINANCE(A1681, ""high"")"),2.83)</f>
        <v>2.83</v>
      </c>
      <c r="F1681" s="9">
        <f>IFERROR(__xludf.DUMMYFUNCTION("GOOGLEFINANCE(A1681, ""low"")"),2.75)</f>
        <v>2.75</v>
      </c>
      <c r="G1681" s="9">
        <f>IFERROR(__xludf.DUMMYFUNCTION("GOOGLEFINANCE(A1681, ""price"")"),2.83)</f>
        <v>2.83</v>
      </c>
      <c r="H1681" s="9">
        <f>IFERROR(__xludf.DUMMYFUNCTION("MAX(INDEX(GOOGLEFINANCE(A1681, ""high"", TODAY()-30, TODAY()), 0, 2))"),3.0)</f>
        <v>3</v>
      </c>
      <c r="I1681" s="9">
        <f>IFERROR(__xludf.DUMMYFUNCTION("MIN(INDEX(GOOGLEFINANCE(A1681, ""low"", TODAY()-30, TODAY()), 0, 2))"),2.74)</f>
        <v>2.74</v>
      </c>
      <c r="J1681" s="9">
        <f>IFERROR(__xludf.DUMMYFUNCTION("GOOGLEFINANCE(A1681, ""high52"")"),5.99)</f>
        <v>5.99</v>
      </c>
      <c r="K1681" s="9">
        <f>IFERROR(__xludf.DUMMYFUNCTION("GOOGLEFINANCE(A1681, ""low52"")"),1.82)</f>
        <v>1.82</v>
      </c>
      <c r="L1681" s="9">
        <f t="shared" si="1"/>
        <v>0.5275459098</v>
      </c>
      <c r="M1681" s="9">
        <f t="shared" si="2"/>
        <v>0.5549450549</v>
      </c>
      <c r="N1681" s="9">
        <f t="shared" si="3"/>
        <v>0.02909090909</v>
      </c>
      <c r="O1681" s="9">
        <f t="shared" si="4"/>
        <v>0.3461538462</v>
      </c>
      <c r="P1681" s="9" t="str">
        <f>IFERROR(__xludf.DUMMYFUNCTION("GOOGLEFINANCE(A1681, ""pe"")"),"#N/A")</f>
        <v>#N/A</v>
      </c>
      <c r="Q1681" s="9">
        <f>IFERROR(__xludf.DUMMYFUNCTION("IFERROR(GOOGLEFINANCE(A1681, ""volume"") / GOOGLEFINANCE(A1681, ""volumeavg""), 0)"),0.0)</f>
        <v>0</v>
      </c>
      <c r="R1681" s="9">
        <f>IFERROR(__xludf.DUMMYFUNCTION("AVERAGE(INDEX(GOOGLEFINANCE(A1681, ""price"", TODAY()-30, TODAY()), 0, 2))"),2.864782608695652)</f>
        <v>2.864782609</v>
      </c>
      <c r="S1681" s="9">
        <f>IFERROR(__xludf.DUMMYFUNCTION("AVERAGE(INDEX(GOOGLEFINANCE(A1681, ""price"", TODAY()-75, TODAY()), 0, 2))"),2.9845283018867925)</f>
        <v>2.984528302</v>
      </c>
      <c r="T1681" s="9">
        <f>IFERROR(__xludf.DUMMYFUNCTION("AVERAGE(INDEX(GOOGLEFINANCE(A1681, ""price"", TODAY()-300, TODAY()), 0, 2))"),3.432985074626865)</f>
        <v>3.432985075</v>
      </c>
      <c r="U1681" s="9">
        <f t="shared" si="5"/>
        <v>-0.01214144787</v>
      </c>
      <c r="V1681" s="15">
        <f>IFERROR(__xludf.DUMMYFUNCTION("LET(hist, GOOGLEFINANCE(A1681,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rs))))))"),48.93617021276599)</f>
        <v>48.93617021</v>
      </c>
      <c r="W1681" s="16" t="str">
        <f>IFERROR(__xludf.DUMMYFUNCTION("IFERROR(GOOGLEFINANCE(A1681, ""volume"") / GOOGLEFINANCE(A1681, ""volumeavg""), )"),"")</f>
        <v/>
      </c>
      <c r="X1681" s="9">
        <f>IFERROR(__xludf.DUMMYFUNCTION("B1681 * GOOGLEFINANCE(A1681, ""volume"")"),2480356.33)</f>
        <v>2480356.33</v>
      </c>
      <c r="Y1681" s="9">
        <f>IFERROR(__xludf.DUMMYFUNCTION("IFERROR(((B1681 - GOOGLEFINANCE(A1681, ""priceopen"")) / GOOGLEFINANCE(A1681, ""priceopen"")) * GOOGLEFINANCE(A1681, ""volume""), 0)"),0.0)</f>
        <v>0</v>
      </c>
    </row>
    <row r="1682">
      <c r="A1682" s="4" t="s">
        <v>3474</v>
      </c>
      <c r="B1682" s="7">
        <f>IFERROR(__xludf.DUMMYFUNCTION("GOOGLEFINANCE(A1682, ""price"")"),38.85)</f>
        <v>38.85</v>
      </c>
      <c r="C1682" s="7">
        <f>IFERROR(__xludf.DUMMYFUNCTION("GOOGLEFINANCE(A1682, ""changepct"")"),2.0)</f>
        <v>2</v>
      </c>
      <c r="D1682" s="9">
        <f>IFERROR(__xludf.DUMMYFUNCTION("GOOGLEFINANCE(A1682, ""priceopen"")"),37.92)</f>
        <v>37.92</v>
      </c>
      <c r="E1682" s="9">
        <f>IFERROR(__xludf.DUMMYFUNCTION("GOOGLEFINANCE(A1682, ""high"")"),40.0)</f>
        <v>40</v>
      </c>
      <c r="F1682" s="9">
        <f>IFERROR(__xludf.DUMMYFUNCTION("GOOGLEFINANCE(A1682, ""low"")"),37.7)</f>
        <v>37.7</v>
      </c>
      <c r="G1682" s="9">
        <f>IFERROR(__xludf.DUMMYFUNCTION("GOOGLEFINANCE(A1682, ""price"")"),38.85)</f>
        <v>38.85</v>
      </c>
      <c r="H1682" s="9">
        <f>IFERROR(__xludf.DUMMYFUNCTION("MAX(INDEX(GOOGLEFINANCE(A1682, ""high"", TODAY()-30, TODAY()), 0, 2))"),43.72)</f>
        <v>43.72</v>
      </c>
      <c r="I1682" s="9">
        <f>IFERROR(__xludf.DUMMYFUNCTION("MIN(INDEX(GOOGLEFINANCE(A1682, ""low"", TODAY()-30, TODAY()), 0, 2))"),37.62)</f>
        <v>37.62</v>
      </c>
      <c r="J1682" s="9">
        <f>IFERROR(__xludf.DUMMYFUNCTION("GOOGLEFINANCE(A1682, ""high52"")"),71.99)</f>
        <v>71.99</v>
      </c>
      <c r="K1682" s="9">
        <f>IFERROR(__xludf.DUMMYFUNCTION("GOOGLEFINANCE(A1682, ""low52"")"),37.62)</f>
        <v>37.62</v>
      </c>
      <c r="L1682" s="9">
        <f t="shared" si="1"/>
        <v>0.4603417141</v>
      </c>
      <c r="M1682" s="9">
        <f t="shared" si="2"/>
        <v>0.0326953748</v>
      </c>
      <c r="N1682" s="9">
        <f t="shared" si="3"/>
        <v>0.06100795756</v>
      </c>
      <c r="O1682" s="9">
        <f t="shared" si="4"/>
        <v>0.2016393443</v>
      </c>
      <c r="P1682" s="9">
        <f>IFERROR(__xludf.DUMMYFUNCTION("GOOGLEFINANCE(A1682, ""pe"")"),21.95)</f>
        <v>21.95</v>
      </c>
      <c r="Q1682" s="9">
        <f>IFERROR(__xludf.DUMMYFUNCTION("IFERROR(GOOGLEFINANCE(A1682, ""volume"") / GOOGLEFINANCE(A1682, ""volumeavg""), 0)"),0.0)</f>
        <v>0</v>
      </c>
      <c r="R1682" s="9">
        <f>IFERROR(__xludf.DUMMYFUNCTION("AVERAGE(INDEX(GOOGLEFINANCE(A1682, ""price"", TODAY()-30, TODAY()), 0, 2))"),39.99391304347826)</f>
        <v>39.99391304</v>
      </c>
      <c r="S1682" s="9">
        <f>IFERROR(__xludf.DUMMYFUNCTION("AVERAGE(INDEX(GOOGLEFINANCE(A1682, ""price"", TODAY()-75, TODAY()), 0, 2))"),41.96452830188679)</f>
        <v>41.9645283</v>
      </c>
      <c r="T1682" s="9">
        <f>IFERROR(__xludf.DUMMYFUNCTION("AVERAGE(INDEX(GOOGLEFINANCE(A1682, ""price"", TODAY()-300, TODAY()), 0, 2))"),50.59341584158415)</f>
        <v>50.59341584</v>
      </c>
      <c r="U1682" s="9">
        <f t="shared" si="5"/>
        <v>-0.02860217859</v>
      </c>
      <c r="V1682" s="15">
        <f>IFERROR(__xludf.DUMMYFUNCTION("LET(hist, GOOGLEFINANCE(A1682,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rs))))))"),37.457817772778455)</f>
        <v>37.45781777</v>
      </c>
      <c r="W1682" s="16" t="str">
        <f>IFERROR(__xludf.DUMMYFUNCTION("IFERROR(GOOGLEFINANCE(A1682, ""volume"") / GOOGLEFINANCE(A1682, ""volumeavg""), )"),"")</f>
        <v/>
      </c>
      <c r="X1682" s="9">
        <f>IFERROR(__xludf.DUMMYFUNCTION("B1682 * GOOGLEFINANCE(A1682, ""volume"")"),4497625.65)</f>
        <v>4497625.65</v>
      </c>
      <c r="Y1682" s="9">
        <f>IFERROR(__xludf.DUMMYFUNCTION("IFERROR(((B1682 - GOOGLEFINANCE(A1682, ""priceopen"")) / GOOGLEFINANCE(A1682, ""priceopen"")) * GOOGLEFINANCE(A1682, ""volume""), 0)"),2839.271360759493)</f>
        <v>2839.271361</v>
      </c>
    </row>
    <row r="1683">
      <c r="A1683" s="4" t="s">
        <v>3475</v>
      </c>
      <c r="B1683" s="7">
        <f>IFERROR(__xludf.DUMMYFUNCTION("GOOGLEFINANCE(A1683, ""price"")"),39.3)</f>
        <v>39.3</v>
      </c>
      <c r="C1683" s="7">
        <f>IFERROR(__xludf.DUMMYFUNCTION("GOOGLEFINANCE(A1683, ""changepct"")"),0.92)</f>
        <v>0.92</v>
      </c>
      <c r="D1683" s="9">
        <f>IFERROR(__xludf.DUMMYFUNCTION("GOOGLEFINANCE(A1683, ""priceopen"")"),39.25)</f>
        <v>39.25</v>
      </c>
      <c r="E1683" s="9">
        <f>IFERROR(__xludf.DUMMYFUNCTION("GOOGLEFINANCE(A1683, ""high"")"),39.44)</f>
        <v>39.44</v>
      </c>
      <c r="F1683" s="9">
        <f>IFERROR(__xludf.DUMMYFUNCTION("GOOGLEFINANCE(A1683, ""low"")"),38.71)</f>
        <v>38.71</v>
      </c>
      <c r="G1683" s="9">
        <f>IFERROR(__xludf.DUMMYFUNCTION("GOOGLEFINANCE(A1683, ""price"")"),39.3)</f>
        <v>39.3</v>
      </c>
      <c r="H1683" s="9">
        <f>IFERROR(__xludf.DUMMYFUNCTION("MAX(INDEX(GOOGLEFINANCE(A1683, ""high"", TODAY()-30, TODAY()), 0, 2))"),40.62)</f>
        <v>40.62</v>
      </c>
      <c r="I1683" s="9">
        <f>IFERROR(__xludf.DUMMYFUNCTION("MIN(INDEX(GOOGLEFINANCE(A1683, ""low"", TODAY()-30, TODAY()), 0, 2))"),38.71)</f>
        <v>38.71</v>
      </c>
      <c r="J1683" s="9">
        <f>IFERROR(__xludf.DUMMYFUNCTION("GOOGLEFINANCE(A1683, ""high52"")"),43.77)</f>
        <v>43.77</v>
      </c>
      <c r="K1683" s="9">
        <f>IFERROR(__xludf.DUMMYFUNCTION("GOOGLEFINANCE(A1683, ""low52"")"),36.1)</f>
        <v>36.1</v>
      </c>
      <c r="L1683" s="9">
        <f t="shared" si="1"/>
        <v>0.102124743</v>
      </c>
      <c r="M1683" s="9">
        <f t="shared" si="2"/>
        <v>0.08864265928</v>
      </c>
      <c r="N1683" s="9">
        <f t="shared" si="3"/>
        <v>0.01885817618</v>
      </c>
      <c r="O1683" s="9">
        <f t="shared" si="4"/>
        <v>0.3089005236</v>
      </c>
      <c r="P1683" s="9">
        <f>IFERROR(__xludf.DUMMYFUNCTION("GOOGLEFINANCE(A1683, ""pe"")"),11.4)</f>
        <v>11.4</v>
      </c>
      <c r="Q1683" s="9">
        <f>IFERROR(__xludf.DUMMYFUNCTION("IFERROR(GOOGLEFINANCE(A1683, ""volume"") / GOOGLEFINANCE(A1683, ""volumeavg""), 0)"),0.0)</f>
        <v>0</v>
      </c>
      <c r="R1683" s="9">
        <f>IFERROR(__xludf.DUMMYFUNCTION("AVERAGE(INDEX(GOOGLEFINANCE(A1683, ""price"", TODAY()-30, TODAY()), 0, 2))"),39.57434782608695)</f>
        <v>39.57434783</v>
      </c>
      <c r="S1683" s="9">
        <f>IFERROR(__xludf.DUMMYFUNCTION("AVERAGE(INDEX(GOOGLEFINANCE(A1683, ""price"", TODAY()-75, TODAY()), 0, 2))"),40.49433962264151)</f>
        <v>40.49433962</v>
      </c>
      <c r="T1683" s="9">
        <f>IFERROR(__xludf.DUMMYFUNCTION("AVERAGE(INDEX(GOOGLEFINANCE(A1683, ""price"", TODAY()-300, TODAY()), 0, 2))"),39.50638613861384)</f>
        <v>39.50638614</v>
      </c>
      <c r="U1683" s="9">
        <f t="shared" si="5"/>
        <v>-0.006932466134</v>
      </c>
      <c r="V1683" s="15">
        <f>IFERROR(__xludf.DUMMYFUNCTION("LET(hist, GOOGLEFINANCE(A1683,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rs))))))"),49.33333333333336)</f>
        <v>49.33333333</v>
      </c>
      <c r="W1683" s="16" t="str">
        <f>IFERROR(__xludf.DUMMYFUNCTION("IFERROR(GOOGLEFINANCE(A1683, ""volume"") / GOOGLEFINANCE(A1683, ""volumeavg""), )"),"")</f>
        <v/>
      </c>
      <c r="X1683" s="9">
        <f>IFERROR(__xludf.DUMMYFUNCTION("B1683 * GOOGLEFINANCE(A1683, ""volume"")"),870927.2999999999)</f>
        <v>870927.3</v>
      </c>
      <c r="Y1683" s="9">
        <f>IFERROR(__xludf.DUMMYFUNCTION("IFERROR(((B1683 - GOOGLEFINANCE(A1683, ""priceopen"")) / GOOGLEFINANCE(A1683, ""priceopen"")) * GOOGLEFINANCE(A1683, ""volume""), 0)"),28.23057324840604)</f>
        <v>28.23057325</v>
      </c>
    </row>
    <row r="1684">
      <c r="A1684" s="4" t="s">
        <v>3476</v>
      </c>
      <c r="B1684" s="7">
        <f>IFERROR(__xludf.DUMMYFUNCTION("GOOGLEFINANCE(A1684, ""price"")"),202.5)</f>
        <v>202.5</v>
      </c>
      <c r="C1684" s="7">
        <f>IFERROR(__xludf.DUMMYFUNCTION("GOOGLEFINANCE(A1684, ""changepct"")"),-1.03)</f>
        <v>-1.03</v>
      </c>
      <c r="D1684" s="9">
        <f>IFERROR(__xludf.DUMMYFUNCTION("GOOGLEFINANCE(A1684, ""priceopen"")"),203.04)</f>
        <v>203.04</v>
      </c>
      <c r="E1684" s="9">
        <f>IFERROR(__xludf.DUMMYFUNCTION("GOOGLEFINANCE(A1684, ""high"")"),203.04)</f>
        <v>203.04</v>
      </c>
      <c r="F1684" s="9">
        <f>IFERROR(__xludf.DUMMYFUNCTION("GOOGLEFINANCE(A1684, ""low"")"),200.42)</f>
        <v>200.42</v>
      </c>
      <c r="G1684" s="9">
        <f>IFERROR(__xludf.DUMMYFUNCTION("GOOGLEFINANCE(A1684, ""price"")"),202.5)</f>
        <v>202.5</v>
      </c>
      <c r="H1684" s="9">
        <f>IFERROR(__xludf.DUMMYFUNCTION("MAX(INDEX(GOOGLEFINANCE(A1684, ""high"", TODAY()-30, TODAY()), 0, 2))"),227.0)</f>
        <v>227</v>
      </c>
      <c r="I1684" s="9">
        <f>IFERROR(__xludf.DUMMYFUNCTION("MIN(INDEX(GOOGLEFINANCE(A1684, ""low"", TODAY()-30, TODAY()), 0, 2))"),194.1)</f>
        <v>194.1</v>
      </c>
      <c r="J1684" s="9">
        <f>IFERROR(__xludf.DUMMYFUNCTION("GOOGLEFINANCE(A1684, ""high52"")"),233.9)</f>
        <v>233.9</v>
      </c>
      <c r="K1684" s="9">
        <f>IFERROR(__xludf.DUMMYFUNCTION("GOOGLEFINANCE(A1684, ""low52"")"),148.3)</f>
        <v>148.3</v>
      </c>
      <c r="L1684" s="9">
        <f t="shared" si="1"/>
        <v>0.134245404</v>
      </c>
      <c r="M1684" s="9">
        <f t="shared" si="2"/>
        <v>0.3654753877</v>
      </c>
      <c r="N1684" s="9">
        <f t="shared" si="3"/>
        <v>0.01307254765</v>
      </c>
      <c r="O1684" s="9">
        <f t="shared" si="4"/>
        <v>0.2553191489</v>
      </c>
      <c r="P1684" s="9">
        <f>IFERROR(__xludf.DUMMYFUNCTION("GOOGLEFINANCE(A1684, ""pe"")"),15.98)</f>
        <v>15.98</v>
      </c>
      <c r="Q1684" s="9">
        <f>IFERROR(__xludf.DUMMYFUNCTION("IFERROR(GOOGLEFINANCE(A1684, ""volume"") / GOOGLEFINANCE(A1684, ""volumeavg""), 0)"),0.0)</f>
        <v>0</v>
      </c>
      <c r="R1684" s="9">
        <f>IFERROR(__xludf.DUMMYFUNCTION("AVERAGE(INDEX(GOOGLEFINANCE(A1684, ""price"", TODAY()-30, TODAY()), 0, 2))"),206.23000000000005)</f>
        <v>206.23</v>
      </c>
      <c r="S1684" s="9">
        <f>IFERROR(__xludf.DUMMYFUNCTION("AVERAGE(INDEX(GOOGLEFINANCE(A1684, ""price"", TODAY()-75, TODAY()), 0, 2))"),204.7141509433962)</f>
        <v>204.7141509</v>
      </c>
      <c r="T1684" s="9">
        <f>IFERROR(__xludf.DUMMYFUNCTION("AVERAGE(INDEX(GOOGLEFINANCE(A1684, ""price"", TODAY()-300, TODAY()), 0, 2))"),197.25552238805972)</f>
        <v>197.2555224</v>
      </c>
      <c r="U1684" s="9">
        <f t="shared" si="5"/>
        <v>-0.01808660234</v>
      </c>
      <c r="V1684" s="15">
        <f>IFERROR(__xludf.DUMMYFUNCTION("LET(hist, GOOGLEFINANCE(A1684,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rs))))))"),43.92348087021757)</f>
        <v>43.92348087</v>
      </c>
      <c r="W1684" s="16" t="str">
        <f>IFERROR(__xludf.DUMMYFUNCTION("IFERROR(GOOGLEFINANCE(A1684, ""volume"") / GOOGLEFINANCE(A1684, ""volumeavg""), )"),"")</f>
        <v/>
      </c>
      <c r="X1684" s="9">
        <f>IFERROR(__xludf.DUMMYFUNCTION("B1684 * GOOGLEFINANCE(A1684, ""volume"")"),739327.5)</f>
        <v>739327.5</v>
      </c>
      <c r="Y1684" s="9">
        <f>IFERROR(__xludf.DUMMYFUNCTION("IFERROR(((B1684 - GOOGLEFINANCE(A1684, ""priceopen"")) / GOOGLEFINANCE(A1684, ""priceopen"")) * GOOGLEFINANCE(A1684, ""volume""), 0)"),-9.71010638297858)</f>
        <v>-9.710106383</v>
      </c>
    </row>
    <row r="1685">
      <c r="A1685" s="4" t="s">
        <v>3477</v>
      </c>
      <c r="B1685" s="7">
        <f>IFERROR(__xludf.DUMMYFUNCTION("GOOGLEFINANCE(A1685, ""price"")"),60.79)</f>
        <v>60.79</v>
      </c>
      <c r="C1685" s="7">
        <f>IFERROR(__xludf.DUMMYFUNCTION("GOOGLEFINANCE(A1685, ""changepct"")"),-4.99)</f>
        <v>-4.99</v>
      </c>
      <c r="D1685" s="9">
        <f>IFERROR(__xludf.DUMMYFUNCTION("GOOGLEFINANCE(A1685, ""priceopen"")"),64.29)</f>
        <v>64.29</v>
      </c>
      <c r="E1685" s="9">
        <f>IFERROR(__xludf.DUMMYFUNCTION("GOOGLEFINANCE(A1685, ""high"")"),64.85)</f>
        <v>64.85</v>
      </c>
      <c r="F1685" s="9">
        <f>IFERROR(__xludf.DUMMYFUNCTION("GOOGLEFINANCE(A1685, ""low"")"),60.79)</f>
        <v>60.79</v>
      </c>
      <c r="G1685" s="9">
        <f>IFERROR(__xludf.DUMMYFUNCTION("GOOGLEFINANCE(A1685, ""price"")"),60.79)</f>
        <v>60.79</v>
      </c>
      <c r="H1685" s="9">
        <f>IFERROR(__xludf.DUMMYFUNCTION("MAX(INDEX(GOOGLEFINANCE(A1685, ""high"", TODAY()-30, TODAY()), 0, 2))"),65.49)</f>
        <v>65.49</v>
      </c>
      <c r="I1685" s="9">
        <f>IFERROR(__xludf.DUMMYFUNCTION("MIN(INDEX(GOOGLEFINANCE(A1685, ""low"", TODAY()-30, TODAY()), 0, 2))"),56.3)</f>
        <v>56.3</v>
      </c>
      <c r="J1685" s="9">
        <f>IFERROR(__xludf.DUMMYFUNCTION("GOOGLEFINANCE(A1685, ""high52"")"),78.95)</f>
        <v>78.95</v>
      </c>
      <c r="K1685" s="9">
        <f>IFERROR(__xludf.DUMMYFUNCTION("GOOGLEFINANCE(A1685, ""low52"")"),40.1)</f>
        <v>40.1</v>
      </c>
      <c r="L1685" s="9">
        <f t="shared" si="1"/>
        <v>0.2300189994</v>
      </c>
      <c r="M1685" s="9">
        <f t="shared" si="2"/>
        <v>0.5159600998</v>
      </c>
      <c r="N1685" s="9">
        <f t="shared" si="3"/>
        <v>0.06678730054</v>
      </c>
      <c r="O1685" s="9">
        <f t="shared" si="4"/>
        <v>0.4885745375</v>
      </c>
      <c r="P1685" s="9">
        <f>IFERROR(__xludf.DUMMYFUNCTION("GOOGLEFINANCE(A1685, ""pe"")"),5.67)</f>
        <v>5.67</v>
      </c>
      <c r="Q1685" s="9">
        <f>IFERROR(__xludf.DUMMYFUNCTION("IFERROR(GOOGLEFINANCE(A1685, ""volume"") / GOOGLEFINANCE(A1685, ""volumeavg""), 0)"),0.0)</f>
        <v>0</v>
      </c>
      <c r="R1685" s="9">
        <f>IFERROR(__xludf.DUMMYFUNCTION("AVERAGE(INDEX(GOOGLEFINANCE(A1685, ""price"", TODAY()-30, TODAY()), 0, 2))"),59.892608695652186)</f>
        <v>59.8926087</v>
      </c>
      <c r="S1685" s="9">
        <f>IFERROR(__xludf.DUMMYFUNCTION("AVERAGE(INDEX(GOOGLEFINANCE(A1685, ""price"", TODAY()-75, TODAY()), 0, 2))"),63.27830188679244)</f>
        <v>63.27830189</v>
      </c>
      <c r="T1685" s="9">
        <f>IFERROR(__xludf.DUMMYFUNCTION("AVERAGE(INDEX(GOOGLEFINANCE(A1685, ""price"", TODAY()-300, TODAY()), 0, 2))"),53.783019801980195)</f>
        <v>53.7830198</v>
      </c>
      <c r="U1685" s="9">
        <f t="shared" si="5"/>
        <v>0.01498333975</v>
      </c>
      <c r="V1685" s="15">
        <f>IFERROR(__xludf.DUMMYFUNCTION("LET(hist, GOOGLEFINANCE(A1685,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rs))))))"),58.27132226674299)</f>
        <v>58.27132227</v>
      </c>
      <c r="W1685" s="16" t="str">
        <f>IFERROR(__xludf.DUMMYFUNCTION("IFERROR(GOOGLEFINANCE(A1685, ""volume"") / GOOGLEFINANCE(A1685, ""volumeavg""), )"),"")</f>
        <v/>
      </c>
      <c r="X1685" s="9">
        <f>IFERROR(__xludf.DUMMYFUNCTION("B1685 * GOOGLEFINANCE(A1685, ""volume"")"),6770121.51)</f>
        <v>6770121.51</v>
      </c>
      <c r="Y1685" s="9">
        <f>IFERROR(__xludf.DUMMYFUNCTION("IFERROR(((B1685 - GOOGLEFINANCE(A1685, ""priceopen"")) / GOOGLEFINANCE(A1685, ""priceopen"")) * GOOGLEFINANCE(A1685, ""volume""), 0)"),-6063.019132057874)</f>
        <v>-6063.019132</v>
      </c>
    </row>
    <row r="1686">
      <c r="A1686" s="4" t="s">
        <v>3478</v>
      </c>
      <c r="B1686" s="7">
        <f>IFERROR(__xludf.DUMMYFUNCTION("GOOGLEFINANCE(A1686, ""price"")"),477.65)</f>
        <v>477.65</v>
      </c>
      <c r="C1686" s="7">
        <f>IFERROR(__xludf.DUMMYFUNCTION("GOOGLEFINANCE(A1686, ""changepct"")"),4.99)</f>
        <v>4.99</v>
      </c>
      <c r="D1686" s="9">
        <f>IFERROR(__xludf.DUMMYFUNCTION("GOOGLEFINANCE(A1686, ""priceopen"")"),462.1)</f>
        <v>462.1</v>
      </c>
      <c r="E1686" s="9">
        <f>IFERROR(__xludf.DUMMYFUNCTION("GOOGLEFINANCE(A1686, ""high"")"),477.65)</f>
        <v>477.65</v>
      </c>
      <c r="F1686" s="9">
        <f>IFERROR(__xludf.DUMMYFUNCTION("GOOGLEFINANCE(A1686, ""low"")"),435.0)</f>
        <v>435</v>
      </c>
      <c r="G1686" s="9">
        <f>IFERROR(__xludf.DUMMYFUNCTION("GOOGLEFINANCE(A1686, ""price"")"),477.65)</f>
        <v>477.65</v>
      </c>
      <c r="H1686" s="9">
        <f>IFERROR(__xludf.DUMMYFUNCTION("MAX(INDEX(GOOGLEFINANCE(A1686, ""high"", TODAY()-30, TODAY()), 0, 2))"),498.0)</f>
        <v>498</v>
      </c>
      <c r="I1686" s="9">
        <f>IFERROR(__xludf.DUMMYFUNCTION("MIN(INDEX(GOOGLEFINANCE(A1686, ""low"", TODAY()-30, TODAY()), 0, 2))"),337.15)</f>
        <v>337.15</v>
      </c>
      <c r="J1686" s="9">
        <f>IFERROR(__xludf.DUMMYFUNCTION("GOOGLEFINANCE(A1686, ""high52"")"),515.8)</f>
        <v>515.8</v>
      </c>
      <c r="K1686" s="9">
        <f>IFERROR(__xludf.DUMMYFUNCTION("GOOGLEFINANCE(A1686, ""low52"")"),180.6)</f>
        <v>180.6</v>
      </c>
      <c r="L1686" s="9">
        <f t="shared" si="1"/>
        <v>0.07396277627</v>
      </c>
      <c r="M1686" s="9">
        <f t="shared" si="2"/>
        <v>1.644795127</v>
      </c>
      <c r="N1686" s="9">
        <f t="shared" si="3"/>
        <v>0.09804597701</v>
      </c>
      <c r="O1686" s="9">
        <f t="shared" si="4"/>
        <v>0.873484613</v>
      </c>
      <c r="P1686" s="9" t="str">
        <f>IFERROR(__xludf.DUMMYFUNCTION("GOOGLEFINANCE(A1686, ""pe"")"),"#N/A")</f>
        <v>#N/A</v>
      </c>
      <c r="Q1686" s="9">
        <f>IFERROR(__xludf.DUMMYFUNCTION("IFERROR(GOOGLEFINANCE(A1686, ""volume"") / GOOGLEFINANCE(A1686, ""volumeavg""), 0)"),0.0)</f>
        <v>0</v>
      </c>
      <c r="R1686" s="9">
        <f>IFERROR(__xludf.DUMMYFUNCTION("AVERAGE(INDEX(GOOGLEFINANCE(A1686, ""price"", TODAY()-30, TODAY()), 0, 2))"),456.02173913043487)</f>
        <v>456.0217391</v>
      </c>
      <c r="S1686" s="9">
        <f>IFERROR(__xludf.DUMMYFUNCTION("AVERAGE(INDEX(GOOGLEFINANCE(A1686, ""price"", TODAY()-75, TODAY()), 0, 2))"),406.17264150943413)</f>
        <v>406.1726415</v>
      </c>
      <c r="T1686" s="9">
        <f>IFERROR(__xludf.DUMMYFUNCTION("AVERAGE(INDEX(GOOGLEFINANCE(A1686, ""price"", TODAY()-300, TODAY()), 0, 2))"),344.6588118811878)</f>
        <v>344.6588119</v>
      </c>
      <c r="U1686" s="9">
        <f t="shared" si="5"/>
        <v>0.04742813558</v>
      </c>
      <c r="V1686" s="15">
        <f>IFERROR(__xludf.DUMMYFUNCTION("LET(hist, GOOGLEFINANCE(A1686,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rs))))))"),50.12755102040815)</f>
        <v>50.12755102</v>
      </c>
      <c r="W1686" s="16" t="str">
        <f>IFERROR(__xludf.DUMMYFUNCTION("IFERROR(GOOGLEFINANCE(A1686, ""volume"") / GOOGLEFINANCE(A1686, ""volumeavg""), )"),"")</f>
        <v/>
      </c>
      <c r="X1686" s="9">
        <f>IFERROR(__xludf.DUMMYFUNCTION("B1686 * GOOGLEFINANCE(A1686, ""volume"")"),616168.5)</f>
        <v>616168.5</v>
      </c>
      <c r="Y1686" s="9">
        <f>IFERROR(__xludf.DUMMYFUNCTION("IFERROR(((B1686 - GOOGLEFINANCE(A1686, ""priceopen"")) / GOOGLEFINANCE(A1686, ""priceopen"")) * GOOGLEFINANCE(A1686, ""volume""), 0)"),43.40943518718879)</f>
        <v>43.40943519</v>
      </c>
    </row>
    <row r="1687">
      <c r="A1687" s="4" t="s">
        <v>3479</v>
      </c>
      <c r="B1687" s="7">
        <f>IFERROR(__xludf.DUMMYFUNCTION("GOOGLEFINANCE(A1687, ""price"")"),390.0)</f>
        <v>390</v>
      </c>
      <c r="C1687" s="7">
        <f>IFERROR(__xludf.DUMMYFUNCTION("GOOGLEFINANCE(A1687, ""changepct"")"),-0.54)</f>
        <v>-0.54</v>
      </c>
      <c r="D1687" s="9">
        <f>IFERROR(__xludf.DUMMYFUNCTION("GOOGLEFINANCE(A1687, ""priceopen"")"),399.95)</f>
        <v>399.95</v>
      </c>
      <c r="E1687" s="9">
        <f>IFERROR(__xludf.DUMMYFUNCTION("GOOGLEFINANCE(A1687, ""high"")"),401.5)</f>
        <v>401.5</v>
      </c>
      <c r="F1687" s="9">
        <f>IFERROR(__xludf.DUMMYFUNCTION("GOOGLEFINANCE(A1687, ""low"")"),390.0)</f>
        <v>390</v>
      </c>
      <c r="G1687" s="9">
        <f>IFERROR(__xludf.DUMMYFUNCTION("GOOGLEFINANCE(A1687, ""price"")"),390.0)</f>
        <v>390</v>
      </c>
      <c r="H1687" s="9">
        <f>IFERROR(__xludf.DUMMYFUNCTION("MAX(INDEX(GOOGLEFINANCE(A1687, ""high"", TODAY()-30, TODAY()), 0, 2))"),426.2)</f>
        <v>426.2</v>
      </c>
      <c r="I1687" s="9">
        <f>IFERROR(__xludf.DUMMYFUNCTION("MIN(INDEX(GOOGLEFINANCE(A1687, ""low"", TODAY()-30, TODAY()), 0, 2))"),380.2)</f>
        <v>380.2</v>
      </c>
      <c r="J1687" s="9">
        <f>IFERROR(__xludf.DUMMYFUNCTION("GOOGLEFINANCE(A1687, ""high52"")"),524.8)</f>
        <v>524.8</v>
      </c>
      <c r="K1687" s="9">
        <f>IFERROR(__xludf.DUMMYFUNCTION("GOOGLEFINANCE(A1687, ""low52"")"),252.3)</f>
        <v>252.3</v>
      </c>
      <c r="L1687" s="9">
        <f t="shared" si="1"/>
        <v>0.2568597561</v>
      </c>
      <c r="M1687" s="9">
        <f t="shared" si="2"/>
        <v>0.5457788347</v>
      </c>
      <c r="N1687" s="9">
        <f t="shared" si="3"/>
        <v>0.02948717949</v>
      </c>
      <c r="O1687" s="9">
        <f t="shared" si="4"/>
        <v>0.2130434783</v>
      </c>
      <c r="P1687" s="9">
        <f>IFERROR(__xludf.DUMMYFUNCTION("GOOGLEFINANCE(A1687, ""pe"")"),10.32)</f>
        <v>10.32</v>
      </c>
      <c r="Q1687" s="9">
        <f>IFERROR(__xludf.DUMMYFUNCTION("IFERROR(GOOGLEFINANCE(A1687, ""volume"") / GOOGLEFINANCE(A1687, ""volumeavg""), 0)"),0.0)</f>
        <v>0</v>
      </c>
      <c r="R1687" s="9">
        <f>IFERROR(__xludf.DUMMYFUNCTION("AVERAGE(INDEX(GOOGLEFINANCE(A1687, ""price"", TODAY()-30, TODAY()), 0, 2))"),402.75869565217397)</f>
        <v>402.7586957</v>
      </c>
      <c r="S1687" s="9">
        <f>IFERROR(__xludf.DUMMYFUNCTION("AVERAGE(INDEX(GOOGLEFINANCE(A1687, ""price"", TODAY()-75, TODAY()), 0, 2))"),417.3566037735847)</f>
        <v>417.3566038</v>
      </c>
      <c r="T1687" s="9">
        <f>IFERROR(__xludf.DUMMYFUNCTION("AVERAGE(INDEX(GOOGLEFINANCE(A1687, ""price"", TODAY()-300, TODAY()), 0, 2))"),370.3484756097562)</f>
        <v>370.3484756</v>
      </c>
      <c r="U1687" s="9">
        <f t="shared" si="5"/>
        <v>-0.03167826242</v>
      </c>
      <c r="V1687" s="15">
        <f>IFERROR(__xludf.DUMMYFUNCTION("LET(hist, GOOGLEFINANCE(A1687,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rs))))))"),32.69704433497532)</f>
        <v>32.69704433</v>
      </c>
      <c r="W1687" s="16" t="str">
        <f>IFERROR(__xludf.DUMMYFUNCTION("IFERROR(GOOGLEFINANCE(A1687, ""volume"") / GOOGLEFINANCE(A1687, ""volumeavg""), )"),"")</f>
        <v/>
      </c>
      <c r="X1687" s="9">
        <f>IFERROR(__xludf.DUMMYFUNCTION("B1687 * GOOGLEFINANCE(A1687, ""volume"")"),1110330.0)</f>
        <v>1110330</v>
      </c>
      <c r="Y1687" s="9">
        <f>IFERROR(__xludf.DUMMYFUNCTION("IFERROR(((B1687 - GOOGLEFINANCE(A1687, ""priceopen"")) / GOOGLEFINANCE(A1687, ""priceopen"")) * GOOGLEFINANCE(A1687, ""volume""), 0)"),-70.82797849731209)</f>
        <v>-70.8279785</v>
      </c>
    </row>
    <row r="1688">
      <c r="A1688" s="4" t="s">
        <v>3480</v>
      </c>
      <c r="B1688" s="7">
        <f>IFERROR(__xludf.DUMMYFUNCTION("GOOGLEFINANCE(A1688, ""price"")"),246.0)</f>
        <v>246</v>
      </c>
      <c r="C1688" s="7">
        <f>IFERROR(__xludf.DUMMYFUNCTION("GOOGLEFINANCE(A1688, ""changepct"")"),-0.43)</f>
        <v>-0.43</v>
      </c>
      <c r="D1688" s="9">
        <f>IFERROR(__xludf.DUMMYFUNCTION("GOOGLEFINANCE(A1688, ""priceopen"")"),247.1)</f>
        <v>247.1</v>
      </c>
      <c r="E1688" s="9">
        <f>IFERROR(__xludf.DUMMYFUNCTION("GOOGLEFINANCE(A1688, ""high"")"),248.09)</f>
        <v>248.09</v>
      </c>
      <c r="F1688" s="9">
        <f>IFERROR(__xludf.DUMMYFUNCTION("GOOGLEFINANCE(A1688, ""low"")"),243.0)</f>
        <v>243</v>
      </c>
      <c r="G1688" s="9">
        <f>IFERROR(__xludf.DUMMYFUNCTION("GOOGLEFINANCE(A1688, ""price"")"),246.0)</f>
        <v>246</v>
      </c>
      <c r="H1688" s="9">
        <f>IFERROR(__xludf.DUMMYFUNCTION("MAX(INDEX(GOOGLEFINANCE(A1688, ""high"", TODAY()-30, TODAY()), 0, 2))"),287.27)</f>
        <v>287.27</v>
      </c>
      <c r="I1688" s="9">
        <f>IFERROR(__xludf.DUMMYFUNCTION("MIN(INDEX(GOOGLEFINANCE(A1688, ""low"", TODAY()-30, TODAY()), 0, 2))"),209.49)</f>
        <v>209.49</v>
      </c>
      <c r="J1688" s="9">
        <f>IFERROR(__xludf.DUMMYFUNCTION("GOOGLEFINANCE(A1688, ""high52"")"),287.27)</f>
        <v>287.27</v>
      </c>
      <c r="K1688" s="9">
        <f>IFERROR(__xludf.DUMMYFUNCTION("GOOGLEFINANCE(A1688, ""low52"")"),152.06)</f>
        <v>152.06</v>
      </c>
      <c r="L1688" s="9">
        <f t="shared" si="1"/>
        <v>0.1436627563</v>
      </c>
      <c r="M1688" s="9">
        <f t="shared" si="2"/>
        <v>0.6177824543</v>
      </c>
      <c r="N1688" s="9">
        <f t="shared" si="3"/>
        <v>0.02094650206</v>
      </c>
      <c r="O1688" s="9">
        <f t="shared" si="4"/>
        <v>0.4694008743</v>
      </c>
      <c r="P1688" s="9">
        <f>IFERROR(__xludf.DUMMYFUNCTION("GOOGLEFINANCE(A1688, ""pe"")"),33.93)</f>
        <v>33.93</v>
      </c>
      <c r="Q1688" s="9">
        <f>IFERROR(__xludf.DUMMYFUNCTION("IFERROR(GOOGLEFINANCE(A1688, ""volume"") / GOOGLEFINANCE(A1688, ""volumeavg""), 0)"),0.0)</f>
        <v>0</v>
      </c>
      <c r="R1688" s="9">
        <f>IFERROR(__xludf.DUMMYFUNCTION("AVERAGE(INDEX(GOOGLEFINANCE(A1688, ""price"", TODAY()-30, TODAY()), 0, 2))"),233.74956521739134)</f>
        <v>233.7495652</v>
      </c>
      <c r="S1688" s="9">
        <f>IFERROR(__xludf.DUMMYFUNCTION("AVERAGE(INDEX(GOOGLEFINANCE(A1688, ""price"", TODAY()-75, TODAY()), 0, 2))"),227.15433962264152)</f>
        <v>227.1543396</v>
      </c>
      <c r="T1688" s="9">
        <f>IFERROR(__xludf.DUMMYFUNCTION("AVERAGE(INDEX(GOOGLEFINANCE(A1688, ""price"", TODAY()-300, TODAY()), 0, 2))"),185.5079702970296)</f>
        <v>185.5079703</v>
      </c>
      <c r="U1688" s="9">
        <f t="shared" si="5"/>
        <v>0.05240837463</v>
      </c>
      <c r="V1688" s="15">
        <f>IFERROR(__xludf.DUMMYFUNCTION("LET(hist, GOOGLEFINANCE(A1688,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rs))))))"),62.01939729823345)</f>
        <v>62.0193973</v>
      </c>
      <c r="W1688" s="16" t="str">
        <f>IFERROR(__xludf.DUMMYFUNCTION("IFERROR(GOOGLEFINANCE(A1688, ""volume"") / GOOGLEFINANCE(A1688, ""volumeavg""), )"),"")</f>
        <v/>
      </c>
      <c r="X1688" s="9">
        <f>IFERROR(__xludf.DUMMYFUNCTION("B1688 * GOOGLEFINANCE(A1688, ""volume"")"),1.0160046E7)</f>
        <v>10160046</v>
      </c>
      <c r="Y1688" s="9">
        <f>IFERROR(__xludf.DUMMYFUNCTION("IFERROR(((B1688 - GOOGLEFINANCE(A1688, ""priceopen"")) / GOOGLEFINANCE(A1688, ""priceopen"")) * GOOGLEFINANCE(A1688, ""volume""), 0)"),-183.8571428571419)</f>
        <v>-183.8571429</v>
      </c>
    </row>
    <row r="1689">
      <c r="A1689" s="4" t="s">
        <v>3481</v>
      </c>
      <c r="B1689" s="7">
        <f>IFERROR(__xludf.DUMMYFUNCTION("GOOGLEFINANCE(A1689, ""price"")"),101.45)</f>
        <v>101.45</v>
      </c>
      <c r="C1689" s="7">
        <f>IFERROR(__xludf.DUMMYFUNCTION("GOOGLEFINANCE(A1689, ""changepct"")"),-3.35)</f>
        <v>-3.35</v>
      </c>
      <c r="D1689" s="9">
        <f>IFERROR(__xludf.DUMMYFUNCTION("GOOGLEFINANCE(A1689, ""priceopen"")"),102.9)</f>
        <v>102.9</v>
      </c>
      <c r="E1689" s="9">
        <f>IFERROR(__xludf.DUMMYFUNCTION("GOOGLEFINANCE(A1689, ""high"")"),107.5)</f>
        <v>107.5</v>
      </c>
      <c r="F1689" s="9">
        <f>IFERROR(__xludf.DUMMYFUNCTION("GOOGLEFINANCE(A1689, ""low"")"),100.61)</f>
        <v>100.61</v>
      </c>
      <c r="G1689" s="9">
        <f>IFERROR(__xludf.DUMMYFUNCTION("GOOGLEFINANCE(A1689, ""price"")"),101.45)</f>
        <v>101.45</v>
      </c>
      <c r="H1689" s="9">
        <f>IFERROR(__xludf.DUMMYFUNCTION("MAX(INDEX(GOOGLEFINANCE(A1689, ""high"", TODAY()-30, TODAY()), 0, 2))"),109.1)</f>
        <v>109.1</v>
      </c>
      <c r="I1689" s="9">
        <f>IFERROR(__xludf.DUMMYFUNCTION("MIN(INDEX(GOOGLEFINANCE(A1689, ""low"", TODAY()-30, TODAY()), 0, 2))"),98.71)</f>
        <v>98.71</v>
      </c>
      <c r="J1689" s="9">
        <f>IFERROR(__xludf.DUMMYFUNCTION("GOOGLEFINANCE(A1689, ""high52"")"),163.89)</f>
        <v>163.89</v>
      </c>
      <c r="K1689" s="9">
        <f>IFERROR(__xludf.DUMMYFUNCTION("GOOGLEFINANCE(A1689, ""low52"")"),67.15)</f>
        <v>67.15</v>
      </c>
      <c r="L1689" s="9">
        <f t="shared" si="1"/>
        <v>0.3809872475</v>
      </c>
      <c r="M1689" s="9">
        <f t="shared" si="2"/>
        <v>0.5107967238</v>
      </c>
      <c r="N1689" s="9">
        <f t="shared" si="3"/>
        <v>0.06848225822</v>
      </c>
      <c r="O1689" s="9">
        <f t="shared" si="4"/>
        <v>0.2637151107</v>
      </c>
      <c r="P1689" s="9">
        <f>IFERROR(__xludf.DUMMYFUNCTION("GOOGLEFINANCE(A1689, ""pe"")"),23.17)</f>
        <v>23.17</v>
      </c>
      <c r="Q1689" s="9">
        <f>IFERROR(__xludf.DUMMYFUNCTION("IFERROR(GOOGLEFINANCE(A1689, ""volume"") / GOOGLEFINANCE(A1689, ""volumeavg""), 0)"),0.0)</f>
        <v>0</v>
      </c>
      <c r="R1689" s="9">
        <f>IFERROR(__xludf.DUMMYFUNCTION("AVERAGE(INDEX(GOOGLEFINANCE(A1689, ""price"", TODAY()-30, TODAY()), 0, 2))"),102.64869565217391)</f>
        <v>102.6486957</v>
      </c>
      <c r="S1689" s="9">
        <f>IFERROR(__xludf.DUMMYFUNCTION("AVERAGE(INDEX(GOOGLEFINANCE(A1689, ""price"", TODAY()-75, TODAY()), 0, 2))"),101.51905660377358)</f>
        <v>101.5190566</v>
      </c>
      <c r="T1689" s="9">
        <f>IFERROR(__xludf.DUMMYFUNCTION("AVERAGE(INDEX(GOOGLEFINANCE(A1689, ""price"", TODAY()-300, TODAY()), 0, 2))"),104.72207920792087)</f>
        <v>104.7220792</v>
      </c>
      <c r="U1689" s="9">
        <f t="shared" si="5"/>
        <v>-0.01167765109</v>
      </c>
      <c r="V1689" s="15">
        <f>IFERROR(__xludf.DUMMYFUNCTION("LET(hist, GOOGLEFINANCE(A1689,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rs))))))"),51.694915254237294)</f>
        <v>51.69491525</v>
      </c>
      <c r="W1689" s="16" t="str">
        <f>IFERROR(__xludf.DUMMYFUNCTION("IFERROR(GOOGLEFINANCE(A1689, ""volume"") / GOOGLEFINANCE(A1689, ""volumeavg""), )"),"")</f>
        <v/>
      </c>
      <c r="X1689" s="9">
        <f>IFERROR(__xludf.DUMMYFUNCTION("B1689 * GOOGLEFINANCE(A1689, ""volume"")"),7795925.25)</f>
        <v>7795925.25</v>
      </c>
      <c r="Y1689" s="9">
        <f>IFERROR(__xludf.DUMMYFUNCTION("IFERROR(((B1689 - GOOGLEFINANCE(A1689, ""priceopen"")) / GOOGLEFINANCE(A1689, ""priceopen"")) * GOOGLEFINANCE(A1689, ""volume""), 0)"),-1082.8498542274074)</f>
        <v>-1082.849854</v>
      </c>
    </row>
    <row r="1690">
      <c r="A1690" s="4" t="s">
        <v>3482</v>
      </c>
      <c r="B1690" s="7">
        <f>IFERROR(__xludf.DUMMYFUNCTION("GOOGLEFINANCE(A1690, ""price"")"),980.0)</f>
        <v>980</v>
      </c>
      <c r="C1690" s="7">
        <f>IFERROR(__xludf.DUMMYFUNCTION("GOOGLEFINANCE(A1690, ""changepct"")"),1.59)</f>
        <v>1.59</v>
      </c>
      <c r="D1690" s="9">
        <f>IFERROR(__xludf.DUMMYFUNCTION("GOOGLEFINANCE(A1690, ""priceopen"")"),988.0)</f>
        <v>988</v>
      </c>
      <c r="E1690" s="9">
        <f>IFERROR(__xludf.DUMMYFUNCTION("GOOGLEFINANCE(A1690, ""high"")"),988.0)</f>
        <v>988</v>
      </c>
      <c r="F1690" s="9">
        <f>IFERROR(__xludf.DUMMYFUNCTION("GOOGLEFINANCE(A1690, ""low"")"),961.15)</f>
        <v>961.15</v>
      </c>
      <c r="G1690" s="9">
        <f>IFERROR(__xludf.DUMMYFUNCTION("GOOGLEFINANCE(A1690, ""price"")"),980.0)</f>
        <v>980</v>
      </c>
      <c r="H1690" s="9">
        <f>IFERROR(__xludf.DUMMYFUNCTION("MAX(INDEX(GOOGLEFINANCE(A1690, ""high"", TODAY()-30, TODAY()), 0, 2))"),1012.1)</f>
        <v>1012.1</v>
      </c>
      <c r="I1690" s="9">
        <f>IFERROR(__xludf.DUMMYFUNCTION("MIN(INDEX(GOOGLEFINANCE(A1690, ""low"", TODAY()-30, TODAY()), 0, 2))"),841.0)</f>
        <v>841</v>
      </c>
      <c r="J1690" s="9">
        <f>IFERROR(__xludf.DUMMYFUNCTION("GOOGLEFINANCE(A1690, ""high52"")"),1573.1)</f>
        <v>1573.1</v>
      </c>
      <c r="K1690" s="9">
        <f>IFERROR(__xludf.DUMMYFUNCTION("GOOGLEFINANCE(A1690, ""low52"")"),667.1)</f>
        <v>667.1</v>
      </c>
      <c r="L1690" s="9">
        <f t="shared" si="1"/>
        <v>0.3770262539</v>
      </c>
      <c r="M1690" s="9">
        <f t="shared" si="2"/>
        <v>0.4690451207</v>
      </c>
      <c r="N1690" s="9">
        <f t="shared" si="3"/>
        <v>0.02793528586</v>
      </c>
      <c r="O1690" s="9">
        <f t="shared" si="4"/>
        <v>0.812390415</v>
      </c>
      <c r="P1690" s="9">
        <f>IFERROR(__xludf.DUMMYFUNCTION("GOOGLEFINANCE(A1690, ""pe"")"),32.94)</f>
        <v>32.94</v>
      </c>
      <c r="Q1690" s="9">
        <f>IFERROR(__xludf.DUMMYFUNCTION("IFERROR(GOOGLEFINANCE(A1690, ""volume"") / GOOGLEFINANCE(A1690, ""volumeavg""), 0)"),0.0)</f>
        <v>0</v>
      </c>
      <c r="R1690" s="9">
        <f>IFERROR(__xludf.DUMMYFUNCTION("AVERAGE(INDEX(GOOGLEFINANCE(A1690, ""price"", TODAY()-30, TODAY()), 0, 2))"),915.5326086956521)</f>
        <v>915.5326087</v>
      </c>
      <c r="S1690" s="9">
        <f>IFERROR(__xludf.DUMMYFUNCTION("AVERAGE(INDEX(GOOGLEFINANCE(A1690, ""price"", TODAY()-75, TODAY()), 0, 2))"),876.6169811320756)</f>
        <v>876.6169811</v>
      </c>
      <c r="T1690" s="9">
        <f>IFERROR(__xludf.DUMMYFUNCTION("AVERAGE(INDEX(GOOGLEFINANCE(A1690, ""price"", TODAY()-300, TODAY()), 0, 2))"),1012.0415422885574)</f>
        <v>1012.041542</v>
      </c>
      <c r="U1690" s="9">
        <f t="shared" si="5"/>
        <v>0.07041517767</v>
      </c>
      <c r="V1690" s="15">
        <f>IFERROR(__xludf.DUMMYFUNCTION("LET(hist, GOOGLEFINANCE(A1690,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rs))))))"),72.17983651226163)</f>
        <v>72.17983651</v>
      </c>
      <c r="W1690" s="16" t="str">
        <f>IFERROR(__xludf.DUMMYFUNCTION("IFERROR(GOOGLEFINANCE(A1690, ""volume"") / GOOGLEFINANCE(A1690, ""volumeavg""), )"),"")</f>
        <v/>
      </c>
      <c r="X1690" s="9">
        <f>IFERROR(__xludf.DUMMYFUNCTION("B1690 * GOOGLEFINANCE(A1690, ""volume"")"),1896300.0)</f>
        <v>1896300</v>
      </c>
      <c r="Y1690" s="9">
        <f>IFERROR(__xludf.DUMMYFUNCTION("IFERROR(((B1690 - GOOGLEFINANCE(A1690, ""priceopen"")) / GOOGLEFINANCE(A1690, ""priceopen"")) * GOOGLEFINANCE(A1690, ""volume""), 0)"),-15.668016194331983)</f>
        <v>-15.66801619</v>
      </c>
    </row>
    <row r="1691">
      <c r="A1691" s="4" t="s">
        <v>3483</v>
      </c>
      <c r="B1691" s="7">
        <f>IFERROR(__xludf.DUMMYFUNCTION("GOOGLEFINANCE(A1691, ""price"")"),101.31)</f>
        <v>101.31</v>
      </c>
      <c r="C1691" s="7">
        <f>IFERROR(__xludf.DUMMYFUNCTION("GOOGLEFINANCE(A1691, ""changepct"")"),-0.28)</f>
        <v>-0.28</v>
      </c>
      <c r="D1691" s="9">
        <f>IFERROR(__xludf.DUMMYFUNCTION("GOOGLEFINANCE(A1691, ""priceopen"")"),102.02)</f>
        <v>102.02</v>
      </c>
      <c r="E1691" s="9">
        <f>IFERROR(__xludf.DUMMYFUNCTION("GOOGLEFINANCE(A1691, ""high"")"),102.98)</f>
        <v>102.98</v>
      </c>
      <c r="F1691" s="9">
        <f>IFERROR(__xludf.DUMMYFUNCTION("GOOGLEFINANCE(A1691, ""low"")"),100.5)</f>
        <v>100.5</v>
      </c>
      <c r="G1691" s="9">
        <f>IFERROR(__xludf.DUMMYFUNCTION("GOOGLEFINANCE(A1691, ""price"")"),101.31)</f>
        <v>101.31</v>
      </c>
      <c r="H1691" s="9">
        <f>IFERROR(__xludf.DUMMYFUNCTION("MAX(INDEX(GOOGLEFINANCE(A1691, ""high"", TODAY()-30, TODAY()), 0, 2))"),114.9)</f>
        <v>114.9</v>
      </c>
      <c r="I1691" s="9">
        <f>IFERROR(__xludf.DUMMYFUNCTION("MIN(INDEX(GOOGLEFINANCE(A1691, ""low"", TODAY()-30, TODAY()), 0, 2))"),100.5)</f>
        <v>100.5</v>
      </c>
      <c r="J1691" s="9">
        <f>IFERROR(__xludf.DUMMYFUNCTION("GOOGLEFINANCE(A1691, ""high52"")"),174.58)</f>
        <v>174.58</v>
      </c>
      <c r="K1691" s="9">
        <f>IFERROR(__xludf.DUMMYFUNCTION("GOOGLEFINANCE(A1691, ""low52"")"),98.57)</f>
        <v>98.57</v>
      </c>
      <c r="L1691" s="9">
        <f t="shared" si="1"/>
        <v>0.4196929774</v>
      </c>
      <c r="M1691" s="9">
        <f t="shared" si="2"/>
        <v>0.02779750431</v>
      </c>
      <c r="N1691" s="9">
        <f t="shared" si="3"/>
        <v>0.02467661692</v>
      </c>
      <c r="O1691" s="9">
        <f t="shared" si="4"/>
        <v>0.05625</v>
      </c>
      <c r="P1691" s="9" t="str">
        <f>IFERROR(__xludf.DUMMYFUNCTION("GOOGLEFINANCE(A1691, ""pe"")"),"#N/A")</f>
        <v>#N/A</v>
      </c>
      <c r="Q1691" s="9">
        <f>IFERROR(__xludf.DUMMYFUNCTION("IFERROR(GOOGLEFINANCE(A1691, ""volume"") / GOOGLEFINANCE(A1691, ""volumeavg""), 0)"),0.0)</f>
        <v>0</v>
      </c>
      <c r="R1691" s="9">
        <f>IFERROR(__xludf.DUMMYFUNCTION("AVERAGE(INDEX(GOOGLEFINANCE(A1691, ""price"", TODAY()-30, TODAY()), 0, 2))"),106.21391304347824)</f>
        <v>106.213913</v>
      </c>
      <c r="S1691" s="9">
        <f>IFERROR(__xludf.DUMMYFUNCTION("AVERAGE(INDEX(GOOGLEFINANCE(A1691, ""price"", TODAY()-75, TODAY()), 0, 2))"),107.64962264150947)</f>
        <v>107.6496226</v>
      </c>
      <c r="T1691" s="9">
        <f>IFERROR(__xludf.DUMMYFUNCTION("AVERAGE(INDEX(GOOGLEFINANCE(A1691, ""price"", TODAY()-300, TODAY()), 0, 2))"),114.39336633663368)</f>
        <v>114.3933663</v>
      </c>
      <c r="U1691" s="9">
        <f t="shared" si="5"/>
        <v>-0.04617015703</v>
      </c>
      <c r="V1691" s="15">
        <f>IFERROR(__xludf.DUMMYFUNCTION("LET(hist, GOOGLEFINANCE(A1691,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rs))))))"),32.388663967611365)</f>
        <v>32.38866397</v>
      </c>
      <c r="W1691" s="16" t="str">
        <f>IFERROR(__xludf.DUMMYFUNCTION("IFERROR(GOOGLEFINANCE(A1691, ""volume"") / GOOGLEFINANCE(A1691, ""volumeavg""), )"),"")</f>
        <v/>
      </c>
      <c r="X1691" s="9">
        <f>IFERROR(__xludf.DUMMYFUNCTION("B1691 * GOOGLEFINANCE(A1691, ""volume"")"),5192340.12)</f>
        <v>5192340.12</v>
      </c>
      <c r="Y1691" s="9">
        <f>IFERROR(__xludf.DUMMYFUNCTION("IFERROR(((B1691 - GOOGLEFINANCE(A1691, ""priceopen"")) / GOOGLEFINANCE(A1691, ""priceopen"")) * GOOGLEFINANCE(A1691, ""volume""), 0)"),-356.68417957262966)</f>
        <v>-356.6841796</v>
      </c>
    </row>
    <row r="1692">
      <c r="A1692" s="4" t="s">
        <v>3484</v>
      </c>
      <c r="B1692" s="7">
        <f>IFERROR(__xludf.DUMMYFUNCTION("GOOGLEFINANCE(A1692, ""price"")"),15.6)</f>
        <v>15.6</v>
      </c>
      <c r="C1692" s="7">
        <f>IFERROR(__xludf.DUMMYFUNCTION("GOOGLEFINANCE(A1692, ""changepct"")"),-1.33)</f>
        <v>-1.33</v>
      </c>
      <c r="D1692" s="9">
        <f>IFERROR(__xludf.DUMMYFUNCTION("GOOGLEFINANCE(A1692, ""priceopen"")"),15.9)</f>
        <v>15.9</v>
      </c>
      <c r="E1692" s="9">
        <f>IFERROR(__xludf.DUMMYFUNCTION("GOOGLEFINANCE(A1692, ""high"")"),15.9)</f>
        <v>15.9</v>
      </c>
      <c r="F1692" s="9">
        <f>IFERROR(__xludf.DUMMYFUNCTION("GOOGLEFINANCE(A1692, ""low"")"),15.6)</f>
        <v>15.6</v>
      </c>
      <c r="G1692" s="9">
        <f>IFERROR(__xludf.DUMMYFUNCTION("GOOGLEFINANCE(A1692, ""price"")"),15.6)</f>
        <v>15.6</v>
      </c>
      <c r="H1692" s="9">
        <f>IFERROR(__xludf.DUMMYFUNCTION("MAX(INDEX(GOOGLEFINANCE(A1692, ""high"", TODAY()-30, TODAY()), 0, 2))"),19.25)</f>
        <v>19.25</v>
      </c>
      <c r="I1692" s="9">
        <f>IFERROR(__xludf.DUMMYFUNCTION("MIN(INDEX(GOOGLEFINANCE(A1692, ""low"", TODAY()-30, TODAY()), 0, 2))"),15.3)</f>
        <v>15.3</v>
      </c>
      <c r="J1692" s="9">
        <f>IFERROR(__xludf.DUMMYFUNCTION("GOOGLEFINANCE(A1692, ""high52"")"),39.9)</f>
        <v>39.9</v>
      </c>
      <c r="K1692" s="9">
        <f>IFERROR(__xludf.DUMMYFUNCTION("GOOGLEFINANCE(A1692, ""low52"")"),13.82)</f>
        <v>13.82</v>
      </c>
      <c r="L1692" s="9">
        <f t="shared" si="1"/>
        <v>0.6090225564</v>
      </c>
      <c r="M1692" s="9">
        <f t="shared" si="2"/>
        <v>0.1287988423</v>
      </c>
      <c r="N1692" s="9">
        <f t="shared" si="3"/>
        <v>0.01923076923</v>
      </c>
      <c r="O1692" s="9">
        <f t="shared" si="4"/>
        <v>0.07594936709</v>
      </c>
      <c r="P1692" s="9" t="str">
        <f>IFERROR(__xludf.DUMMYFUNCTION("GOOGLEFINANCE(A1692, ""pe"")"),"#N/A")</f>
        <v>#N/A</v>
      </c>
      <c r="Q1692" s="9">
        <f>IFERROR(__xludf.DUMMYFUNCTION("IFERROR(GOOGLEFINANCE(A1692, ""volume"") / GOOGLEFINANCE(A1692, ""volumeavg""), 0)"),0.0)</f>
        <v>0</v>
      </c>
      <c r="R1692" s="9">
        <f>IFERROR(__xludf.DUMMYFUNCTION("AVERAGE(INDEX(GOOGLEFINANCE(A1692, ""price"", TODAY()-30, TODAY()), 0, 2))"),16.680869565217392)</f>
        <v>16.68086957</v>
      </c>
      <c r="S1692" s="9">
        <f>IFERROR(__xludf.DUMMYFUNCTION("AVERAGE(INDEX(GOOGLEFINANCE(A1692, ""price"", TODAY()-75, TODAY()), 0, 2))"),16.22264150943396)</f>
        <v>16.22264151</v>
      </c>
      <c r="T1692" s="9">
        <f>IFERROR(__xludf.DUMMYFUNCTION("AVERAGE(INDEX(GOOGLEFINANCE(A1692, ""price"", TODAY()-300, TODAY()), 0, 2))"),20.95891089108911)</f>
        <v>20.95891089</v>
      </c>
      <c r="U1692" s="9">
        <f t="shared" si="5"/>
        <v>-0.06479695564</v>
      </c>
      <c r="V1692" s="15">
        <f>IFERROR(__xludf.DUMMYFUNCTION("LET(hist, GOOGLEFINANCE(A1692,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rs))))))"),37.910447761194035)</f>
        <v>37.91044776</v>
      </c>
      <c r="W1692" s="16" t="str">
        <f>IFERROR(__xludf.DUMMYFUNCTION("IFERROR(GOOGLEFINANCE(A1692, ""volume"") / GOOGLEFINANCE(A1692, ""volumeavg""), )"),"")</f>
        <v/>
      </c>
      <c r="X1692" s="9">
        <f>IFERROR(__xludf.DUMMYFUNCTION("B1692 * GOOGLEFINANCE(A1692, ""volume"")"),234390.0)</f>
        <v>234390</v>
      </c>
      <c r="Y1692" s="9">
        <f>IFERROR(__xludf.DUMMYFUNCTION("IFERROR(((B1692 - GOOGLEFINANCE(A1692, ""priceopen"")) / GOOGLEFINANCE(A1692, ""priceopen"")) * GOOGLEFINANCE(A1692, ""volume""), 0)"),-283.4905660377365)</f>
        <v>-283.490566</v>
      </c>
    </row>
    <row r="1693">
      <c r="A1693" s="4" t="s">
        <v>3485</v>
      </c>
      <c r="B1693" s="7">
        <f>IFERROR(__xludf.DUMMYFUNCTION("GOOGLEFINANCE(A1693, ""price"")"),161.3)</f>
        <v>161.3</v>
      </c>
      <c r="C1693" s="7">
        <f>IFERROR(__xludf.DUMMYFUNCTION("GOOGLEFINANCE(A1693, ""changepct"")"),-0.04)</f>
        <v>-0.04</v>
      </c>
      <c r="D1693" s="9">
        <f>IFERROR(__xludf.DUMMYFUNCTION("GOOGLEFINANCE(A1693, ""priceopen"")"),166.0)</f>
        <v>166</v>
      </c>
      <c r="E1693" s="9">
        <f>IFERROR(__xludf.DUMMYFUNCTION("GOOGLEFINANCE(A1693, ""high"")"),166.0)</f>
        <v>166</v>
      </c>
      <c r="F1693" s="9">
        <f>IFERROR(__xludf.DUMMYFUNCTION("GOOGLEFINANCE(A1693, ""low"")"),158.38)</f>
        <v>158.38</v>
      </c>
      <c r="G1693" s="9">
        <f>IFERROR(__xludf.DUMMYFUNCTION("GOOGLEFINANCE(A1693, ""price"")"),161.3)</f>
        <v>161.3</v>
      </c>
      <c r="H1693" s="9">
        <f>IFERROR(__xludf.DUMMYFUNCTION("MAX(INDEX(GOOGLEFINANCE(A1693, ""high"", TODAY()-30, TODAY()), 0, 2))"),176.9)</f>
        <v>176.9</v>
      </c>
      <c r="I1693" s="9">
        <f>IFERROR(__xludf.DUMMYFUNCTION("MIN(INDEX(GOOGLEFINANCE(A1693, ""low"", TODAY()-30, TODAY()), 0, 2))"),153.7)</f>
        <v>153.7</v>
      </c>
      <c r="J1693" s="9">
        <f>IFERROR(__xludf.DUMMYFUNCTION("GOOGLEFINANCE(A1693, ""high52"")"),231.1)</f>
        <v>231.1</v>
      </c>
      <c r="K1693" s="9">
        <f>IFERROR(__xludf.DUMMYFUNCTION("GOOGLEFINANCE(A1693, ""low52"")"),137.3)</f>
        <v>137.3</v>
      </c>
      <c r="L1693" s="9">
        <f t="shared" si="1"/>
        <v>0.3020337516</v>
      </c>
      <c r="M1693" s="9">
        <f t="shared" si="2"/>
        <v>0.1747997087</v>
      </c>
      <c r="N1693" s="9">
        <f t="shared" si="3"/>
        <v>0.04811213537</v>
      </c>
      <c r="O1693" s="9">
        <f t="shared" si="4"/>
        <v>0.3275862069</v>
      </c>
      <c r="P1693" s="9">
        <f>IFERROR(__xludf.DUMMYFUNCTION("GOOGLEFINANCE(A1693, ""pe"")"),14.74)</f>
        <v>14.74</v>
      </c>
      <c r="Q1693" s="9">
        <f>IFERROR(__xludf.DUMMYFUNCTION("IFERROR(GOOGLEFINANCE(A1693, ""volume"") / GOOGLEFINANCE(A1693, ""volumeavg""), 0)"),0.0)</f>
        <v>0</v>
      </c>
      <c r="R1693" s="9">
        <f>IFERROR(__xludf.DUMMYFUNCTION("AVERAGE(INDEX(GOOGLEFINANCE(A1693, ""price"", TODAY()-30, TODAY()), 0, 2))"),163.6460869565217)</f>
        <v>163.646087</v>
      </c>
      <c r="S1693" s="9">
        <f>IFERROR(__xludf.DUMMYFUNCTION("AVERAGE(INDEX(GOOGLEFINANCE(A1693, ""price"", TODAY()-75, TODAY()), 0, 2))"),169.36981132075476)</f>
        <v>169.3698113</v>
      </c>
      <c r="T1693" s="9">
        <f>IFERROR(__xludf.DUMMYFUNCTION("AVERAGE(INDEX(GOOGLEFINANCE(A1693, ""price"", TODAY()-300, TODAY()), 0, 2))"),170.40004950495046)</f>
        <v>170.4000495</v>
      </c>
      <c r="U1693" s="9">
        <f t="shared" si="5"/>
        <v>-0.0143363462</v>
      </c>
      <c r="V1693" s="15">
        <f>IFERROR(__xludf.DUMMYFUNCTION("LET(hist, GOOGLEFINANCE(A1693,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rs))))))"),49.27429274292743)</f>
        <v>49.27429274</v>
      </c>
      <c r="W1693" s="16" t="str">
        <f>IFERROR(__xludf.DUMMYFUNCTION("IFERROR(GOOGLEFINANCE(A1693, ""volume"") / GOOGLEFINANCE(A1693, ""volumeavg""), )"),"")</f>
        <v/>
      </c>
      <c r="X1693" s="9">
        <f>IFERROR(__xludf.DUMMYFUNCTION("B1693 * GOOGLEFINANCE(A1693, ""volume"")"),1296852.0)</f>
        <v>1296852</v>
      </c>
      <c r="Y1693" s="9">
        <f>IFERROR(__xludf.DUMMYFUNCTION("IFERROR(((B1693 - GOOGLEFINANCE(A1693, ""priceopen"")) / GOOGLEFINANCE(A1693, ""priceopen"")) * GOOGLEFINANCE(A1693, ""volume""), 0)"),-227.6385542168669)</f>
        <v>-227.6385542</v>
      </c>
    </row>
    <row r="1694">
      <c r="A1694" s="4" t="s">
        <v>3486</v>
      </c>
      <c r="B1694" s="7">
        <f>IFERROR(__xludf.DUMMYFUNCTION("GOOGLEFINANCE(A1694, ""price"")"),37.38)</f>
        <v>37.38</v>
      </c>
      <c r="C1694" s="7">
        <f>IFERROR(__xludf.DUMMYFUNCTION("GOOGLEFINANCE(A1694, ""changepct"")"),-1.24)</f>
        <v>-1.24</v>
      </c>
      <c r="D1694" s="9">
        <f>IFERROR(__xludf.DUMMYFUNCTION("GOOGLEFINANCE(A1694, ""priceopen"")"),37.85)</f>
        <v>37.85</v>
      </c>
      <c r="E1694" s="9">
        <f>IFERROR(__xludf.DUMMYFUNCTION("GOOGLEFINANCE(A1694, ""high"")"),38.44)</f>
        <v>38.44</v>
      </c>
      <c r="F1694" s="9">
        <f>IFERROR(__xludf.DUMMYFUNCTION("GOOGLEFINANCE(A1694, ""low"")"),37.0)</f>
        <v>37</v>
      </c>
      <c r="G1694" s="9">
        <f>IFERROR(__xludf.DUMMYFUNCTION("GOOGLEFINANCE(A1694, ""price"")"),37.38)</f>
        <v>37.38</v>
      </c>
      <c r="H1694" s="9">
        <f>IFERROR(__xludf.DUMMYFUNCTION("MAX(INDEX(GOOGLEFINANCE(A1694, ""high"", TODAY()-30, TODAY()), 0, 2))"),44.6)</f>
        <v>44.6</v>
      </c>
      <c r="I1694" s="9">
        <f>IFERROR(__xludf.DUMMYFUNCTION("MIN(INDEX(GOOGLEFINANCE(A1694, ""low"", TODAY()-30, TODAY()), 0, 2))"),36.55)</f>
        <v>36.55</v>
      </c>
      <c r="J1694" s="9">
        <f>IFERROR(__xludf.DUMMYFUNCTION("GOOGLEFINANCE(A1694, ""high52"")"),83.44)</f>
        <v>83.44</v>
      </c>
      <c r="K1694" s="9">
        <f>IFERROR(__xludf.DUMMYFUNCTION("GOOGLEFINANCE(A1694, ""low52"")"),33.4)</f>
        <v>33.4</v>
      </c>
      <c r="L1694" s="9">
        <f t="shared" si="1"/>
        <v>0.5520134228</v>
      </c>
      <c r="M1694" s="9">
        <f t="shared" si="2"/>
        <v>0.1191616766</v>
      </c>
      <c r="N1694" s="9">
        <f t="shared" si="3"/>
        <v>0.03891891892</v>
      </c>
      <c r="O1694" s="9">
        <f t="shared" si="4"/>
        <v>0.1031055901</v>
      </c>
      <c r="P1694" s="9" t="str">
        <f>IFERROR(__xludf.DUMMYFUNCTION("GOOGLEFINANCE(A1694, ""pe"")"),"#N/A")</f>
        <v>#N/A</v>
      </c>
      <c r="Q1694" s="9">
        <f>IFERROR(__xludf.DUMMYFUNCTION("IFERROR(GOOGLEFINANCE(A1694, ""volume"") / GOOGLEFINANCE(A1694, ""volumeavg""), 0)"),0.0)</f>
        <v>0</v>
      </c>
      <c r="R1694" s="9">
        <f>IFERROR(__xludf.DUMMYFUNCTION("AVERAGE(INDEX(GOOGLEFINANCE(A1694, ""price"", TODAY()-30, TODAY()), 0, 2))"),39.11347826086956)</f>
        <v>39.11347826</v>
      </c>
      <c r="S1694" s="9">
        <f>IFERROR(__xludf.DUMMYFUNCTION("AVERAGE(INDEX(GOOGLEFINANCE(A1694, ""price"", TODAY()-75, TODAY()), 0, 2))"),41.18056603773586)</f>
        <v>41.18056604</v>
      </c>
      <c r="T1694" s="9">
        <f>IFERROR(__xludf.DUMMYFUNCTION("AVERAGE(INDEX(GOOGLEFINANCE(A1694, ""price"", TODAY()-300, TODAY()), 0, 2))"),50.62915841584155)</f>
        <v>50.62915842</v>
      </c>
      <c r="U1694" s="9">
        <f t="shared" si="5"/>
        <v>-0.04431920499</v>
      </c>
      <c r="V1694" s="15">
        <f>IFERROR(__xludf.DUMMYFUNCTION("LET(hist, GOOGLEFINANCE(A1694,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rs))))))"),51.77705977382874)</f>
        <v>51.77705977</v>
      </c>
      <c r="W1694" s="16" t="str">
        <f>IFERROR(__xludf.DUMMYFUNCTION("IFERROR(GOOGLEFINANCE(A1694, ""volume"") / GOOGLEFINANCE(A1694, ""volumeavg""), )"),"")</f>
        <v/>
      </c>
      <c r="X1694" s="9">
        <f>IFERROR(__xludf.DUMMYFUNCTION("B1694 * GOOGLEFINANCE(A1694, ""volume"")"),1536430.1400000001)</f>
        <v>1536430.14</v>
      </c>
      <c r="Y1694" s="9">
        <f>IFERROR(__xludf.DUMMYFUNCTION("IFERROR(((B1694 - GOOGLEFINANCE(A1694, ""priceopen"")) / GOOGLEFINANCE(A1694, ""priceopen"")) * GOOGLEFINANCE(A1694, ""volume""), 0)"),-510.3939233817689)</f>
        <v>-510.3939234</v>
      </c>
    </row>
    <row r="1695">
      <c r="A1695" s="4" t="s">
        <v>3487</v>
      </c>
      <c r="B1695" s="7">
        <f>IFERROR(__xludf.DUMMYFUNCTION("GOOGLEFINANCE(A1695, ""price"")"),48.0)</f>
        <v>48</v>
      </c>
      <c r="C1695" s="7">
        <f>IFERROR(__xludf.DUMMYFUNCTION("GOOGLEFINANCE(A1695, ""changepct"")"),1.54)</f>
        <v>1.54</v>
      </c>
      <c r="D1695" s="9">
        <f>IFERROR(__xludf.DUMMYFUNCTION("GOOGLEFINANCE(A1695, ""priceopen"")"),48.8)</f>
        <v>48.8</v>
      </c>
      <c r="E1695" s="9">
        <f>IFERROR(__xludf.DUMMYFUNCTION("GOOGLEFINANCE(A1695, ""high"")"),49.0)</f>
        <v>49</v>
      </c>
      <c r="F1695" s="9">
        <f>IFERROR(__xludf.DUMMYFUNCTION("GOOGLEFINANCE(A1695, ""low"")"),47.13)</f>
        <v>47.13</v>
      </c>
      <c r="G1695" s="9">
        <f>IFERROR(__xludf.DUMMYFUNCTION("GOOGLEFINANCE(A1695, ""price"")"),48.0)</f>
        <v>48</v>
      </c>
      <c r="H1695" s="9">
        <f>IFERROR(__xludf.DUMMYFUNCTION("MAX(INDEX(GOOGLEFINANCE(A1695, ""high"", TODAY()-30, TODAY()), 0, 2))"),52.4)</f>
        <v>52.4</v>
      </c>
      <c r="I1695" s="9">
        <f>IFERROR(__xludf.DUMMYFUNCTION("MIN(INDEX(GOOGLEFINANCE(A1695, ""low"", TODAY()-30, TODAY()), 0, 2))"),43.93)</f>
        <v>43.93</v>
      </c>
      <c r="J1695" s="9">
        <f>IFERROR(__xludf.DUMMYFUNCTION("GOOGLEFINANCE(A1695, ""high52"")"),81.0)</f>
        <v>81</v>
      </c>
      <c r="K1695" s="9">
        <f>IFERROR(__xludf.DUMMYFUNCTION("GOOGLEFINANCE(A1695, ""low52"")"),37.25)</f>
        <v>37.25</v>
      </c>
      <c r="L1695" s="9">
        <f t="shared" si="1"/>
        <v>0.4074074074</v>
      </c>
      <c r="M1695" s="9">
        <f t="shared" si="2"/>
        <v>0.288590604</v>
      </c>
      <c r="N1695" s="9">
        <f t="shared" si="3"/>
        <v>0.0396774878</v>
      </c>
      <c r="O1695" s="9">
        <f t="shared" si="4"/>
        <v>0.4805194805</v>
      </c>
      <c r="P1695" s="9">
        <f>IFERROR(__xludf.DUMMYFUNCTION("GOOGLEFINANCE(A1695, ""pe"")"),11.71)</f>
        <v>11.71</v>
      </c>
      <c r="Q1695" s="9">
        <f>IFERROR(__xludf.DUMMYFUNCTION("IFERROR(GOOGLEFINANCE(A1695, ""volume"") / GOOGLEFINANCE(A1695, ""volumeavg""), 0)"),0.0)</f>
        <v>0</v>
      </c>
      <c r="R1695" s="9">
        <f>IFERROR(__xludf.DUMMYFUNCTION("AVERAGE(INDEX(GOOGLEFINANCE(A1695, ""price"", TODAY()-30, TODAY()), 0, 2))"),47.03869565217392)</f>
        <v>47.03869565</v>
      </c>
      <c r="S1695" s="9">
        <f>IFERROR(__xludf.DUMMYFUNCTION("AVERAGE(INDEX(GOOGLEFINANCE(A1695, ""price"", TODAY()-75, TODAY()), 0, 2))"),46.68943396226416)</f>
        <v>46.68943396</v>
      </c>
      <c r="T1695" s="9">
        <f>IFERROR(__xludf.DUMMYFUNCTION("AVERAGE(INDEX(GOOGLEFINANCE(A1695, ""price"", TODAY()-300, TODAY()), 0, 2))"),50.931039603960386)</f>
        <v>50.9310396</v>
      </c>
      <c r="U1695" s="9">
        <f t="shared" si="5"/>
        <v>0.02043645842</v>
      </c>
      <c r="V1695" s="15">
        <f>IFERROR(__xludf.DUMMYFUNCTION("LET(hist, GOOGLEFINANCE(A1695,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rs))))))"),61.28787878787878)</f>
        <v>61.28787879</v>
      </c>
      <c r="W1695" s="16" t="str">
        <f>IFERROR(__xludf.DUMMYFUNCTION("IFERROR(GOOGLEFINANCE(A1695, ""volume"") / GOOGLEFINANCE(A1695, ""volumeavg""), )"),"")</f>
        <v/>
      </c>
      <c r="X1695" s="9">
        <f>IFERROR(__xludf.DUMMYFUNCTION("B1695 * GOOGLEFINANCE(A1695, ""volume"")"),2068944.0)</f>
        <v>2068944</v>
      </c>
      <c r="Y1695" s="9">
        <f>IFERROR(__xludf.DUMMYFUNCTION("IFERROR(((B1695 - GOOGLEFINANCE(A1695, ""priceopen"")) / GOOGLEFINANCE(A1695, ""priceopen"")) * GOOGLEFINANCE(A1695, ""volume""), 0)"),-706.6065573770467)</f>
        <v>-706.6065574</v>
      </c>
    </row>
    <row r="1696">
      <c r="A1696" s="4" t="s">
        <v>3488</v>
      </c>
      <c r="B1696" s="7">
        <f>IFERROR(__xludf.DUMMYFUNCTION("GOOGLEFINANCE(A1696, ""price"")"),252.0)</f>
        <v>252</v>
      </c>
      <c r="C1696" s="7">
        <f>IFERROR(__xludf.DUMMYFUNCTION("GOOGLEFINANCE(A1696, ""changepct"")"),2.29)</f>
        <v>2.29</v>
      </c>
      <c r="D1696" s="9">
        <f>IFERROR(__xludf.DUMMYFUNCTION("GOOGLEFINANCE(A1696, ""priceopen"")"),249.97)</f>
        <v>249.97</v>
      </c>
      <c r="E1696" s="9">
        <f>IFERROR(__xludf.DUMMYFUNCTION("GOOGLEFINANCE(A1696, ""high"")"),252.01)</f>
        <v>252.01</v>
      </c>
      <c r="F1696" s="9">
        <f>IFERROR(__xludf.DUMMYFUNCTION("GOOGLEFINANCE(A1696, ""low"")"),240.0)</f>
        <v>240</v>
      </c>
      <c r="G1696" s="9">
        <f>IFERROR(__xludf.DUMMYFUNCTION("GOOGLEFINANCE(A1696, ""price"")"),252.0)</f>
        <v>252</v>
      </c>
      <c r="H1696" s="9">
        <f>IFERROR(__xludf.DUMMYFUNCTION("MAX(INDEX(GOOGLEFINANCE(A1696, ""high"", TODAY()-30, TODAY()), 0, 2))"),271.9)</f>
        <v>271.9</v>
      </c>
      <c r="I1696" s="9">
        <f>IFERROR(__xludf.DUMMYFUNCTION("MIN(INDEX(GOOGLEFINANCE(A1696, ""low"", TODAY()-30, TODAY()), 0, 2))"),230.1)</f>
        <v>230.1</v>
      </c>
      <c r="J1696" s="9">
        <f>IFERROR(__xludf.DUMMYFUNCTION("GOOGLEFINANCE(A1696, ""high52"")"),388.1)</f>
        <v>388.1</v>
      </c>
      <c r="K1696" s="9">
        <f>IFERROR(__xludf.DUMMYFUNCTION("GOOGLEFINANCE(A1696, ""low52"")"),203.0)</f>
        <v>203</v>
      </c>
      <c r="L1696" s="9">
        <f t="shared" si="1"/>
        <v>0.3506828137</v>
      </c>
      <c r="M1696" s="9">
        <f t="shared" si="2"/>
        <v>0.2413793103</v>
      </c>
      <c r="N1696" s="9">
        <f t="shared" si="3"/>
        <v>0.05004166667</v>
      </c>
      <c r="O1696" s="9">
        <f t="shared" si="4"/>
        <v>0.523923445</v>
      </c>
      <c r="P1696" s="9">
        <f>IFERROR(__xludf.DUMMYFUNCTION("GOOGLEFINANCE(A1696, ""pe"")"),4.18)</f>
        <v>4.18</v>
      </c>
      <c r="Q1696" s="9">
        <f>IFERROR(__xludf.DUMMYFUNCTION("IFERROR(GOOGLEFINANCE(A1696, ""volume"") / GOOGLEFINANCE(A1696, ""volumeavg""), 0)"),0.0)</f>
        <v>0</v>
      </c>
      <c r="R1696" s="9">
        <f>IFERROR(__xludf.DUMMYFUNCTION("AVERAGE(INDEX(GOOGLEFINANCE(A1696, ""price"", TODAY()-30, TODAY()), 0, 2))"),248.45347826086953)</f>
        <v>248.4534783</v>
      </c>
      <c r="S1696" s="9">
        <f>IFERROR(__xludf.DUMMYFUNCTION("AVERAGE(INDEX(GOOGLEFINANCE(A1696, ""price"", TODAY()-75, TODAY()), 0, 2))"),251.3081132075472)</f>
        <v>251.3081132</v>
      </c>
      <c r="T1696" s="9">
        <f>IFERROR(__xludf.DUMMYFUNCTION("AVERAGE(INDEX(GOOGLEFINANCE(A1696, ""price"", TODAY()-300, TODAY()), 0, 2))"),269.9349009900989)</f>
        <v>269.934901</v>
      </c>
      <c r="U1696" s="9">
        <f t="shared" si="5"/>
        <v>0.01427438957</v>
      </c>
      <c r="V1696" s="15">
        <f>IFERROR(__xludf.DUMMYFUNCTION("LET(hist, GOOGLEFINANCE(A1696,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rs))))))"),57.38515901060071)</f>
        <v>57.38515901</v>
      </c>
      <c r="W1696" s="16" t="str">
        <f>IFERROR(__xludf.DUMMYFUNCTION("IFERROR(GOOGLEFINANCE(A1696, ""volume"") / GOOGLEFINANCE(A1696, ""volumeavg""), )"),"")</f>
        <v/>
      </c>
      <c r="X1696" s="9">
        <f>IFERROR(__xludf.DUMMYFUNCTION("B1696 * GOOGLEFINANCE(A1696, ""volume"")"),1.0019772E7)</f>
        <v>10019772</v>
      </c>
      <c r="Y1696" s="9">
        <f>IFERROR(__xludf.DUMMYFUNCTION("IFERROR(((B1696 - GOOGLEFINANCE(A1696, ""priceopen"")) / GOOGLEFINANCE(A1696, ""priceopen"")) * GOOGLEFINANCE(A1696, ""volume""), 0)"),322.89806776813236)</f>
        <v>322.8980678</v>
      </c>
    </row>
    <row r="1697">
      <c r="A1697" s="4" t="s">
        <v>3489</v>
      </c>
      <c r="B1697" s="7">
        <f>IFERROR(__xludf.DUMMYFUNCTION("GOOGLEFINANCE(A1697, ""price"")"),97.7)</f>
        <v>97.7</v>
      </c>
      <c r="C1697" s="7">
        <f>IFERROR(__xludf.DUMMYFUNCTION("GOOGLEFINANCE(A1697, ""changepct"")"),0.99)</f>
        <v>0.99</v>
      </c>
      <c r="D1697" s="9">
        <f>IFERROR(__xludf.DUMMYFUNCTION("GOOGLEFINANCE(A1697, ""priceopen"")"),97.34)</f>
        <v>97.34</v>
      </c>
      <c r="E1697" s="9">
        <f>IFERROR(__xludf.DUMMYFUNCTION("GOOGLEFINANCE(A1697, ""high"")"),99.5)</f>
        <v>99.5</v>
      </c>
      <c r="F1697" s="9">
        <f>IFERROR(__xludf.DUMMYFUNCTION("GOOGLEFINANCE(A1697, ""low"")"),96.12)</f>
        <v>96.12</v>
      </c>
      <c r="G1697" s="9">
        <f>IFERROR(__xludf.DUMMYFUNCTION("GOOGLEFINANCE(A1697, ""price"")"),97.7)</f>
        <v>97.7</v>
      </c>
      <c r="H1697" s="9">
        <f>IFERROR(__xludf.DUMMYFUNCTION("MAX(INDEX(GOOGLEFINANCE(A1697, ""high"", TODAY()-30, TODAY()), 0, 2))"),104.0)</f>
        <v>104</v>
      </c>
      <c r="I1697" s="9">
        <f>IFERROR(__xludf.DUMMYFUNCTION("MIN(INDEX(GOOGLEFINANCE(A1697, ""low"", TODAY()-30, TODAY()), 0, 2))"),92.0)</f>
        <v>92</v>
      </c>
      <c r="J1697" s="9">
        <f>IFERROR(__xludf.DUMMYFUNCTION("GOOGLEFINANCE(A1697, ""high52"")"),164.8)</f>
        <v>164.8</v>
      </c>
      <c r="K1697" s="9">
        <f>IFERROR(__xludf.DUMMYFUNCTION("GOOGLEFINANCE(A1697, ""low52"")"),89.0)</f>
        <v>89</v>
      </c>
      <c r="L1697" s="9">
        <f t="shared" si="1"/>
        <v>0.4071601942</v>
      </c>
      <c r="M1697" s="9">
        <f t="shared" si="2"/>
        <v>0.09775280899</v>
      </c>
      <c r="N1697" s="9">
        <f t="shared" si="3"/>
        <v>0.03516437786</v>
      </c>
      <c r="O1697" s="9">
        <f t="shared" si="4"/>
        <v>0.475</v>
      </c>
      <c r="P1697" s="9">
        <f>IFERROR(__xludf.DUMMYFUNCTION("GOOGLEFINANCE(A1697, ""pe"")"),16.96)</f>
        <v>16.96</v>
      </c>
      <c r="Q1697" s="9">
        <f>IFERROR(__xludf.DUMMYFUNCTION("IFERROR(GOOGLEFINANCE(A1697, ""volume"") / GOOGLEFINANCE(A1697, ""volumeavg""), 0)"),0.0)</f>
        <v>0</v>
      </c>
      <c r="R1697" s="9">
        <f>IFERROR(__xludf.DUMMYFUNCTION("AVERAGE(INDEX(GOOGLEFINANCE(A1697, ""price"", TODAY()-30, TODAY()), 0, 2))"),97.62391304347825)</f>
        <v>97.62391304</v>
      </c>
      <c r="S1697" s="9">
        <f>IFERROR(__xludf.DUMMYFUNCTION("AVERAGE(INDEX(GOOGLEFINANCE(A1697, ""price"", TODAY()-75, TODAY()), 0, 2))"),97.66622641509431)</f>
        <v>97.66622642</v>
      </c>
      <c r="T1697" s="9">
        <f>IFERROR(__xludf.DUMMYFUNCTION("AVERAGE(INDEX(GOOGLEFINANCE(A1697, ""price"", TODAY()-300, TODAY()), 0, 2))"),108.2121782178218)</f>
        <v>108.2121782</v>
      </c>
      <c r="U1697" s="9">
        <f t="shared" si="5"/>
        <v>0.000779388514</v>
      </c>
      <c r="V1697" s="15">
        <f>IFERROR(__xludf.DUMMYFUNCTION("LET(hist, GOOGLEFINANCE(A1697,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rs))))))"),50.49134300421153)</f>
        <v>50.491343</v>
      </c>
      <c r="W1697" s="16" t="str">
        <f>IFERROR(__xludf.DUMMYFUNCTION("IFERROR(GOOGLEFINANCE(A1697, ""volume"") / GOOGLEFINANCE(A1697, ""volumeavg""), )"),"")</f>
        <v/>
      </c>
      <c r="X1697" s="9">
        <f>IFERROR(__xludf.DUMMYFUNCTION("B1697 * GOOGLEFINANCE(A1697, ""volume"")"),437500.60000000003)</f>
        <v>437500.6</v>
      </c>
      <c r="Y1697" s="9">
        <f>IFERROR(__xludf.DUMMYFUNCTION("IFERROR(((B1697 - GOOGLEFINANCE(A1697, ""priceopen"")) / GOOGLEFINANCE(A1697, ""priceopen"")) * GOOGLEFINANCE(A1697, ""volume""), 0)"),16.561331415656436)</f>
        <v>16.56133142</v>
      </c>
    </row>
    <row r="1698">
      <c r="A1698" s="4" t="s">
        <v>3490</v>
      </c>
      <c r="B1698" s="7">
        <f>IFERROR(__xludf.DUMMYFUNCTION("GOOGLEFINANCE(A1698, ""price"")"),328.0)</f>
        <v>328</v>
      </c>
      <c r="C1698" s="7">
        <f>IFERROR(__xludf.DUMMYFUNCTION("GOOGLEFINANCE(A1698, ""changepct"")"),4.78)</f>
        <v>4.78</v>
      </c>
      <c r="D1698" s="9">
        <f>IFERROR(__xludf.DUMMYFUNCTION("GOOGLEFINANCE(A1698, ""priceopen"")"),328.0)</f>
        <v>328</v>
      </c>
      <c r="E1698" s="9">
        <f>IFERROR(__xludf.DUMMYFUNCTION("GOOGLEFINANCE(A1698, ""high"")"),328.0)</f>
        <v>328</v>
      </c>
      <c r="F1698" s="9">
        <f>IFERROR(__xludf.DUMMYFUNCTION("GOOGLEFINANCE(A1698, ""low"")"),328.0)</f>
        <v>328</v>
      </c>
      <c r="G1698" s="9">
        <f>IFERROR(__xludf.DUMMYFUNCTION("GOOGLEFINANCE(A1698, ""price"")"),328.0)</f>
        <v>328</v>
      </c>
      <c r="H1698" s="9">
        <f>IFERROR(__xludf.DUMMYFUNCTION("MAX(INDEX(GOOGLEFINANCE(A1698, ""high"", TODAY()-30, TODAY()), 0, 2))"),329.5)</f>
        <v>329.5</v>
      </c>
      <c r="I1698" s="9">
        <f>IFERROR(__xludf.DUMMYFUNCTION("MIN(INDEX(GOOGLEFINANCE(A1698, ""low"", TODAY()-30, TODAY()), 0, 2))"),280.3)</f>
        <v>280.3</v>
      </c>
      <c r="J1698" s="9">
        <f>IFERROR(__xludf.DUMMYFUNCTION("GOOGLEFINANCE(A1698, ""high52"")"),330.0)</f>
        <v>330</v>
      </c>
      <c r="K1698" s="9">
        <f>IFERROR(__xludf.DUMMYFUNCTION("GOOGLEFINANCE(A1698, ""low52"")"),265.5)</f>
        <v>265.5</v>
      </c>
      <c r="L1698" s="9">
        <f t="shared" si="1"/>
        <v>0.006060606061</v>
      </c>
      <c r="M1698" s="9">
        <f t="shared" si="2"/>
        <v>0.2354048964</v>
      </c>
      <c r="N1698" s="9">
        <f t="shared" si="3"/>
        <v>0</v>
      </c>
      <c r="O1698" s="9">
        <f t="shared" si="4"/>
        <v>0.9695121951</v>
      </c>
      <c r="P1698" s="9" t="str">
        <f>IFERROR(__xludf.DUMMYFUNCTION("GOOGLEFINANCE(A1698, ""pe"")"),"#N/A")</f>
        <v>#N/A</v>
      </c>
      <c r="Q1698" s="9">
        <f>IFERROR(__xludf.DUMMYFUNCTION("IFERROR(GOOGLEFINANCE(A1698, ""volume"") / GOOGLEFINANCE(A1698, ""volumeavg""), 0)"),0.0)</f>
        <v>0</v>
      </c>
      <c r="R1698" s="9">
        <f>IFERROR(__xludf.DUMMYFUNCTION("AVERAGE(INDEX(GOOGLEFINANCE(A1698, ""price"", TODAY()-30, TODAY()), 0, 2))"),305.73333333333335)</f>
        <v>305.7333333</v>
      </c>
      <c r="S1698" s="9">
        <f>IFERROR(__xludf.DUMMYFUNCTION("AVERAGE(INDEX(GOOGLEFINANCE(A1698, ""price"", TODAY()-75, TODAY()), 0, 2))"),299.47222222222223)</f>
        <v>299.4722222</v>
      </c>
      <c r="T1698" s="9">
        <f>IFERROR(__xludf.DUMMYFUNCTION("AVERAGE(INDEX(GOOGLEFINANCE(A1698, ""price"", TODAY()-300, TODAY()), 0, 2))"),293.97936507936504)</f>
        <v>293.9793651</v>
      </c>
      <c r="U1698" s="9">
        <f t="shared" si="5"/>
        <v>0.07283035325</v>
      </c>
      <c r="V1698" s="15">
        <f>IFERROR(__xludf.DUMMYFUNCTION("LET(hist, GOOGLEFINANCE(A1698,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rs))))))"),66.29802095459837)</f>
        <v>66.29802095</v>
      </c>
      <c r="W1698" s="16" t="str">
        <f>IFERROR(__xludf.DUMMYFUNCTION("IFERROR(GOOGLEFINANCE(A1698, ""volume"") / GOOGLEFINANCE(A1698, ""volumeavg""), )"),"")</f>
        <v/>
      </c>
      <c r="X1698" s="9">
        <f>IFERROR(__xludf.DUMMYFUNCTION("B1698 * GOOGLEFINANCE(A1698, ""volume"")"),328.0)</f>
        <v>328</v>
      </c>
      <c r="Y1698" s="9">
        <f>IFERROR(__xludf.DUMMYFUNCTION("IFERROR(((B1698 - GOOGLEFINANCE(A1698, ""priceopen"")) / GOOGLEFINANCE(A1698, ""priceopen"")) * GOOGLEFINANCE(A1698, ""volume""), 0)"),0.0)</f>
        <v>0</v>
      </c>
    </row>
    <row r="1699">
      <c r="A1699" s="4" t="s">
        <v>3491</v>
      </c>
      <c r="B1699" s="7">
        <f>IFERROR(__xludf.DUMMYFUNCTION("GOOGLEFINANCE(A1699, ""price"")"),234.1)</f>
        <v>234.1</v>
      </c>
      <c r="C1699" s="7">
        <f>IFERROR(__xludf.DUMMYFUNCTION("GOOGLEFINANCE(A1699, ""changepct"")"),8.42)</f>
        <v>8.42</v>
      </c>
      <c r="D1699" s="9">
        <f>IFERROR(__xludf.DUMMYFUNCTION("GOOGLEFINANCE(A1699, ""priceopen"")"),218.7)</f>
        <v>218.7</v>
      </c>
      <c r="E1699" s="9">
        <f>IFERROR(__xludf.DUMMYFUNCTION("GOOGLEFINANCE(A1699, ""high"")"),234.1)</f>
        <v>234.1</v>
      </c>
      <c r="F1699" s="9">
        <f>IFERROR(__xludf.DUMMYFUNCTION("GOOGLEFINANCE(A1699, ""low"")"),214.5)</f>
        <v>214.5</v>
      </c>
      <c r="G1699" s="9">
        <f>IFERROR(__xludf.DUMMYFUNCTION("GOOGLEFINANCE(A1699, ""price"")"),234.1)</f>
        <v>234.1</v>
      </c>
      <c r="H1699" s="9">
        <f>IFERROR(__xludf.DUMMYFUNCTION("MAX(INDEX(GOOGLEFINANCE(A1699, ""high"", TODAY()-30, TODAY()), 0, 2))"),241.0)</f>
        <v>241</v>
      </c>
      <c r="I1699" s="9">
        <f>IFERROR(__xludf.DUMMYFUNCTION("MIN(INDEX(GOOGLEFINANCE(A1699, ""low"", TODAY()-30, TODAY()), 0, 2))"),191.51)</f>
        <v>191.51</v>
      </c>
      <c r="J1699" s="9">
        <f>IFERROR(__xludf.DUMMYFUNCTION("GOOGLEFINANCE(A1699, ""high52"")"),247.0)</f>
        <v>247</v>
      </c>
      <c r="K1699" s="9">
        <f>IFERROR(__xludf.DUMMYFUNCTION("GOOGLEFINANCE(A1699, ""low52"")"),151.25)</f>
        <v>151.25</v>
      </c>
      <c r="L1699" s="9">
        <f t="shared" si="1"/>
        <v>0.05222672065</v>
      </c>
      <c r="M1699" s="9">
        <f t="shared" si="2"/>
        <v>0.547768595</v>
      </c>
      <c r="N1699" s="9">
        <f t="shared" si="3"/>
        <v>0.09137529138</v>
      </c>
      <c r="O1699" s="9">
        <f t="shared" si="4"/>
        <v>0.8605778945</v>
      </c>
      <c r="P1699" s="9">
        <f>IFERROR(__xludf.DUMMYFUNCTION("GOOGLEFINANCE(A1699, ""pe"")"),12.51)</f>
        <v>12.51</v>
      </c>
      <c r="Q1699" s="9">
        <f>IFERROR(__xludf.DUMMYFUNCTION("IFERROR(GOOGLEFINANCE(A1699, ""volume"") / GOOGLEFINANCE(A1699, ""volumeavg""), 0)"),0.0)</f>
        <v>0</v>
      </c>
      <c r="R1699" s="9">
        <f>IFERROR(__xludf.DUMMYFUNCTION("AVERAGE(INDEX(GOOGLEFINANCE(A1699, ""price"", TODAY()-30, TODAY()), 0, 2))"),209.0182608695652)</f>
        <v>209.0182609</v>
      </c>
      <c r="S1699" s="9">
        <f>IFERROR(__xludf.DUMMYFUNCTION("AVERAGE(INDEX(GOOGLEFINANCE(A1699, ""price"", TODAY()-75, TODAY()), 0, 2))"),199.9877358490566)</f>
        <v>199.9877358</v>
      </c>
      <c r="T1699" s="9">
        <f>IFERROR(__xludf.DUMMYFUNCTION("AVERAGE(INDEX(GOOGLEFINANCE(A1699, ""price"", TODAY()-300, TODAY()), 0, 2))"),194.58895522388045)</f>
        <v>194.5889552</v>
      </c>
      <c r="U1699" s="9">
        <f t="shared" si="5"/>
        <v>0.1199978367</v>
      </c>
      <c r="V1699" s="15">
        <f>IFERROR(__xludf.DUMMYFUNCTION("LET(hist, GOOGLEFINANCE(A1699, ""price"", TODAY()-30, TODAY()), prices, QUERY(hist, ""select Col2 offset 1"", 0), count, ROWS(prices), IF(count&lt;15, NA(), LET(changes, MAP(SEQUENCE(count-1), LAMBDA(i, INDEX(prices, i+1) - INDEX(prices, i))), gains, MAP(cha"&amp;"nges, LAMBDA(c, MAX(c, 0))), losses, MAP(changes, LAMBDA(c, MAX(-c, 0))), avg_gain, AVERAGE(CHOOSEROWS(gains, SEQUENCE(14, 1, count-14))), avg_loss, AVERAGE(CHOOSEROWS(losses, SEQUENCE(14, 1, count-14))), rs, IFERROR(avg_gain / avg_loss, 0), IF(avg_loss=0"&amp;", 100, 100 - (100 / (1 + rs))))))"),65.05974454058507)</f>
        <v>65.05974454</v>
      </c>
      <c r="W1699" s="16" t="str">
        <f>IFERROR(__xludf.DUMMYFUNCTION("IFERROR(GOOGLEFINANCE(A1699, ""volume"") / GOOGLEFINANCE(A1699, ""volumeavg""), )"),"")</f>
        <v/>
      </c>
      <c r="X1699" s="9">
        <f>IFERROR(__xludf.DUMMYFUNCTION("B1699 * GOOGLEFINANCE(A1699, ""volume"")"),2.37185438E7)</f>
        <v>23718543.8</v>
      </c>
      <c r="Y1699" s="9">
        <f>IFERROR(__xludf.DUMMYFUNCTION("IFERROR(((B1699 - GOOGLEFINANCE(A1699, ""priceopen"")) / GOOGLEFINANCE(A1699, ""priceopen"")) * GOOGLEFINANCE(A1699, ""volume""), 0)"),7134.417924096939)</f>
        <v>7134.417924</v>
      </c>
    </row>
    <row r="1700"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15"/>
      <c r="W1700" s="9"/>
      <c r="X1700" s="9"/>
      <c r="Y1700" s="9"/>
    </row>
    <row r="1701"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15"/>
      <c r="W1701" s="9"/>
      <c r="X1701" s="9"/>
      <c r="Y1701" s="9"/>
    </row>
    <row r="1702"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15"/>
      <c r="W1702" s="9"/>
      <c r="X1702" s="9"/>
      <c r="Y1702" s="9"/>
    </row>
    <row r="1703"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15"/>
      <c r="W1703" s="9"/>
      <c r="X1703" s="9"/>
      <c r="Y1703" s="9"/>
    </row>
    <row r="1704"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15"/>
      <c r="W1704" s="9"/>
      <c r="X1704" s="9"/>
      <c r="Y1704" s="9"/>
    </row>
    <row r="1705"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15"/>
      <c r="W1705" s="9"/>
      <c r="X1705" s="9"/>
      <c r="Y1705" s="9"/>
    </row>
    <row r="1706"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15"/>
      <c r="W1706" s="9"/>
      <c r="X1706" s="9"/>
      <c r="Y1706" s="9"/>
    </row>
    <row r="1707"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15"/>
      <c r="W1707" s="9"/>
      <c r="X1707" s="9"/>
      <c r="Y1707" s="9"/>
    </row>
    <row r="1708"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15"/>
      <c r="W1708" s="9"/>
      <c r="X1708" s="9"/>
      <c r="Y1708" s="9"/>
    </row>
    <row r="1709"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15"/>
      <c r="W1709" s="9"/>
      <c r="X1709" s="9"/>
      <c r="Y1709" s="9"/>
    </row>
    <row r="1710"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15"/>
      <c r="W1710" s="9"/>
      <c r="X1710" s="9"/>
      <c r="Y1710" s="9"/>
    </row>
    <row r="1711"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15"/>
      <c r="W1711" s="9"/>
      <c r="X1711" s="9"/>
      <c r="Y1711" s="9"/>
    </row>
    <row r="1712"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15"/>
      <c r="W1712" s="9"/>
      <c r="X1712" s="9"/>
      <c r="Y1712" s="9"/>
    </row>
    <row r="1713"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15"/>
      <c r="W1713" s="9"/>
      <c r="X1713" s="9"/>
      <c r="Y1713" s="9"/>
    </row>
    <row r="1714"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15"/>
      <c r="W1714" s="9"/>
      <c r="X1714" s="9"/>
      <c r="Y1714" s="9"/>
    </row>
    <row r="1715"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15"/>
      <c r="W1715" s="9"/>
      <c r="X1715" s="9"/>
      <c r="Y1715" s="9"/>
    </row>
    <row r="1716"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15"/>
      <c r="W1716" s="9"/>
      <c r="X1716" s="9"/>
      <c r="Y1716" s="9"/>
    </row>
    <row r="1717"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15"/>
      <c r="W1717" s="9"/>
      <c r="X1717" s="9"/>
      <c r="Y1717" s="9"/>
    </row>
    <row r="1718"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15"/>
      <c r="W1718" s="9"/>
      <c r="X1718" s="9"/>
      <c r="Y1718" s="9"/>
    </row>
    <row r="1719"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15"/>
      <c r="W1719" s="9"/>
      <c r="X1719" s="9"/>
      <c r="Y1719" s="9"/>
    </row>
    <row r="1720"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15"/>
      <c r="W1720" s="9"/>
      <c r="X1720" s="9"/>
      <c r="Y1720" s="9"/>
    </row>
    <row r="1721"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15"/>
      <c r="W1721" s="9"/>
      <c r="X1721" s="9"/>
      <c r="Y1721" s="9"/>
    </row>
    <row r="1722"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15"/>
      <c r="W1722" s="9"/>
      <c r="X1722" s="9"/>
      <c r="Y1722" s="9"/>
    </row>
    <row r="1723"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15"/>
      <c r="W1723" s="9"/>
      <c r="X1723" s="9"/>
      <c r="Y1723" s="9"/>
    </row>
    <row r="1724"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15"/>
      <c r="W1724" s="9"/>
      <c r="X1724" s="9"/>
      <c r="Y1724" s="9"/>
    </row>
    <row r="1725"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15"/>
      <c r="W1725" s="9"/>
      <c r="X1725" s="9"/>
      <c r="Y1725" s="9"/>
    </row>
    <row r="1726"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15"/>
      <c r="W1726" s="9"/>
      <c r="X1726" s="9"/>
      <c r="Y1726" s="9"/>
    </row>
    <row r="1727"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15"/>
      <c r="W1727" s="9"/>
      <c r="X1727" s="9"/>
      <c r="Y1727" s="9"/>
    </row>
    <row r="1728"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15"/>
      <c r="W1728" s="9"/>
      <c r="X1728" s="9"/>
      <c r="Y1728" s="9"/>
    </row>
    <row r="1729"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15"/>
      <c r="W1729" s="9"/>
      <c r="X1729" s="9"/>
      <c r="Y1729" s="9"/>
    </row>
    <row r="1730"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15"/>
      <c r="W1730" s="9"/>
      <c r="X1730" s="9"/>
      <c r="Y1730" s="9"/>
    </row>
    <row r="1731"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15"/>
      <c r="W1731" s="9"/>
      <c r="X1731" s="9"/>
      <c r="Y1731" s="9"/>
    </row>
    <row r="1732"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15"/>
      <c r="W1732" s="9"/>
      <c r="X1732" s="9"/>
      <c r="Y1732" s="9"/>
    </row>
    <row r="1733"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15"/>
      <c r="W1733" s="9"/>
      <c r="X1733" s="9"/>
      <c r="Y1733" s="9"/>
    </row>
    <row r="1734"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15"/>
      <c r="W1734" s="9"/>
      <c r="X1734" s="9"/>
      <c r="Y1734" s="9"/>
    </row>
    <row r="1735"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15"/>
      <c r="W1735" s="9"/>
      <c r="X1735" s="9"/>
      <c r="Y1735" s="9"/>
    </row>
    <row r="1736"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15"/>
      <c r="W1736" s="9"/>
      <c r="X1736" s="9"/>
      <c r="Y1736" s="9"/>
    </row>
    <row r="1737"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15"/>
      <c r="W1737" s="9"/>
      <c r="X1737" s="9"/>
      <c r="Y1737" s="9"/>
    </row>
    <row r="1738"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15"/>
      <c r="W1738" s="9"/>
      <c r="X1738" s="9"/>
      <c r="Y1738" s="9"/>
    </row>
    <row r="1739"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15"/>
      <c r="W1739" s="9"/>
      <c r="X1739" s="9"/>
      <c r="Y1739" s="9"/>
    </row>
    <row r="1740"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15"/>
      <c r="W1740" s="9"/>
      <c r="X1740" s="9"/>
      <c r="Y1740" s="9"/>
    </row>
    <row r="1741"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15"/>
      <c r="W1741" s="9"/>
      <c r="X1741" s="9"/>
      <c r="Y1741" s="9"/>
    </row>
    <row r="1742"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15"/>
      <c r="W1742" s="9"/>
      <c r="X1742" s="9"/>
      <c r="Y1742" s="9"/>
    </row>
    <row r="1743"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15"/>
      <c r="W1743" s="9"/>
      <c r="X1743" s="9"/>
      <c r="Y1743" s="9"/>
    </row>
    <row r="1744"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15"/>
      <c r="W1744" s="9"/>
      <c r="X1744" s="9"/>
      <c r="Y1744" s="9"/>
    </row>
    <row r="1745"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15"/>
      <c r="W1745" s="9"/>
      <c r="X1745" s="9"/>
      <c r="Y1745" s="9"/>
    </row>
    <row r="1746"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15"/>
      <c r="W1746" s="9"/>
      <c r="X1746" s="9"/>
      <c r="Y1746" s="9"/>
    </row>
    <row r="1747"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15"/>
      <c r="W1747" s="9"/>
      <c r="X1747" s="9"/>
      <c r="Y1747" s="9"/>
    </row>
    <row r="1748"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15"/>
      <c r="W1748" s="9"/>
      <c r="X1748" s="9"/>
      <c r="Y1748" s="9"/>
    </row>
    <row r="1749"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15"/>
      <c r="W1749" s="9"/>
      <c r="X1749" s="9"/>
      <c r="Y1749" s="9"/>
    </row>
    <row r="1750"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15"/>
      <c r="W1750" s="9"/>
      <c r="X1750" s="9"/>
      <c r="Y1750" s="9"/>
    </row>
    <row r="1751"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15"/>
      <c r="W1751" s="9"/>
      <c r="X1751" s="9"/>
      <c r="Y1751" s="9"/>
    </row>
    <row r="1752"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15"/>
      <c r="W1752" s="9"/>
      <c r="X1752" s="9"/>
      <c r="Y1752" s="9"/>
    </row>
    <row r="1753"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15"/>
      <c r="W1753" s="9"/>
      <c r="X1753" s="9"/>
      <c r="Y1753" s="9"/>
    </row>
    <row r="1754"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15"/>
      <c r="W1754" s="9"/>
      <c r="X1754" s="9"/>
      <c r="Y1754" s="9"/>
    </row>
    <row r="1755"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15"/>
      <c r="W1755" s="9"/>
      <c r="X1755" s="9"/>
      <c r="Y1755" s="9"/>
    </row>
    <row r="1756"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15"/>
      <c r="W1756" s="9"/>
      <c r="X1756" s="9"/>
      <c r="Y1756" s="9"/>
    </row>
    <row r="1757"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15"/>
      <c r="W1757" s="9"/>
      <c r="X1757" s="9"/>
      <c r="Y1757" s="9"/>
    </row>
    <row r="1758"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15"/>
      <c r="W1758" s="9"/>
      <c r="X1758" s="9"/>
      <c r="Y1758" s="9"/>
    </row>
    <row r="1759"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15"/>
      <c r="W1759" s="9"/>
      <c r="X1759" s="9"/>
      <c r="Y1759" s="9"/>
    </row>
    <row r="1760"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15"/>
      <c r="W1760" s="9"/>
      <c r="X1760" s="9"/>
      <c r="Y1760" s="9"/>
    </row>
    <row r="1761"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15"/>
      <c r="W1761" s="9"/>
      <c r="X1761" s="9"/>
      <c r="Y1761" s="9"/>
    </row>
    <row r="1762"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15"/>
      <c r="W1762" s="9"/>
      <c r="X1762" s="9"/>
      <c r="Y1762" s="9"/>
    </row>
    <row r="1763"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15"/>
      <c r="W1763" s="9"/>
      <c r="X1763" s="9"/>
      <c r="Y1763" s="9"/>
    </row>
    <row r="1764"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15"/>
      <c r="W1764" s="9"/>
      <c r="X1764" s="9"/>
      <c r="Y1764" s="9"/>
    </row>
    <row r="1765"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15"/>
      <c r="W1765" s="9"/>
      <c r="X1765" s="9"/>
      <c r="Y1765" s="9"/>
    </row>
    <row r="1766"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15"/>
      <c r="W1766" s="9"/>
      <c r="X1766" s="9"/>
      <c r="Y1766" s="9"/>
    </row>
    <row r="1767"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15"/>
      <c r="W1767" s="9"/>
      <c r="X1767" s="9"/>
      <c r="Y1767" s="9"/>
    </row>
    <row r="1768"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15"/>
      <c r="W1768" s="9"/>
      <c r="X1768" s="9"/>
      <c r="Y1768" s="9"/>
    </row>
    <row r="1769"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15"/>
      <c r="W1769" s="9"/>
      <c r="X1769" s="9"/>
      <c r="Y1769" s="9"/>
    </row>
    <row r="1770"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15"/>
      <c r="W1770" s="9"/>
      <c r="X1770" s="9"/>
      <c r="Y1770" s="9"/>
    </row>
    <row r="1771"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15"/>
      <c r="W1771" s="9"/>
      <c r="X1771" s="9"/>
      <c r="Y1771" s="9"/>
    </row>
    <row r="1772"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15"/>
      <c r="W1772" s="9"/>
      <c r="X1772" s="9"/>
      <c r="Y1772" s="9"/>
    </row>
    <row r="1773"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15"/>
      <c r="W1773" s="9"/>
      <c r="X1773" s="9"/>
      <c r="Y1773" s="9"/>
    </row>
    <row r="1774"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15"/>
      <c r="W1774" s="9"/>
      <c r="X1774" s="9"/>
      <c r="Y1774" s="9"/>
    </row>
    <row r="1775"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15"/>
      <c r="W1775" s="9"/>
      <c r="X1775" s="9"/>
      <c r="Y1775" s="9"/>
    </row>
    <row r="1776"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15"/>
      <c r="W1776" s="9"/>
      <c r="X1776" s="9"/>
      <c r="Y1776" s="9"/>
    </row>
    <row r="1777"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15"/>
      <c r="W1777" s="9"/>
      <c r="X1777" s="9"/>
      <c r="Y1777" s="9"/>
    </row>
    <row r="1778"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15"/>
      <c r="W1778" s="9"/>
      <c r="X1778" s="9"/>
      <c r="Y1778" s="9"/>
    </row>
    <row r="1779"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15"/>
      <c r="W1779" s="9"/>
      <c r="X1779" s="9"/>
      <c r="Y1779" s="9"/>
    </row>
    <row r="1780"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15"/>
      <c r="W1780" s="9"/>
      <c r="X1780" s="9"/>
      <c r="Y1780" s="9"/>
    </row>
    <row r="1781"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15"/>
      <c r="W1781" s="9"/>
      <c r="X1781" s="9"/>
      <c r="Y1781" s="9"/>
    </row>
    <row r="1782"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15"/>
      <c r="W1782" s="9"/>
      <c r="X1782" s="9"/>
      <c r="Y1782" s="9"/>
    </row>
    <row r="1783"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15"/>
      <c r="W1783" s="9"/>
      <c r="X1783" s="9"/>
      <c r="Y1783" s="9"/>
    </row>
    <row r="1784"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15"/>
      <c r="W1784" s="9"/>
      <c r="X1784" s="9"/>
      <c r="Y1784" s="9"/>
    </row>
    <row r="1785"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15"/>
      <c r="W1785" s="9"/>
      <c r="X1785" s="9"/>
      <c r="Y1785" s="9"/>
    </row>
    <row r="1786"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15"/>
      <c r="W1786" s="9"/>
      <c r="X1786" s="9"/>
      <c r="Y1786" s="9"/>
    </row>
    <row r="1787"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15"/>
      <c r="W1787" s="9"/>
      <c r="X1787" s="9"/>
      <c r="Y1787" s="9"/>
    </row>
    <row r="1788"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15"/>
      <c r="W1788" s="9"/>
      <c r="X1788" s="9"/>
      <c r="Y1788" s="9"/>
    </row>
    <row r="1789"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15"/>
      <c r="W1789" s="9"/>
      <c r="X1789" s="9"/>
      <c r="Y1789" s="9"/>
    </row>
    <row r="1790"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15"/>
      <c r="W1790" s="9"/>
      <c r="X1790" s="9"/>
      <c r="Y1790" s="9"/>
    </row>
    <row r="1791"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15"/>
      <c r="W1791" s="9"/>
      <c r="X1791" s="9"/>
      <c r="Y1791" s="9"/>
    </row>
    <row r="1792"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15"/>
      <c r="W1792" s="9"/>
      <c r="X1792" s="9"/>
      <c r="Y1792" s="9"/>
    </row>
    <row r="1793"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15"/>
      <c r="W1793" s="9"/>
      <c r="X1793" s="9"/>
      <c r="Y1793" s="9"/>
    </row>
    <row r="1794"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15"/>
      <c r="W1794" s="9"/>
      <c r="X1794" s="9"/>
      <c r="Y1794" s="9"/>
    </row>
    <row r="1795"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15"/>
      <c r="W1795" s="9"/>
      <c r="X1795" s="9"/>
      <c r="Y1795" s="9"/>
    </row>
    <row r="1796"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15"/>
      <c r="W1796" s="9"/>
      <c r="X1796" s="9"/>
      <c r="Y1796" s="9"/>
    </row>
    <row r="1797"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15"/>
      <c r="W1797" s="9"/>
      <c r="X1797" s="9"/>
      <c r="Y1797" s="9"/>
    </row>
    <row r="1798"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15"/>
      <c r="W1798" s="9"/>
      <c r="X1798" s="9"/>
      <c r="Y1798" s="9"/>
    </row>
    <row r="1799"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15"/>
      <c r="W1799" s="9"/>
      <c r="X1799" s="9"/>
      <c r="Y1799" s="9"/>
    </row>
    <row r="1800"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15"/>
      <c r="W1800" s="9"/>
      <c r="X1800" s="9"/>
      <c r="Y1800" s="9"/>
    </row>
    <row r="1801"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15"/>
      <c r="W1801" s="9"/>
      <c r="X1801" s="9"/>
      <c r="Y1801" s="9"/>
    </row>
    <row r="1802"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15"/>
      <c r="W1802" s="9"/>
      <c r="X1802" s="9"/>
      <c r="Y1802" s="9"/>
    </row>
    <row r="1803"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15"/>
      <c r="W1803" s="9"/>
      <c r="X1803" s="9"/>
      <c r="Y1803" s="9"/>
    </row>
    <row r="1804"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15"/>
      <c r="W1804" s="9"/>
      <c r="X1804" s="9"/>
      <c r="Y1804" s="9"/>
    </row>
    <row r="1805"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15"/>
      <c r="W1805" s="9"/>
      <c r="X1805" s="9"/>
      <c r="Y1805" s="9"/>
    </row>
    <row r="1806"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15"/>
      <c r="W1806" s="9"/>
      <c r="X1806" s="9"/>
      <c r="Y1806" s="9"/>
    </row>
    <row r="1807"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15"/>
      <c r="W1807" s="9"/>
      <c r="X1807" s="9"/>
      <c r="Y1807" s="9"/>
    </row>
    <row r="1808"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15"/>
      <c r="W1808" s="9"/>
      <c r="X1808" s="9"/>
      <c r="Y1808" s="9"/>
    </row>
    <row r="1809"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15"/>
      <c r="W1809" s="9"/>
      <c r="X1809" s="9"/>
      <c r="Y1809" s="9"/>
    </row>
    <row r="1810"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15"/>
      <c r="W1810" s="9"/>
      <c r="X1810" s="9"/>
      <c r="Y1810" s="9"/>
    </row>
    <row r="1811"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15"/>
      <c r="W1811" s="9"/>
      <c r="X1811" s="9"/>
      <c r="Y1811" s="9"/>
    </row>
    <row r="1812"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15"/>
      <c r="W1812" s="9"/>
      <c r="X1812" s="9"/>
      <c r="Y1812" s="9"/>
    </row>
    <row r="1813"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15"/>
      <c r="W1813" s="9"/>
      <c r="X1813" s="9"/>
      <c r="Y1813" s="9"/>
    </row>
    <row r="1814"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15"/>
      <c r="W1814" s="9"/>
      <c r="X1814" s="9"/>
      <c r="Y1814" s="9"/>
    </row>
    <row r="1815"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15"/>
      <c r="W1815" s="9"/>
      <c r="X1815" s="9"/>
      <c r="Y1815" s="9"/>
    </row>
    <row r="1816"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15"/>
      <c r="W1816" s="9"/>
      <c r="X1816" s="9"/>
      <c r="Y1816" s="9"/>
    </row>
    <row r="1817"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15"/>
      <c r="W1817" s="9"/>
      <c r="X1817" s="9"/>
      <c r="Y1817" s="9"/>
    </row>
    <row r="1818"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15"/>
      <c r="W1818" s="9"/>
      <c r="X1818" s="9"/>
      <c r="Y1818" s="9"/>
    </row>
    <row r="1819"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15"/>
      <c r="W1819" s="9"/>
      <c r="X1819" s="9"/>
      <c r="Y1819" s="9"/>
    </row>
    <row r="1820"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15"/>
      <c r="W1820" s="9"/>
      <c r="X1820" s="9"/>
      <c r="Y1820" s="9"/>
    </row>
    <row r="1821"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15"/>
      <c r="W1821" s="9"/>
      <c r="X1821" s="9"/>
      <c r="Y1821" s="9"/>
    </row>
    <row r="1822"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15"/>
      <c r="W1822" s="9"/>
      <c r="X1822" s="9"/>
      <c r="Y1822" s="9"/>
    </row>
    <row r="1823"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15"/>
      <c r="W1823" s="9"/>
      <c r="X1823" s="9"/>
      <c r="Y1823" s="9"/>
    </row>
    <row r="1824"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15"/>
      <c r="W1824" s="9"/>
      <c r="X1824" s="9"/>
      <c r="Y1824" s="9"/>
    </row>
    <row r="1825"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15"/>
      <c r="W1825" s="9"/>
      <c r="X1825" s="9"/>
      <c r="Y1825" s="9"/>
    </row>
    <row r="1826"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15"/>
      <c r="W1826" s="9"/>
      <c r="X1826" s="9"/>
      <c r="Y1826" s="9"/>
    </row>
    <row r="1827"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15"/>
      <c r="W1827" s="9"/>
      <c r="X1827" s="9"/>
      <c r="Y1827" s="9"/>
    </row>
    <row r="1828"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15"/>
      <c r="W1828" s="9"/>
      <c r="X1828" s="9"/>
      <c r="Y1828" s="9"/>
    </row>
    <row r="1829"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15"/>
      <c r="W1829" s="9"/>
      <c r="X1829" s="9"/>
      <c r="Y1829" s="9"/>
    </row>
    <row r="1830"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15"/>
      <c r="W1830" s="9"/>
      <c r="X1830" s="9"/>
      <c r="Y1830" s="9"/>
    </row>
    <row r="1831"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15"/>
      <c r="W1831" s="9"/>
      <c r="X1831" s="9"/>
      <c r="Y1831" s="9"/>
    </row>
    <row r="1832"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15"/>
      <c r="W1832" s="9"/>
      <c r="X1832" s="9"/>
      <c r="Y1832" s="9"/>
    </row>
    <row r="1833"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15"/>
      <c r="W1833" s="9"/>
      <c r="X1833" s="9"/>
      <c r="Y1833" s="9"/>
    </row>
    <row r="1834"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15"/>
      <c r="W1834" s="9"/>
      <c r="X1834" s="9"/>
      <c r="Y1834" s="9"/>
    </row>
    <row r="1835"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15"/>
      <c r="W1835" s="9"/>
      <c r="X1835" s="9"/>
      <c r="Y1835" s="9"/>
    </row>
    <row r="1836"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15"/>
      <c r="W1836" s="9"/>
      <c r="X1836" s="9"/>
      <c r="Y1836" s="9"/>
    </row>
    <row r="1837"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15"/>
      <c r="W1837" s="9"/>
      <c r="X1837" s="9"/>
      <c r="Y1837" s="9"/>
    </row>
    <row r="1838"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15"/>
      <c r="W1838" s="9"/>
      <c r="X1838" s="9"/>
      <c r="Y1838" s="9"/>
    </row>
    <row r="1839"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15"/>
      <c r="W1839" s="9"/>
      <c r="X1839" s="9"/>
      <c r="Y1839" s="9"/>
    </row>
    <row r="1840"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15"/>
      <c r="W1840" s="9"/>
      <c r="X1840" s="9"/>
      <c r="Y1840" s="9"/>
    </row>
    <row r="1841"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15"/>
      <c r="W1841" s="9"/>
      <c r="X1841" s="9"/>
      <c r="Y1841" s="9"/>
    </row>
    <row r="1842"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15"/>
      <c r="W1842" s="9"/>
      <c r="X1842" s="9"/>
      <c r="Y1842" s="9"/>
    </row>
    <row r="1843"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15"/>
      <c r="W1843" s="9"/>
      <c r="X1843" s="9"/>
      <c r="Y1843" s="9"/>
    </row>
    <row r="1844"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15"/>
      <c r="W1844" s="9"/>
      <c r="X1844" s="9"/>
      <c r="Y1844" s="9"/>
    </row>
    <row r="1845"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15"/>
      <c r="W1845" s="9"/>
      <c r="X1845" s="9"/>
      <c r="Y1845" s="9"/>
    </row>
    <row r="1846"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15"/>
      <c r="W1846" s="9"/>
      <c r="X1846" s="9"/>
      <c r="Y1846" s="9"/>
    </row>
    <row r="1847"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15"/>
      <c r="W1847" s="9"/>
      <c r="X1847" s="9"/>
      <c r="Y1847" s="9"/>
    </row>
    <row r="1848"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15"/>
      <c r="W1848" s="9"/>
      <c r="X1848" s="9"/>
      <c r="Y1848" s="9"/>
    </row>
    <row r="1849"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15"/>
      <c r="W1849" s="9"/>
      <c r="X1849" s="9"/>
      <c r="Y1849" s="9"/>
    </row>
    <row r="1850"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15"/>
      <c r="W1850" s="9"/>
      <c r="X1850" s="9"/>
      <c r="Y1850" s="9"/>
    </row>
    <row r="1851"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15"/>
      <c r="W1851" s="9"/>
      <c r="X1851" s="9"/>
      <c r="Y1851" s="9"/>
    </row>
    <row r="1852"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15"/>
      <c r="W1852" s="9"/>
      <c r="X1852" s="9"/>
      <c r="Y1852" s="9"/>
    </row>
    <row r="1853"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15"/>
      <c r="W1853" s="9"/>
      <c r="X1853" s="9"/>
      <c r="Y1853" s="9"/>
    </row>
    <row r="1854"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15"/>
      <c r="W1854" s="9"/>
      <c r="X1854" s="9"/>
      <c r="Y1854" s="9"/>
    </row>
    <row r="1855"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15"/>
      <c r="W1855" s="9"/>
      <c r="X1855" s="9"/>
      <c r="Y1855" s="9"/>
    </row>
    <row r="1856"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15"/>
      <c r="W1856" s="9"/>
      <c r="X1856" s="9"/>
      <c r="Y1856" s="9"/>
    </row>
    <row r="1857"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15"/>
      <c r="W1857" s="9"/>
      <c r="X1857" s="9"/>
      <c r="Y1857" s="9"/>
    </row>
    <row r="1858"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15"/>
      <c r="W1858" s="9"/>
      <c r="X1858" s="9"/>
      <c r="Y1858" s="9"/>
    </row>
    <row r="1859"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15"/>
      <c r="W1859" s="9"/>
      <c r="X1859" s="9"/>
      <c r="Y1859" s="9"/>
    </row>
    <row r="1860"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15"/>
      <c r="W1860" s="9"/>
      <c r="X1860" s="9"/>
      <c r="Y1860" s="9"/>
    </row>
    <row r="1861"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15"/>
      <c r="W1861" s="9"/>
      <c r="X1861" s="9"/>
      <c r="Y1861" s="9"/>
    </row>
    <row r="1862"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15"/>
      <c r="W1862" s="9"/>
      <c r="X1862" s="9"/>
      <c r="Y1862" s="9"/>
    </row>
    <row r="1863"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15"/>
      <c r="W1863" s="9"/>
      <c r="X1863" s="9"/>
      <c r="Y1863" s="9"/>
    </row>
    <row r="1864"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15"/>
      <c r="W1864" s="9"/>
      <c r="X1864" s="9"/>
      <c r="Y1864" s="9"/>
    </row>
    <row r="1865"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15"/>
      <c r="W1865" s="9"/>
      <c r="X1865" s="9"/>
      <c r="Y1865" s="9"/>
    </row>
    <row r="1866"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15"/>
      <c r="W1866" s="9"/>
      <c r="X1866" s="9"/>
      <c r="Y1866" s="9"/>
    </row>
    <row r="1867"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15"/>
      <c r="W1867" s="9"/>
      <c r="X1867" s="9"/>
      <c r="Y1867" s="9"/>
    </row>
    <row r="1868"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15"/>
      <c r="W1868" s="9"/>
      <c r="X1868" s="9"/>
      <c r="Y1868" s="9"/>
    </row>
    <row r="1869"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15"/>
      <c r="W1869" s="9"/>
      <c r="X1869" s="9"/>
      <c r="Y1869" s="9"/>
    </row>
    <row r="1870"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15"/>
      <c r="W1870" s="9"/>
      <c r="X1870" s="9"/>
      <c r="Y1870" s="9"/>
    </row>
    <row r="1871"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15"/>
      <c r="W1871" s="9"/>
      <c r="X1871" s="9"/>
      <c r="Y1871" s="9"/>
    </row>
    <row r="1872"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15"/>
      <c r="W1872" s="9"/>
      <c r="X1872" s="9"/>
      <c r="Y1872" s="9"/>
    </row>
    <row r="1873"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15"/>
      <c r="W1873" s="9"/>
      <c r="X1873" s="9"/>
      <c r="Y1873" s="9"/>
    </row>
    <row r="1874"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15"/>
      <c r="W1874" s="9"/>
      <c r="X1874" s="9"/>
      <c r="Y1874" s="9"/>
    </row>
    <row r="1875"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15"/>
      <c r="W1875" s="9"/>
      <c r="X1875" s="9"/>
      <c r="Y1875" s="9"/>
    </row>
    <row r="1876"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15"/>
      <c r="W1876" s="9"/>
      <c r="X1876" s="9"/>
      <c r="Y1876" s="9"/>
    </row>
    <row r="1877"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15"/>
      <c r="W1877" s="9"/>
      <c r="X1877" s="9"/>
      <c r="Y1877" s="9"/>
    </row>
    <row r="1878"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15"/>
      <c r="W1878" s="9"/>
      <c r="X1878" s="9"/>
      <c r="Y1878" s="9"/>
    </row>
    <row r="1879"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15"/>
      <c r="W1879" s="9"/>
      <c r="X1879" s="9"/>
      <c r="Y1879" s="9"/>
    </row>
    <row r="1880"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15"/>
      <c r="W1880" s="9"/>
      <c r="X1880" s="9"/>
      <c r="Y1880" s="9"/>
    </row>
    <row r="1881"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15"/>
      <c r="W1881" s="9"/>
      <c r="X1881" s="9"/>
      <c r="Y1881" s="9"/>
    </row>
    <row r="1882"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15"/>
      <c r="W1882" s="9"/>
      <c r="X1882" s="9"/>
      <c r="Y1882" s="9"/>
    </row>
    <row r="1883"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15"/>
      <c r="W1883" s="9"/>
      <c r="X1883" s="9"/>
      <c r="Y1883" s="9"/>
    </row>
    <row r="1884"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15"/>
      <c r="W1884" s="9"/>
      <c r="X1884" s="9"/>
      <c r="Y1884" s="9"/>
    </row>
    <row r="1885"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15"/>
      <c r="W1885" s="9"/>
      <c r="X1885" s="9"/>
      <c r="Y1885" s="9"/>
    </row>
    <row r="1886"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15"/>
      <c r="W1886" s="9"/>
      <c r="X1886" s="9"/>
      <c r="Y1886" s="9"/>
    </row>
    <row r="1887"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15"/>
      <c r="W1887" s="9"/>
      <c r="X1887" s="9"/>
      <c r="Y1887" s="9"/>
    </row>
    <row r="1888"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15"/>
      <c r="W1888" s="9"/>
      <c r="X1888" s="9"/>
      <c r="Y1888" s="9"/>
    </row>
    <row r="1889"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15"/>
      <c r="W1889" s="9"/>
      <c r="X1889" s="9"/>
      <c r="Y1889" s="9"/>
    </row>
    <row r="1890"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15"/>
      <c r="W1890" s="9"/>
      <c r="X1890" s="9"/>
      <c r="Y1890" s="9"/>
    </row>
    <row r="1891"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15"/>
      <c r="W1891" s="9"/>
      <c r="X1891" s="9"/>
      <c r="Y1891" s="9"/>
    </row>
    <row r="1892"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15"/>
      <c r="W1892" s="9"/>
      <c r="X1892" s="9"/>
      <c r="Y1892" s="9"/>
    </row>
    <row r="1893"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15"/>
      <c r="W1893" s="9"/>
      <c r="X1893" s="9"/>
      <c r="Y1893" s="9"/>
    </row>
    <row r="1894"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15"/>
      <c r="W1894" s="9"/>
      <c r="X1894" s="9"/>
      <c r="Y1894" s="9"/>
    </row>
    <row r="1895"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15"/>
      <c r="W1895" s="9"/>
      <c r="X1895" s="9"/>
      <c r="Y1895" s="9"/>
    </row>
    <row r="1896"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15"/>
      <c r="W1896" s="9"/>
      <c r="X1896" s="9"/>
      <c r="Y1896" s="9"/>
    </row>
    <row r="1897"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15"/>
      <c r="W1897" s="9"/>
      <c r="X1897" s="9"/>
      <c r="Y1897" s="9"/>
    </row>
    <row r="1898"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15"/>
      <c r="W1898" s="9"/>
      <c r="X1898" s="9"/>
      <c r="Y1898" s="9"/>
    </row>
    <row r="1899"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15"/>
      <c r="W1899" s="9"/>
      <c r="X1899" s="9"/>
      <c r="Y1899" s="9"/>
    </row>
    <row r="1900"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15"/>
      <c r="W1900" s="9"/>
      <c r="X1900" s="9"/>
      <c r="Y1900" s="9"/>
    </row>
    <row r="1901"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15"/>
      <c r="W1901" s="9"/>
      <c r="X1901" s="9"/>
      <c r="Y1901" s="9"/>
    </row>
    <row r="1902"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15"/>
      <c r="W1902" s="9"/>
      <c r="X1902" s="9"/>
      <c r="Y1902" s="9"/>
    </row>
    <row r="1903"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15"/>
      <c r="W1903" s="9"/>
      <c r="X1903" s="9"/>
      <c r="Y1903" s="9"/>
    </row>
    <row r="1904"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15"/>
      <c r="W1904" s="9"/>
      <c r="X1904" s="9"/>
      <c r="Y1904" s="9"/>
    </row>
    <row r="1905"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15"/>
      <c r="W1905" s="9"/>
      <c r="X1905" s="9"/>
      <c r="Y1905" s="9"/>
    </row>
    <row r="1906"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15"/>
      <c r="W1906" s="9"/>
      <c r="X1906" s="9"/>
      <c r="Y1906" s="9"/>
    </row>
    <row r="1907"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15"/>
      <c r="W1907" s="9"/>
      <c r="X1907" s="9"/>
      <c r="Y1907" s="9"/>
    </row>
    <row r="1908"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15"/>
      <c r="W1908" s="9"/>
      <c r="X1908" s="9"/>
      <c r="Y1908" s="9"/>
    </row>
    <row r="1909"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15"/>
      <c r="W1909" s="9"/>
      <c r="X1909" s="9"/>
      <c r="Y1909" s="9"/>
    </row>
    <row r="1910"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15"/>
      <c r="W1910" s="9"/>
      <c r="X1910" s="9"/>
      <c r="Y1910" s="9"/>
    </row>
    <row r="1911"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15"/>
      <c r="W1911" s="9"/>
      <c r="X1911" s="9"/>
      <c r="Y1911" s="9"/>
    </row>
    <row r="1912"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15"/>
      <c r="W1912" s="9"/>
      <c r="X1912" s="9"/>
      <c r="Y1912" s="9"/>
    </row>
    <row r="1913"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15"/>
      <c r="W1913" s="9"/>
      <c r="X1913" s="9"/>
      <c r="Y1913" s="9"/>
    </row>
    <row r="1914"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15"/>
      <c r="W1914" s="9"/>
      <c r="X1914" s="9"/>
      <c r="Y1914" s="9"/>
    </row>
    <row r="1915"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15"/>
      <c r="W1915" s="9"/>
      <c r="X1915" s="9"/>
      <c r="Y1915" s="9"/>
    </row>
    <row r="1916"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15"/>
      <c r="W1916" s="9"/>
      <c r="X1916" s="9"/>
      <c r="Y1916" s="9"/>
    </row>
    <row r="1917"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15"/>
      <c r="W1917" s="9"/>
      <c r="X1917" s="9"/>
      <c r="Y1917" s="9"/>
    </row>
    <row r="1918"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15"/>
      <c r="W1918" s="9"/>
      <c r="X1918" s="9"/>
      <c r="Y1918" s="9"/>
    </row>
    <row r="1919"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15"/>
      <c r="W1919" s="9"/>
      <c r="X1919" s="9"/>
      <c r="Y1919" s="9"/>
    </row>
    <row r="1920"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15"/>
      <c r="W1920" s="9"/>
      <c r="X1920" s="9"/>
      <c r="Y1920" s="9"/>
    </row>
    <row r="1921"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15"/>
      <c r="W1921" s="9"/>
      <c r="X1921" s="9"/>
      <c r="Y1921" s="9"/>
    </row>
    <row r="1922"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15"/>
      <c r="W1922" s="9"/>
      <c r="X1922" s="9"/>
      <c r="Y1922" s="9"/>
    </row>
    <row r="1923"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15"/>
      <c r="W1923" s="9"/>
      <c r="X1923" s="9"/>
      <c r="Y1923" s="9"/>
    </row>
    <row r="1924"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15"/>
      <c r="W1924" s="9"/>
      <c r="X1924" s="9"/>
      <c r="Y1924" s="9"/>
    </row>
    <row r="1925"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15"/>
      <c r="W1925" s="9"/>
      <c r="X1925" s="9"/>
      <c r="Y1925" s="9"/>
    </row>
    <row r="1926"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15"/>
      <c r="W1926" s="9"/>
      <c r="X1926" s="9"/>
      <c r="Y1926" s="9"/>
    </row>
    <row r="1927"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15"/>
      <c r="W1927" s="9"/>
      <c r="X1927" s="9"/>
      <c r="Y1927" s="9"/>
    </row>
    <row r="1928"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15"/>
      <c r="W1928" s="9"/>
      <c r="X1928" s="9"/>
      <c r="Y1928" s="9"/>
    </row>
    <row r="1929"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15"/>
      <c r="W1929" s="9"/>
      <c r="X1929" s="9"/>
      <c r="Y1929" s="9"/>
    </row>
    <row r="1930"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15"/>
      <c r="W1930" s="9"/>
      <c r="X1930" s="9"/>
      <c r="Y1930" s="9"/>
    </row>
    <row r="1931"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15"/>
      <c r="W1931" s="9"/>
      <c r="X1931" s="9"/>
      <c r="Y1931" s="9"/>
    </row>
    <row r="1932"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15"/>
      <c r="W1932" s="9"/>
      <c r="X1932" s="9"/>
      <c r="Y1932" s="9"/>
    </row>
    <row r="1933"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15"/>
      <c r="W1933" s="9"/>
      <c r="X1933" s="9"/>
      <c r="Y1933" s="9"/>
    </row>
    <row r="1934"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15"/>
      <c r="W1934" s="9"/>
      <c r="X1934" s="9"/>
      <c r="Y1934" s="9"/>
    </row>
    <row r="1935"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15"/>
      <c r="W1935" s="9"/>
      <c r="X1935" s="9"/>
      <c r="Y1935" s="9"/>
    </row>
    <row r="1936"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15"/>
      <c r="W1936" s="9"/>
      <c r="X1936" s="9"/>
      <c r="Y1936" s="9"/>
    </row>
    <row r="1937"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15"/>
      <c r="W1937" s="9"/>
      <c r="X1937" s="9"/>
      <c r="Y1937" s="9"/>
    </row>
    <row r="1938"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15"/>
      <c r="W1938" s="9"/>
      <c r="X1938" s="9"/>
      <c r="Y1938" s="9"/>
    </row>
    <row r="1939"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15"/>
      <c r="W1939" s="9"/>
      <c r="X1939" s="9"/>
      <c r="Y1939" s="9"/>
    </row>
    <row r="1940"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15"/>
      <c r="W1940" s="9"/>
      <c r="X1940" s="9"/>
      <c r="Y1940" s="9"/>
    </row>
    <row r="1941"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15"/>
      <c r="W1941" s="9"/>
      <c r="X1941" s="9"/>
      <c r="Y1941" s="9"/>
    </row>
    <row r="1942"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15"/>
      <c r="W1942" s="9"/>
      <c r="X1942" s="9"/>
      <c r="Y1942" s="9"/>
    </row>
    <row r="1943"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15"/>
      <c r="W1943" s="9"/>
      <c r="X1943" s="9"/>
      <c r="Y1943" s="9"/>
    </row>
    <row r="1944"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15"/>
      <c r="W1944" s="9"/>
      <c r="X1944" s="9"/>
      <c r="Y1944" s="9"/>
    </row>
    <row r="1945"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15"/>
      <c r="W1945" s="9"/>
      <c r="X1945" s="9"/>
      <c r="Y1945" s="9"/>
    </row>
    <row r="1946"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15"/>
      <c r="W1946" s="9"/>
      <c r="X1946" s="9"/>
      <c r="Y1946" s="9"/>
    </row>
    <row r="1947"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15"/>
      <c r="W1947" s="9"/>
      <c r="X1947" s="9"/>
      <c r="Y1947" s="9"/>
    </row>
    <row r="1948"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15"/>
      <c r="W1948" s="9"/>
      <c r="X1948" s="9"/>
      <c r="Y1948" s="9"/>
    </row>
    <row r="1949"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15"/>
      <c r="W1949" s="9"/>
      <c r="X1949" s="9"/>
      <c r="Y1949" s="9"/>
    </row>
    <row r="1950"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15"/>
      <c r="W1950" s="9"/>
      <c r="X1950" s="9"/>
      <c r="Y1950" s="9"/>
    </row>
    <row r="1951"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15"/>
      <c r="W1951" s="9"/>
      <c r="X1951" s="9"/>
      <c r="Y1951" s="9"/>
    </row>
    <row r="1952"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15"/>
      <c r="W1952" s="9"/>
      <c r="X1952" s="9"/>
      <c r="Y1952" s="9"/>
    </row>
    <row r="1953"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15"/>
      <c r="W1953" s="9"/>
      <c r="X1953" s="9"/>
      <c r="Y1953" s="9"/>
    </row>
    <row r="1954"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15"/>
      <c r="W1954" s="9"/>
      <c r="X1954" s="9"/>
      <c r="Y1954" s="9"/>
    </row>
    <row r="1955"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15"/>
      <c r="W1955" s="9"/>
      <c r="X1955" s="9"/>
      <c r="Y1955" s="9"/>
    </row>
    <row r="1956"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15"/>
      <c r="W1956" s="9"/>
      <c r="X1956" s="9"/>
      <c r="Y1956" s="9"/>
    </row>
    <row r="1957"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15"/>
      <c r="W1957" s="9"/>
      <c r="X1957" s="9"/>
      <c r="Y1957" s="9"/>
    </row>
    <row r="1958"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15"/>
      <c r="W1958" s="9"/>
      <c r="X1958" s="9"/>
      <c r="Y1958" s="9"/>
    </row>
    <row r="1959"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15"/>
      <c r="W1959" s="9"/>
      <c r="X1959" s="9"/>
      <c r="Y1959" s="9"/>
    </row>
    <row r="1960"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15"/>
      <c r="W1960" s="9"/>
      <c r="X1960" s="9"/>
      <c r="Y1960" s="9"/>
    </row>
    <row r="1961"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15"/>
      <c r="W1961" s="9"/>
      <c r="X1961" s="9"/>
      <c r="Y1961" s="9"/>
    </row>
    <row r="1962"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15"/>
      <c r="W1962" s="9"/>
      <c r="X1962" s="9"/>
      <c r="Y1962" s="9"/>
    </row>
    <row r="1963"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15"/>
      <c r="W1963" s="9"/>
      <c r="X1963" s="9"/>
      <c r="Y1963" s="9"/>
    </row>
    <row r="1964"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15"/>
      <c r="W1964" s="9"/>
      <c r="X1964" s="9"/>
      <c r="Y1964" s="9"/>
    </row>
    <row r="1965"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15"/>
      <c r="W1965" s="9"/>
      <c r="X1965" s="9"/>
      <c r="Y1965" s="9"/>
    </row>
    <row r="1966"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15"/>
      <c r="W1966" s="9"/>
      <c r="X1966" s="9"/>
      <c r="Y1966" s="9"/>
    </row>
    <row r="1967"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15"/>
      <c r="W1967" s="9"/>
      <c r="X1967" s="9"/>
      <c r="Y1967" s="9"/>
    </row>
    <row r="1968"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15"/>
      <c r="W1968" s="9"/>
      <c r="X1968" s="9"/>
      <c r="Y1968" s="9"/>
    </row>
    <row r="1969"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15"/>
      <c r="W1969" s="9"/>
      <c r="X1969" s="9"/>
      <c r="Y1969" s="9"/>
    </row>
    <row r="1970"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15"/>
      <c r="W1970" s="9"/>
      <c r="X1970" s="9"/>
      <c r="Y1970" s="9"/>
    </row>
    <row r="1971"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15"/>
      <c r="W1971" s="9"/>
      <c r="X1971" s="9"/>
      <c r="Y1971" s="9"/>
    </row>
    <row r="1972"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15"/>
      <c r="W1972" s="9"/>
      <c r="X1972" s="9"/>
      <c r="Y1972" s="9"/>
    </row>
    <row r="1973"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15"/>
      <c r="W1973" s="9"/>
      <c r="X1973" s="9"/>
      <c r="Y1973" s="9"/>
    </row>
    <row r="1974"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15"/>
      <c r="W1974" s="9"/>
      <c r="X1974" s="9"/>
      <c r="Y1974" s="9"/>
    </row>
    <row r="1975"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15"/>
      <c r="W1975" s="9"/>
      <c r="X1975" s="9"/>
      <c r="Y1975" s="9"/>
    </row>
    <row r="1976"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15"/>
      <c r="W1976" s="9"/>
      <c r="X1976" s="9"/>
      <c r="Y1976" s="9"/>
    </row>
    <row r="1977"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15"/>
      <c r="W1977" s="9"/>
      <c r="X1977" s="9"/>
      <c r="Y1977" s="9"/>
    </row>
    <row r="1978"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15"/>
      <c r="W1978" s="9"/>
      <c r="X1978" s="9"/>
      <c r="Y1978" s="9"/>
    </row>
    <row r="1979"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15"/>
      <c r="W1979" s="9"/>
      <c r="X1979" s="9"/>
      <c r="Y1979" s="9"/>
    </row>
    <row r="1980"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15"/>
      <c r="W1980" s="9"/>
      <c r="X1980" s="9"/>
      <c r="Y1980" s="9"/>
    </row>
    <row r="1981"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15"/>
      <c r="W1981" s="9"/>
      <c r="X1981" s="9"/>
      <c r="Y1981" s="9"/>
    </row>
    <row r="1982"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15"/>
      <c r="W1982" s="9"/>
      <c r="X1982" s="9"/>
      <c r="Y1982" s="9"/>
    </row>
    <row r="1983"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15"/>
      <c r="W1983" s="9"/>
      <c r="X1983" s="9"/>
      <c r="Y1983" s="9"/>
    </row>
    <row r="1984"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15"/>
      <c r="W1984" s="9"/>
      <c r="X1984" s="9"/>
      <c r="Y1984" s="9"/>
    </row>
    <row r="1985"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15"/>
      <c r="W1985" s="9"/>
      <c r="X1985" s="9"/>
      <c r="Y1985" s="9"/>
    </row>
    <row r="1986"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15"/>
      <c r="W1986" s="9"/>
      <c r="X1986" s="9"/>
      <c r="Y1986" s="9"/>
    </row>
    <row r="1987"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15"/>
      <c r="W1987" s="9"/>
      <c r="X1987" s="9"/>
      <c r="Y1987" s="9"/>
    </row>
    <row r="1988"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15"/>
      <c r="W1988" s="9"/>
      <c r="X1988" s="9"/>
      <c r="Y1988" s="9"/>
    </row>
    <row r="1989"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15"/>
      <c r="W1989" s="9"/>
      <c r="X1989" s="9"/>
      <c r="Y1989" s="9"/>
    </row>
    <row r="1990"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15"/>
      <c r="W1990" s="9"/>
      <c r="X1990" s="9"/>
      <c r="Y1990" s="9"/>
    </row>
    <row r="1991"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15"/>
      <c r="W1991" s="9"/>
      <c r="X1991" s="9"/>
      <c r="Y1991" s="9"/>
    </row>
    <row r="1992"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15"/>
      <c r="W1992" s="9"/>
      <c r="X1992" s="9"/>
      <c r="Y1992" s="9"/>
    </row>
    <row r="1993"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15"/>
      <c r="W1993" s="9"/>
      <c r="X1993" s="9"/>
      <c r="Y1993" s="9"/>
    </row>
    <row r="1994"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15"/>
      <c r="W1994" s="9"/>
      <c r="X1994" s="9"/>
      <c r="Y1994" s="9"/>
    </row>
    <row r="1995"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15"/>
      <c r="W1995" s="9"/>
      <c r="X1995" s="9"/>
      <c r="Y1995" s="9"/>
    </row>
    <row r="1996"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15"/>
      <c r="W1996" s="9"/>
      <c r="X1996" s="9"/>
      <c r="Y1996" s="9"/>
    </row>
    <row r="1997"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15"/>
      <c r="W1997" s="9"/>
      <c r="X1997" s="9"/>
      <c r="Y1997" s="9"/>
    </row>
    <row r="1998"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15"/>
      <c r="W1998" s="9"/>
      <c r="X1998" s="9"/>
      <c r="Y1998" s="9"/>
    </row>
    <row r="1999"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15"/>
      <c r="W1999" s="9"/>
      <c r="X1999" s="9"/>
      <c r="Y1999" s="9"/>
    </row>
    <row r="2000"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15"/>
      <c r="W2000" s="9"/>
      <c r="X2000" s="9"/>
      <c r="Y2000" s="9"/>
    </row>
    <row r="2001"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15"/>
      <c r="W2001" s="9"/>
      <c r="X2001" s="9"/>
      <c r="Y2001" s="9"/>
    </row>
    <row r="2002"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15"/>
      <c r="W2002" s="9"/>
      <c r="X2002" s="9"/>
      <c r="Y2002" s="9"/>
    </row>
    <row r="2003"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15"/>
      <c r="W2003" s="9"/>
      <c r="X2003" s="9"/>
      <c r="Y2003" s="9"/>
    </row>
    <row r="2004"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15"/>
      <c r="W2004" s="9"/>
      <c r="X2004" s="9"/>
      <c r="Y2004" s="9"/>
    </row>
    <row r="2005"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15"/>
      <c r="W2005" s="9"/>
      <c r="X2005" s="9"/>
      <c r="Y2005" s="9"/>
    </row>
    <row r="2006"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15"/>
      <c r="W2006" s="9"/>
      <c r="X2006" s="9"/>
      <c r="Y2006" s="9"/>
    </row>
    <row r="2007"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15"/>
      <c r="W2007" s="9"/>
      <c r="X2007" s="9"/>
      <c r="Y2007" s="9"/>
    </row>
    <row r="2008"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15"/>
      <c r="W2008" s="9"/>
      <c r="X2008" s="9"/>
      <c r="Y2008" s="9"/>
    </row>
    <row r="2009"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15"/>
      <c r="W2009" s="9"/>
      <c r="X2009" s="9"/>
      <c r="Y2009" s="9"/>
    </row>
    <row r="2010"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15"/>
      <c r="W2010" s="9"/>
      <c r="X2010" s="9"/>
      <c r="Y2010" s="9"/>
    </row>
    <row r="2011"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15"/>
      <c r="W2011" s="9"/>
      <c r="X2011" s="9"/>
      <c r="Y2011" s="9"/>
    </row>
    <row r="2012"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15"/>
      <c r="W2012" s="9"/>
      <c r="X2012" s="9"/>
      <c r="Y2012" s="9"/>
    </row>
    <row r="2013"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15"/>
      <c r="W2013" s="9"/>
      <c r="X2013" s="9"/>
      <c r="Y2013" s="9"/>
    </row>
    <row r="2014"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15"/>
      <c r="W2014" s="9"/>
      <c r="X2014" s="9"/>
      <c r="Y2014" s="9"/>
    </row>
    <row r="2015"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15"/>
      <c r="W2015" s="9"/>
      <c r="X2015" s="9"/>
      <c r="Y2015" s="9"/>
    </row>
    <row r="2016"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15"/>
      <c r="W2016" s="9"/>
      <c r="X2016" s="9"/>
      <c r="Y2016" s="9"/>
    </row>
    <row r="2017"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15"/>
      <c r="W2017" s="9"/>
      <c r="X2017" s="9"/>
      <c r="Y2017" s="9"/>
    </row>
    <row r="2018"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15"/>
      <c r="W2018" s="9"/>
      <c r="X2018" s="9"/>
      <c r="Y2018" s="9"/>
    </row>
    <row r="2019"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15"/>
      <c r="W2019" s="9"/>
      <c r="X2019" s="9"/>
      <c r="Y2019" s="9"/>
    </row>
    <row r="2020"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15"/>
      <c r="W2020" s="9"/>
      <c r="X2020" s="9"/>
      <c r="Y2020" s="9"/>
    </row>
    <row r="2021"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15"/>
      <c r="W2021" s="9"/>
      <c r="X2021" s="9"/>
      <c r="Y2021" s="9"/>
    </row>
    <row r="2022"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15"/>
      <c r="W2022" s="9"/>
      <c r="X2022" s="9"/>
      <c r="Y2022" s="9"/>
    </row>
    <row r="2023"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15"/>
      <c r="W2023" s="9"/>
      <c r="X2023" s="9"/>
      <c r="Y2023" s="9"/>
    </row>
    <row r="2024"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15"/>
      <c r="W2024" s="9"/>
      <c r="X2024" s="9"/>
      <c r="Y2024" s="9"/>
    </row>
    <row r="2025"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15"/>
      <c r="W2025" s="9"/>
      <c r="X2025" s="9"/>
      <c r="Y2025" s="9"/>
    </row>
    <row r="2026"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15"/>
      <c r="W2026" s="9"/>
      <c r="X2026" s="9"/>
      <c r="Y2026" s="9"/>
    </row>
    <row r="2027"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15"/>
      <c r="W2027" s="9"/>
      <c r="X2027" s="9"/>
      <c r="Y2027" s="9"/>
    </row>
    <row r="2028"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15"/>
      <c r="W2028" s="9"/>
      <c r="X2028" s="9"/>
      <c r="Y2028" s="9"/>
    </row>
    <row r="2029"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15"/>
      <c r="W2029" s="9"/>
      <c r="X2029" s="9"/>
      <c r="Y2029" s="9"/>
    </row>
    <row r="2030"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15"/>
      <c r="W2030" s="9"/>
      <c r="X2030" s="9"/>
      <c r="Y2030" s="9"/>
    </row>
    <row r="2031"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15"/>
      <c r="W2031" s="9"/>
      <c r="X2031" s="9"/>
      <c r="Y2031" s="9"/>
    </row>
    <row r="2032"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15"/>
      <c r="W2032" s="9"/>
      <c r="X2032" s="9"/>
      <c r="Y2032" s="9"/>
    </row>
    <row r="2033"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15"/>
      <c r="W2033" s="9"/>
      <c r="X2033" s="9"/>
      <c r="Y2033" s="9"/>
    </row>
    <row r="2034"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15"/>
      <c r="W2034" s="9"/>
      <c r="X2034" s="9"/>
      <c r="Y2034" s="9"/>
    </row>
    <row r="2035"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15"/>
      <c r="W2035" s="9"/>
      <c r="X2035" s="9"/>
      <c r="Y2035" s="9"/>
    </row>
    <row r="2036"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15"/>
      <c r="W2036" s="9"/>
      <c r="X2036" s="9"/>
      <c r="Y2036" s="9"/>
    </row>
    <row r="2037"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15"/>
      <c r="W2037" s="9"/>
      <c r="X2037" s="9"/>
      <c r="Y2037" s="9"/>
    </row>
    <row r="2038"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15"/>
      <c r="W2038" s="9"/>
      <c r="X2038" s="9"/>
      <c r="Y2038" s="9"/>
    </row>
    <row r="2039"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15"/>
      <c r="W2039" s="9"/>
      <c r="X2039" s="9"/>
      <c r="Y2039" s="9"/>
    </row>
    <row r="2040"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15"/>
      <c r="W2040" s="9"/>
      <c r="X2040" s="9"/>
      <c r="Y2040" s="9"/>
    </row>
    <row r="2041"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15"/>
      <c r="W2041" s="9"/>
      <c r="X2041" s="9"/>
      <c r="Y2041" s="9"/>
    </row>
    <row r="2042"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15"/>
      <c r="W2042" s="9"/>
      <c r="X2042" s="9"/>
      <c r="Y2042" s="9"/>
    </row>
    <row r="2043"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15"/>
      <c r="W2043" s="9"/>
      <c r="X2043" s="9"/>
      <c r="Y2043" s="9"/>
    </row>
    <row r="2044"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15"/>
      <c r="W2044" s="9"/>
      <c r="X2044" s="9"/>
      <c r="Y2044" s="9"/>
    </row>
    <row r="2045"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15"/>
      <c r="W2045" s="9"/>
      <c r="X2045" s="9"/>
      <c r="Y2045" s="9"/>
    </row>
    <row r="2046"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15"/>
      <c r="W2046" s="9"/>
      <c r="X2046" s="9"/>
      <c r="Y2046" s="9"/>
    </row>
    <row r="2047"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15"/>
      <c r="W2047" s="9"/>
      <c r="X2047" s="9"/>
      <c r="Y2047" s="9"/>
    </row>
    <row r="2048"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15"/>
      <c r="W2048" s="9"/>
      <c r="X2048" s="9"/>
      <c r="Y2048" s="9"/>
    </row>
    <row r="2049"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15"/>
      <c r="W2049" s="9"/>
      <c r="X2049" s="9"/>
      <c r="Y2049" s="9"/>
    </row>
    <row r="2050"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15"/>
      <c r="W2050" s="9"/>
      <c r="X2050" s="9"/>
      <c r="Y2050" s="9"/>
    </row>
    <row r="2051"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15"/>
      <c r="W2051" s="9"/>
      <c r="X2051" s="9"/>
      <c r="Y2051" s="9"/>
    </row>
    <row r="2052"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15"/>
      <c r="W2052" s="9"/>
      <c r="X2052" s="9"/>
      <c r="Y2052" s="9"/>
    </row>
    <row r="2053"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15"/>
      <c r="W2053" s="9"/>
      <c r="X2053" s="9"/>
      <c r="Y2053" s="9"/>
    </row>
    <row r="2054"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15"/>
      <c r="W2054" s="9"/>
      <c r="X2054" s="9"/>
      <c r="Y2054" s="9"/>
    </row>
    <row r="2055"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15"/>
      <c r="W2055" s="9"/>
      <c r="X2055" s="9"/>
      <c r="Y2055" s="9"/>
    </row>
    <row r="2056"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15"/>
      <c r="W2056" s="9"/>
      <c r="X2056" s="9"/>
      <c r="Y2056" s="9"/>
    </row>
    <row r="2057"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15"/>
      <c r="W2057" s="9"/>
      <c r="X2057" s="9"/>
      <c r="Y2057" s="9"/>
    </row>
    <row r="2058"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15"/>
      <c r="W2058" s="9"/>
      <c r="X2058" s="9"/>
      <c r="Y2058" s="9"/>
    </row>
    <row r="2059"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15"/>
      <c r="W2059" s="9"/>
      <c r="X2059" s="9"/>
      <c r="Y2059" s="9"/>
    </row>
    <row r="2060"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15"/>
      <c r="W2060" s="9"/>
      <c r="X2060" s="9"/>
      <c r="Y2060" s="9"/>
    </row>
    <row r="2061"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15"/>
      <c r="W2061" s="9"/>
      <c r="X2061" s="9"/>
      <c r="Y2061" s="9"/>
    </row>
    <row r="2062"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15"/>
      <c r="W2062" s="9"/>
      <c r="X2062" s="9"/>
      <c r="Y2062" s="9"/>
    </row>
    <row r="2063"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15"/>
      <c r="W2063" s="9"/>
      <c r="X2063" s="9"/>
      <c r="Y2063" s="9"/>
    </row>
    <row r="2064"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15"/>
      <c r="W2064" s="9"/>
      <c r="X2064" s="9"/>
      <c r="Y2064" s="9"/>
    </row>
    <row r="2065"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15"/>
      <c r="W2065" s="9"/>
      <c r="X2065" s="9"/>
      <c r="Y2065" s="9"/>
    </row>
    <row r="2066"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15"/>
      <c r="W2066" s="9"/>
      <c r="X2066" s="9"/>
      <c r="Y2066" s="9"/>
    </row>
    <row r="2067"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15"/>
      <c r="W2067" s="9"/>
      <c r="X2067" s="9"/>
      <c r="Y2067" s="9"/>
    </row>
    <row r="2068"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15"/>
      <c r="W2068" s="9"/>
      <c r="X2068" s="9"/>
      <c r="Y2068" s="9"/>
    </row>
    <row r="2069"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15"/>
      <c r="W2069" s="9"/>
      <c r="X2069" s="9"/>
      <c r="Y2069" s="9"/>
    </row>
    <row r="2070"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15"/>
      <c r="W2070" s="9"/>
      <c r="X2070" s="9"/>
      <c r="Y2070" s="9"/>
    </row>
    <row r="2071"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15"/>
      <c r="W2071" s="9"/>
      <c r="X2071" s="9"/>
      <c r="Y2071" s="9"/>
    </row>
    <row r="2072"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15"/>
      <c r="W2072" s="9"/>
      <c r="X2072" s="9"/>
      <c r="Y2072" s="9"/>
    </row>
    <row r="2073"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15"/>
      <c r="W2073" s="9"/>
      <c r="X2073" s="9"/>
      <c r="Y2073" s="9"/>
    </row>
    <row r="2074"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15"/>
      <c r="W2074" s="9"/>
      <c r="X2074" s="9"/>
      <c r="Y2074" s="9"/>
    </row>
    <row r="2075"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15"/>
      <c r="W2075" s="9"/>
      <c r="X2075" s="9"/>
      <c r="Y2075" s="9"/>
    </row>
    <row r="2076"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15"/>
      <c r="W2076" s="9"/>
      <c r="X2076" s="9"/>
      <c r="Y2076" s="9"/>
    </row>
    <row r="2077"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15"/>
      <c r="W2077" s="9"/>
      <c r="X2077" s="9"/>
      <c r="Y2077" s="9"/>
    </row>
    <row r="2078"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15"/>
      <c r="W2078" s="9"/>
      <c r="X2078" s="9"/>
      <c r="Y2078" s="9"/>
    </row>
    <row r="2079"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15"/>
      <c r="W2079" s="9"/>
      <c r="X2079" s="9"/>
      <c r="Y2079" s="9"/>
    </row>
    <row r="2080"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15"/>
      <c r="W2080" s="9"/>
      <c r="X2080" s="9"/>
      <c r="Y2080" s="9"/>
    </row>
    <row r="2081"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15"/>
      <c r="W2081" s="9"/>
      <c r="X2081" s="9"/>
      <c r="Y2081" s="9"/>
    </row>
    <row r="2082"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15"/>
      <c r="W2082" s="9"/>
      <c r="X2082" s="9"/>
      <c r="Y2082" s="9"/>
    </row>
    <row r="2083"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15"/>
      <c r="W2083" s="9"/>
      <c r="X2083" s="9"/>
      <c r="Y2083" s="9"/>
    </row>
    <row r="2084"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15"/>
      <c r="W2084" s="9"/>
      <c r="X2084" s="9"/>
      <c r="Y2084" s="9"/>
    </row>
    <row r="2085"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15"/>
      <c r="W2085" s="9"/>
      <c r="X2085" s="9"/>
      <c r="Y2085" s="9"/>
    </row>
    <row r="2086"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15"/>
      <c r="W2086" s="9"/>
      <c r="X2086" s="9"/>
      <c r="Y2086" s="9"/>
    </row>
    <row r="2087"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15"/>
      <c r="W2087" s="9"/>
      <c r="X2087" s="9"/>
      <c r="Y2087" s="9"/>
    </row>
    <row r="2088"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15"/>
      <c r="W2088" s="9"/>
      <c r="X2088" s="9"/>
      <c r="Y2088" s="9"/>
    </row>
    <row r="2089"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15"/>
      <c r="W2089" s="9"/>
      <c r="X2089" s="9"/>
      <c r="Y2089" s="9"/>
    </row>
    <row r="2090"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15"/>
      <c r="W2090" s="9"/>
      <c r="X2090" s="9"/>
      <c r="Y2090" s="9"/>
    </row>
    <row r="2091"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15"/>
      <c r="W2091" s="9"/>
      <c r="X2091" s="9"/>
      <c r="Y2091" s="9"/>
    </row>
    <row r="2092"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15"/>
      <c r="W2092" s="9"/>
      <c r="X2092" s="9"/>
      <c r="Y2092" s="9"/>
    </row>
    <row r="2093"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15"/>
      <c r="W2093" s="9"/>
      <c r="X2093" s="9"/>
      <c r="Y2093" s="9"/>
    </row>
    <row r="2094"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15"/>
      <c r="W2094" s="9"/>
      <c r="X2094" s="9"/>
      <c r="Y2094" s="9"/>
    </row>
    <row r="2095"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15"/>
      <c r="W2095" s="9"/>
      <c r="X2095" s="9"/>
      <c r="Y2095" s="9"/>
    </row>
    <row r="2096"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15"/>
      <c r="W2096" s="9"/>
      <c r="X2096" s="9"/>
      <c r="Y2096" s="9"/>
    </row>
    <row r="2097"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15"/>
      <c r="W2097" s="9"/>
      <c r="X2097" s="9"/>
      <c r="Y2097" s="9"/>
    </row>
    <row r="2098"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15"/>
      <c r="W2098" s="9"/>
      <c r="X2098" s="9"/>
      <c r="Y2098" s="9"/>
    </row>
    <row r="2099"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15"/>
      <c r="W2099" s="9"/>
      <c r="X2099" s="9"/>
      <c r="Y2099" s="9"/>
    </row>
    <row r="2100"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15"/>
      <c r="W2100" s="9"/>
      <c r="X2100" s="9"/>
      <c r="Y2100" s="9"/>
    </row>
    <row r="2101"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15"/>
      <c r="W2101" s="9"/>
      <c r="X2101" s="9"/>
      <c r="Y2101" s="9"/>
    </row>
    <row r="2102"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15"/>
      <c r="W2102" s="9"/>
      <c r="X2102" s="9"/>
      <c r="Y2102" s="9"/>
    </row>
    <row r="2103"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15"/>
      <c r="W2103" s="9"/>
      <c r="X2103" s="9"/>
      <c r="Y2103" s="9"/>
    </row>
    <row r="2104"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15"/>
      <c r="W2104" s="9"/>
      <c r="X2104" s="9"/>
      <c r="Y2104" s="9"/>
    </row>
    <row r="2105"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15"/>
      <c r="W2105" s="9"/>
      <c r="X2105" s="9"/>
      <c r="Y2105" s="9"/>
    </row>
    <row r="2106"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15"/>
      <c r="W2106" s="9"/>
      <c r="X2106" s="9"/>
      <c r="Y2106" s="9"/>
    </row>
    <row r="2107"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15"/>
      <c r="W2107" s="9"/>
      <c r="X2107" s="9"/>
      <c r="Y2107" s="9"/>
    </row>
    <row r="2108"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15"/>
      <c r="W2108" s="9"/>
      <c r="X2108" s="9"/>
      <c r="Y2108" s="9"/>
    </row>
    <row r="2109"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15"/>
      <c r="W2109" s="9"/>
      <c r="X2109" s="9"/>
      <c r="Y2109" s="9"/>
    </row>
    <row r="2110"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15"/>
      <c r="W2110" s="9"/>
      <c r="X2110" s="9"/>
      <c r="Y2110" s="9"/>
    </row>
    <row r="2111"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15"/>
      <c r="W2111" s="9"/>
      <c r="X2111" s="9"/>
      <c r="Y2111" s="9"/>
    </row>
    <row r="2112"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15"/>
      <c r="W2112" s="9"/>
      <c r="X2112" s="9"/>
      <c r="Y2112" s="9"/>
    </row>
    <row r="2113"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15"/>
      <c r="W2113" s="9"/>
      <c r="X2113" s="9"/>
      <c r="Y2113" s="9"/>
    </row>
    <row r="2114"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15"/>
      <c r="W2114" s="9"/>
      <c r="X2114" s="9"/>
      <c r="Y2114" s="9"/>
    </row>
    <row r="2115"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15"/>
      <c r="W2115" s="9"/>
      <c r="X2115" s="9"/>
      <c r="Y2115" s="9"/>
    </row>
    <row r="2116"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15"/>
      <c r="W2116" s="9"/>
      <c r="X2116" s="9"/>
      <c r="Y2116" s="9"/>
    </row>
    <row r="2117"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15"/>
      <c r="W2117" s="9"/>
      <c r="X2117" s="9"/>
      <c r="Y2117" s="9"/>
    </row>
    <row r="2118"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15"/>
      <c r="W2118" s="9"/>
      <c r="X2118" s="9"/>
      <c r="Y2118" s="9"/>
    </row>
    <row r="2119"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15"/>
      <c r="W2119" s="9"/>
      <c r="X2119" s="9"/>
      <c r="Y2119" s="9"/>
    </row>
    <row r="2120"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15"/>
      <c r="W2120" s="9"/>
      <c r="X2120" s="9"/>
      <c r="Y2120" s="9"/>
    </row>
    <row r="2121"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15"/>
      <c r="W2121" s="9"/>
      <c r="X2121" s="9"/>
      <c r="Y2121" s="9"/>
    </row>
    <row r="2122"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15"/>
      <c r="W2122" s="9"/>
      <c r="X2122" s="9"/>
      <c r="Y2122" s="9"/>
    </row>
    <row r="2123"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15"/>
      <c r="W2123" s="9"/>
      <c r="X2123" s="9"/>
      <c r="Y2123" s="9"/>
    </row>
    <row r="2124"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15"/>
      <c r="W2124" s="9"/>
      <c r="X2124" s="9"/>
      <c r="Y2124" s="9"/>
    </row>
    <row r="2125"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15"/>
      <c r="W2125" s="9"/>
      <c r="X2125" s="9"/>
      <c r="Y2125" s="9"/>
    </row>
    <row r="2126"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15"/>
      <c r="W2126" s="9"/>
      <c r="X2126" s="9"/>
      <c r="Y2126" s="9"/>
    </row>
    <row r="2127"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15"/>
      <c r="W2127" s="9"/>
      <c r="X2127" s="9"/>
      <c r="Y2127" s="9"/>
    </row>
    <row r="2128"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15"/>
      <c r="W2128" s="9"/>
      <c r="X2128" s="9"/>
      <c r="Y2128" s="9"/>
    </row>
    <row r="2129"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15"/>
      <c r="W2129" s="9"/>
      <c r="X2129" s="9"/>
      <c r="Y2129" s="9"/>
    </row>
    <row r="2130"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15"/>
      <c r="W2130" s="9"/>
      <c r="X2130" s="9"/>
      <c r="Y2130" s="9"/>
    </row>
    <row r="2131"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15"/>
      <c r="W2131" s="9"/>
      <c r="X2131" s="9"/>
      <c r="Y2131" s="9"/>
    </row>
    <row r="2132"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15"/>
      <c r="W2132" s="9"/>
      <c r="X2132" s="9"/>
      <c r="Y2132" s="9"/>
    </row>
    <row r="2133"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15"/>
      <c r="W2133" s="9"/>
      <c r="X2133" s="9"/>
      <c r="Y2133" s="9"/>
    </row>
    <row r="2134"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15"/>
      <c r="W2134" s="9"/>
      <c r="X2134" s="9"/>
      <c r="Y2134" s="9"/>
    </row>
    <row r="2135"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15"/>
      <c r="W2135" s="9"/>
      <c r="X2135" s="9"/>
      <c r="Y2135" s="9"/>
    </row>
    <row r="2136"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15"/>
      <c r="W2136" s="9"/>
      <c r="X2136" s="9"/>
      <c r="Y2136" s="9"/>
    </row>
    <row r="2137"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15"/>
      <c r="W2137" s="9"/>
      <c r="X2137" s="9"/>
      <c r="Y2137" s="9"/>
    </row>
    <row r="2138"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15"/>
      <c r="W2138" s="9"/>
      <c r="X2138" s="9"/>
      <c r="Y2138" s="9"/>
    </row>
    <row r="2139"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15"/>
      <c r="W2139" s="9"/>
      <c r="X2139" s="9"/>
      <c r="Y2139" s="9"/>
    </row>
    <row r="2140"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15"/>
      <c r="W2140" s="9"/>
      <c r="X2140" s="9"/>
      <c r="Y2140" s="9"/>
    </row>
    <row r="2141"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15"/>
      <c r="W2141" s="9"/>
      <c r="X2141" s="9"/>
      <c r="Y2141" s="9"/>
    </row>
    <row r="2142"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15"/>
      <c r="W2142" s="9"/>
      <c r="X2142" s="9"/>
      <c r="Y2142" s="9"/>
    </row>
    <row r="2143"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15"/>
      <c r="W2143" s="9"/>
      <c r="X2143" s="9"/>
      <c r="Y2143" s="9"/>
    </row>
    <row r="2144"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15"/>
      <c r="W2144" s="9"/>
      <c r="X2144" s="9"/>
      <c r="Y2144" s="9"/>
    </row>
    <row r="2145"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15"/>
      <c r="W2145" s="9"/>
      <c r="X2145" s="9"/>
      <c r="Y2145" s="9"/>
    </row>
    <row r="2146"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15"/>
      <c r="W2146" s="9"/>
      <c r="X2146" s="9"/>
      <c r="Y2146" s="9"/>
    </row>
    <row r="2147"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15"/>
      <c r="W2147" s="9"/>
      <c r="X2147" s="9"/>
      <c r="Y2147" s="9"/>
    </row>
    <row r="2148"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15"/>
      <c r="W2148" s="9"/>
      <c r="X2148" s="9"/>
      <c r="Y2148" s="9"/>
    </row>
    <row r="2149"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15"/>
      <c r="W2149" s="9"/>
      <c r="X2149" s="9"/>
      <c r="Y2149" s="9"/>
    </row>
    <row r="2150"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15"/>
      <c r="W2150" s="9"/>
      <c r="X2150" s="9"/>
      <c r="Y2150" s="9"/>
    </row>
    <row r="2151"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15"/>
      <c r="W2151" s="9"/>
      <c r="X2151" s="9"/>
      <c r="Y2151" s="9"/>
    </row>
    <row r="2152"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15"/>
      <c r="W2152" s="9"/>
      <c r="X2152" s="9"/>
      <c r="Y2152" s="9"/>
    </row>
    <row r="2153"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15"/>
      <c r="W2153" s="9"/>
      <c r="X2153" s="9"/>
      <c r="Y2153" s="9"/>
    </row>
    <row r="2154"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15"/>
      <c r="W2154" s="9"/>
      <c r="X2154" s="9"/>
      <c r="Y2154" s="9"/>
    </row>
    <row r="2155"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15"/>
      <c r="W2155" s="9"/>
      <c r="X2155" s="9"/>
      <c r="Y2155" s="9"/>
    </row>
    <row r="2156"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15"/>
      <c r="W2156" s="9"/>
      <c r="X2156" s="9"/>
      <c r="Y2156" s="9"/>
    </row>
    <row r="2157"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15"/>
      <c r="W2157" s="9"/>
      <c r="X2157" s="9"/>
      <c r="Y2157" s="9"/>
    </row>
    <row r="2158"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15"/>
      <c r="W2158" s="9"/>
      <c r="X2158" s="9"/>
      <c r="Y2158" s="9"/>
    </row>
    <row r="2159"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15"/>
      <c r="W2159" s="9"/>
      <c r="X2159" s="9"/>
      <c r="Y2159" s="9"/>
    </row>
    <row r="2160"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15"/>
      <c r="W2160" s="9"/>
      <c r="X2160" s="9"/>
      <c r="Y2160" s="9"/>
    </row>
    <row r="2161"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15"/>
      <c r="W2161" s="9"/>
      <c r="X2161" s="9"/>
      <c r="Y2161" s="9"/>
    </row>
    <row r="2162"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15"/>
      <c r="W2162" s="9"/>
      <c r="X2162" s="9"/>
      <c r="Y2162" s="9"/>
    </row>
    <row r="2163"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15"/>
      <c r="W2163" s="9"/>
      <c r="X2163" s="9"/>
      <c r="Y2163" s="9"/>
    </row>
    <row r="2164"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15"/>
      <c r="W2164" s="9"/>
      <c r="X2164" s="9"/>
      <c r="Y2164" s="9"/>
    </row>
    <row r="2165"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15"/>
      <c r="W2165" s="9"/>
      <c r="X2165" s="9"/>
      <c r="Y2165" s="9"/>
    </row>
    <row r="2166"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15"/>
      <c r="W2166" s="9"/>
      <c r="X2166" s="9"/>
      <c r="Y2166" s="9"/>
    </row>
    <row r="2167"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15"/>
      <c r="W2167" s="9"/>
      <c r="X2167" s="9"/>
      <c r="Y2167" s="9"/>
    </row>
    <row r="2168"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15"/>
      <c r="W2168" s="9"/>
      <c r="X2168" s="9"/>
      <c r="Y2168" s="9"/>
    </row>
    <row r="2169"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15"/>
      <c r="W2169" s="9"/>
      <c r="X2169" s="9"/>
      <c r="Y2169" s="9"/>
    </row>
    <row r="2170"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15"/>
      <c r="W2170" s="9"/>
      <c r="X2170" s="9"/>
      <c r="Y2170" s="9"/>
    </row>
    <row r="2171"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15"/>
      <c r="W2171" s="9"/>
      <c r="X2171" s="9"/>
      <c r="Y2171" s="9"/>
    </row>
    <row r="2172"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15"/>
      <c r="W2172" s="9"/>
      <c r="X2172" s="9"/>
      <c r="Y2172" s="9"/>
    </row>
    <row r="2173"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15"/>
      <c r="W2173" s="9"/>
      <c r="X2173" s="9"/>
      <c r="Y2173" s="9"/>
    </row>
    <row r="2174"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15"/>
      <c r="W2174" s="9"/>
      <c r="X2174" s="9"/>
      <c r="Y2174" s="9"/>
    </row>
    <row r="2175"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15"/>
      <c r="W2175" s="9"/>
      <c r="X2175" s="9"/>
      <c r="Y2175" s="9"/>
    </row>
    <row r="2176"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15"/>
      <c r="W2176" s="9"/>
      <c r="X2176" s="9"/>
      <c r="Y2176" s="9"/>
    </row>
    <row r="2177"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15"/>
      <c r="W2177" s="9"/>
      <c r="X2177" s="9"/>
      <c r="Y2177" s="9"/>
    </row>
    <row r="2178"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15"/>
      <c r="W2178" s="9"/>
      <c r="X2178" s="9"/>
      <c r="Y2178" s="9"/>
    </row>
    <row r="2179"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15"/>
      <c r="W2179" s="9"/>
      <c r="X2179" s="9"/>
      <c r="Y2179" s="9"/>
    </row>
    <row r="2180"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15"/>
      <c r="W2180" s="9"/>
      <c r="X2180" s="9"/>
      <c r="Y2180" s="9"/>
    </row>
    <row r="2181"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15"/>
      <c r="W2181" s="9"/>
      <c r="X2181" s="9"/>
      <c r="Y2181" s="9"/>
    </row>
    <row r="2182"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15"/>
      <c r="W2182" s="9"/>
      <c r="X2182" s="9"/>
      <c r="Y2182" s="9"/>
    </row>
    <row r="2183"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15"/>
      <c r="W2183" s="9"/>
      <c r="X2183" s="9"/>
      <c r="Y2183" s="9"/>
    </row>
    <row r="2184"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15"/>
      <c r="W2184" s="9"/>
      <c r="X2184" s="9"/>
      <c r="Y2184" s="9"/>
    </row>
    <row r="2185"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15"/>
      <c r="W2185" s="9"/>
      <c r="X2185" s="9"/>
      <c r="Y2185" s="9"/>
    </row>
    <row r="2186"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15"/>
      <c r="W2186" s="9"/>
      <c r="X2186" s="9"/>
      <c r="Y2186" s="9"/>
    </row>
    <row r="2187"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15"/>
      <c r="W2187" s="9"/>
      <c r="X2187" s="9"/>
      <c r="Y2187" s="9"/>
    </row>
    <row r="2188"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15"/>
      <c r="W2188" s="9"/>
      <c r="X2188" s="9"/>
      <c r="Y2188" s="9"/>
    </row>
    <row r="2189"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15"/>
      <c r="W2189" s="9"/>
      <c r="X2189" s="9"/>
      <c r="Y2189" s="9"/>
    </row>
    <row r="2190"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15"/>
      <c r="W2190" s="9"/>
      <c r="X2190" s="9"/>
      <c r="Y2190" s="9"/>
    </row>
    <row r="2191"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15"/>
      <c r="W2191" s="9"/>
      <c r="X2191" s="9"/>
      <c r="Y2191" s="9"/>
    </row>
    <row r="2192"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15"/>
      <c r="W2192" s="9"/>
      <c r="X2192" s="9"/>
      <c r="Y2192" s="9"/>
    </row>
    <row r="2193"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15"/>
      <c r="W2193" s="9"/>
      <c r="X2193" s="9"/>
      <c r="Y2193" s="9"/>
    </row>
    <row r="2194"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15"/>
      <c r="W2194" s="9"/>
      <c r="X2194" s="9"/>
      <c r="Y2194" s="9"/>
    </row>
    <row r="2195"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15"/>
      <c r="W2195" s="9"/>
      <c r="X2195" s="9"/>
      <c r="Y2195" s="9"/>
    </row>
    <row r="2196"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15"/>
      <c r="W2196" s="9"/>
      <c r="X2196" s="9"/>
      <c r="Y2196" s="9"/>
    </row>
    <row r="2197"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15"/>
      <c r="W2197" s="9"/>
      <c r="X2197" s="9"/>
      <c r="Y2197" s="9"/>
    </row>
    <row r="2198"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15"/>
      <c r="W2198" s="9"/>
      <c r="X2198" s="9"/>
      <c r="Y2198" s="9"/>
    </row>
    <row r="2199"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15"/>
      <c r="W2199" s="9"/>
      <c r="X2199" s="9"/>
      <c r="Y2199" s="9"/>
    </row>
    <row r="2200"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15"/>
      <c r="W2200" s="9"/>
      <c r="X2200" s="9"/>
      <c r="Y2200" s="9"/>
    </row>
    <row r="2201"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15"/>
      <c r="W2201" s="9"/>
      <c r="X2201" s="9"/>
      <c r="Y2201" s="9"/>
    </row>
    <row r="2202"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15"/>
      <c r="W2202" s="9"/>
      <c r="X2202" s="9"/>
      <c r="Y2202" s="9"/>
    </row>
    <row r="2203"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15"/>
      <c r="W2203" s="9"/>
      <c r="X2203" s="9"/>
      <c r="Y2203" s="9"/>
    </row>
    <row r="2204"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15"/>
      <c r="W2204" s="9"/>
      <c r="X2204" s="9"/>
      <c r="Y2204" s="9"/>
    </row>
    <row r="2205"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15"/>
      <c r="W2205" s="9"/>
      <c r="X2205" s="9"/>
      <c r="Y2205" s="9"/>
    </row>
    <row r="2206"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15"/>
      <c r="W2206" s="9"/>
      <c r="X2206" s="9"/>
      <c r="Y2206" s="9"/>
    </row>
    <row r="2207"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15"/>
      <c r="W2207" s="9"/>
      <c r="X2207" s="9"/>
      <c r="Y2207" s="9"/>
    </row>
    <row r="2208"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15"/>
      <c r="W2208" s="9"/>
      <c r="X2208" s="9"/>
      <c r="Y2208" s="9"/>
    </row>
    <row r="2209"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15"/>
      <c r="W2209" s="9"/>
      <c r="X2209" s="9"/>
      <c r="Y2209" s="9"/>
    </row>
    <row r="2210"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15"/>
      <c r="W2210" s="9"/>
      <c r="X2210" s="9"/>
      <c r="Y2210" s="9"/>
    </row>
    <row r="2211"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15"/>
      <c r="W2211" s="9"/>
      <c r="X2211" s="9"/>
      <c r="Y2211" s="9"/>
    </row>
    <row r="2212"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15"/>
      <c r="W2212" s="9"/>
      <c r="X2212" s="9"/>
      <c r="Y2212" s="9"/>
    </row>
    <row r="2213"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15"/>
      <c r="W2213" s="9"/>
      <c r="X2213" s="9"/>
      <c r="Y2213" s="9"/>
    </row>
    <row r="2214"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15"/>
      <c r="W2214" s="9"/>
      <c r="X2214" s="9"/>
      <c r="Y2214" s="9"/>
    </row>
    <row r="2215"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15"/>
      <c r="W2215" s="9"/>
      <c r="X2215" s="9"/>
      <c r="Y2215" s="9"/>
    </row>
    <row r="2216"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15"/>
      <c r="W2216" s="9"/>
      <c r="X2216" s="9"/>
      <c r="Y2216" s="9"/>
    </row>
    <row r="2217"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15"/>
      <c r="W2217" s="9"/>
      <c r="X2217" s="9"/>
      <c r="Y2217" s="9"/>
    </row>
    <row r="2218"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15"/>
      <c r="W2218" s="9"/>
      <c r="X2218" s="9"/>
      <c r="Y2218" s="9"/>
    </row>
    <row r="2219"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15"/>
      <c r="W2219" s="9"/>
      <c r="X2219" s="9"/>
      <c r="Y2219" s="9"/>
    </row>
    <row r="2220"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15"/>
      <c r="W2220" s="9"/>
      <c r="X2220" s="9"/>
      <c r="Y2220" s="9"/>
    </row>
    <row r="2221"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15"/>
      <c r="W2221" s="9"/>
      <c r="X2221" s="9"/>
      <c r="Y2221" s="9"/>
    </row>
    <row r="2222"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15"/>
      <c r="W2222" s="9"/>
      <c r="X2222" s="9"/>
      <c r="Y2222" s="9"/>
    </row>
    <row r="2223"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15"/>
      <c r="W2223" s="9"/>
      <c r="X2223" s="9"/>
      <c r="Y2223" s="9"/>
    </row>
    <row r="2224"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15"/>
      <c r="W2224" s="9"/>
      <c r="X2224" s="9"/>
      <c r="Y2224" s="9"/>
    </row>
    <row r="2225"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15"/>
      <c r="W2225" s="9"/>
      <c r="X2225" s="9"/>
      <c r="Y2225" s="9"/>
    </row>
    <row r="2226"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15"/>
      <c r="W2226" s="9"/>
      <c r="X2226" s="9"/>
      <c r="Y2226" s="9"/>
    </row>
    <row r="2227"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15"/>
      <c r="W2227" s="9"/>
      <c r="X2227" s="9"/>
      <c r="Y2227" s="9"/>
    </row>
    <row r="2228"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15"/>
      <c r="W2228" s="9"/>
      <c r="X2228" s="9"/>
      <c r="Y2228" s="9"/>
    </row>
    <row r="2229"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15"/>
      <c r="W2229" s="9"/>
      <c r="X2229" s="9"/>
      <c r="Y2229" s="9"/>
    </row>
    <row r="2230"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15"/>
      <c r="W2230" s="9"/>
      <c r="X2230" s="9"/>
      <c r="Y2230" s="9"/>
    </row>
    <row r="2231"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15"/>
      <c r="W2231" s="9"/>
      <c r="X2231" s="9"/>
      <c r="Y2231" s="9"/>
    </row>
    <row r="2232"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15"/>
      <c r="W2232" s="9"/>
      <c r="X2232" s="9"/>
      <c r="Y2232" s="9"/>
    </row>
    <row r="2233"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15"/>
      <c r="W2233" s="9"/>
      <c r="X2233" s="9"/>
      <c r="Y2233" s="9"/>
    </row>
    <row r="2234"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15"/>
      <c r="W2234" s="9"/>
      <c r="X2234" s="9"/>
      <c r="Y2234" s="9"/>
    </row>
    <row r="2235"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15"/>
      <c r="W2235" s="9"/>
      <c r="X2235" s="9"/>
      <c r="Y2235" s="9"/>
    </row>
    <row r="2236"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15"/>
      <c r="W2236" s="9"/>
      <c r="X2236" s="9"/>
      <c r="Y2236" s="9"/>
    </row>
    <row r="2237"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15"/>
      <c r="W2237" s="9"/>
      <c r="X2237" s="9"/>
      <c r="Y2237" s="9"/>
    </row>
    <row r="2238"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15"/>
      <c r="W2238" s="9"/>
      <c r="X2238" s="9"/>
      <c r="Y2238" s="9"/>
    </row>
    <row r="2239"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15"/>
      <c r="W2239" s="9"/>
      <c r="X2239" s="9"/>
      <c r="Y2239" s="9"/>
    </row>
    <row r="2240"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15"/>
      <c r="W2240" s="9"/>
      <c r="X2240" s="9"/>
      <c r="Y2240" s="9"/>
    </row>
    <row r="2241"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15"/>
      <c r="W2241" s="9"/>
      <c r="X2241" s="9"/>
      <c r="Y2241" s="9"/>
    </row>
    <row r="2242"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15"/>
      <c r="W2242" s="9"/>
      <c r="X2242" s="9"/>
      <c r="Y2242" s="9"/>
    </row>
    <row r="2243"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15"/>
      <c r="W2243" s="9"/>
      <c r="X2243" s="9"/>
      <c r="Y2243" s="9"/>
    </row>
    <row r="2244"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15"/>
      <c r="W2244" s="9"/>
      <c r="X2244" s="9"/>
      <c r="Y2244" s="9"/>
    </row>
    <row r="2245"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15"/>
      <c r="W2245" s="9"/>
      <c r="X2245" s="9"/>
      <c r="Y2245" s="9"/>
    </row>
    <row r="2246"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15"/>
      <c r="W2246" s="9"/>
      <c r="X2246" s="9"/>
      <c r="Y2246" s="9"/>
    </row>
    <row r="2247"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15"/>
      <c r="W2247" s="9"/>
      <c r="X2247" s="9"/>
      <c r="Y2247" s="9"/>
    </row>
    <row r="2248"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15"/>
      <c r="W2248" s="9"/>
      <c r="X2248" s="9"/>
      <c r="Y2248" s="9"/>
    </row>
    <row r="2249"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15"/>
      <c r="W2249" s="9"/>
      <c r="X2249" s="9"/>
      <c r="Y2249" s="9"/>
    </row>
    <row r="2250"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15"/>
      <c r="W2250" s="9"/>
      <c r="X2250" s="9"/>
      <c r="Y2250" s="9"/>
    </row>
    <row r="2251"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15"/>
      <c r="W2251" s="9"/>
      <c r="X2251" s="9"/>
      <c r="Y2251" s="9"/>
    </row>
    <row r="2252"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15"/>
      <c r="W2252" s="9"/>
      <c r="X2252" s="9"/>
      <c r="Y2252" s="9"/>
    </row>
    <row r="2253"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15"/>
      <c r="W2253" s="9"/>
      <c r="X2253" s="9"/>
      <c r="Y2253" s="9"/>
    </row>
    <row r="2254"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15"/>
      <c r="W2254" s="9"/>
      <c r="X2254" s="9"/>
      <c r="Y2254" s="9"/>
    </row>
    <row r="2255"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15"/>
      <c r="W2255" s="9"/>
      <c r="X2255" s="9"/>
      <c r="Y2255" s="9"/>
    </row>
    <row r="2256"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15"/>
      <c r="W2256" s="9"/>
      <c r="X2256" s="9"/>
      <c r="Y2256" s="9"/>
    </row>
    <row r="2257"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15"/>
      <c r="W2257" s="9"/>
      <c r="X2257" s="9"/>
      <c r="Y2257" s="9"/>
    </row>
    <row r="2258"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15"/>
      <c r="W2258" s="9"/>
      <c r="X2258" s="9"/>
      <c r="Y2258" s="9"/>
    </row>
    <row r="2259"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15"/>
      <c r="W2259" s="9"/>
      <c r="X2259" s="9"/>
      <c r="Y2259" s="9"/>
    </row>
    <row r="2260"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15"/>
      <c r="W2260" s="9"/>
      <c r="X2260" s="9"/>
      <c r="Y2260" s="9"/>
    </row>
    <row r="2261"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15"/>
      <c r="W2261" s="9"/>
      <c r="X2261" s="9"/>
      <c r="Y2261" s="9"/>
    </row>
    <row r="2262"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15"/>
      <c r="W2262" s="9"/>
      <c r="X2262" s="9"/>
      <c r="Y2262" s="9"/>
    </row>
    <row r="2263"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15"/>
      <c r="W2263" s="9"/>
      <c r="X2263" s="9"/>
      <c r="Y2263" s="9"/>
    </row>
    <row r="2264"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15"/>
      <c r="W2264" s="9"/>
      <c r="X2264" s="9"/>
      <c r="Y2264" s="9"/>
    </row>
    <row r="2265"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15"/>
      <c r="W2265" s="9"/>
      <c r="X2265" s="9"/>
      <c r="Y2265" s="9"/>
    </row>
    <row r="2266"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15"/>
      <c r="W2266" s="9"/>
      <c r="X2266" s="9"/>
      <c r="Y2266" s="9"/>
    </row>
    <row r="2267"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15"/>
      <c r="W2267" s="9"/>
      <c r="X2267" s="9"/>
      <c r="Y2267" s="9"/>
    </row>
    <row r="2268"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15"/>
      <c r="W2268" s="9"/>
      <c r="X2268" s="9"/>
      <c r="Y2268" s="9"/>
    </row>
    <row r="2269"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15"/>
      <c r="W2269" s="9"/>
      <c r="X2269" s="9"/>
      <c r="Y2269" s="9"/>
    </row>
    <row r="2270"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15"/>
      <c r="W2270" s="9"/>
      <c r="X2270" s="9"/>
      <c r="Y2270" s="9"/>
    </row>
    <row r="2271"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15"/>
      <c r="W2271" s="9"/>
      <c r="X2271" s="9"/>
      <c r="Y2271" s="9"/>
    </row>
    <row r="2272"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15"/>
      <c r="W2272" s="9"/>
      <c r="X2272" s="9"/>
      <c r="Y2272" s="9"/>
    </row>
    <row r="2273"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15"/>
      <c r="W2273" s="9"/>
      <c r="X2273" s="9"/>
      <c r="Y2273" s="9"/>
    </row>
    <row r="2274"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15"/>
      <c r="W2274" s="9"/>
      <c r="X2274" s="9"/>
      <c r="Y2274" s="9"/>
    </row>
    <row r="2275"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15"/>
      <c r="W2275" s="9"/>
      <c r="X2275" s="9"/>
      <c r="Y2275" s="9"/>
    </row>
    <row r="2276"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15"/>
      <c r="W2276" s="9"/>
      <c r="X2276" s="9"/>
      <c r="Y2276" s="9"/>
    </row>
    <row r="2277"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15"/>
      <c r="W2277" s="9"/>
      <c r="X2277" s="9"/>
      <c r="Y2277" s="9"/>
    </row>
    <row r="2278"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15"/>
      <c r="W2278" s="9"/>
      <c r="X2278" s="9"/>
      <c r="Y2278" s="9"/>
    </row>
    <row r="2279"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15"/>
      <c r="W2279" s="9"/>
      <c r="X2279" s="9"/>
      <c r="Y2279" s="9"/>
    </row>
    <row r="2280"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15"/>
      <c r="W2280" s="9"/>
      <c r="X2280" s="9"/>
      <c r="Y2280" s="9"/>
    </row>
    <row r="2281"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15"/>
      <c r="W2281" s="9"/>
      <c r="X2281" s="9"/>
      <c r="Y2281" s="9"/>
    </row>
    <row r="2282"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15"/>
      <c r="W2282" s="9"/>
      <c r="X2282" s="9"/>
      <c r="Y2282" s="9"/>
    </row>
    <row r="2283"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15"/>
      <c r="W2283" s="9"/>
      <c r="X2283" s="9"/>
      <c r="Y2283" s="9"/>
    </row>
    <row r="2284"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15"/>
      <c r="W2284" s="9"/>
      <c r="X2284" s="9"/>
      <c r="Y2284" s="9"/>
    </row>
    <row r="2285"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15"/>
      <c r="W2285" s="9"/>
      <c r="X2285" s="9"/>
      <c r="Y2285" s="9"/>
    </row>
    <row r="2286"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15"/>
      <c r="W2286" s="9"/>
      <c r="X2286" s="9"/>
      <c r="Y2286" s="9"/>
    </row>
    <row r="2287"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15"/>
      <c r="W2287" s="9"/>
      <c r="X2287" s="9"/>
      <c r="Y2287" s="9"/>
    </row>
    <row r="2288"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15"/>
      <c r="W2288" s="9"/>
      <c r="X2288" s="9"/>
      <c r="Y2288" s="9"/>
    </row>
    <row r="2289"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15"/>
      <c r="W2289" s="9"/>
      <c r="X2289" s="9"/>
      <c r="Y2289" s="9"/>
    </row>
    <row r="2290"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15"/>
      <c r="W2290" s="9"/>
      <c r="X2290" s="9"/>
      <c r="Y2290" s="9"/>
    </row>
    <row r="2291"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15"/>
      <c r="W2291" s="9"/>
      <c r="X2291" s="9"/>
      <c r="Y2291" s="9"/>
    </row>
    <row r="2292"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15"/>
      <c r="W2292" s="9"/>
      <c r="X2292" s="9"/>
      <c r="Y2292" s="9"/>
    </row>
    <row r="2293"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15"/>
      <c r="W2293" s="9"/>
      <c r="X2293" s="9"/>
      <c r="Y2293" s="9"/>
    </row>
    <row r="2294"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15"/>
      <c r="W2294" s="9"/>
      <c r="X2294" s="9"/>
      <c r="Y2294" s="9"/>
    </row>
    <row r="2295"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15"/>
      <c r="W2295" s="9"/>
      <c r="X2295" s="9"/>
      <c r="Y2295" s="9"/>
    </row>
    <row r="2296"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15"/>
      <c r="W2296" s="9"/>
      <c r="X2296" s="9"/>
      <c r="Y2296" s="9"/>
    </row>
    <row r="2297"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15"/>
      <c r="W2297" s="9"/>
      <c r="X2297" s="9"/>
      <c r="Y2297" s="9"/>
    </row>
    <row r="2298"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15"/>
      <c r="W2298" s="9"/>
      <c r="X2298" s="9"/>
      <c r="Y2298" s="9"/>
    </row>
    <row r="2299"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15"/>
      <c r="W2299" s="9"/>
      <c r="X2299" s="9"/>
      <c r="Y2299" s="9"/>
    </row>
    <row r="2300"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15"/>
      <c r="W2300" s="9"/>
      <c r="X2300" s="9"/>
      <c r="Y2300" s="9"/>
    </row>
    <row r="2301"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15"/>
      <c r="W2301" s="9"/>
      <c r="X2301" s="9"/>
      <c r="Y2301" s="9"/>
    </row>
    <row r="2302"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15"/>
      <c r="W2302" s="9"/>
      <c r="X2302" s="9"/>
      <c r="Y2302" s="9"/>
    </row>
    <row r="2303"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15"/>
      <c r="W2303" s="9"/>
      <c r="X2303" s="9"/>
      <c r="Y2303" s="9"/>
    </row>
    <row r="2304"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15"/>
      <c r="W2304" s="9"/>
      <c r="X2304" s="9"/>
      <c r="Y2304" s="9"/>
    </row>
    <row r="2305"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15"/>
      <c r="W2305" s="9"/>
      <c r="X2305" s="9"/>
      <c r="Y2305" s="9"/>
    </row>
    <row r="2306"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15"/>
      <c r="W2306" s="9"/>
      <c r="X2306" s="9"/>
      <c r="Y2306" s="9"/>
    </row>
    <row r="2307"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15"/>
      <c r="W2307" s="9"/>
      <c r="X2307" s="9"/>
      <c r="Y2307" s="9"/>
    </row>
    <row r="2308"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15"/>
      <c r="W2308" s="9"/>
      <c r="X2308" s="9"/>
      <c r="Y2308" s="9"/>
    </row>
    <row r="2309"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15"/>
      <c r="W2309" s="9"/>
      <c r="X2309" s="9"/>
      <c r="Y2309" s="9"/>
    </row>
    <row r="2310"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15"/>
      <c r="W2310" s="9"/>
      <c r="X2310" s="9"/>
      <c r="Y2310" s="9"/>
    </row>
    <row r="2311"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15"/>
      <c r="W2311" s="9"/>
      <c r="X2311" s="9"/>
      <c r="Y2311" s="9"/>
    </row>
    <row r="2312"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15"/>
      <c r="W2312" s="9"/>
      <c r="X2312" s="9"/>
      <c r="Y2312" s="9"/>
    </row>
    <row r="2313"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15"/>
      <c r="W2313" s="9"/>
      <c r="X2313" s="9"/>
      <c r="Y2313" s="9"/>
    </row>
    <row r="2314"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15"/>
      <c r="W2314" s="9"/>
      <c r="X2314" s="9"/>
      <c r="Y2314" s="9"/>
    </row>
    <row r="2315"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15"/>
      <c r="W2315" s="9"/>
      <c r="X2315" s="9"/>
      <c r="Y2315" s="9"/>
    </row>
    <row r="2316"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15"/>
      <c r="W2316" s="9"/>
      <c r="X2316" s="9"/>
      <c r="Y2316" s="9"/>
    </row>
    <row r="2317"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15"/>
      <c r="W2317" s="9"/>
      <c r="X2317" s="9"/>
      <c r="Y2317" s="9"/>
    </row>
    <row r="2318"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15"/>
      <c r="W2318" s="9"/>
      <c r="X2318" s="9"/>
      <c r="Y2318" s="9"/>
    </row>
    <row r="2319"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15"/>
      <c r="W2319" s="9"/>
      <c r="X2319" s="9"/>
      <c r="Y2319" s="9"/>
    </row>
    <row r="2320"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15"/>
      <c r="W2320" s="9"/>
      <c r="X2320" s="9"/>
      <c r="Y2320" s="9"/>
    </row>
    <row r="2321"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15"/>
      <c r="W2321" s="9"/>
      <c r="X2321" s="9"/>
      <c r="Y2321" s="9"/>
    </row>
    <row r="2322"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15"/>
      <c r="W2322" s="9"/>
      <c r="X2322" s="9"/>
      <c r="Y2322" s="9"/>
    </row>
    <row r="2323"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15"/>
      <c r="W2323" s="9"/>
      <c r="X2323" s="9"/>
      <c r="Y2323" s="9"/>
    </row>
    <row r="2324"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15"/>
      <c r="W2324" s="9"/>
      <c r="X2324" s="9"/>
      <c r="Y2324" s="9"/>
    </row>
    <row r="2325"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15"/>
      <c r="W2325" s="9"/>
      <c r="X2325" s="9"/>
      <c r="Y2325" s="9"/>
    </row>
    <row r="2326"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15"/>
      <c r="W2326" s="9"/>
      <c r="X2326" s="9"/>
      <c r="Y2326" s="9"/>
    </row>
    <row r="2327"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15"/>
      <c r="W2327" s="9"/>
      <c r="X2327" s="9"/>
      <c r="Y2327" s="9"/>
    </row>
    <row r="2328"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15"/>
      <c r="W2328" s="9"/>
      <c r="X2328" s="9"/>
      <c r="Y2328" s="9"/>
    </row>
    <row r="2329"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15"/>
      <c r="W2329" s="9"/>
      <c r="X2329" s="9"/>
      <c r="Y2329" s="9"/>
    </row>
    <row r="2330"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15"/>
      <c r="W2330" s="9"/>
      <c r="X2330" s="9"/>
      <c r="Y2330" s="9"/>
    </row>
    <row r="2331"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15"/>
      <c r="W2331" s="9"/>
      <c r="X2331" s="9"/>
      <c r="Y2331" s="9"/>
    </row>
    <row r="2332"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15"/>
      <c r="W2332" s="9"/>
      <c r="X2332" s="9"/>
      <c r="Y2332" s="9"/>
    </row>
    <row r="2333"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15"/>
      <c r="W2333" s="9"/>
      <c r="X2333" s="9"/>
      <c r="Y2333" s="9"/>
    </row>
    <row r="2334"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15"/>
      <c r="W2334" s="9"/>
      <c r="X2334" s="9"/>
      <c r="Y2334" s="9"/>
    </row>
    <row r="2335"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15"/>
      <c r="W2335" s="9"/>
      <c r="X2335" s="9"/>
      <c r="Y2335" s="9"/>
    </row>
    <row r="2336"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15"/>
      <c r="W2336" s="9"/>
      <c r="X2336" s="9"/>
      <c r="Y2336" s="9"/>
    </row>
    <row r="2337"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15"/>
      <c r="W2337" s="9"/>
      <c r="X2337" s="9"/>
      <c r="Y2337" s="9"/>
    </row>
    <row r="2338"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15"/>
      <c r="W2338" s="9"/>
      <c r="X2338" s="9"/>
      <c r="Y2338" s="9"/>
    </row>
    <row r="2339"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15"/>
      <c r="W2339" s="9"/>
      <c r="X2339" s="9"/>
      <c r="Y2339" s="9"/>
    </row>
    <row r="2340"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15"/>
      <c r="W2340" s="9"/>
      <c r="X2340" s="9"/>
      <c r="Y2340" s="9"/>
    </row>
    <row r="2341"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15"/>
      <c r="W2341" s="9"/>
      <c r="X2341" s="9"/>
      <c r="Y2341" s="9"/>
    </row>
    <row r="2342"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15"/>
      <c r="W2342" s="9"/>
      <c r="X2342" s="9"/>
      <c r="Y2342" s="9"/>
    </row>
    <row r="2343"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15"/>
      <c r="W2343" s="9"/>
      <c r="X2343" s="9"/>
      <c r="Y2343" s="9"/>
    </row>
    <row r="2344"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15"/>
      <c r="W2344" s="9"/>
      <c r="X2344" s="9"/>
      <c r="Y2344" s="9"/>
    </row>
    <row r="2345"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15"/>
      <c r="W2345" s="9"/>
      <c r="X2345" s="9"/>
      <c r="Y2345" s="9"/>
    </row>
    <row r="2346"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15"/>
      <c r="W2346" s="9"/>
      <c r="X2346" s="9"/>
      <c r="Y2346" s="9"/>
    </row>
    <row r="2347"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15"/>
      <c r="W2347" s="9"/>
      <c r="X2347" s="9"/>
      <c r="Y2347" s="9"/>
    </row>
    <row r="2348"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15"/>
      <c r="W2348" s="9"/>
      <c r="X2348" s="9"/>
      <c r="Y2348" s="9"/>
    </row>
    <row r="2349"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15"/>
      <c r="W2349" s="9"/>
      <c r="X2349" s="9"/>
      <c r="Y2349" s="9"/>
    </row>
    <row r="2350"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15"/>
      <c r="W2350" s="9"/>
      <c r="X2350" s="9"/>
      <c r="Y2350" s="9"/>
    </row>
    <row r="2351"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15"/>
      <c r="W2351" s="9"/>
      <c r="X2351" s="9"/>
      <c r="Y2351" s="9"/>
    </row>
    <row r="2352"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15"/>
      <c r="W2352" s="9"/>
      <c r="X2352" s="9"/>
      <c r="Y2352" s="9"/>
    </row>
    <row r="2353"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15"/>
      <c r="W2353" s="9"/>
      <c r="X2353" s="9"/>
      <c r="Y2353" s="9"/>
    </row>
    <row r="2354"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15"/>
      <c r="W2354" s="9"/>
      <c r="X2354" s="9"/>
      <c r="Y2354" s="9"/>
    </row>
    <row r="2355"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15"/>
      <c r="W2355" s="9"/>
      <c r="X2355" s="9"/>
      <c r="Y2355" s="9"/>
    </row>
    <row r="2356"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15"/>
      <c r="W2356" s="9"/>
      <c r="X2356" s="9"/>
      <c r="Y2356" s="9"/>
    </row>
    <row r="2357"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15"/>
      <c r="W2357" s="9"/>
      <c r="X2357" s="9"/>
      <c r="Y2357" s="9"/>
    </row>
    <row r="2358"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15"/>
      <c r="W2358" s="9"/>
      <c r="X2358" s="9"/>
      <c r="Y2358" s="9"/>
    </row>
    <row r="2359"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15"/>
      <c r="W2359" s="9"/>
      <c r="X2359" s="9"/>
      <c r="Y2359" s="9"/>
    </row>
    <row r="2360"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15"/>
      <c r="W2360" s="9"/>
      <c r="X2360" s="9"/>
      <c r="Y2360" s="9"/>
    </row>
    <row r="2361"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15"/>
      <c r="W2361" s="9"/>
      <c r="X2361" s="9"/>
      <c r="Y2361" s="9"/>
    </row>
    <row r="2362"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15"/>
      <c r="W2362" s="9"/>
      <c r="X2362" s="9"/>
      <c r="Y2362" s="9"/>
    </row>
    <row r="2363"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15"/>
      <c r="W2363" s="9"/>
      <c r="X2363" s="9"/>
      <c r="Y2363" s="9"/>
    </row>
    <row r="2364"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15"/>
      <c r="W2364" s="9"/>
      <c r="X2364" s="9"/>
      <c r="Y2364" s="9"/>
    </row>
    <row r="2365"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15"/>
      <c r="W2365" s="9"/>
      <c r="X2365" s="9"/>
      <c r="Y2365" s="9"/>
    </row>
    <row r="2366"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15"/>
      <c r="W2366" s="9"/>
      <c r="X2366" s="9"/>
      <c r="Y2366" s="9"/>
    </row>
    <row r="2367"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15"/>
      <c r="W2367" s="9"/>
      <c r="X2367" s="9"/>
      <c r="Y2367" s="9"/>
    </row>
    <row r="2368"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15"/>
      <c r="W2368" s="9"/>
      <c r="X2368" s="9"/>
      <c r="Y2368" s="9"/>
    </row>
    <row r="2369"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15"/>
      <c r="W2369" s="9"/>
      <c r="X2369" s="9"/>
      <c r="Y2369" s="9"/>
    </row>
    <row r="2370"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15"/>
      <c r="W2370" s="9"/>
      <c r="X2370" s="9"/>
      <c r="Y2370" s="9"/>
    </row>
    <row r="2371"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15"/>
      <c r="W2371" s="9"/>
      <c r="X2371" s="9"/>
      <c r="Y2371" s="9"/>
    </row>
    <row r="2372"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15"/>
      <c r="W2372" s="9"/>
      <c r="X2372" s="9"/>
      <c r="Y2372" s="9"/>
    </row>
    <row r="2373"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15"/>
      <c r="W2373" s="9"/>
      <c r="X2373" s="9"/>
      <c r="Y2373" s="9"/>
    </row>
    <row r="2374"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15"/>
      <c r="W2374" s="9"/>
      <c r="X2374" s="9"/>
      <c r="Y2374" s="9"/>
    </row>
    <row r="2375"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15"/>
      <c r="W2375" s="9"/>
      <c r="X2375" s="9"/>
      <c r="Y2375" s="9"/>
    </row>
    <row r="2376"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15"/>
      <c r="W2376" s="9"/>
      <c r="X2376" s="9"/>
      <c r="Y2376" s="9"/>
    </row>
    <row r="2377"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15"/>
      <c r="W2377" s="9"/>
      <c r="X2377" s="9"/>
      <c r="Y2377" s="9"/>
    </row>
    <row r="2378"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15"/>
      <c r="W2378" s="9"/>
      <c r="X2378" s="9"/>
      <c r="Y2378" s="9"/>
    </row>
    <row r="2379"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15"/>
      <c r="W2379" s="9"/>
      <c r="X2379" s="9"/>
      <c r="Y237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12.38"/>
    <col customWidth="1" hidden="1" min="3" max="3" width="32.75"/>
    <col customWidth="1" hidden="1" min="4" max="4" width="29.0"/>
    <col customWidth="1" min="5" max="5" width="5.75"/>
    <col customWidth="1" min="6" max="6" width="4.5"/>
    <col customWidth="1" hidden="1" min="7" max="7" width="0.38"/>
    <col customWidth="1" min="8" max="8" width="0.38"/>
    <col customWidth="1" min="9" max="9" width="11.13"/>
    <col customWidth="1" hidden="1" min="10" max="10" width="14.63"/>
    <col customWidth="1" hidden="1" min="11" max="11" width="24.13"/>
    <col customWidth="1" min="12" max="12" width="6.0"/>
    <col customWidth="1" min="13" max="13" width="4.5"/>
    <col customWidth="1" hidden="1" min="14" max="14" width="0.38"/>
    <col customWidth="1" min="15" max="15" width="0.38"/>
    <col customWidth="1" min="16" max="16" width="11.63"/>
    <col customWidth="1" hidden="1" min="17" max="17" width="6.0"/>
    <col customWidth="1" hidden="1" min="18" max="18" width="6.75"/>
    <col customWidth="1" min="19" max="19" width="5.75"/>
    <col customWidth="1" min="20" max="20" width="4.5"/>
    <col customWidth="1" min="21" max="21" width="0.38"/>
    <col customWidth="1" min="22" max="22" width="11.38"/>
    <col customWidth="1" hidden="1" min="23" max="23" width="10.75"/>
    <col customWidth="1" hidden="1" min="24" max="24" width="5.88"/>
    <col customWidth="1" min="25" max="25" width="5.75"/>
    <col customWidth="1" min="26" max="26" width="4.5"/>
    <col customWidth="1" min="27" max="27" width="0.38"/>
    <col customWidth="1" min="28" max="28" width="11.88"/>
    <col customWidth="1" hidden="1" min="29" max="29" width="10.75"/>
    <col customWidth="1" hidden="1" min="30" max="30" width="15.0"/>
    <col customWidth="1" min="31" max="31" width="5.75"/>
    <col customWidth="1" min="32" max="32" width="4.5"/>
    <col customWidth="1" min="33" max="33" width="0.38"/>
    <col customWidth="1" min="34" max="34" width="12.5"/>
    <col customWidth="1" hidden="1" min="35" max="35" width="10.75"/>
    <col customWidth="1" hidden="1" min="36" max="36" width="5.25"/>
    <col customWidth="1" min="37" max="37" width="5.75"/>
    <col customWidth="1" min="38" max="38" width="4.5"/>
    <col customWidth="1" min="39" max="39" width="0.5"/>
    <col customWidth="1" hidden="1" min="40" max="40" width="22.75"/>
    <col customWidth="1" hidden="1" min="41" max="41" width="20.63"/>
    <col customWidth="1" min="42" max="42" width="12.0"/>
    <col customWidth="1" hidden="1" min="43" max="43" width="6.25"/>
    <col customWidth="1" hidden="1" min="44" max="44" width="37.13"/>
    <col customWidth="1" min="45" max="45" width="5.75"/>
    <col customWidth="1" min="46" max="46" width="4.5"/>
    <col customWidth="1" min="47" max="47" width="0.38"/>
    <col customWidth="1" min="48" max="48" width="12.38"/>
    <col customWidth="1" hidden="1" min="49" max="49" width="19.63"/>
    <col customWidth="1" hidden="1" min="50" max="50" width="6.75"/>
    <col customWidth="1" min="51" max="51" width="5.75"/>
    <col customWidth="1" min="52" max="52" width="4.5"/>
    <col customWidth="1" min="53" max="53" width="0.38"/>
    <col customWidth="1" min="54" max="54" width="12.63"/>
    <col customWidth="1" hidden="1" min="55" max="56" width="37.13"/>
    <col customWidth="1" min="57" max="57" width="5.75"/>
    <col customWidth="1" min="58" max="58" width="4.5"/>
    <col customWidth="1" min="59" max="59" width="0.38"/>
    <col customWidth="1" min="60" max="60" width="14.25"/>
    <col customWidth="1" hidden="1" min="61" max="61" width="37.13"/>
    <col customWidth="1" hidden="1" min="62" max="62" width="2.88"/>
    <col customWidth="1" min="63" max="63" width="5.75"/>
    <col customWidth="1" min="64" max="64" width="4.5"/>
    <col customWidth="1" min="65" max="65" width="0.38"/>
    <col customWidth="1" min="66" max="66" width="13.75"/>
    <col customWidth="1" hidden="1" min="67" max="67" width="41.13"/>
    <col customWidth="1" hidden="1" min="68" max="68" width="2.5"/>
    <col customWidth="1" min="69" max="69" width="5.75"/>
    <col customWidth="1" min="70" max="70" width="4.5"/>
    <col customWidth="1" hidden="1" min="71" max="71" width="6.88"/>
    <col customWidth="1" min="72" max="72" width="0.38"/>
    <col customWidth="1" min="73" max="73" width="13.0"/>
    <col customWidth="1" hidden="1" min="74" max="74" width="18.63"/>
    <col customWidth="1" hidden="1" min="75" max="75" width="4.38"/>
    <col customWidth="1" min="76" max="76" width="5.75"/>
    <col customWidth="1" min="77" max="77" width="5.13"/>
    <col customWidth="1" hidden="1" min="78" max="78" width="37.13"/>
    <col customWidth="1" min="79" max="79" width="0.38"/>
    <col customWidth="1" min="80" max="80" width="12.75"/>
    <col customWidth="1" hidden="1" min="81" max="81" width="37.13"/>
    <col customWidth="1" hidden="1" min="82" max="82" width="5.5"/>
    <col customWidth="1" min="83" max="83" width="5.75"/>
    <col customWidth="1" min="84" max="84" width="5.13"/>
    <col customWidth="1" min="85" max="85" width="0.38"/>
    <col customWidth="1" min="86" max="86" width="12.25"/>
    <col customWidth="1" hidden="1" min="87" max="88" width="37.13"/>
    <col customWidth="1" min="89" max="89" width="5.75"/>
    <col customWidth="1" min="90" max="90" width="5.13"/>
    <col customWidth="1" min="91" max="91" width="0.38"/>
    <col customWidth="1" min="92" max="92" width="13.0"/>
    <col customWidth="1" hidden="1" min="93" max="94" width="37.13"/>
    <col customWidth="1" min="95" max="95" width="5.75"/>
    <col customWidth="1" min="96" max="96" width="7.38"/>
    <col customWidth="1" min="97" max="97" width="0.38"/>
    <col customWidth="1" min="98" max="98" width="11.5"/>
    <col customWidth="1" hidden="1" min="99" max="100" width="37.13"/>
    <col customWidth="1" min="101" max="101" width="7.63"/>
    <col customWidth="1" min="102" max="102" width="6.38"/>
    <col customWidth="1" min="103" max="103" width="0.38"/>
    <col customWidth="1" min="104" max="104" width="9.38"/>
    <col customWidth="1" hidden="1" min="105" max="106" width="37.13"/>
    <col customWidth="1" min="107" max="108" width="7.25"/>
    <col customWidth="1" min="109" max="110" width="0.38"/>
  </cols>
  <sheetData>
    <row r="1" ht="11.25" customHeight="1">
      <c r="A1" s="3" t="s">
        <v>14</v>
      </c>
      <c r="B1" s="3" t="s">
        <v>27</v>
      </c>
      <c r="C1" s="5" t="s">
        <v>28</v>
      </c>
      <c r="D1" s="6" t="s">
        <v>29</v>
      </c>
      <c r="E1" s="8" t="s">
        <v>1</v>
      </c>
      <c r="F1" s="8" t="s">
        <v>30</v>
      </c>
      <c r="G1" s="10" t="s">
        <v>31</v>
      </c>
      <c r="H1" s="8"/>
      <c r="I1" s="3" t="s">
        <v>32</v>
      </c>
      <c r="J1" s="8"/>
      <c r="K1" s="6" t="s">
        <v>29</v>
      </c>
      <c r="L1" s="8" t="s">
        <v>1</v>
      </c>
      <c r="M1" s="8" t="s">
        <v>30</v>
      </c>
      <c r="N1" s="10" t="s">
        <v>31</v>
      </c>
      <c r="O1" s="11"/>
      <c r="P1" s="3" t="s">
        <v>33</v>
      </c>
      <c r="Q1" s="8"/>
      <c r="R1" s="6" t="s">
        <v>29</v>
      </c>
      <c r="S1" s="8" t="s">
        <v>1</v>
      </c>
      <c r="T1" s="8" t="s">
        <v>30</v>
      </c>
      <c r="U1" s="12"/>
      <c r="V1" s="3" t="s">
        <v>34</v>
      </c>
      <c r="W1" s="8"/>
      <c r="X1" s="6" t="s">
        <v>29</v>
      </c>
      <c r="Y1" s="8" t="s">
        <v>1</v>
      </c>
      <c r="Z1" s="8" t="s">
        <v>30</v>
      </c>
      <c r="AA1" s="12"/>
      <c r="AB1" s="8" t="s">
        <v>35</v>
      </c>
      <c r="AC1" s="8"/>
      <c r="AD1" s="6" t="s">
        <v>29</v>
      </c>
      <c r="AE1" s="8" t="s">
        <v>1</v>
      </c>
      <c r="AF1" s="8" t="s">
        <v>30</v>
      </c>
      <c r="AG1" s="13"/>
      <c r="AH1" s="8" t="s">
        <v>36</v>
      </c>
      <c r="AI1" s="8"/>
      <c r="AJ1" s="6" t="s">
        <v>29</v>
      </c>
      <c r="AK1" s="8" t="s">
        <v>1</v>
      </c>
      <c r="AL1" s="8" t="s">
        <v>30</v>
      </c>
      <c r="AM1" s="8"/>
      <c r="AN1" s="8"/>
      <c r="AO1" s="6" t="s">
        <v>29</v>
      </c>
      <c r="AP1" s="8" t="s">
        <v>37</v>
      </c>
      <c r="AQ1" s="8"/>
      <c r="AR1" s="6" t="s">
        <v>29</v>
      </c>
      <c r="AS1" s="8" t="s">
        <v>1</v>
      </c>
      <c r="AT1" s="8" t="s">
        <v>30</v>
      </c>
      <c r="AU1" s="14"/>
      <c r="AV1" s="8" t="s">
        <v>38</v>
      </c>
      <c r="AW1" s="8"/>
      <c r="AX1" s="6" t="s">
        <v>29</v>
      </c>
      <c r="AY1" s="8" t="s">
        <v>1</v>
      </c>
      <c r="AZ1" s="8" t="s">
        <v>30</v>
      </c>
      <c r="BA1" s="12"/>
      <c r="BB1" s="8" t="s">
        <v>39</v>
      </c>
      <c r="BC1" s="8"/>
      <c r="BD1" s="6" t="s">
        <v>29</v>
      </c>
      <c r="BE1" s="8" t="s">
        <v>1</v>
      </c>
      <c r="BF1" s="8" t="s">
        <v>30</v>
      </c>
      <c r="BG1" s="12"/>
      <c r="BH1" s="8" t="s">
        <v>40</v>
      </c>
      <c r="BI1" s="8"/>
      <c r="BJ1" s="6" t="s">
        <v>29</v>
      </c>
      <c r="BK1" s="8" t="s">
        <v>1</v>
      </c>
      <c r="BL1" s="8" t="s">
        <v>30</v>
      </c>
      <c r="BM1" s="12"/>
      <c r="BN1" s="3" t="s">
        <v>41</v>
      </c>
      <c r="BO1" s="5" t="s">
        <v>28</v>
      </c>
      <c r="BP1" s="6" t="s">
        <v>29</v>
      </c>
      <c r="BQ1" s="8" t="s">
        <v>1</v>
      </c>
      <c r="BR1" s="8" t="s">
        <v>30</v>
      </c>
      <c r="BS1" s="10" t="s">
        <v>31</v>
      </c>
      <c r="BT1" s="8"/>
      <c r="BU1" s="8" t="s">
        <v>42</v>
      </c>
      <c r="BV1" s="8"/>
      <c r="BW1" s="6" t="s">
        <v>29</v>
      </c>
      <c r="BX1" s="8" t="s">
        <v>1</v>
      </c>
      <c r="BY1" s="8" t="s">
        <v>2</v>
      </c>
      <c r="BZ1" s="10" t="s">
        <v>31</v>
      </c>
      <c r="CA1" s="11"/>
      <c r="CB1" s="8" t="s">
        <v>44</v>
      </c>
      <c r="CC1" s="8"/>
      <c r="CD1" s="6" t="s">
        <v>29</v>
      </c>
      <c r="CE1" s="8" t="s">
        <v>1</v>
      </c>
      <c r="CF1" s="8" t="s">
        <v>2</v>
      </c>
      <c r="CG1" s="12"/>
      <c r="CH1" s="8" t="s">
        <v>45</v>
      </c>
      <c r="CI1" s="8"/>
      <c r="CJ1" s="6" t="s">
        <v>29</v>
      </c>
      <c r="CK1" s="8" t="s">
        <v>1</v>
      </c>
      <c r="CL1" s="8" t="s">
        <v>2</v>
      </c>
      <c r="CM1" s="12"/>
      <c r="CN1" s="8" t="s">
        <v>46</v>
      </c>
      <c r="CO1" s="8"/>
      <c r="CP1" s="6" t="s">
        <v>29</v>
      </c>
      <c r="CQ1" s="8" t="s">
        <v>1</v>
      </c>
      <c r="CR1" s="8" t="s">
        <v>2</v>
      </c>
      <c r="CS1" s="13"/>
      <c r="CT1" s="8" t="s">
        <v>47</v>
      </c>
      <c r="CU1" s="8"/>
      <c r="CV1" s="6" t="s">
        <v>29</v>
      </c>
      <c r="CW1" s="8" t="s">
        <v>1</v>
      </c>
      <c r="CX1" s="8" t="s">
        <v>2</v>
      </c>
      <c r="CY1" s="8"/>
      <c r="CZ1" s="8" t="s">
        <v>48</v>
      </c>
      <c r="DA1" s="8"/>
      <c r="DB1" s="6" t="s">
        <v>29</v>
      </c>
      <c r="DC1" s="8" t="s">
        <v>1</v>
      </c>
      <c r="DD1" s="8" t="s">
        <v>2</v>
      </c>
      <c r="DE1" s="14"/>
      <c r="DF1" s="12"/>
    </row>
    <row r="2" ht="11.25" customHeight="1">
      <c r="A2" s="17"/>
      <c r="B2" s="18" t="s">
        <v>50</v>
      </c>
      <c r="C2" s="19">
        <v>1.0</v>
      </c>
      <c r="D2" s="20">
        <v>1.0</v>
      </c>
      <c r="E2" s="21">
        <f>IFERROR(__xludf.DUMMYFUNCTION("IFERROR(if(ISBLANK(C2),"" "",GOOGLEFINANCE(B2,""price"")), """")"),1320.5)</f>
        <v>1320.5</v>
      </c>
      <c r="F2" s="22">
        <f>IFERROR(__xludf.DUMMYFUNCTION("IFERROR(if(ISBLANK(C2),"" "",GOOGLEFINANCE(B2,""changepct"")), """")"),-0.26)</f>
        <v>-0.26</v>
      </c>
      <c r="G2" s="23">
        <f>IFERROR(__xludf.DUMMYFUNCTION("IFERROR(if(ISBLANK($C2),"" "",GOOGLEFINANCE($B2,""change"")), """")"),-3.4)</f>
        <v>-3.4</v>
      </c>
      <c r="H2" s="24"/>
      <c r="I2" s="25" t="s">
        <v>51</v>
      </c>
      <c r="J2" s="19">
        <v>1.0</v>
      </c>
      <c r="K2" s="20">
        <v>1.0</v>
      </c>
      <c r="L2" s="21">
        <f>IFERROR(__xludf.DUMMYFUNCTION("IFERROR(if(ISBLANK(J2),"" "",GOOGLEFINANCE(I2,""price"")), """")"),1105.0)</f>
        <v>1105</v>
      </c>
      <c r="M2" s="22">
        <f>IFERROR(__xludf.DUMMYFUNCTION("IFERROR(if(ISBLANK(J2),"" "",GOOGLEFINANCE(I2,""changepct"")), """")"),0.91)</f>
        <v>0.91</v>
      </c>
      <c r="N2" s="23">
        <f>IFERROR(__xludf.DUMMYFUNCTION("IFERROR(if(ISBLANK($C2),"" "",GOOGLEFINANCE($B2,""change"")), """")"),-3.4)</f>
        <v>-3.4</v>
      </c>
      <c r="O2" s="26"/>
      <c r="P2" s="27" t="s">
        <v>53</v>
      </c>
      <c r="Q2" s="19">
        <v>1.0</v>
      </c>
      <c r="R2" s="20">
        <v>1.0</v>
      </c>
      <c r="S2" s="21">
        <f>IFERROR(__xludf.DUMMYFUNCTION("IFERROR(if(ISBLANK(Q2),"" "",GOOGLEFINANCE(P2,""price"")), """")"),1995.0)</f>
        <v>1995</v>
      </c>
      <c r="T2" s="22">
        <f>IFERROR(__xludf.DUMMYFUNCTION("IFERROR(if(ISBLANK(Q2),"" "",GOOGLEFINANCE(P2,""changepct"")), """")"),-0.88)</f>
        <v>-0.88</v>
      </c>
      <c r="U2" s="28"/>
      <c r="V2" s="18" t="s">
        <v>54</v>
      </c>
      <c r="W2" s="19">
        <v>1.0</v>
      </c>
      <c r="X2" s="20">
        <v>1.0</v>
      </c>
      <c r="Y2" s="21">
        <f>IFERROR(__xludf.DUMMYFUNCTION("IFERROR(if(ISBLANK(W2),"" "",GOOGLEFINANCE(V2,""price"")), """")"),288.6)</f>
        <v>288.6</v>
      </c>
      <c r="Z2" s="23">
        <f>IFERROR(__xludf.DUMMYFUNCTION("IFERROR(if(ISBLANK(W2),"" "",GOOGLEFINANCE(V2,""changepct"")), """")"),-0.96)</f>
        <v>-0.96</v>
      </c>
      <c r="AA2" s="12"/>
      <c r="AB2" s="18" t="s">
        <v>55</v>
      </c>
      <c r="AC2" s="19">
        <v>1.0</v>
      </c>
      <c r="AD2" s="20">
        <v>1.0</v>
      </c>
      <c r="AE2" s="21">
        <f>IFERROR(__xludf.DUMMYFUNCTION("IFERROR(if(ISBLANK(AC2),"" "",GOOGLEFINANCE(AB2,""price"")), """")"),1905.0)</f>
        <v>1905</v>
      </c>
      <c r="AF2" s="23">
        <f>IFERROR(__xludf.DUMMYFUNCTION("IFERROR(if(ISBLANK(AC2),"" "",GOOGLEFINANCE(AB2,""changepct"")), """")"),-1.7)</f>
        <v>-1.7</v>
      </c>
      <c r="AG2" s="29"/>
      <c r="AH2" s="27" t="s">
        <v>56</v>
      </c>
      <c r="AI2" s="19">
        <v>1.0</v>
      </c>
      <c r="AJ2" s="20">
        <v>1.0</v>
      </c>
      <c r="AK2" s="21">
        <f>IFERROR(__xludf.DUMMYFUNCTION("IFERROR(if(ISBLANK(AI2),"" "",GOOGLEFINANCE(AH2,""price"")), """")"),43.8)</f>
        <v>43.8</v>
      </c>
      <c r="AL2" s="23">
        <f>IFERROR(__xludf.DUMMYFUNCTION("IFERROR(if(ISBLANK(AI2),"" "",GOOGLEFINANCE(AH2,""changepct"")), """")"),-0.79)</f>
        <v>-0.79</v>
      </c>
      <c r="AM2" s="30"/>
      <c r="AN2" s="31" t="s">
        <v>57</v>
      </c>
      <c r="AO2" s="32" t="str">
        <f>IFERROR(__xludf.DUMMYFUNCTION("IFERROR(if(ISBLANK(AN2),"" "",GOOGLEFINANCE(AM2,""Name"")), """")"),"")</f>
        <v/>
      </c>
      <c r="AP2" s="33" t="s">
        <v>59</v>
      </c>
      <c r="AQ2" s="19">
        <v>1.0</v>
      </c>
      <c r="AR2" s="20">
        <v>1.0</v>
      </c>
      <c r="AS2" s="21">
        <f>IFERROR(__xludf.DUMMYFUNCTION("IFERROR(if(ISBLANK(AQ2),"" "",GOOGLEFINANCE(AP2,""price"")), """")"),64.1)</f>
        <v>64.1</v>
      </c>
      <c r="AT2" s="23">
        <f>IFERROR(__xludf.DUMMYFUNCTION("IFERROR(if(ISBLANK(AQ2),"" "",GOOGLEFINANCE(AP2,""changepct"")), """")"),-1.35)</f>
        <v>-1.35</v>
      </c>
      <c r="AU2" s="13"/>
      <c r="AV2" s="34" t="s">
        <v>60</v>
      </c>
      <c r="AW2" s="19">
        <v>1.0</v>
      </c>
      <c r="AX2" s="20">
        <v>1.0</v>
      </c>
      <c r="AY2" s="21">
        <f>IFERROR(__xludf.DUMMYFUNCTION("IFERROR(if(ISBLANK(AW2),"" "",GOOGLEFINANCE(AV2,""price"")), """")"),680.5)</f>
        <v>680.5</v>
      </c>
      <c r="AZ2" s="23">
        <f>IFERROR(__xludf.DUMMYFUNCTION("IFERROR(if(ISBLANK(AW2),"" "",GOOGLEFINANCE(AV2,""changepct"")), """")"),-4.46)</f>
        <v>-4.46</v>
      </c>
      <c r="BA2" s="12"/>
      <c r="BB2" s="33" t="s">
        <v>61</v>
      </c>
      <c r="BC2" s="19">
        <v>1.0</v>
      </c>
      <c r="BD2" s="20">
        <v>1.0</v>
      </c>
      <c r="BE2" s="21">
        <f>IFERROR(__xludf.DUMMYFUNCTION("IFERROR(if(ISBLANK(BC2),"" "",GOOGLEFINANCE(BB2,""price"")), """")"),7265.0)</f>
        <v>7265</v>
      </c>
      <c r="BF2" s="23">
        <f>IFERROR(__xludf.DUMMYFUNCTION("IFERROR(if(ISBLANK(BC2),"" "",GOOGLEFINANCE(BB2,""changepct"")), """")"),-1.3)</f>
        <v>-1.3</v>
      </c>
      <c r="BG2" s="12"/>
      <c r="BH2" s="35" t="s">
        <v>63</v>
      </c>
      <c r="BI2" s="19">
        <v>1.0</v>
      </c>
      <c r="BJ2" s="20">
        <v>1.0</v>
      </c>
      <c r="BK2" s="21">
        <f>IFERROR(__xludf.DUMMYFUNCTION("IFERROR(if(ISBLANK(BI2),"" "",GOOGLEFINANCE(BH2,""price"")), """")"),462.9)</f>
        <v>462.9</v>
      </c>
      <c r="BL2" s="23">
        <f>IFERROR(__xludf.DUMMYFUNCTION("IFERROR(if(ISBLANK(BI2),"" "",GOOGLEFINANCE(BH2,""changepct"")), """")"),1.68)</f>
        <v>1.68</v>
      </c>
      <c r="BM2" s="12"/>
      <c r="BN2" s="33" t="s">
        <v>64</v>
      </c>
      <c r="BO2" s="19">
        <v>1.0</v>
      </c>
      <c r="BP2" s="20">
        <v>1.0</v>
      </c>
      <c r="BQ2" s="21">
        <f>IFERROR(__xludf.DUMMYFUNCTION("IFERROR(if(ISBLANK(BO2),"" "",GOOGLEFINANCE(BN2,""price"")), """")"),538.0)</f>
        <v>538</v>
      </c>
      <c r="BR2" s="23">
        <f>IFERROR(__xludf.DUMMYFUNCTION("IFERROR(if(ISBLANK(BO2),"" "",GOOGLEFINANCE(BN2,""changepct"")), """")"),-4.64)</f>
        <v>-4.64</v>
      </c>
      <c r="BS2" s="22">
        <f>IFERROR(__xludf.DUMMYFUNCTION("IFERROR(if(ISBLANK($C2),"" "",GOOGLEFINANCE($B2,""change"")), """")"),-3.4)</f>
        <v>-3.4</v>
      </c>
      <c r="BT2" s="36"/>
      <c r="BU2" s="27" t="s">
        <v>65</v>
      </c>
      <c r="BV2" s="19">
        <v>1.0</v>
      </c>
      <c r="BW2" s="20">
        <v>1.0</v>
      </c>
      <c r="BX2" s="21">
        <f>IFERROR(__xludf.DUMMYFUNCTION("IFERROR(if(ISBLANK(BV2),"" "",GOOGLEFINANCE(BU2,""price"")), """")"),108.3)</f>
        <v>108.3</v>
      </c>
      <c r="BY2" s="23">
        <f>IFERROR(__xludf.DUMMYFUNCTION("IFERROR(if(ISBLANK(BV2),"" "",GOOGLEFINANCE(BU2,""changepct"")), """")"),-13.71)</f>
        <v>-13.71</v>
      </c>
      <c r="BZ2" s="22">
        <f>IFERROR(__xludf.DUMMYFUNCTION("IFERROR(if(ISBLANK($C2),"" "",GOOGLEFINANCE($B2,""change"")), """")"),-3.4)</f>
        <v>-3.4</v>
      </c>
      <c r="CA2" s="37"/>
      <c r="CB2" s="27" t="s">
        <v>66</v>
      </c>
      <c r="CC2" s="19">
        <v>1.0</v>
      </c>
      <c r="CD2" s="20">
        <v>1.0</v>
      </c>
      <c r="CE2" s="21">
        <f>IFERROR(__xludf.DUMMYFUNCTION("IFERROR(if(ISBLANK(CC2),"" "",GOOGLEFINANCE(CB2,""price"")), """")"),453.85)</f>
        <v>453.85</v>
      </c>
      <c r="CF2" s="23">
        <f>IFERROR(__xludf.DUMMYFUNCTION("IFERROR(if(ISBLANK(CC2),"" "",GOOGLEFINANCE(CB2,""changepct"")), """")"),2.87)</f>
        <v>2.87</v>
      </c>
      <c r="CG2" s="12"/>
      <c r="CH2" s="18" t="s">
        <v>67</v>
      </c>
      <c r="CI2" s="19">
        <v>1.0</v>
      </c>
      <c r="CJ2" s="20">
        <v>1.0</v>
      </c>
      <c r="CK2" s="21">
        <f>IFERROR(__xludf.DUMMYFUNCTION("IFERROR(if(ISBLANK(CI2),"" "",GOOGLEFINANCE(CH2,""price"")), """")"),82.76)</f>
        <v>82.76</v>
      </c>
      <c r="CL2" s="23">
        <f>IFERROR(__xludf.DUMMYFUNCTION("IFERROR(if(ISBLANK(CI2),"" "",GOOGLEFINANCE(CH2,""changepct"")), """")"),-4.06)</f>
        <v>-4.06</v>
      </c>
      <c r="CM2" s="12"/>
      <c r="CN2" s="33" t="s">
        <v>68</v>
      </c>
      <c r="CO2" s="19">
        <v>1.0</v>
      </c>
      <c r="CP2" s="20">
        <v>1.0</v>
      </c>
      <c r="CQ2" s="21">
        <f>IFERROR(__xludf.DUMMYFUNCTION("IFERROR(if(ISBLANK(CO2),"" "",GOOGLEFINANCE(CN2,""price"")), """")"),776.0)</f>
        <v>776</v>
      </c>
      <c r="CR2" s="23">
        <f>IFERROR(__xludf.DUMMYFUNCTION("IFERROR(if(ISBLANK(CO2),"" "",GOOGLEFINANCE(CN2,""changepct"")), """")"),-0.14)</f>
        <v>-0.14</v>
      </c>
      <c r="CS2" s="29"/>
      <c r="CT2" s="33" t="s">
        <v>69</v>
      </c>
      <c r="CU2" s="19">
        <v>1.0</v>
      </c>
      <c r="CV2" s="20">
        <v>1.0</v>
      </c>
      <c r="CW2" s="21">
        <f>IFERROR(__xludf.DUMMYFUNCTION("IFERROR(if(ISBLANK(CU2),"" "",GOOGLEFINANCE(CT2,""price"")), """")"),349.0)</f>
        <v>349</v>
      </c>
      <c r="CX2" s="23">
        <f>IFERROR(__xludf.DUMMYFUNCTION("IFERROR(if(ISBLANK(CU2),"" "",GOOGLEFINANCE(CT2,""changepct"")), """")"),0.09)</f>
        <v>0.09</v>
      </c>
      <c r="CY2" s="17"/>
      <c r="CZ2" s="33" t="s">
        <v>70</v>
      </c>
      <c r="DA2" s="19">
        <v>1.0</v>
      </c>
      <c r="DB2" s="20">
        <v>1.0</v>
      </c>
      <c r="DC2" s="21">
        <f>IFERROR(__xludf.DUMMYFUNCTION("IFERROR(if(ISBLANK(DA2),"" "",GOOGLEFINANCE(CZ2,""price"")), """")"),18.99)</f>
        <v>18.99</v>
      </c>
      <c r="DD2" s="23">
        <f>IFERROR(__xludf.DUMMYFUNCTION("IFERROR(if(ISBLANK(DA2),"" "",GOOGLEFINANCE(CZ2,""changepct"")), """")"),-2.47)</f>
        <v>-2.47</v>
      </c>
      <c r="DE2" s="13"/>
      <c r="DF2" s="12"/>
    </row>
    <row r="3" ht="11.25" customHeight="1">
      <c r="A3" s="17"/>
      <c r="B3" s="18" t="s">
        <v>71</v>
      </c>
      <c r="C3" s="38" t="s">
        <v>73</v>
      </c>
      <c r="D3" s="39" t="str">
        <f>IFERROR(__xludf.DUMMYFUNCTION("IFERROR(if(ISBLANK(C3),"" "",GOOGLEFINANCE(B3,""Name"")), """")"),"Bharti Airtel Ltd")</f>
        <v>Bharti Airtel Ltd</v>
      </c>
      <c r="E3" s="21">
        <f>IFERROR(__xludf.DUMMYFUNCTION("IFERROR(if(ISBLANK(C3),"" "",GOOGLEFINANCE(B3,""price"")), """")"),1917.5)</f>
        <v>1917.5</v>
      </c>
      <c r="F3" s="22">
        <f>IFERROR(__xludf.DUMMYFUNCTION("IFERROR(if(ISBLANK(C3),"" "",GOOGLEFINANCE(B3,""changepct"")), """")"),0.12)</f>
        <v>0.12</v>
      </c>
      <c r="G3" s="23">
        <f>IFERROR(__xludf.DUMMYFUNCTION("IFERROR(if(ISBLANK($C3),"" "",GOOGLEFINANCE($B3,""change"")), """")"),2.3)</f>
        <v>2.3</v>
      </c>
      <c r="H3" s="24"/>
      <c r="I3" s="25" t="s">
        <v>74</v>
      </c>
      <c r="J3" s="38" t="s">
        <v>73</v>
      </c>
      <c r="K3" s="39" t="str">
        <f>IFERROR(__xludf.DUMMYFUNCTION("IFERROR(if(ISBLANK(J3),"" "",GOOGLEFINANCE(I3,""Name"")), """")"),"HDFC Asset Management Company Ltd")</f>
        <v>HDFC Asset Management Company Ltd</v>
      </c>
      <c r="L3" s="21">
        <f>IFERROR(__xludf.DUMMYFUNCTION("IFERROR(if(ISBLANK(J3),"" "",GOOGLEFINANCE(I3,""price"")), """")"),2485.0)</f>
        <v>2485</v>
      </c>
      <c r="M3" s="22">
        <f>IFERROR(__xludf.DUMMYFUNCTION("IFERROR(if(ISBLANK(J3),"" "",GOOGLEFINANCE(I3,""changepct"")), """")"),-1.19)</f>
        <v>-1.19</v>
      </c>
      <c r="N3" s="23">
        <f>IFERROR(__xludf.DUMMYFUNCTION("IFERROR(if(ISBLANK($C3),"" "",GOOGLEFINANCE($B3,""change"")), """")"),2.3)</f>
        <v>2.3</v>
      </c>
      <c r="O3" s="26"/>
      <c r="P3" s="27" t="s">
        <v>75</v>
      </c>
      <c r="Q3" s="38" t="s">
        <v>73</v>
      </c>
      <c r="R3" s="39" t="str">
        <f>IFERROR(__xludf.DUMMYFUNCTION("IFERROR(if(ISBLANK(Q3),"" "",GOOGLEFINANCE(P3,""Name"")), """")"),"Vishal Mega Mart Ltd")</f>
        <v>Vishal Mega Mart Ltd</v>
      </c>
      <c r="S3" s="21">
        <f>IFERROR(__xludf.DUMMYFUNCTION("IFERROR(if(ISBLANK(Q3),"" "",GOOGLEFINANCE(P3,""price"")), """")"),107.66)</f>
        <v>107.66</v>
      </c>
      <c r="T3" s="22">
        <f>IFERROR(__xludf.DUMMYFUNCTION("IFERROR(if(ISBLANK(Q3),"" "",GOOGLEFINANCE(P3,""changepct"")), """")"),-2.35)</f>
        <v>-2.35</v>
      </c>
      <c r="U3" s="28"/>
      <c r="V3" s="18" t="s">
        <v>76</v>
      </c>
      <c r="W3" s="38" t="s">
        <v>73</v>
      </c>
      <c r="X3" s="39" t="str">
        <f>IFERROR(__xludf.DUMMYFUNCTION("IFERROR(if(ISBLANK(W3),"" "",GOOGLEFINANCE(V3,""Name"")), """")"),"Apollo Tyres Ltd")</f>
        <v>Apollo Tyres Ltd</v>
      </c>
      <c r="Y3" s="21">
        <f>IFERROR(__xludf.DUMMYFUNCTION("IFERROR(if(ISBLANK(W3),"" "",GOOGLEFINANCE(V3,""price"")), """")"),444.3)</f>
        <v>444.3</v>
      </c>
      <c r="Z3" s="23">
        <f>IFERROR(__xludf.DUMMYFUNCTION("IFERROR(if(ISBLANK(W3),"" "",GOOGLEFINANCE(V3,""changepct"")), """")"),0.29)</f>
        <v>0.29</v>
      </c>
      <c r="AA3" s="12"/>
      <c r="AB3" s="18" t="s">
        <v>77</v>
      </c>
      <c r="AC3" s="38" t="s">
        <v>73</v>
      </c>
      <c r="AD3" s="39" t="str">
        <f>IFERROR(__xludf.DUMMYFUNCTION("IFERROR(if(ISBLANK(AC3),"" "",GOOGLEFINANCE(AB3,""Name"")), """")"),"LMW Ltd")</f>
        <v>LMW Ltd</v>
      </c>
      <c r="AE3" s="21">
        <f>IFERROR(__xludf.DUMMYFUNCTION("IFERROR(if(ISBLANK(AC3),"" "",GOOGLEFINANCE(AB3,""price"")), """")"),17625.0)</f>
        <v>17625</v>
      </c>
      <c r="AF3" s="23">
        <f>IFERROR(__xludf.DUMMYFUNCTION("IFERROR(if(ISBLANK(AC3),"" "",GOOGLEFINANCE(AB3,""changepct"")), """")"),1.74)</f>
        <v>1.74</v>
      </c>
      <c r="AG3" s="40"/>
      <c r="AH3" s="27" t="s">
        <v>78</v>
      </c>
      <c r="AI3" s="38" t="s">
        <v>73</v>
      </c>
      <c r="AJ3" s="39" t="str">
        <f>IFERROR(__xludf.DUMMYFUNCTION("IFERROR(if(ISBLANK(AI3),"" "",GOOGLEFINANCE(AH3,""Name"")), """")"),"Trident Ltd")</f>
        <v>Trident Ltd</v>
      </c>
      <c r="AK3" s="21">
        <f>IFERROR(__xludf.DUMMYFUNCTION("IFERROR(if(ISBLANK(AI3),"" "",GOOGLEFINANCE(AH3,""price"")), """")"),24.7)</f>
        <v>24.7</v>
      </c>
      <c r="AL3" s="23">
        <f>IFERROR(__xludf.DUMMYFUNCTION("IFERROR(if(ISBLANK(AI3),"" "",GOOGLEFINANCE(AH3,""changepct"")), """")"),-0.52)</f>
        <v>-0.52</v>
      </c>
      <c r="AM3" s="30"/>
      <c r="AN3" s="31" t="s">
        <v>73</v>
      </c>
      <c r="AO3" s="32" t="str">
        <f>IFERROR(__xludf.DUMMYFUNCTION("IFERROR(if(ISBLANK(AN3),"" "",GOOGLEFINANCE(AM3,""Name"")), """")"),"")</f>
        <v/>
      </c>
      <c r="AP3" s="33" t="s">
        <v>80</v>
      </c>
      <c r="AQ3" s="38" t="s">
        <v>73</v>
      </c>
      <c r="AR3" s="39" t="str">
        <f>IFERROR(__xludf.DUMMYFUNCTION("IFERROR(if(ISBLANK(AQ3),"" "",GOOGLEFINANCE(AP3,""Name"")), """")"),"Thyrocare Technologies Ltd")</f>
        <v>Thyrocare Technologies Ltd</v>
      </c>
      <c r="AS3" s="21">
        <f>IFERROR(__xludf.DUMMYFUNCTION("IFERROR(if(ISBLANK(AQ3),"" "",GOOGLEFINANCE(AP3,""price"")), """")"),642.0)</f>
        <v>642</v>
      </c>
      <c r="AT3" s="23">
        <f>IFERROR(__xludf.DUMMYFUNCTION("IFERROR(if(ISBLANK(AQ3),"" "",GOOGLEFINANCE(AP3,""changepct"")), """")"),-1.13)</f>
        <v>-1.13</v>
      </c>
      <c r="AU3" s="29"/>
      <c r="AV3" s="34" t="s">
        <v>81</v>
      </c>
      <c r="AW3" s="38" t="s">
        <v>73</v>
      </c>
      <c r="AX3" s="39" t="str">
        <f>IFERROR(__xludf.DUMMYFUNCTION("IFERROR(if(ISBLANK(AW3),"" "",GOOGLEFINANCE(AV3,""Name"")), """")"),"Inox Green Energy Services Ltd")</f>
        <v>Inox Green Energy Services Ltd</v>
      </c>
      <c r="AY3" s="21">
        <f>IFERROR(__xludf.DUMMYFUNCTION("IFERROR(if(ISBLANK(AW3),"" "",GOOGLEFINANCE(AV3,""price"")), """")"),187.7)</f>
        <v>187.7</v>
      </c>
      <c r="AZ3" s="23">
        <f>IFERROR(__xludf.DUMMYFUNCTION("IFERROR(if(ISBLANK(AW3),"" "",GOOGLEFINANCE(AV3,""changepct"")), """")"),1.78)</f>
        <v>1.78</v>
      </c>
      <c r="BA3" s="12"/>
      <c r="BB3" s="33" t="s">
        <v>82</v>
      </c>
      <c r="BC3" s="38" t="s">
        <v>73</v>
      </c>
      <c r="BD3" s="39" t="str">
        <f>IFERROR(__xludf.DUMMYFUNCTION("IFERROR(if(ISBLANK(BC3),"" "",GOOGLEFINANCE(BB3,""Name"")), """")"),"CARE Ratings Ltd")</f>
        <v>CARE Ratings Ltd</v>
      </c>
      <c r="BE3" s="21">
        <f>IFERROR(__xludf.DUMMYFUNCTION("IFERROR(if(ISBLANK(BC3),"" "",GOOGLEFINANCE(BB3,""price"")), """")"),1698.0)</f>
        <v>1698</v>
      </c>
      <c r="BF3" s="23">
        <f>IFERROR(__xludf.DUMMYFUNCTION("IFERROR(if(ISBLANK(BC3),"" "",GOOGLEFINANCE(BB3,""changepct"")), """")"),0.56)</f>
        <v>0.56</v>
      </c>
      <c r="BG3" s="12"/>
      <c r="BH3" s="35" t="s">
        <v>83</v>
      </c>
      <c r="BI3" s="38" t="s">
        <v>73</v>
      </c>
      <c r="BJ3" s="39" t="str">
        <f>IFERROR(__xludf.DUMMYFUNCTION("IFERROR(if(ISBLANK(BI3),"" "",GOOGLEFINANCE(BH3,""Name"")), """")"),"Man Infraconstruction Ltd")</f>
        <v>Man Infraconstruction Ltd</v>
      </c>
      <c r="BK3" s="21">
        <f>IFERROR(__xludf.DUMMYFUNCTION("IFERROR(if(ISBLANK(BI3),"" "",GOOGLEFINANCE(BH3,""price"")), """")"),108.0)</f>
        <v>108</v>
      </c>
      <c r="BL3" s="23">
        <f>IFERROR(__xludf.DUMMYFUNCTION("IFERROR(if(ISBLANK(BI3),"" "",GOOGLEFINANCE(BH3,""changepct"")), """")"),-3.02)</f>
        <v>-3.02</v>
      </c>
      <c r="BM3" s="12"/>
      <c r="BN3" s="33" t="s">
        <v>84</v>
      </c>
      <c r="BO3" s="38" t="s">
        <v>73</v>
      </c>
      <c r="BP3" s="39" t="str">
        <f>IFERROR(__xludf.DUMMYFUNCTION("IFERROR(if(ISBLANK(BO3),"" "",GOOGLEFINANCE(BN3,""Name"")), """")"),"Carraro India Ltd")</f>
        <v>Carraro India Ltd</v>
      </c>
      <c r="BQ3" s="21">
        <f>IFERROR(__xludf.DUMMYFUNCTION("IFERROR(if(ISBLANK(BO3),"" "",GOOGLEFINANCE(BN3,""price"")), """")"),517.0)</f>
        <v>517</v>
      </c>
      <c r="BR3" s="23">
        <f>IFERROR(__xludf.DUMMYFUNCTION("IFERROR(if(ISBLANK(BO3),"" "",GOOGLEFINANCE(BN3,""changepct"")), """")"),1.58)</f>
        <v>1.58</v>
      </c>
      <c r="BS3" s="22">
        <f>IFERROR(__xludf.DUMMYFUNCTION("IFERROR(if(ISBLANK($C3),"" "",GOOGLEFINANCE($B3,""change"")), """")"),2.3)</f>
        <v>2.3</v>
      </c>
      <c r="BT3" s="36"/>
      <c r="BU3" s="27" t="s">
        <v>86</v>
      </c>
      <c r="BV3" s="38" t="s">
        <v>73</v>
      </c>
      <c r="BW3" s="39" t="str">
        <f>IFERROR(__xludf.DUMMYFUNCTION("IFERROR(if(ISBLANK(BV3),"" "",GOOGLEFINANCE(BU3,""Name"")), """")"),"JNK India Ltd")</f>
        <v>JNK India Ltd</v>
      </c>
      <c r="BX3" s="21">
        <f>IFERROR(__xludf.DUMMYFUNCTION("IFERROR(if(ISBLANK(BV3),"" "",GOOGLEFINANCE(BU3,""price"")), """")"),409.2)</f>
        <v>409.2</v>
      </c>
      <c r="BY3" s="23">
        <f>IFERROR(__xludf.DUMMYFUNCTION("IFERROR(if(ISBLANK(BV3),"" "",GOOGLEFINANCE(BU3,""changepct"")), """")"),-2.29)</f>
        <v>-2.29</v>
      </c>
      <c r="BZ3" s="22">
        <f>IFERROR(__xludf.DUMMYFUNCTION("IFERROR(if(ISBLANK($C3),"" "",GOOGLEFINANCE($B3,""change"")), """")"),2.3)</f>
        <v>2.3</v>
      </c>
      <c r="CA3" s="37"/>
      <c r="CB3" s="27" t="s">
        <v>88</v>
      </c>
      <c r="CC3" s="38" t="s">
        <v>73</v>
      </c>
      <c r="CD3" s="39" t="str">
        <f>IFERROR(__xludf.DUMMYFUNCTION("IFERROR(if(ISBLANK(CC3),"" "",GOOGLEFINANCE(CB3,""Name"")), """")"),"Hathway Cable and Datacom Limited")</f>
        <v>Hathway Cable and Datacom Limited</v>
      </c>
      <c r="CE3" s="21">
        <f>IFERROR(__xludf.DUMMYFUNCTION("IFERROR(if(ISBLANK(CC3),"" "",GOOGLEFINANCE(CB3,""price"")), """")"),10.68)</f>
        <v>10.68</v>
      </c>
      <c r="CF3" s="23">
        <f>IFERROR(__xludf.DUMMYFUNCTION("IFERROR(if(ISBLANK(CC3),"" "",GOOGLEFINANCE(CB3,""changepct"")), """")"),-0.74)</f>
        <v>-0.74</v>
      </c>
      <c r="CG3" s="12"/>
      <c r="CH3" s="18" t="s">
        <v>89</v>
      </c>
      <c r="CI3" s="38" t="s">
        <v>73</v>
      </c>
      <c r="CJ3" s="39" t="str">
        <f>IFERROR(__xludf.DUMMYFUNCTION("IFERROR(if(ISBLANK(CI3),"" "",GOOGLEFINANCE(CH3,""Name"")), """")"),"Gujarat Natural Resources Ltd")</f>
        <v>Gujarat Natural Resources Ltd</v>
      </c>
      <c r="CK3" s="21">
        <f>IFERROR(__xludf.DUMMYFUNCTION("IFERROR(if(ISBLANK(CI3),"" "",GOOGLEFINANCE(CH3,""price"")), """")"),114.51)</f>
        <v>114.51</v>
      </c>
      <c r="CL3" s="23">
        <f>IFERROR(__xludf.DUMMYFUNCTION("IFERROR(if(ISBLANK(CI3),"" "",GOOGLEFINANCE(CH3,""changepct"")), """")"),4.01)</f>
        <v>4.01</v>
      </c>
      <c r="CM3" s="12"/>
      <c r="CN3" s="33" t="s">
        <v>90</v>
      </c>
      <c r="CO3" s="38" t="s">
        <v>73</v>
      </c>
      <c r="CP3" s="39" t="str">
        <f>IFERROR(__xludf.DUMMYFUNCTION("IFERROR(if(ISBLANK(CO3),"" "",GOOGLEFINANCE(CN3,""Name"")), """")"),"Jindal Photo Limited")</f>
        <v>Jindal Photo Limited</v>
      </c>
      <c r="CQ3" s="21">
        <f>IFERROR(__xludf.DUMMYFUNCTION("IFERROR(if(ISBLANK(CO3),"" "",GOOGLEFINANCE(CN3,""price"")), """")"),1063.9)</f>
        <v>1063.9</v>
      </c>
      <c r="CR3" s="23">
        <f>IFERROR(__xludf.DUMMYFUNCTION("IFERROR(if(ISBLANK(CO3),"" "",GOOGLEFINANCE(CN3,""changepct"")), """")"),-0.02)</f>
        <v>-0.02</v>
      </c>
      <c r="CS3" s="40"/>
      <c r="CT3" s="33" t="s">
        <v>91</v>
      </c>
      <c r="CU3" s="38" t="s">
        <v>73</v>
      </c>
      <c r="CV3" s="39" t="str">
        <f>IFERROR(__xludf.DUMMYFUNCTION("IFERROR(if(ISBLANK(CU3),"" "",GOOGLEFINANCE(CT3,""Name"")), """")"),"Tamilnadu Petroproducts Ltd")</f>
        <v>Tamilnadu Petroproducts Ltd</v>
      </c>
      <c r="CW3" s="21">
        <f>IFERROR(__xludf.DUMMYFUNCTION("IFERROR(if(ISBLANK(CU3),"" "",GOOGLEFINANCE(CT3,""price"")), """")"),106.15)</f>
        <v>106.15</v>
      </c>
      <c r="CX3" s="23">
        <f>IFERROR(__xludf.DUMMYFUNCTION("IFERROR(if(ISBLANK(CU3),"" "",GOOGLEFINANCE(CT3,""changepct"")), """")"),2.29)</f>
        <v>2.29</v>
      </c>
      <c r="CY3" s="17"/>
      <c r="CZ3" s="33" t="s">
        <v>93</v>
      </c>
      <c r="DA3" s="38" t="s">
        <v>73</v>
      </c>
      <c r="DB3" s="39" t="str">
        <f>IFERROR(__xludf.DUMMYFUNCTION("IFERROR(if(ISBLANK(DA3),"" "",GOOGLEFINANCE(CZ3,""Name"")), """")"),"Innovana Thinklabs Ltd")</f>
        <v>Innovana Thinklabs Ltd</v>
      </c>
      <c r="DC3" s="21">
        <f>IFERROR(__xludf.DUMMYFUNCTION("IFERROR(if(ISBLANK(DA3),"" "",GOOGLEFINANCE(CZ3,""price"")), """")"),324.0)</f>
        <v>324</v>
      </c>
      <c r="DD3" s="23">
        <f>IFERROR(__xludf.DUMMYFUNCTION("IFERROR(if(ISBLANK(DA3),"" "",GOOGLEFINANCE(CZ3,""changepct"")), """")"),-2.51)</f>
        <v>-2.51</v>
      </c>
      <c r="DE3" s="29"/>
      <c r="DF3" s="12"/>
    </row>
    <row r="4" ht="11.25" customHeight="1">
      <c r="A4" s="17"/>
      <c r="B4" s="18" t="s">
        <v>94</v>
      </c>
      <c r="C4" s="38" t="s">
        <v>95</v>
      </c>
      <c r="D4" s="39" t="str">
        <f>IFERROR(__xludf.DUMMYFUNCTION("IFERROR(if(ISBLANK(C4),"" "",GOOGLEFINANCE(B4,""Name"")), """")"),"HDFC Bank Ltd")</f>
        <v>HDFC Bank Ltd</v>
      </c>
      <c r="E4" s="21">
        <f>IFERROR(__xludf.DUMMYFUNCTION("IFERROR(if(ISBLANK(C4),"" "",GOOGLEFINANCE(B4,""price"")), """")"),728.0)</f>
        <v>728</v>
      </c>
      <c r="F4" s="22">
        <f>IFERROR(__xludf.DUMMYFUNCTION("IFERROR(if(ISBLANK(C4),"" "",GOOGLEFINANCE(B4,""changepct"")), """")"),-0.14)</f>
        <v>-0.14</v>
      </c>
      <c r="G4" s="23">
        <f>IFERROR(__xludf.DUMMYFUNCTION("IFERROR(if(ISBLANK($C4),"" "",GOOGLEFINANCE($B4,""change"")), """")"),-1.0)</f>
        <v>-1</v>
      </c>
      <c r="H4" s="24"/>
      <c r="I4" s="25" t="s">
        <v>96</v>
      </c>
      <c r="J4" s="38" t="s">
        <v>95</v>
      </c>
      <c r="K4" s="39" t="str">
        <f>IFERROR(__xludf.DUMMYFUNCTION("IFERROR(if(ISBLANK(J4),"" "",GOOGLEFINANCE(I4,""Name"")), """")"),"GMR Airports Ltd (India)")</f>
        <v>GMR Airports Ltd (India)</v>
      </c>
      <c r="L4" s="21">
        <f>IFERROR(__xludf.DUMMYFUNCTION("IFERROR(if(ISBLANK(J4),"" "",GOOGLEFINANCE(I4,""price"")), """")"),104.02)</f>
        <v>104.02</v>
      </c>
      <c r="M4" s="22">
        <f>IFERROR(__xludf.DUMMYFUNCTION("IFERROR(if(ISBLANK(J4),"" "",GOOGLEFINANCE(I4,""changepct"")), """")"),-1.04)</f>
        <v>-1.04</v>
      </c>
      <c r="N4" s="23">
        <f>IFERROR(__xludf.DUMMYFUNCTION("IFERROR(if(ISBLANK($C4),"" "",GOOGLEFINANCE($B4,""change"")), """")"),-1.0)</f>
        <v>-1</v>
      </c>
      <c r="O4" s="26"/>
      <c r="P4" s="27" t="s">
        <v>97</v>
      </c>
      <c r="Q4" s="38" t="s">
        <v>95</v>
      </c>
      <c r="R4" s="39" t="str">
        <f>IFERROR(__xludf.DUMMYFUNCTION("IFERROR(if(ISBLANK(Q4),"" "",GOOGLEFINANCE(P4,""Name"")), """")"),"Tata Communications Ltd")</f>
        <v>Tata Communications Ltd</v>
      </c>
      <c r="S4" s="21">
        <f>IFERROR(__xludf.DUMMYFUNCTION("IFERROR(if(ISBLANK(Q4),"" "",GOOGLEFINANCE(P4,""price"")), """")"),1739.0)</f>
        <v>1739</v>
      </c>
      <c r="T4" s="22">
        <f>IFERROR(__xludf.DUMMYFUNCTION("IFERROR(if(ISBLANK(Q4),"" "",GOOGLEFINANCE(P4,""changepct"")), """")"),-0.41)</f>
        <v>-0.41</v>
      </c>
      <c r="U4" s="28"/>
      <c r="V4" s="18" t="s">
        <v>99</v>
      </c>
      <c r="W4" s="38" t="s">
        <v>95</v>
      </c>
      <c r="X4" s="39" t="str">
        <f>IFERROR(__xludf.DUMMYFUNCTION("IFERROR(if(ISBLANK(W4),"" "",GOOGLEFINANCE(V4,""Name"")), """")"),"SJVN Ltd")</f>
        <v>SJVN Ltd</v>
      </c>
      <c r="Y4" s="21">
        <f>IFERROR(__xludf.DUMMYFUNCTION("IFERROR(if(ISBLANK(W4),"" "",GOOGLEFINANCE(V4,""price"")), """")"),67.01)</f>
        <v>67.01</v>
      </c>
      <c r="Z4" s="23">
        <f>IFERROR(__xludf.DUMMYFUNCTION("IFERROR(if(ISBLANK(W4),"" "",GOOGLEFINANCE(V4,""changepct"")), """")"),-0.34)</f>
        <v>-0.34</v>
      </c>
      <c r="AA4" s="12"/>
      <c r="AB4" s="18" t="s">
        <v>100</v>
      </c>
      <c r="AC4" s="38" t="s">
        <v>95</v>
      </c>
      <c r="AD4" s="39" t="str">
        <f>IFERROR(__xludf.DUMMYFUNCTION("IFERROR(if(ISBLANK(AC4),"" "",GOOGLEFINANCE(AB4,""Name"")), """")"),"Poly Medicure Ltd.")</f>
        <v>Poly Medicure Ltd.</v>
      </c>
      <c r="AE4" s="21">
        <f>IFERROR(__xludf.DUMMYFUNCTION("IFERROR(if(ISBLANK(AC4),"" "",GOOGLEFINANCE(AB4,""price"")), """")"),1877.0)</f>
        <v>1877</v>
      </c>
      <c r="AF4" s="23">
        <f>IFERROR(__xludf.DUMMYFUNCTION("IFERROR(if(ISBLANK(AC4),"" "",GOOGLEFINANCE(AB4,""changepct"")), """")"),0.7)</f>
        <v>0.7</v>
      </c>
      <c r="AG4" s="40"/>
      <c r="AH4" s="27" t="s">
        <v>101</v>
      </c>
      <c r="AI4" s="38" t="s">
        <v>95</v>
      </c>
      <c r="AJ4" s="39" t="str">
        <f>IFERROR(__xludf.DUMMYFUNCTION("IFERROR(if(ISBLANK(AI4),"" "",GOOGLEFINANCE(AH4,""Name"")), """")"),"Nazara Technologies Ltd")</f>
        <v>Nazara Technologies Ltd</v>
      </c>
      <c r="AK4" s="21">
        <f>IFERROR(__xludf.DUMMYFUNCTION("IFERROR(if(ISBLANK(AI4),"" "",GOOGLEFINANCE(AH4,""price"")), """")"),353.0)</f>
        <v>353</v>
      </c>
      <c r="AL4" s="23">
        <f>IFERROR(__xludf.DUMMYFUNCTION("IFERROR(if(ISBLANK(AI4),"" "",GOOGLEFINANCE(AH4,""changepct"")), """")"),-0.68)</f>
        <v>-0.68</v>
      </c>
      <c r="AM4" s="30"/>
      <c r="AN4" s="31" t="s">
        <v>95</v>
      </c>
      <c r="AO4" s="32" t="str">
        <f>IFERROR(__xludf.DUMMYFUNCTION("IFERROR(if(ISBLANK(AN4),"" "",GOOGLEFINANCE(AM4,""Name"")), """")"),"")</f>
        <v/>
      </c>
      <c r="AP4" s="33" t="s">
        <v>102</v>
      </c>
      <c r="AQ4" s="38" t="s">
        <v>95</v>
      </c>
      <c r="AR4" s="39" t="str">
        <f>IFERROR(__xludf.DUMMYFUNCTION("IFERROR(if(ISBLANK(AQ4),"" "",GOOGLEFINANCE(AP4,""Name"")), """")"),"Alkyl Amines Chemicals Ltd")</f>
        <v>Alkyl Amines Chemicals Ltd</v>
      </c>
      <c r="AS4" s="21">
        <f>IFERROR(__xludf.DUMMYFUNCTION("IFERROR(if(ISBLANK(AQ4),"" "",GOOGLEFINANCE(AP4,""price"")), """")"),1893.9)</f>
        <v>1893.9</v>
      </c>
      <c r="AT4" s="23">
        <f>IFERROR(__xludf.DUMMYFUNCTION("IFERROR(if(ISBLANK(AQ4),"" "",GOOGLEFINANCE(AP4,""changepct"")), """")"),-2.75)</f>
        <v>-2.75</v>
      </c>
      <c r="AU4" s="40"/>
      <c r="AV4" s="34" t="s">
        <v>103</v>
      </c>
      <c r="AW4" s="38" t="s">
        <v>95</v>
      </c>
      <c r="AX4" s="39" t="str">
        <f>IFERROR(__xludf.DUMMYFUNCTION("IFERROR(if(ISBLANK(AW4),"" "",GOOGLEFINANCE(AV4,""Name"")), """")"),"Precision Wires India Ltd")</f>
        <v>Precision Wires India Ltd</v>
      </c>
      <c r="AY4" s="21">
        <f>IFERROR(__xludf.DUMMYFUNCTION("IFERROR(if(ISBLANK(AW4),"" "",GOOGLEFINANCE(AV4,""price"")), """")"),421.85)</f>
        <v>421.85</v>
      </c>
      <c r="AZ4" s="23">
        <f>IFERROR(__xludf.DUMMYFUNCTION("IFERROR(if(ISBLANK(AW4),"" "",GOOGLEFINANCE(AV4,""changepct"")), """")"),1.85)</f>
        <v>1.85</v>
      </c>
      <c r="BA4" s="12"/>
      <c r="BB4" s="33" t="s">
        <v>104</v>
      </c>
      <c r="BC4" s="38" t="s">
        <v>95</v>
      </c>
      <c r="BD4" s="39" t="str">
        <f>IFERROR(__xludf.DUMMYFUNCTION("IFERROR(if(ISBLANK(BC4),"" "",GOOGLEFINANCE(BB4,""Name"")), """")"),"PDS Ltd")</f>
        <v>PDS Ltd</v>
      </c>
      <c r="BE4" s="21">
        <f>IFERROR(__xludf.DUMMYFUNCTION("IFERROR(if(ISBLANK(BC4),"" "",GOOGLEFINANCE(BB4,""price"")), """")"),380.2)</f>
        <v>380.2</v>
      </c>
      <c r="BF4" s="23">
        <f>IFERROR(__xludf.DUMMYFUNCTION("IFERROR(if(ISBLANK(BC4),"" "",GOOGLEFINANCE(BB4,""changepct"")), """")"),0.98)</f>
        <v>0.98</v>
      </c>
      <c r="BG4" s="12"/>
      <c r="BH4" s="35" t="s">
        <v>106</v>
      </c>
      <c r="BI4" s="38" t="s">
        <v>95</v>
      </c>
      <c r="BJ4" s="39" t="str">
        <f>IFERROR(__xludf.DUMMYFUNCTION("IFERROR(if(ISBLANK(BI4),"" "",GOOGLEFINANCE(BH4,""Name"")), """")"),"Capillary Technologies India Ltd")</f>
        <v>Capillary Technologies India Ltd</v>
      </c>
      <c r="BK4" s="21">
        <f>IFERROR(__xludf.DUMMYFUNCTION("IFERROR(if(ISBLANK(BI4),"" "",GOOGLEFINANCE(BH4,""price"")), """")"),531.2)</f>
        <v>531.2</v>
      </c>
      <c r="BL4" s="23">
        <f>IFERROR(__xludf.DUMMYFUNCTION("IFERROR(if(ISBLANK(BI4),"" "",GOOGLEFINANCE(BH4,""changepct"")), """")"),1.58)</f>
        <v>1.58</v>
      </c>
      <c r="BM4" s="12"/>
      <c r="BN4" s="33" t="s">
        <v>107</v>
      </c>
      <c r="BO4" s="38" t="s">
        <v>95</v>
      </c>
      <c r="BP4" s="39" t="str">
        <f>IFERROR(__xludf.DUMMYFUNCTION("IFERROR(if(ISBLANK(BO4),"" "",GOOGLEFINANCE(BN4,""Name"")), """")"),"Interarch Building Solutions Ltd")</f>
        <v>Interarch Building Solutions Ltd</v>
      </c>
      <c r="BQ4" s="21">
        <f>IFERROR(__xludf.DUMMYFUNCTION("IFERROR(if(ISBLANK(BO4),"" "",GOOGLEFINANCE(BN4,""price"")), """")"),1715.0)</f>
        <v>1715</v>
      </c>
      <c r="BR4" s="23">
        <f>IFERROR(__xludf.DUMMYFUNCTION("IFERROR(if(ISBLANK(BO4),"" "",GOOGLEFINANCE(BN4,""changepct"")), """")"),1.49)</f>
        <v>1.49</v>
      </c>
      <c r="BS4" s="22">
        <f>IFERROR(__xludf.DUMMYFUNCTION("IFERROR(if(ISBLANK($C4),"" "",GOOGLEFINANCE($B4,""change"")), """")"),-1.0)</f>
        <v>-1</v>
      </c>
      <c r="BT4" s="36"/>
      <c r="BU4" s="27" t="s">
        <v>108</v>
      </c>
      <c r="BV4" s="38" t="s">
        <v>95</v>
      </c>
      <c r="BW4" s="39" t="str">
        <f>IFERROR(__xludf.DUMMYFUNCTION("IFERROR(if(ISBLANK(BV4),"" "",GOOGLEFINANCE(BU4,""Name"")), """")"),"Rhetan TMT Ltd")</f>
        <v>Rhetan TMT Ltd</v>
      </c>
      <c r="BX4" s="21">
        <f>IFERROR(__xludf.DUMMYFUNCTION("IFERROR(if(ISBLANK(BV4),"" "",GOOGLEFINANCE(BU4,""price"")), """")"),26.12)</f>
        <v>26.12</v>
      </c>
      <c r="BY4" s="23">
        <f>IFERROR(__xludf.DUMMYFUNCTION("IFERROR(if(ISBLANK(BV4),"" "",GOOGLEFINANCE(BU4,""changepct"")), """")"),-3.3)</f>
        <v>-3.3</v>
      </c>
      <c r="BZ4" s="22">
        <f>IFERROR(__xludf.DUMMYFUNCTION("IFERROR(if(ISBLANK($C4),"" "",GOOGLEFINANCE($B4,""change"")), """")"),-1.0)</f>
        <v>-1</v>
      </c>
      <c r="CA4" s="37"/>
      <c r="CB4" s="27" t="s">
        <v>109</v>
      </c>
      <c r="CC4" s="38" t="s">
        <v>95</v>
      </c>
      <c r="CD4" s="39" t="str">
        <f>IFERROR(__xludf.DUMMYFUNCTION("IFERROR(if(ISBLANK(CC4),"" "",GOOGLEFINANCE(CB4,""Name"")), """")"),"Marsons Ltd")</f>
        <v>Marsons Ltd</v>
      </c>
      <c r="CE4" s="21">
        <f>IFERROR(__xludf.DUMMYFUNCTION("IFERROR(if(ISBLANK(CC4),"" "",GOOGLEFINANCE(CB4,""price"")), """")"),103.15)</f>
        <v>103.15</v>
      </c>
      <c r="CF4" s="23">
        <f>IFERROR(__xludf.DUMMYFUNCTION("IFERROR(if(ISBLANK(CC4),"" "",GOOGLEFINANCE(CB4,""changepct"")), """")"),0.94)</f>
        <v>0.94</v>
      </c>
      <c r="CG4" s="12"/>
      <c r="CH4" s="18" t="s">
        <v>111</v>
      </c>
      <c r="CI4" s="38" t="s">
        <v>95</v>
      </c>
      <c r="CJ4" s="39" t="str">
        <f>IFERROR(__xludf.DUMMYFUNCTION("IFERROR(if(ISBLANK(CI4),"" "",GOOGLEFINANCE(CH4,""Name"")), """")"),"Steel Exchange India Ltd")</f>
        <v>Steel Exchange India Ltd</v>
      </c>
      <c r="CK4" s="21">
        <f>IFERROR(__xludf.DUMMYFUNCTION("IFERROR(if(ISBLANK(CI4),"" "",GOOGLEFINANCE(CH4,""price"")), """")"),10.61)</f>
        <v>10.61</v>
      </c>
      <c r="CL4" s="23">
        <f>IFERROR(__xludf.DUMMYFUNCTION("IFERROR(if(ISBLANK(CI4),"" "",GOOGLEFINANCE(CH4,""changepct"")), """")"),-0.93)</f>
        <v>-0.93</v>
      </c>
      <c r="CM4" s="12"/>
      <c r="CN4" s="33" t="s">
        <v>112</v>
      </c>
      <c r="CO4" s="38" t="s">
        <v>95</v>
      </c>
      <c r="CP4" s="39" t="str">
        <f>IFERROR(__xludf.DUMMYFUNCTION("IFERROR(if(ISBLANK(CO4),"" "",GOOGLEFINANCE(CN4,""Name"")), """")"),"Avt Natural Products Ltd")</f>
        <v>Avt Natural Products Ltd</v>
      </c>
      <c r="CQ4" s="21">
        <f>IFERROR(__xludf.DUMMYFUNCTION("IFERROR(if(ISBLANK(CO4),"" "",GOOGLEFINANCE(CN4,""price"")), """")"),70.05)</f>
        <v>70.05</v>
      </c>
      <c r="CR4" s="23">
        <f>IFERROR(__xludf.DUMMYFUNCTION("IFERROR(if(ISBLANK(CO4),"" "",GOOGLEFINANCE(CN4,""changepct"")), """")"),-0.27)</f>
        <v>-0.27</v>
      </c>
      <c r="CS4" s="40"/>
      <c r="CT4" s="33" t="s">
        <v>113</v>
      </c>
      <c r="CU4" s="38" t="s">
        <v>95</v>
      </c>
      <c r="CV4" s="39" t="str">
        <f>IFERROR(__xludf.DUMMYFUNCTION("IFERROR(if(ISBLANK(CU4),"" "",GOOGLEFINANCE(CT4,""Name"")), """")"),"VLS Finance Ltd")</f>
        <v>VLS Finance Ltd</v>
      </c>
      <c r="CW4" s="21">
        <f>IFERROR(__xludf.DUMMYFUNCTION("IFERROR(if(ISBLANK(CU4),"" "",GOOGLEFINANCE(CT4,""price"")), """")"),271.0)</f>
        <v>271</v>
      </c>
      <c r="CX4" s="23">
        <f>IFERROR(__xludf.DUMMYFUNCTION("IFERROR(if(ISBLANK(CU4),"" "",GOOGLEFINANCE(CT4,""changepct"")), """")"),3.75)</f>
        <v>3.75</v>
      </c>
      <c r="CY4" s="17"/>
      <c r="CZ4" s="33" t="s">
        <v>114</v>
      </c>
      <c r="DA4" s="38" t="s">
        <v>95</v>
      </c>
      <c r="DB4" s="39" t="str">
        <f>IFERROR(__xludf.DUMMYFUNCTION("IFERROR(if(ISBLANK(DA4),"" "",GOOGLEFINANCE(CZ4,""Name"")), """")"),"Mukka Proteins Ltd")</f>
        <v>Mukka Proteins Ltd</v>
      </c>
      <c r="DC4" s="21">
        <f>IFERROR(__xludf.DUMMYFUNCTION("IFERROR(if(ISBLANK(DA4),"" "",GOOGLEFINANCE(CZ4,""price"")), """")"),24.5)</f>
        <v>24.5</v>
      </c>
      <c r="DD4" s="23">
        <f>IFERROR(__xludf.DUMMYFUNCTION("IFERROR(if(ISBLANK(DA4),"" "",GOOGLEFINANCE(CZ4,""changepct"")), """")"),3.03)</f>
        <v>3.03</v>
      </c>
      <c r="DE4" s="40"/>
      <c r="DF4" s="12"/>
    </row>
    <row r="5" ht="11.25" customHeight="1">
      <c r="A5" s="17"/>
      <c r="B5" s="18" t="s">
        <v>115</v>
      </c>
      <c r="C5" s="38" t="s">
        <v>116</v>
      </c>
      <c r="D5" s="39" t="str">
        <f>IFERROR(__xludf.DUMMYFUNCTION("IFERROR(if(ISBLANK(C5),"" "",GOOGLEFINANCE(B5,""Name"")), """")"),"ICICI Bank Ltd")</f>
        <v>ICICI Bank Ltd</v>
      </c>
      <c r="E5" s="21">
        <f>IFERROR(__xludf.DUMMYFUNCTION("IFERROR(if(ISBLANK(C5),"" "",GOOGLEFINANCE(B5,""price"")), """")"),1426.1)</f>
        <v>1426.1</v>
      </c>
      <c r="F5" s="22">
        <f>IFERROR(__xludf.DUMMYFUNCTION("IFERROR(if(ISBLANK(C5),"" "",GOOGLEFINANCE(B5,""changepct"")), """")"),-0.24)</f>
        <v>-0.24</v>
      </c>
      <c r="G5" s="23">
        <f>IFERROR(__xludf.DUMMYFUNCTION("IFERROR(if(ISBLANK($C5),"" "",GOOGLEFINANCE($B5,""change"")), """")"),-3.5)</f>
        <v>-3.5</v>
      </c>
      <c r="H5" s="24"/>
      <c r="I5" s="25" t="s">
        <v>117</v>
      </c>
      <c r="J5" s="38" t="s">
        <v>116</v>
      </c>
      <c r="K5" s="39" t="str">
        <f>IFERROR(__xludf.DUMMYFUNCTION("IFERROR(if(ISBLANK(J5),"" "",GOOGLEFINANCE(I5,""Name"")), """")"),"GE Vernova T&amp;D India Ltd")</f>
        <v>GE Vernova T&amp;D India Ltd</v>
      </c>
      <c r="L5" s="21">
        <f>IFERROR(__xludf.DUMMYFUNCTION("IFERROR(if(ISBLANK(J5),"" "",GOOGLEFINANCE(I5,""price"")), """")"),4386.0)</f>
        <v>4386</v>
      </c>
      <c r="M5" s="22">
        <f>IFERROR(__xludf.DUMMYFUNCTION("IFERROR(if(ISBLANK(J5),"" "",GOOGLEFINANCE(I5,""changepct"")), """")"),-0.77)</f>
        <v>-0.77</v>
      </c>
      <c r="N5" s="23">
        <f>IFERROR(__xludf.DUMMYFUNCTION("IFERROR(if(ISBLANK($C5),"" "",GOOGLEFINANCE($B5,""change"")), """")"),-3.5)</f>
        <v>-3.5</v>
      </c>
      <c r="O5" s="26"/>
      <c r="P5" s="27" t="s">
        <v>119</v>
      </c>
      <c r="Q5" s="38" t="s">
        <v>116</v>
      </c>
      <c r="R5" s="39" t="str">
        <f>IFERROR(__xludf.DUMMYFUNCTION("IFERROR(if(ISBLANK(Q5),"" "",GOOGLEFINANCE(P5,""Name"")), """")"),"Ather Energy Ltd")</f>
        <v>Ather Energy Ltd</v>
      </c>
      <c r="S5" s="21">
        <f>IFERROR(__xludf.DUMMYFUNCTION("IFERROR(if(ISBLANK(Q5),"" "",GOOGLEFINANCE(P5,""price"")), """")"),1572.6)</f>
        <v>1572.6</v>
      </c>
      <c r="T5" s="22">
        <f>IFERROR(__xludf.DUMMYFUNCTION("IFERROR(if(ISBLANK(Q5),"" "",GOOGLEFINANCE(P5,""changepct"")), """")"),3.09)</f>
        <v>3.09</v>
      </c>
      <c r="U5" s="28"/>
      <c r="V5" s="18" t="s">
        <v>120</v>
      </c>
      <c r="W5" s="38" t="s">
        <v>116</v>
      </c>
      <c r="X5" s="39" t="str">
        <f>IFERROR(__xludf.DUMMYFUNCTION("IFERROR(if(ISBLANK(W5),"" "",GOOGLEFINANCE(V5,""Name"")), """")"),"Motherson Sumi Wiring India Ltd")</f>
        <v>Motherson Sumi Wiring India Ltd</v>
      </c>
      <c r="Y5" s="21">
        <f>IFERROR(__xludf.DUMMYFUNCTION("IFERROR(if(ISBLANK(W5),"" "",GOOGLEFINANCE(V5,""price"")), """")"),40.98)</f>
        <v>40.98</v>
      </c>
      <c r="Z5" s="23">
        <f>IFERROR(__xludf.DUMMYFUNCTION("IFERROR(if(ISBLANK(W5),"" "",GOOGLEFINANCE(V5,""changepct"")), """")"),-0.07)</f>
        <v>-0.07</v>
      </c>
      <c r="AA5" s="12"/>
      <c r="AB5" s="18" t="s">
        <v>121</v>
      </c>
      <c r="AC5" s="38" t="s">
        <v>116</v>
      </c>
      <c r="AD5" s="39" t="str">
        <f>IFERROR(__xludf.DUMMYFUNCTION("IFERROR(if(ISBLANK(AC5),"" "",GOOGLEFINANCE(AB5,""Name"")), """")"),"Jammu and Kashmir Bank Ltd")</f>
        <v>Jammu and Kashmir Bank Ltd</v>
      </c>
      <c r="AE5" s="21">
        <f>IFERROR(__xludf.DUMMYFUNCTION("IFERROR(if(ISBLANK(AC5),"" "",GOOGLEFINANCE(AB5,""price"")), """")"),157.4)</f>
        <v>157.4</v>
      </c>
      <c r="AF5" s="23">
        <f>IFERROR(__xludf.DUMMYFUNCTION("IFERROR(if(ISBLANK(AC5),"" "",GOOGLEFINANCE(AB5,""changepct"")), """")"),0.34)</f>
        <v>0.34</v>
      </c>
      <c r="AG5" s="40"/>
      <c r="AH5" s="27" t="s">
        <v>122</v>
      </c>
      <c r="AI5" s="38" t="s">
        <v>116</v>
      </c>
      <c r="AJ5" s="39" t="str">
        <f>IFERROR(__xludf.DUMMYFUNCTION("IFERROR(if(ISBLANK(AI5),"" "",GOOGLEFINANCE(AH5,""Name"")), """")"),"Jaiprakash Power Ventures Ltd")</f>
        <v>Jaiprakash Power Ventures Ltd</v>
      </c>
      <c r="AK5" s="21">
        <f>IFERROR(__xludf.DUMMYFUNCTION("IFERROR(if(ISBLANK(AI5),"" "",GOOGLEFINANCE(AH5,""price"")), """")"),17.83)</f>
        <v>17.83</v>
      </c>
      <c r="AL5" s="23">
        <f>IFERROR(__xludf.DUMMYFUNCTION("IFERROR(if(ISBLANK(AI5),"" "",GOOGLEFINANCE(AH5,""changepct"")), """")"),0.45)</f>
        <v>0.45</v>
      </c>
      <c r="AM5" s="30"/>
      <c r="AN5" s="31" t="s">
        <v>116</v>
      </c>
      <c r="AO5" s="32" t="str">
        <f>IFERROR(__xludf.DUMMYFUNCTION("IFERROR(if(ISBLANK(AN5),"" "",GOOGLEFINANCE(AM5,""Name"")), """")"),"")</f>
        <v/>
      </c>
      <c r="AP5" s="33" t="s">
        <v>123</v>
      </c>
      <c r="AQ5" s="38" t="s">
        <v>116</v>
      </c>
      <c r="AR5" s="39" t="str">
        <f>IFERROR(__xludf.DUMMYFUNCTION("IFERROR(if(ISBLANK(AQ5),"" "",GOOGLEFINANCE(AP5,""Name"")), """")"),"Railtel Corporation of India Ltd")</f>
        <v>Railtel Corporation of India Ltd</v>
      </c>
      <c r="AS5" s="21">
        <f>IFERROR(__xludf.DUMMYFUNCTION("IFERROR(if(ISBLANK(AQ5),"" "",GOOGLEFINANCE(AP5,""price"")), """")"),286.0)</f>
        <v>286</v>
      </c>
      <c r="AT5" s="23">
        <f>IFERROR(__xludf.DUMMYFUNCTION("IFERROR(if(ISBLANK(AQ5),"" "",GOOGLEFINANCE(AP5,""changepct"")), """")"),-0.45)</f>
        <v>-0.45</v>
      </c>
      <c r="AU5" s="40"/>
      <c r="AV5" s="34" t="s">
        <v>125</v>
      </c>
      <c r="AW5" s="38" t="s">
        <v>116</v>
      </c>
      <c r="AX5" s="39" t="str">
        <f>IFERROR(__xludf.DUMMYFUNCTION("IFERROR(if(ISBLANK(AW5),"" "",GOOGLEFINANCE(AV5,""Name"")), """")"),"Campus Activewear Ltd")</f>
        <v>Campus Activewear Ltd</v>
      </c>
      <c r="AY5" s="21">
        <f>IFERROR(__xludf.DUMMYFUNCTION("IFERROR(if(ISBLANK(AW5),"" "",GOOGLEFINANCE(AV5,""price"")), """")"),218.99)</f>
        <v>218.99</v>
      </c>
      <c r="AZ5" s="23">
        <f>IFERROR(__xludf.DUMMYFUNCTION("IFERROR(if(ISBLANK(AW5),"" "",GOOGLEFINANCE(AV5,""changepct"")), """")"),0.08)</f>
        <v>0.08</v>
      </c>
      <c r="BA5" s="12"/>
      <c r="BB5" s="33" t="s">
        <v>126</v>
      </c>
      <c r="BC5" s="38" t="s">
        <v>116</v>
      </c>
      <c r="BD5" s="39" t="str">
        <f>IFERROR(__xludf.DUMMYFUNCTION("IFERROR(if(ISBLANK(BC5),"" "",GOOGLEFINANCE(BB5,""Name"")), """")"),"DEE Development Engineers Ltd")</f>
        <v>DEE Development Engineers Ltd</v>
      </c>
      <c r="BE5" s="21">
        <f>IFERROR(__xludf.DUMMYFUNCTION("IFERROR(if(ISBLANK(BC5),"" "",GOOGLEFINANCE(BB5,""price"")), """")"),638.0)</f>
        <v>638</v>
      </c>
      <c r="BF5" s="23">
        <f>IFERROR(__xludf.DUMMYFUNCTION("IFERROR(if(ISBLANK(BC5),"" "",GOOGLEFINANCE(BB5,""changepct"")), """")"),2.37)</f>
        <v>2.37</v>
      </c>
      <c r="BG5" s="12"/>
      <c r="BH5" s="35" t="s">
        <v>127</v>
      </c>
      <c r="BI5" s="38" t="s">
        <v>116</v>
      </c>
      <c r="BJ5" s="39" t="str">
        <f>IFERROR(__xludf.DUMMYFUNCTION("IFERROR(if(ISBLANK(BI5),"" "",GOOGLEFINANCE(BH5,""Name"")), """")"),"Ashiana Housing Ltd")</f>
        <v>Ashiana Housing Ltd</v>
      </c>
      <c r="BK5" s="21">
        <f>IFERROR(__xludf.DUMMYFUNCTION("IFERROR(if(ISBLANK(BI5),"" "",GOOGLEFINANCE(BH5,""price"")), """")"),377.0)</f>
        <v>377</v>
      </c>
      <c r="BL5" s="23">
        <f>IFERROR(__xludf.DUMMYFUNCTION("IFERROR(if(ISBLANK(BI5),"" "",GOOGLEFINANCE(BH5,""changepct"")), """")"),-1.13)</f>
        <v>-1.13</v>
      </c>
      <c r="BM5" s="12"/>
      <c r="BN5" s="33" t="s">
        <v>128</v>
      </c>
      <c r="BO5" s="38" t="s">
        <v>116</v>
      </c>
      <c r="BP5" s="39" t="str">
        <f>IFERROR(__xludf.DUMMYFUNCTION("IFERROR(if(ISBLANK(BO5),"" "",GOOGLEFINANCE(BN5,""Name"")), """")"),"Wonderla Holidays Ltd")</f>
        <v>Wonderla Holidays Ltd</v>
      </c>
      <c r="BQ5" s="21">
        <f>IFERROR(__xludf.DUMMYFUNCTION("IFERROR(if(ISBLANK(BO5),"" "",GOOGLEFINANCE(BN5,""price"")), """")"),469.8)</f>
        <v>469.8</v>
      </c>
      <c r="BR5" s="23">
        <f>IFERROR(__xludf.DUMMYFUNCTION("IFERROR(if(ISBLANK(BO5),"" "",GOOGLEFINANCE(BN5,""changepct"")), """")"),-2.43)</f>
        <v>-2.43</v>
      </c>
      <c r="BS5" s="22">
        <f>IFERROR(__xludf.DUMMYFUNCTION("IFERROR(if(ISBLANK($C5),"" "",GOOGLEFINANCE($B5,""change"")), """")"),-3.5)</f>
        <v>-3.5</v>
      </c>
      <c r="BT5" s="36"/>
      <c r="BU5" s="27" t="s">
        <v>129</v>
      </c>
      <c r="BV5" s="38" t="s">
        <v>116</v>
      </c>
      <c r="BW5" s="39" t="str">
        <f>IFERROR(__xludf.DUMMYFUNCTION("IFERROR(if(ISBLANK(BV5),"" "",GOOGLEFINANCE(BU5,""Name"")), """")"),"Veedol Corporation Ltd")</f>
        <v>Veedol Corporation Ltd</v>
      </c>
      <c r="BX5" s="21">
        <f>IFERROR(__xludf.DUMMYFUNCTION("IFERROR(if(ISBLANK(BV5),"" "",GOOGLEFINANCE(BU5,""price"")), """")"),1506.1)</f>
        <v>1506.1</v>
      </c>
      <c r="BY5" s="23">
        <f>IFERROR(__xludf.DUMMYFUNCTION("IFERROR(if(ISBLANK(BV5),"" "",GOOGLEFINANCE(BU5,""changepct"")), """")"),-1.65)</f>
        <v>-1.65</v>
      </c>
      <c r="BZ5" s="22">
        <f>IFERROR(__xludf.DUMMYFUNCTION("IFERROR(if(ISBLANK($C5),"" "",GOOGLEFINANCE($B5,""change"")), """")"),-3.5)</f>
        <v>-3.5</v>
      </c>
      <c r="CA5" s="37"/>
      <c r="CB5" s="27" t="s">
        <v>130</v>
      </c>
      <c r="CC5" s="38" t="s">
        <v>116</v>
      </c>
      <c r="CD5" s="39" t="str">
        <f>IFERROR(__xludf.DUMMYFUNCTION("IFERROR(if(ISBLANK(CC5),"" "",GOOGLEFINANCE(CB5,""Name"")), """")"),"EIH Associated Hotels Ltd")</f>
        <v>EIH Associated Hotels Ltd</v>
      </c>
      <c r="CE5" s="21">
        <f>IFERROR(__xludf.DUMMYFUNCTION("IFERROR(if(ISBLANK(CC5),"" "",GOOGLEFINANCE(CB5,""price"")), """")"),293.0)</f>
        <v>293</v>
      </c>
      <c r="CF5" s="23">
        <f>IFERROR(__xludf.DUMMYFUNCTION("IFERROR(if(ISBLANK(CC5),"" "",GOOGLEFINANCE(CB5,""changepct"")), """")"),-0.68)</f>
        <v>-0.68</v>
      </c>
      <c r="CG5" s="12"/>
      <c r="CH5" s="18" t="s">
        <v>131</v>
      </c>
      <c r="CI5" s="38" t="s">
        <v>116</v>
      </c>
      <c r="CJ5" s="39" t="str">
        <f>IFERROR(__xludf.DUMMYFUNCTION("IFERROR(if(ISBLANK(CI5),"" "",GOOGLEFINANCE(CH5,""Name"")), """")"),"Atul Auto Ltd")</f>
        <v>Atul Auto Ltd</v>
      </c>
      <c r="CK5" s="21">
        <f>IFERROR(__xludf.DUMMYFUNCTION("IFERROR(if(ISBLANK(CI5),"" "",GOOGLEFINANCE(CH5,""price"")), """")"),504.8)</f>
        <v>504.8</v>
      </c>
      <c r="CL5" s="23">
        <f>IFERROR(__xludf.DUMMYFUNCTION("IFERROR(if(ISBLANK(CI5),"" "",GOOGLEFINANCE(CH5,""changepct"")), """")"),2.17)</f>
        <v>2.17</v>
      </c>
      <c r="CM5" s="12"/>
      <c r="CN5" s="33" t="s">
        <v>132</v>
      </c>
      <c r="CO5" s="38" t="s">
        <v>116</v>
      </c>
      <c r="CP5" s="39" t="str">
        <f>IFERROR(__xludf.DUMMYFUNCTION("IFERROR(if(ISBLANK(CO5),"" "",GOOGLEFINANCE(CN5,""Name"")), """")"),"GHCL Textiles Ltd")</f>
        <v>GHCL Textiles Ltd</v>
      </c>
      <c r="CQ5" s="21">
        <f>IFERROR(__xludf.DUMMYFUNCTION("IFERROR(if(ISBLANK(CO5),"" "",GOOGLEFINANCE(CN5,""price"")), """")"),116.45)</f>
        <v>116.45</v>
      </c>
      <c r="CR5" s="23">
        <f>IFERROR(__xludf.DUMMYFUNCTION("IFERROR(if(ISBLANK(CO5),"" "",GOOGLEFINANCE(CN5,""changepct"")), """")"),-2.36)</f>
        <v>-2.36</v>
      </c>
      <c r="CS5" s="40"/>
      <c r="CT5" s="33" t="s">
        <v>134</v>
      </c>
      <c r="CU5" s="38" t="s">
        <v>116</v>
      </c>
      <c r="CV5" s="39" t="str">
        <f>IFERROR(__xludf.DUMMYFUNCTION("IFERROR(if(ISBLANK(CU5),"" "",GOOGLEFINANCE(CT5,""Name"")), """")"),"Borana Weaves Ltd")</f>
        <v>Borana Weaves Ltd</v>
      </c>
      <c r="CW5" s="21">
        <f>IFERROR(__xludf.DUMMYFUNCTION("IFERROR(if(ISBLANK(CU5),"" "",GOOGLEFINANCE(CT5,""price"")), """")"),332.6)</f>
        <v>332.6</v>
      </c>
      <c r="CX5" s="23">
        <f>IFERROR(__xludf.DUMMYFUNCTION("IFERROR(if(ISBLANK(CU5),"" "",GOOGLEFINANCE(CT5,""changepct"")), """")"),1.37)</f>
        <v>1.37</v>
      </c>
      <c r="CY5" s="17"/>
      <c r="CZ5" s="33" t="s">
        <v>135</v>
      </c>
      <c r="DA5" s="38" t="s">
        <v>116</v>
      </c>
      <c r="DB5" s="39" t="str">
        <f>IFERROR(__xludf.DUMMYFUNCTION("IFERROR(if(ISBLANK(DA5),"" "",GOOGLEFINANCE(CZ5,""Name"")), """")"),"Rama Steel Tubes Ltd")</f>
        <v>Rama Steel Tubes Ltd</v>
      </c>
      <c r="DC5" s="21">
        <f>IFERROR(__xludf.DUMMYFUNCTION("IFERROR(if(ISBLANK(DA5),"" "",GOOGLEFINANCE(CZ5,""price"")), """")"),4.58)</f>
        <v>4.58</v>
      </c>
      <c r="DD5" s="23">
        <f>IFERROR(__xludf.DUMMYFUNCTION("IFERROR(if(ISBLANK(DA5),"" "",GOOGLEFINANCE(CZ5,""changepct"")), """")"),-1.93)</f>
        <v>-1.93</v>
      </c>
      <c r="DE5" s="40"/>
      <c r="DF5" s="12"/>
    </row>
    <row r="6" ht="11.25" customHeight="1">
      <c r="A6" s="17"/>
      <c r="B6" s="18" t="s">
        <v>136</v>
      </c>
      <c r="C6" s="38" t="s">
        <v>137</v>
      </c>
      <c r="D6" s="39" t="str">
        <f>IFERROR(__xludf.DUMMYFUNCTION("IFERROR(if(ISBLANK(C6),"" "",GOOGLEFINANCE(B6,""Name"")), """")"),"State Bank of India")</f>
        <v>State Bank of India</v>
      </c>
      <c r="E6" s="21">
        <f>IFERROR(__xludf.DUMMYFUNCTION("IFERROR(if(ISBLANK(C6),"" "",GOOGLEFINANCE(B6,""price"")), """")"),1080.5)</f>
        <v>1080.5</v>
      </c>
      <c r="F6" s="22">
        <f>IFERROR(__xludf.DUMMYFUNCTION("IFERROR(if(ISBLANK(C6),"" "",GOOGLEFINANCE(B6,""changepct"")), """")"),1.36)</f>
        <v>1.36</v>
      </c>
      <c r="G6" s="23">
        <f>IFERROR(__xludf.DUMMYFUNCTION("IFERROR(if(ISBLANK($C6),"" "",GOOGLEFINANCE($B6,""change"")), """")"),14.5)</f>
        <v>14.5</v>
      </c>
      <c r="H6" s="24"/>
      <c r="I6" s="25" t="s">
        <v>138</v>
      </c>
      <c r="J6" s="38" t="s">
        <v>137</v>
      </c>
      <c r="K6" s="39" t="str">
        <f>IFERROR(__xludf.DUMMYFUNCTION("IFERROR(if(ISBLANK(J6),"" "",GOOGLEFINANCE(I6,""Name"")), """")"),"Aditya Birla Capital Ltd")</f>
        <v>Aditya Birla Capital Ltd</v>
      </c>
      <c r="L6" s="21">
        <f>IFERROR(__xludf.DUMMYFUNCTION("IFERROR(if(ISBLANK(J6),"" "",GOOGLEFINANCE(I6,""price"")), """")"),405.3)</f>
        <v>405.3</v>
      </c>
      <c r="M6" s="22">
        <f>IFERROR(__xludf.DUMMYFUNCTION("IFERROR(if(ISBLANK(J6),"" "",GOOGLEFINANCE(I6,""changepct"")), """")"),-0.45)</f>
        <v>-0.45</v>
      </c>
      <c r="N6" s="23">
        <f>IFERROR(__xludf.DUMMYFUNCTION("IFERROR(if(ISBLANK($C6),"" "",GOOGLEFINANCE($B6,""change"")), """")"),14.5)</f>
        <v>14.5</v>
      </c>
      <c r="O6" s="26"/>
      <c r="P6" s="27" t="s">
        <v>139</v>
      </c>
      <c r="Q6" s="38" t="s">
        <v>137</v>
      </c>
      <c r="R6" s="39" t="str">
        <f>IFERROR(__xludf.DUMMYFUNCTION("IFERROR(if(ISBLANK(Q6),"" "",GOOGLEFINANCE(P6,""Name"")), """")"),"Gujarat Fluorochemicals Ltd")</f>
        <v>Gujarat Fluorochemicals Ltd</v>
      </c>
      <c r="S6" s="21">
        <f>IFERROR(__xludf.DUMMYFUNCTION("IFERROR(if(ISBLANK(Q6),"" "",GOOGLEFINANCE(P6,""price"")), """")"),4534.0)</f>
        <v>4534</v>
      </c>
      <c r="T6" s="22">
        <f>IFERROR(__xludf.DUMMYFUNCTION("IFERROR(if(ISBLANK(Q6),"" "",GOOGLEFINANCE(P6,""changepct"")), """")"),2.67)</f>
        <v>2.67</v>
      </c>
      <c r="U6" s="28"/>
      <c r="V6" s="18" t="s">
        <v>140</v>
      </c>
      <c r="W6" s="38" t="s">
        <v>137</v>
      </c>
      <c r="X6" s="39" t="str">
        <f>IFERROR(__xludf.DUMMYFUNCTION("IFERROR(if(ISBLANK(W6),"" "",GOOGLEFINANCE(V6,""Name"")), """")"),"PTC Industries Ltd")</f>
        <v>PTC Industries Ltd</v>
      </c>
      <c r="Y6" s="21">
        <f>IFERROR(__xludf.DUMMYFUNCTION("IFERROR(if(ISBLANK(W6),"" "",GOOGLEFINANCE(V6,""price"")), """")"),19000.0)</f>
        <v>19000</v>
      </c>
      <c r="Z6" s="23">
        <f>IFERROR(__xludf.DUMMYFUNCTION("IFERROR(if(ISBLANK(W6),"" "",GOOGLEFINANCE(V6,""changepct"")), """")"),0.5)</f>
        <v>0.5</v>
      </c>
      <c r="AA6" s="12"/>
      <c r="AB6" s="18" t="s">
        <v>141</v>
      </c>
      <c r="AC6" s="38" t="s">
        <v>137</v>
      </c>
      <c r="AD6" s="39" t="str">
        <f>IFERROR(__xludf.DUMMYFUNCTION("IFERROR(if(ISBLANK(AC6),"" "",GOOGLEFINANCE(AB6,""Name"")), """")"),"Tata Chemicals Ltd")</f>
        <v>Tata Chemicals Ltd</v>
      </c>
      <c r="AE6" s="21">
        <f>IFERROR(__xludf.DUMMYFUNCTION("IFERROR(if(ISBLANK(AC6),"" "",GOOGLEFINANCE(AB6,""price"")), """")"),674.0)</f>
        <v>674</v>
      </c>
      <c r="AF6" s="23">
        <f>IFERROR(__xludf.DUMMYFUNCTION("IFERROR(if(ISBLANK(AC6),"" "",GOOGLEFINANCE(AB6,""changepct"")), """")"),0.79)</f>
        <v>0.79</v>
      </c>
      <c r="AG6" s="40"/>
      <c r="AH6" s="27" t="s">
        <v>143</v>
      </c>
      <c r="AI6" s="38" t="s">
        <v>137</v>
      </c>
      <c r="AJ6" s="39" t="str">
        <f>IFERROR(__xludf.DUMMYFUNCTION("IFERROR(if(ISBLANK(AI6),"" "",GOOGLEFINANCE(AH6,""Name"")), """")"),"PCBL Chemical Ltd")</f>
        <v>PCBL Chemical Ltd</v>
      </c>
      <c r="AK6" s="21">
        <f>IFERROR(__xludf.DUMMYFUNCTION("IFERROR(if(ISBLANK(AI6),"" "",GOOGLEFINANCE(AH6,""price"")), """")"),313.5)</f>
        <v>313.5</v>
      </c>
      <c r="AL6" s="23">
        <f>IFERROR(__xludf.DUMMYFUNCTION("IFERROR(if(ISBLANK(AI6),"" "",GOOGLEFINANCE(AH6,""changepct"")), """")"),-2.69)</f>
        <v>-2.69</v>
      </c>
      <c r="AM6" s="30"/>
      <c r="AN6" s="31" t="s">
        <v>137</v>
      </c>
      <c r="AO6" s="32" t="str">
        <f>IFERROR(__xludf.DUMMYFUNCTION("IFERROR(if(ISBLANK(AN6),"" "",GOOGLEFINANCE(AM6,""Name"")), """")"),"")</f>
        <v/>
      </c>
      <c r="AP6" s="33" t="s">
        <v>144</v>
      </c>
      <c r="AQ6" s="38" t="s">
        <v>137</v>
      </c>
      <c r="AR6" s="39" t="str">
        <f>IFERROR(__xludf.DUMMYFUNCTION("IFERROR(if(ISBLANK(AQ6),"" "",GOOGLEFINANCE(AP6,""Name"")), """")"),"Tejas Networks Ltd")</f>
        <v>Tejas Networks Ltd</v>
      </c>
      <c r="AS6" s="21">
        <f>IFERROR(__xludf.DUMMYFUNCTION("IFERROR(if(ISBLANK(AQ6),"" "",GOOGLEFINANCE(AP6,""price"")), """")"),526.1)</f>
        <v>526.1</v>
      </c>
      <c r="AT6" s="23">
        <f>IFERROR(__xludf.DUMMYFUNCTION("IFERROR(if(ISBLANK(AQ6),"" "",GOOGLEFINANCE(AP6,""changepct"")), """")"),-1.41)</f>
        <v>-1.41</v>
      </c>
      <c r="AU6" s="40"/>
      <c r="AV6" s="34" t="s">
        <v>145</v>
      </c>
      <c r="AW6" s="38" t="s">
        <v>137</v>
      </c>
      <c r="AX6" s="39" t="str">
        <f>IFERROR(__xludf.DUMMYFUNCTION("IFERROR(if(ISBLANK(AW6),"" "",GOOGLEFINANCE(AV6,""Name"")), """")"),"Transrail Lighting Ltd")</f>
        <v>Transrail Lighting Ltd</v>
      </c>
      <c r="AY6" s="21">
        <f>IFERROR(__xludf.DUMMYFUNCTION("IFERROR(if(ISBLANK(AW6),"" "",GOOGLEFINANCE(AV6,""price"")), """")"),467.7)</f>
        <v>467.7</v>
      </c>
      <c r="AZ6" s="23">
        <f>IFERROR(__xludf.DUMMYFUNCTION("IFERROR(if(ISBLANK(AW6),"" "",GOOGLEFINANCE(AV6,""changepct"")), """")"),-1.2)</f>
        <v>-1.2</v>
      </c>
      <c r="BA6" s="12"/>
      <c r="BB6" s="33" t="s">
        <v>146</v>
      </c>
      <c r="BC6" s="38" t="s">
        <v>137</v>
      </c>
      <c r="BD6" s="39" t="str">
        <f>IFERROR(__xludf.DUMMYFUNCTION("IFERROR(if(ISBLANK(BC6),"" "",GOOGLEFINANCE(BB6,""Name"")), """")"),"LG Balakrishnan &amp; Bros Ltd")</f>
        <v>LG Balakrishnan &amp; Bros Ltd</v>
      </c>
      <c r="BE6" s="21">
        <f>IFERROR(__xludf.DUMMYFUNCTION("IFERROR(if(ISBLANK(BC6),"" "",GOOGLEFINANCE(BB6,""price"")), """")"),1609.0)</f>
        <v>1609</v>
      </c>
      <c r="BF6" s="23">
        <f>IFERROR(__xludf.DUMMYFUNCTION("IFERROR(if(ISBLANK(BC6),"" "",GOOGLEFINANCE(BB6,""changepct"")), """")"),3.86)</f>
        <v>3.86</v>
      </c>
      <c r="BG6" s="12"/>
      <c r="BH6" s="35" t="s">
        <v>147</v>
      </c>
      <c r="BI6" s="38" t="s">
        <v>137</v>
      </c>
      <c r="BJ6" s="39" t="str">
        <f>IFERROR(__xludf.DUMMYFUNCTION("IFERROR(if(ISBLANK(BI6),"" "",GOOGLEFINANCE(BH6,""Name"")), """")"),"Gufic BioSciences Ltd")</f>
        <v>Gufic BioSciences Ltd</v>
      </c>
      <c r="BK6" s="21">
        <f>IFERROR(__xludf.DUMMYFUNCTION("IFERROR(if(ISBLANK(BI6),"" "",GOOGLEFINANCE(BH6,""price"")), """")"),426.0)</f>
        <v>426</v>
      </c>
      <c r="BL6" s="23">
        <f>IFERROR(__xludf.DUMMYFUNCTION("IFERROR(if(ISBLANK(BI6),"" "",GOOGLEFINANCE(BH6,""changepct"")), """")"),-1.18)</f>
        <v>-1.18</v>
      </c>
      <c r="BM6" s="12"/>
      <c r="BN6" s="33" t="s">
        <v>149</v>
      </c>
      <c r="BO6" s="38" t="s">
        <v>137</v>
      </c>
      <c r="BP6" s="39" t="str">
        <f>IFERROR(__xludf.DUMMYFUNCTION("IFERROR(if(ISBLANK(BO6),"" "",GOOGLEFINANCE(BN6,""Name"")), """")"),"Stallion India Fluorochemicals Ltd")</f>
        <v>Stallion India Fluorochemicals Ltd</v>
      </c>
      <c r="BQ6" s="21">
        <f>IFERROR(__xludf.DUMMYFUNCTION("IFERROR(if(ISBLANK(BO6),"" "",GOOGLEFINANCE(BN6,""price"")), """")"),253.35)</f>
        <v>253.35</v>
      </c>
      <c r="BR6" s="23">
        <f>IFERROR(__xludf.DUMMYFUNCTION("IFERROR(if(ISBLANK(BO6),"" "",GOOGLEFINANCE(BN6,""changepct"")), """")"),4.99)</f>
        <v>4.99</v>
      </c>
      <c r="BS6" s="22">
        <f>IFERROR(__xludf.DUMMYFUNCTION("IFERROR(if(ISBLANK($C6),"" "",GOOGLEFINANCE($B6,""change"")), """")"),14.5)</f>
        <v>14.5</v>
      </c>
      <c r="BT6" s="36"/>
      <c r="BU6" s="27" t="s">
        <v>150</v>
      </c>
      <c r="BV6" s="38" t="s">
        <v>137</v>
      </c>
      <c r="BW6" s="39" t="str">
        <f>IFERROR(__xludf.DUMMYFUNCTION("IFERROR(if(ISBLANK(BV6),"" "",GOOGLEFINANCE(BU6,""Name"")), """")"),"Sai Parenteral's Ltd")</f>
        <v>Sai Parenteral's Ltd</v>
      </c>
      <c r="BX6" s="21">
        <f>IFERROR(__xludf.DUMMYFUNCTION("IFERROR(if(ISBLANK(BV6),"" "",GOOGLEFINANCE(BU6,""price"")), """")"),549.85)</f>
        <v>549.85</v>
      </c>
      <c r="BY6" s="23">
        <f>IFERROR(__xludf.DUMMYFUNCTION("IFERROR(if(ISBLANK(BV6),"" "",GOOGLEFINANCE(BU6,""changepct"")), """")"),-4.12)</f>
        <v>-4.12</v>
      </c>
      <c r="BZ6" s="22">
        <f>IFERROR(__xludf.DUMMYFUNCTION("IFERROR(if(ISBLANK($C6),"" "",GOOGLEFINANCE($B6,""change"")), """")"),14.5)</f>
        <v>14.5</v>
      </c>
      <c r="CA6" s="37"/>
      <c r="CB6" s="27" t="s">
        <v>151</v>
      </c>
      <c r="CC6" s="38" t="s">
        <v>137</v>
      </c>
      <c r="CD6" s="39" t="str">
        <f>IFERROR(__xludf.DUMMYFUNCTION("IFERROR(if(ISBLANK(CC6),"" "",GOOGLEFINANCE(CB6,""Name"")), """")"),"Brightcom Group Ltd")</f>
        <v>Brightcom Group Ltd</v>
      </c>
      <c r="CE6" s="21">
        <f>IFERROR(__xludf.DUMMYFUNCTION("IFERROR(if(ISBLANK(CC6),"" "",GOOGLEFINANCE(CB6,""price"")), """")"),9.8)</f>
        <v>9.8</v>
      </c>
      <c r="CF6" s="23">
        <f>IFERROR(__xludf.DUMMYFUNCTION("IFERROR(if(ISBLANK(CC6),"" "",GOOGLEFINANCE(CB6,""changepct"")), """")"),-0.81)</f>
        <v>-0.81</v>
      </c>
      <c r="CG6" s="12"/>
      <c r="CH6" s="18" t="s">
        <v>152</v>
      </c>
      <c r="CI6" s="38" t="s">
        <v>137</v>
      </c>
      <c r="CJ6" s="39" t="str">
        <f>IFERROR(__xludf.DUMMYFUNCTION("IFERROR(if(ISBLANK(CI6),"" "",GOOGLEFINANCE(CH6,""Name"")), """")"),"Igarashi Motors India Ltd")</f>
        <v>Igarashi Motors India Ltd</v>
      </c>
      <c r="CK6" s="21">
        <f>IFERROR(__xludf.DUMMYFUNCTION("IFERROR(if(ISBLANK(CI6),"" "",GOOGLEFINANCE(CH6,""price"")), """")"),449.5)</f>
        <v>449.5</v>
      </c>
      <c r="CL6" s="23">
        <f>IFERROR(__xludf.DUMMYFUNCTION("IFERROR(if(ISBLANK(CI6),"" "",GOOGLEFINANCE(CH6,""changepct"")), """")"),-1.81)</f>
        <v>-1.81</v>
      </c>
      <c r="CM6" s="12"/>
      <c r="CN6" s="33" t="s">
        <v>153</v>
      </c>
      <c r="CO6" s="38" t="s">
        <v>137</v>
      </c>
      <c r="CP6" s="39" t="str">
        <f>IFERROR(__xludf.DUMMYFUNCTION("IFERROR(if(ISBLANK(CO6),"" "",GOOGLEFINANCE(CN6,""Name"")), """")"),"Vardhman Holdings Ltd")</f>
        <v>Vardhman Holdings Ltd</v>
      </c>
      <c r="CQ6" s="21">
        <f>IFERROR(__xludf.DUMMYFUNCTION("IFERROR(if(ISBLANK(CO6),"" "",GOOGLEFINANCE(CN6,""price"")), """")"),3510.0)</f>
        <v>3510</v>
      </c>
      <c r="CR6" s="23">
        <f>IFERROR(__xludf.DUMMYFUNCTION("IFERROR(if(ISBLANK(CO6),"" "",GOOGLEFINANCE(CN6,""changepct"")), """")"),0.66)</f>
        <v>0.66</v>
      </c>
      <c r="CS6" s="40"/>
      <c r="CT6" s="33" t="s">
        <v>154</v>
      </c>
      <c r="CU6" s="38" t="s">
        <v>137</v>
      </c>
      <c r="CV6" s="39" t="str">
        <f>IFERROR(__xludf.DUMMYFUNCTION("IFERROR(if(ISBLANK(CU6),"" "",GOOGLEFINANCE(CT6,""Name"")), """")"),"Kokuyo Camlin Ltd")</f>
        <v>Kokuyo Camlin Ltd</v>
      </c>
      <c r="CW6" s="21">
        <f>IFERROR(__xludf.DUMMYFUNCTION("IFERROR(if(ISBLANK(CU6),"" "",GOOGLEFINANCE(CT6,""price"")), """")"),81.51)</f>
        <v>81.51</v>
      </c>
      <c r="CX6" s="23">
        <f>IFERROR(__xludf.DUMMYFUNCTION("IFERROR(if(ISBLANK(CU6),"" "",GOOGLEFINANCE(CT6,""changepct"")), """")"),-1.16)</f>
        <v>-1.16</v>
      </c>
      <c r="CY6" s="17"/>
      <c r="CZ6" s="33" t="s">
        <v>156</v>
      </c>
      <c r="DA6" s="38" t="s">
        <v>137</v>
      </c>
      <c r="DB6" s="39" t="str">
        <f>IFERROR(__xludf.DUMMYFUNCTION("IFERROR(if(ISBLANK(DA6),"" "",GOOGLEFINANCE(CZ6,""Name"")), """")"),"Onmobile Global Ltd")</f>
        <v>Onmobile Global Ltd</v>
      </c>
      <c r="DC6" s="21">
        <f>IFERROR(__xludf.DUMMYFUNCTION("IFERROR(if(ISBLANK(DA6),"" "",GOOGLEFINANCE(CZ6,""price"")), """")"),65.62)</f>
        <v>65.62</v>
      </c>
      <c r="DD6" s="23">
        <f>IFERROR(__xludf.DUMMYFUNCTION("IFERROR(if(ISBLANK(DA6),"" "",GOOGLEFINANCE(CZ6,""changepct"")), """")"),-1.99)</f>
        <v>-1.99</v>
      </c>
      <c r="DE6" s="40"/>
      <c r="DF6" s="12"/>
    </row>
    <row r="7" ht="11.25" customHeight="1">
      <c r="A7" s="17"/>
      <c r="B7" s="18" t="s">
        <v>157</v>
      </c>
      <c r="C7" s="38" t="s">
        <v>158</v>
      </c>
      <c r="D7" s="39" t="str">
        <f>IFERROR(__xludf.DUMMYFUNCTION("IFERROR(if(ISBLANK(C7),"" "",GOOGLEFINANCE(B7,""Name"")), """")"),"Tata Consultancy Services Ltd")</f>
        <v>Tata Consultancy Services Ltd</v>
      </c>
      <c r="E7" s="21">
        <f>IFERROR(__xludf.DUMMYFUNCTION("IFERROR(if(ISBLANK(C7),"" "",GOOGLEFINANCE(B7,""price"")), """")"),2339.0)</f>
        <v>2339</v>
      </c>
      <c r="F7" s="22">
        <f>IFERROR(__xludf.DUMMYFUNCTION("IFERROR(if(ISBLANK(C7),"" "",GOOGLEFINANCE(B7,""changepct"")), """")"),-4.36)</f>
        <v>-4.36</v>
      </c>
      <c r="G7" s="23">
        <f>IFERROR(__xludf.DUMMYFUNCTION("IFERROR(if(ISBLANK($C7),"" "",GOOGLEFINANCE($B7,""change"")), """")"),-106.7)</f>
        <v>-106.7</v>
      </c>
      <c r="H7" s="24"/>
      <c r="I7" s="25" t="s">
        <v>159</v>
      </c>
      <c r="J7" s="38" t="s">
        <v>158</v>
      </c>
      <c r="K7" s="39" t="str">
        <f>IFERROR(__xludf.DUMMYFUNCTION("IFERROR(if(ISBLANK(J7),"" "",GOOGLEFINANCE(I7,""Name"")), """")"),"Lupin Ltd")</f>
        <v>Lupin Ltd</v>
      </c>
      <c r="L7" s="21">
        <f>IFERROR(__xludf.DUMMYFUNCTION("IFERROR(if(ISBLANK(J7),"" "",GOOGLEFINANCE(I7,""price"")), """")"),2263.6)</f>
        <v>2263.6</v>
      </c>
      <c r="M7" s="22">
        <f>IFERROR(__xludf.DUMMYFUNCTION("IFERROR(if(ISBLANK(J7),"" "",GOOGLEFINANCE(I7,""changepct"")), """")"),-0.67)</f>
        <v>-0.67</v>
      </c>
      <c r="N7" s="23">
        <f>IFERROR(__xludf.DUMMYFUNCTION("IFERROR(if(ISBLANK($C7),"" "",GOOGLEFINANCE($B7,""change"")), """")"),-106.7)</f>
        <v>-106.7</v>
      </c>
      <c r="O7" s="26"/>
      <c r="P7" s="27" t="s">
        <v>160</v>
      </c>
      <c r="Q7" s="38" t="s">
        <v>158</v>
      </c>
      <c r="R7" s="39" t="str">
        <f>IFERROR(__xludf.DUMMYFUNCTION("IFERROR(if(ISBLANK(Q7),"" "",GOOGLEFINANCE(P7,""Name"")), """")"),"Sona Blw Precision Forgings Ltd")</f>
        <v>Sona Blw Precision Forgings Ltd</v>
      </c>
      <c r="S7" s="21">
        <f>IFERROR(__xludf.DUMMYFUNCTION("IFERROR(if(ISBLANK(Q7),"" "",GOOGLEFINANCE(P7,""price"")), """")"),799.0)</f>
        <v>799</v>
      </c>
      <c r="T7" s="22">
        <f>IFERROR(__xludf.DUMMYFUNCTION("IFERROR(if(ISBLANK(Q7),"" "",GOOGLEFINANCE(P7,""changepct"")), """")"),-0.12)</f>
        <v>-0.12</v>
      </c>
      <c r="U7" s="28"/>
      <c r="V7" s="18" t="s">
        <v>161</v>
      </c>
      <c r="W7" s="38" t="s">
        <v>158</v>
      </c>
      <c r="X7" s="39" t="str">
        <f>IFERROR(__xludf.DUMMYFUNCTION("IFERROR(if(ISBLANK(W7),"" "",GOOGLEFINANCE(V7,""Name"")), """")"),"ITI Ltd")</f>
        <v>ITI Ltd</v>
      </c>
      <c r="Y7" s="21">
        <f>IFERROR(__xludf.DUMMYFUNCTION("IFERROR(if(ISBLANK(W7),"" "",GOOGLEFINANCE(V7,""price"")), """")"),283.0)</f>
        <v>283</v>
      </c>
      <c r="Z7" s="23">
        <f>IFERROR(__xludf.DUMMYFUNCTION("IFERROR(if(ISBLANK(W7),"" "",GOOGLEFINANCE(V7,""changepct"")), """")"),-0.88)</f>
        <v>-0.88</v>
      </c>
      <c r="AA7" s="12"/>
      <c r="AB7" s="18" t="s">
        <v>163</v>
      </c>
      <c r="AC7" s="38" t="s">
        <v>158</v>
      </c>
      <c r="AD7" s="39" t="str">
        <f>IFERROR(__xludf.DUMMYFUNCTION("IFERROR(if(ISBLANK(AC7),"" "",GOOGLEFINANCE(AB7,""Name"")), """")"),"Travel Food Services Ltd")</f>
        <v>Travel Food Services Ltd</v>
      </c>
      <c r="AE7" s="21">
        <f>IFERROR(__xludf.DUMMYFUNCTION("IFERROR(if(ISBLANK(AC7),"" "",GOOGLEFINANCE(AB7,""price"")), """")"),1389.2)</f>
        <v>1389.2</v>
      </c>
      <c r="AF7" s="23">
        <f>IFERROR(__xludf.DUMMYFUNCTION("IFERROR(if(ISBLANK(AC7),"" "",GOOGLEFINANCE(AB7,""changepct"")), """")"),0.01)</f>
        <v>0.01</v>
      </c>
      <c r="AG7" s="40"/>
      <c r="AH7" s="27" t="s">
        <v>164</v>
      </c>
      <c r="AI7" s="38" t="s">
        <v>158</v>
      </c>
      <c r="AJ7" s="39" t="str">
        <f>IFERROR(__xludf.DUMMYFUNCTION("IFERROR(if(ISBLANK(AI7),"" "",GOOGLEFINANCE(AH7,""Name"")), """")"),"Engineers India Ltd")</f>
        <v>Engineers India Ltd</v>
      </c>
      <c r="AK7" s="21">
        <f>IFERROR(__xludf.DUMMYFUNCTION("IFERROR(if(ISBLANK(AI7),"" "",GOOGLEFINANCE(AH7,""price"")), """")"),239.0)</f>
        <v>239</v>
      </c>
      <c r="AL7" s="23">
        <f>IFERROR(__xludf.DUMMYFUNCTION("IFERROR(if(ISBLANK(AI7),"" "",GOOGLEFINANCE(AH7,""changepct"")), """")"),-1.64)</f>
        <v>-1.64</v>
      </c>
      <c r="AM7" s="30"/>
      <c r="AN7" s="31" t="s">
        <v>158</v>
      </c>
      <c r="AO7" s="32" t="str">
        <f>IFERROR(__xludf.DUMMYFUNCTION("IFERROR(if(ISBLANK(AN7),"" "",GOOGLEFINANCE(AM7,""Name"")), """")"),"")</f>
        <v/>
      </c>
      <c r="AP7" s="33" t="s">
        <v>165</v>
      </c>
      <c r="AQ7" s="38" t="s">
        <v>158</v>
      </c>
      <c r="AR7" s="39" t="str">
        <f>IFERROR(__xludf.DUMMYFUNCTION("IFERROR(if(ISBLANK(AQ7),"" "",GOOGLEFINANCE(AP7,""Name"")), """")"),"Banco Products (India) Ltd")</f>
        <v>Banco Products (India) Ltd</v>
      </c>
      <c r="AS7" s="21">
        <f>IFERROR(__xludf.DUMMYFUNCTION("IFERROR(if(ISBLANK(AQ7),"" "",GOOGLEFINANCE(AP7,""price"")), """")"),627.05)</f>
        <v>627.05</v>
      </c>
      <c r="AT7" s="23">
        <f>IFERROR(__xludf.DUMMYFUNCTION("IFERROR(if(ISBLANK(AQ7),"" "",GOOGLEFINANCE(AP7,""changepct"")), """")"),-1.07)</f>
        <v>-1.07</v>
      </c>
      <c r="AU7" s="40"/>
      <c r="AV7" s="34" t="s">
        <v>166</v>
      </c>
      <c r="AW7" s="38" t="s">
        <v>158</v>
      </c>
      <c r="AX7" s="39" t="str">
        <f>IFERROR(__xludf.DUMMYFUNCTION("IFERROR(if(ISBLANK(AW7),"" "",GOOGLEFINANCE(AV7,""Name"")), """")"),"Ashapura Minechem Ltd")</f>
        <v>Ashapura Minechem Ltd</v>
      </c>
      <c r="AY7" s="21">
        <f>IFERROR(__xludf.DUMMYFUNCTION("IFERROR(if(ISBLANK(AW7),"" "",GOOGLEFINANCE(AV7,""price"")), """")"),635.05)</f>
        <v>635.05</v>
      </c>
      <c r="AZ7" s="23">
        <f>IFERROR(__xludf.DUMMYFUNCTION("IFERROR(if(ISBLANK(AW7),"" "",GOOGLEFINANCE(AV7,""changepct"")), """")"),-2.59)</f>
        <v>-2.59</v>
      </c>
      <c r="BA7" s="12"/>
      <c r="BB7" s="33" t="s">
        <v>167</v>
      </c>
      <c r="BC7" s="38" t="s">
        <v>158</v>
      </c>
      <c r="BD7" s="39" t="str">
        <f>IFERROR(__xludf.DUMMYFUNCTION("IFERROR(if(ISBLANK(BC7),"" "",GOOGLEFINANCE(BB7,""Name"")), """")"),"Keystone Realtors Ltd")</f>
        <v>Keystone Realtors Ltd</v>
      </c>
      <c r="BE7" s="21">
        <f>IFERROR(__xludf.DUMMYFUNCTION("IFERROR(if(ISBLANK(BC7),"" "",GOOGLEFINANCE(BB7,""price"")), """")"),374.1)</f>
        <v>374.1</v>
      </c>
      <c r="BF7" s="23">
        <f>IFERROR(__xludf.DUMMYFUNCTION("IFERROR(if(ISBLANK(BC7),"" "",GOOGLEFINANCE(BB7,""changepct"")), """")"),1.11)</f>
        <v>1.11</v>
      </c>
      <c r="BG7" s="12"/>
      <c r="BH7" s="35" t="s">
        <v>168</v>
      </c>
      <c r="BI7" s="38" t="s">
        <v>158</v>
      </c>
      <c r="BJ7" s="39" t="str">
        <f>IFERROR(__xludf.DUMMYFUNCTION("IFERROR(if(ISBLANK(BI7),"" "",GOOGLEFINANCE(BH7,""Name"")), """")"),"JTEKT India Ltd")</f>
        <v>JTEKT India Ltd</v>
      </c>
      <c r="BK7" s="21">
        <f>IFERROR(__xludf.DUMMYFUNCTION("IFERROR(if(ISBLANK(BI7),"" "",GOOGLEFINANCE(BH7,""price"")), """")"),139.49)</f>
        <v>139.49</v>
      </c>
      <c r="BL7" s="23">
        <f>IFERROR(__xludf.DUMMYFUNCTION("IFERROR(if(ISBLANK(BI7),"" "",GOOGLEFINANCE(BH7,""changepct"")), """")"),-1.18)</f>
        <v>-1.18</v>
      </c>
      <c r="BM7" s="12"/>
      <c r="BN7" s="33" t="s">
        <v>170</v>
      </c>
      <c r="BO7" s="38" t="s">
        <v>158</v>
      </c>
      <c r="BP7" s="39" t="str">
        <f>IFERROR(__xludf.DUMMYFUNCTION("IFERROR(if(ISBLANK(BO7),"" "",GOOGLEFINANCE(BN7,""Name"")), """")"),"Shankara Buildpro Ltd")</f>
        <v>Shankara Buildpro Ltd</v>
      </c>
      <c r="BQ7" s="21">
        <f>IFERROR(__xludf.DUMMYFUNCTION("IFERROR(if(ISBLANK(BO7),"" "",GOOGLEFINANCE(BN7,""price"")), """")"),1236.4)</f>
        <v>1236.4</v>
      </c>
      <c r="BR7" s="23">
        <f>IFERROR(__xludf.DUMMYFUNCTION("IFERROR(if(ISBLANK(BO7),"" "",GOOGLEFINANCE(BN7,""changepct"")), """")"),-2.65)</f>
        <v>-2.65</v>
      </c>
      <c r="BS7" s="22">
        <f>IFERROR(__xludf.DUMMYFUNCTION("IFERROR(if(ISBLANK($C7),"" "",GOOGLEFINANCE($B7,""change"")), """")"),-106.7)</f>
        <v>-106.7</v>
      </c>
      <c r="BT7" s="36"/>
      <c r="BU7" s="27" t="s">
        <v>171</v>
      </c>
      <c r="BV7" s="38" t="s">
        <v>158</v>
      </c>
      <c r="BW7" s="39" t="str">
        <f>IFERROR(__xludf.DUMMYFUNCTION("IFERROR(if(ISBLANK(BV7),"" "",GOOGLEFINANCE(BU7,""Name"")), """")"),"Repco Home Finance Ltd")</f>
        <v>Repco Home Finance Ltd</v>
      </c>
      <c r="BX7" s="21">
        <f>IFERROR(__xludf.DUMMYFUNCTION("IFERROR(if(ISBLANK(BV7),"" "",GOOGLEFINANCE(BU7,""price"")), """")"),367.15)</f>
        <v>367.15</v>
      </c>
      <c r="BY7" s="23">
        <f>IFERROR(__xludf.DUMMYFUNCTION("IFERROR(if(ISBLANK(BV7),"" "",GOOGLEFINANCE(BU7,""changepct"")), """")"),-2.44)</f>
        <v>-2.44</v>
      </c>
      <c r="BZ7" s="22">
        <f>IFERROR(__xludf.DUMMYFUNCTION("IFERROR(if(ISBLANK($C7),"" "",GOOGLEFINANCE($B7,""change"")), """")"),-106.7)</f>
        <v>-106.7</v>
      </c>
      <c r="CA7" s="37"/>
      <c r="CB7" s="27" t="s">
        <v>172</v>
      </c>
      <c r="CC7" s="38" t="s">
        <v>158</v>
      </c>
      <c r="CD7" s="39" t="str">
        <f>IFERROR(__xludf.DUMMYFUNCTION("IFERROR(if(ISBLANK(CC7),"" "",GOOGLEFINANCE(CB7,""Name"")), """")"),"Simplex Infrastructures Ltd")</f>
        <v>Simplex Infrastructures Ltd</v>
      </c>
      <c r="CE7" s="21">
        <f>IFERROR(__xludf.DUMMYFUNCTION("IFERROR(if(ISBLANK(CC7),"" "",GOOGLEFINANCE(CB7,""price"")), """")"),252.0)</f>
        <v>252</v>
      </c>
      <c r="CF7" s="23">
        <f>IFERROR(__xludf.DUMMYFUNCTION("IFERROR(if(ISBLANK(CC7),"" "",GOOGLEFINANCE(CB7,""changepct"")), """")"),-4.36)</f>
        <v>-4.36</v>
      </c>
      <c r="CG7" s="12"/>
      <c r="CH7" s="18" t="s">
        <v>173</v>
      </c>
      <c r="CI7" s="38" t="s">
        <v>158</v>
      </c>
      <c r="CJ7" s="39" t="str">
        <f>IFERROR(__xludf.DUMMYFUNCTION("IFERROR(if(ISBLANK(CI7),"" "",GOOGLEFINANCE(CH7,""Name"")), """")"),"Chaman Lal Setia Exports Ltd")</f>
        <v>Chaman Lal Setia Exports Ltd</v>
      </c>
      <c r="CK7" s="21">
        <f>IFERROR(__xludf.DUMMYFUNCTION("IFERROR(if(ISBLANK(CI7),"" "",GOOGLEFINANCE(CH7,""price"")), """")"),283.5)</f>
        <v>283.5</v>
      </c>
      <c r="CL7" s="23">
        <f>IFERROR(__xludf.DUMMYFUNCTION("IFERROR(if(ISBLANK(CI7),"" "",GOOGLEFINANCE(CH7,""changepct"")), """")"),2.25)</f>
        <v>2.25</v>
      </c>
      <c r="CM7" s="12"/>
      <c r="CN7" s="33" t="s">
        <v>174</v>
      </c>
      <c r="CO7" s="38" t="s">
        <v>158</v>
      </c>
      <c r="CP7" s="39" t="str">
        <f>IFERROR(__xludf.DUMMYFUNCTION("IFERROR(if(ISBLANK(CO7),"" "",GOOGLEFINANCE(CN7,""Name"")), """")"),"BCL Industries Ltd")</f>
        <v>BCL Industries Ltd</v>
      </c>
      <c r="CQ7" s="21">
        <f>IFERROR(__xludf.DUMMYFUNCTION("IFERROR(if(ISBLANK(CO7),"" "",GOOGLEFINANCE(CN7,""price"")), """")"),38.25)</f>
        <v>38.25</v>
      </c>
      <c r="CR7" s="23">
        <f>IFERROR(__xludf.DUMMYFUNCTION("IFERROR(if(ISBLANK(CO7),"" "",GOOGLEFINANCE(CN7,""changepct"")), """")"),3.16)</f>
        <v>3.16</v>
      </c>
      <c r="CS7" s="40"/>
      <c r="CT7" s="33" t="s">
        <v>175</v>
      </c>
      <c r="CU7" s="38" t="s">
        <v>158</v>
      </c>
      <c r="CV7" s="39" t="str">
        <f>IFERROR(__xludf.DUMMYFUNCTION("IFERROR(if(ISBLANK(CU7),"" "",GOOGLEFINANCE(CT7,""Name"")), """")"),"Sejal Glass Ltd")</f>
        <v>Sejal Glass Ltd</v>
      </c>
      <c r="CW7" s="21">
        <f>IFERROR(__xludf.DUMMYFUNCTION("IFERROR(if(ISBLANK(CU7),"" "",GOOGLEFINANCE(CT7,""price"")), """")"),687.9)</f>
        <v>687.9</v>
      </c>
      <c r="CX7" s="23">
        <f>IFERROR(__xludf.DUMMYFUNCTION("IFERROR(if(ISBLANK(CU7),"" "",GOOGLEFINANCE(CT7,""changepct"")), """")"),-1.67)</f>
        <v>-1.67</v>
      </c>
      <c r="CY7" s="17"/>
      <c r="CZ7" s="33" t="s">
        <v>177</v>
      </c>
      <c r="DA7" s="38" t="s">
        <v>158</v>
      </c>
      <c r="DB7" s="39" t="str">
        <f>IFERROR(__xludf.DUMMYFUNCTION("IFERROR(if(ISBLANK(DA7),"" "",GOOGLEFINANCE(CZ7,""Name"")), """")"),"GTPL Hathway Ltd")</f>
        <v>GTPL Hathway Ltd</v>
      </c>
      <c r="DC7" s="21">
        <f>IFERROR(__xludf.DUMMYFUNCTION("IFERROR(if(ISBLANK(DA7),"" "",GOOGLEFINANCE(CZ7,""price"")), """")"),54.55)</f>
        <v>54.55</v>
      </c>
      <c r="DD7" s="23">
        <f>IFERROR(__xludf.DUMMYFUNCTION("IFERROR(if(ISBLANK(DA7),"" "",GOOGLEFINANCE(CZ7,""changepct"")), """")"),3.79)</f>
        <v>3.79</v>
      </c>
      <c r="DE7" s="40"/>
      <c r="DF7" s="12"/>
    </row>
    <row r="8" ht="11.25" customHeight="1">
      <c r="A8" s="17"/>
      <c r="B8" s="18" t="s">
        <v>178</v>
      </c>
      <c r="C8" s="38" t="s">
        <v>179</v>
      </c>
      <c r="D8" s="39" t="str">
        <f>IFERROR(__xludf.DUMMYFUNCTION("IFERROR(if(ISBLANK(C8),"" "",GOOGLEFINANCE(B8,""Name"")), """")"),"Bajaj Finance Ltd")</f>
        <v>Bajaj Finance Ltd</v>
      </c>
      <c r="E8" s="21">
        <f>IFERROR(__xludf.DUMMYFUNCTION("IFERROR(if(ISBLANK(C8),"" "",GOOGLEFINANCE(B8,""price"")), """")"),1088.0)</f>
        <v>1088</v>
      </c>
      <c r="F8" s="22">
        <f>IFERROR(__xludf.DUMMYFUNCTION("IFERROR(if(ISBLANK(C8),"" "",GOOGLEFINANCE(B8,""changepct"")), """")"),-0.48)</f>
        <v>-0.48</v>
      </c>
      <c r="G8" s="23">
        <f>IFERROR(__xludf.DUMMYFUNCTION("IFERROR(if(ISBLANK($C8),"" "",GOOGLEFINANCE($B8,""change"")), """")"),-5.3)</f>
        <v>-5.3</v>
      </c>
      <c r="H8" s="24"/>
      <c r="I8" s="25" t="s">
        <v>180</v>
      </c>
      <c r="J8" s="38" t="s">
        <v>179</v>
      </c>
      <c r="K8" s="39" t="str">
        <f>IFERROR(__xludf.DUMMYFUNCTION("IFERROR(if(ISBLANK(J8),"" "",GOOGLEFINANCE(I8,""Name"")), """")"),"United Spirits Ltd")</f>
        <v>United Spirits Ltd</v>
      </c>
      <c r="L8" s="21">
        <f>IFERROR(__xludf.DUMMYFUNCTION("IFERROR(if(ISBLANK(J8),"" "",GOOGLEFINANCE(I8,""price"")), """")"),1520.0)</f>
        <v>1520</v>
      </c>
      <c r="M8" s="22">
        <f>IFERROR(__xludf.DUMMYFUNCTION("IFERROR(if(ISBLANK(J8),"" "",GOOGLEFINANCE(I8,""changepct"")), """")"),-1.85)</f>
        <v>-1.85</v>
      </c>
      <c r="N8" s="23">
        <f>IFERROR(__xludf.DUMMYFUNCTION("IFERROR(if(ISBLANK($C8),"" "",GOOGLEFINANCE($B8,""change"")), """")"),-5.3)</f>
        <v>-5.3</v>
      </c>
      <c r="O8" s="26"/>
      <c r="P8" s="27" t="s">
        <v>181</v>
      </c>
      <c r="Q8" s="38" t="s">
        <v>179</v>
      </c>
      <c r="R8" s="39" t="str">
        <f>IFERROR(__xludf.DUMMYFUNCTION("IFERROR(if(ISBLANK(Q8),"" "",GOOGLEFINANCE(P8,""Name"")), """")"),"Balkrishna Industries Ltd")</f>
        <v>Balkrishna Industries Ltd</v>
      </c>
      <c r="S8" s="21">
        <f>IFERROR(__xludf.DUMMYFUNCTION("IFERROR(if(ISBLANK(Q8),"" "",GOOGLEFINANCE(P8,""price"")), """")"),2500.0)</f>
        <v>2500</v>
      </c>
      <c r="T8" s="22">
        <f>IFERROR(__xludf.DUMMYFUNCTION("IFERROR(if(ISBLANK(Q8),"" "",GOOGLEFINANCE(P8,""changepct"")), """")"),0.04)</f>
        <v>0.04</v>
      </c>
      <c r="U8" s="28"/>
      <c r="V8" s="18" t="s">
        <v>182</v>
      </c>
      <c r="W8" s="38" t="s">
        <v>179</v>
      </c>
      <c r="X8" s="39" t="str">
        <f>IFERROR(__xludf.DUMMYFUNCTION("IFERROR(if(ISBLANK(W8),"" "",GOOGLEFINANCE(V8,""Name"")), """")"),"Syrma SGS Technology Ltd")</f>
        <v>Syrma SGS Technology Ltd</v>
      </c>
      <c r="Y8" s="21">
        <f>IFERROR(__xludf.DUMMYFUNCTION("IFERROR(if(ISBLANK(W8),"" "",GOOGLEFINANCE(V8,""price"")), """")"),1479.9)</f>
        <v>1479.9</v>
      </c>
      <c r="Z8" s="23">
        <f>IFERROR(__xludf.DUMMYFUNCTION("IFERROR(if(ISBLANK(W8),"" "",GOOGLEFINANCE(V8,""changepct"")), """")"),-1.0)</f>
        <v>-1</v>
      </c>
      <c r="AA8" s="12"/>
      <c r="AB8" s="18" t="s">
        <v>184</v>
      </c>
      <c r="AC8" s="38" t="s">
        <v>179</v>
      </c>
      <c r="AD8" s="39" t="str">
        <f>IFERROR(__xludf.DUMMYFUNCTION("IFERROR(if(ISBLANK(AC8),"" "",GOOGLEFINANCE(AB8,""Name"")), """")"),"Central Mine Plnning &amp; Dsgn Institut Ltd")</f>
        <v>Central Mine Plnning &amp; Dsgn Institut Ltd</v>
      </c>
      <c r="AE8" s="21">
        <f>IFERROR(__xludf.DUMMYFUNCTION("IFERROR(if(ISBLANK(AC8),"" "",GOOGLEFINANCE(AB8,""price"")), """")"),246.45)</f>
        <v>246.45</v>
      </c>
      <c r="AF8" s="23">
        <f>IFERROR(__xludf.DUMMYFUNCTION("IFERROR(if(ISBLANK(AC8),"" "",GOOGLEFINANCE(AB8,""changepct"")), """")"),-1.46)</f>
        <v>-1.46</v>
      </c>
      <c r="AG8" s="40"/>
      <c r="AH8" s="27" t="s">
        <v>185</v>
      </c>
      <c r="AI8" s="38" t="s">
        <v>179</v>
      </c>
      <c r="AJ8" s="39" t="str">
        <f>IFERROR(__xludf.DUMMYFUNCTION("IFERROR(if(ISBLANK(AI8),"" "",GOOGLEFINANCE(AH8,""Name"")), """")"),"JSW Holdings Ltd")</f>
        <v>JSW Holdings Ltd</v>
      </c>
      <c r="AK8" s="21">
        <f>IFERROR(__xludf.DUMMYFUNCTION("IFERROR(if(ISBLANK(AI8),"" "",GOOGLEFINANCE(AH8,""price"")), """")"),11533.0)</f>
        <v>11533</v>
      </c>
      <c r="AL8" s="23">
        <f>IFERROR(__xludf.DUMMYFUNCTION("IFERROR(if(ISBLANK(AI8),"" "",GOOGLEFINANCE(AH8,""changepct"")), """")"),-3.42)</f>
        <v>-3.42</v>
      </c>
      <c r="AM8" s="30"/>
      <c r="AN8" s="31" t="s">
        <v>179</v>
      </c>
      <c r="AO8" s="32" t="str">
        <f>IFERROR(__xludf.DUMMYFUNCTION("IFERROR(if(ISBLANK(AN8),"" "",GOOGLEFINANCE(AM8,""Name"")), """")"),"")</f>
        <v/>
      </c>
      <c r="AP8" s="33" t="s">
        <v>186</v>
      </c>
      <c r="AQ8" s="38" t="s">
        <v>179</v>
      </c>
      <c r="AR8" s="39" t="str">
        <f>IFERROR(__xludf.DUMMYFUNCTION("IFERROR(if(ISBLANK(AQ8),"" "",GOOGLEFINANCE(AP8,""Name"")), """")"),"P N Gadgil Jewellers Ltd")</f>
        <v>P N Gadgil Jewellers Ltd</v>
      </c>
      <c r="AS8" s="21">
        <f>IFERROR(__xludf.DUMMYFUNCTION("IFERROR(if(ISBLANK(AQ8),"" "",GOOGLEFINANCE(AP8,""price"")), """")"),615.55)</f>
        <v>615.55</v>
      </c>
      <c r="AT8" s="23">
        <f>IFERROR(__xludf.DUMMYFUNCTION("IFERROR(if(ISBLANK(AQ8),"" "",GOOGLEFINANCE(AP8,""changepct"")), """")"),-2.36)</f>
        <v>-2.36</v>
      </c>
      <c r="AU8" s="40"/>
      <c r="AV8" s="34" t="s">
        <v>187</v>
      </c>
      <c r="AW8" s="38" t="s">
        <v>179</v>
      </c>
      <c r="AX8" s="39" t="str">
        <f>IFERROR(__xludf.DUMMYFUNCTION("IFERROR(if(ISBLANK(AW8),"" "",GOOGLEFINANCE(AV8,""Name"")), """")"),"Powerica Ltd")</f>
        <v>Powerica Ltd</v>
      </c>
      <c r="AY8" s="21">
        <f>IFERROR(__xludf.DUMMYFUNCTION("IFERROR(if(ISBLANK(AW8),"" "",GOOGLEFINANCE(AV8,""price"")), """")"),561.5)</f>
        <v>561.5</v>
      </c>
      <c r="AZ8" s="23">
        <f>IFERROR(__xludf.DUMMYFUNCTION("IFERROR(if(ISBLANK(AW8),"" "",GOOGLEFINANCE(AV8,""changepct"")), """")"),6.27)</f>
        <v>6.27</v>
      </c>
      <c r="BA8" s="12"/>
      <c r="BB8" s="33" t="s">
        <v>188</v>
      </c>
      <c r="BC8" s="38" t="s">
        <v>179</v>
      </c>
      <c r="BD8" s="39" t="str">
        <f>IFERROR(__xludf.DUMMYFUNCTION("IFERROR(if(ISBLANK(BC8),"" "",GOOGLEFINANCE(BB8,""Name"")), """")"),"Goodluck India Ltd")</f>
        <v>Goodluck India Ltd</v>
      </c>
      <c r="BE8" s="21">
        <f>IFERROR(__xludf.DUMMYFUNCTION("IFERROR(if(ISBLANK(BC8),"" "",GOOGLEFINANCE(BB8,""price"")), """")"),1304.0)</f>
        <v>1304</v>
      </c>
      <c r="BF8" s="23">
        <f>IFERROR(__xludf.DUMMYFUNCTION("IFERROR(if(ISBLANK(BC8),"" "",GOOGLEFINANCE(BB8,""changepct"")), """")"),-1.99)</f>
        <v>-1.99</v>
      </c>
      <c r="BG8" s="12"/>
      <c r="BH8" s="35" t="s">
        <v>189</v>
      </c>
      <c r="BI8" s="38" t="s">
        <v>179</v>
      </c>
      <c r="BJ8" s="39" t="str">
        <f>IFERROR(__xludf.DUMMYFUNCTION("IFERROR(if(ISBLANK(BI8),"" "",GOOGLEFINANCE(BH8,""Name"")), """")"),"Gujarat Themis Biosyn Ltd")</f>
        <v>Gujarat Themis Biosyn Ltd</v>
      </c>
      <c r="BK8" s="21">
        <f>IFERROR(__xludf.DUMMYFUNCTION("IFERROR(if(ISBLANK(BI8),"" "",GOOGLEFINANCE(BH8,""price"")), """")"),353.0)</f>
        <v>353</v>
      </c>
      <c r="BL8" s="23">
        <f>IFERROR(__xludf.DUMMYFUNCTION("IFERROR(if(ISBLANK(BI8),"" "",GOOGLEFINANCE(BH8,""changepct"")), """")"),-2.5)</f>
        <v>-2.5</v>
      </c>
      <c r="BM8" s="12"/>
      <c r="BN8" s="33" t="s">
        <v>191</v>
      </c>
      <c r="BO8" s="38" t="s">
        <v>179</v>
      </c>
      <c r="BP8" s="39" t="str">
        <f>IFERROR(__xludf.DUMMYFUNCTION("IFERROR(if(ISBLANK(BO8),"" "",GOOGLEFINANCE(BN8,""Name"")), """")"),"TVS Srichakra Ltd")</f>
        <v>TVS Srichakra Ltd</v>
      </c>
      <c r="BQ8" s="21">
        <f>IFERROR(__xludf.DUMMYFUNCTION("IFERROR(if(ISBLANK(BO8),"" "",GOOGLEFINANCE(BN8,""price"")), """")"),3862.6)</f>
        <v>3862.6</v>
      </c>
      <c r="BR8" s="23">
        <f>IFERROR(__xludf.DUMMYFUNCTION("IFERROR(if(ISBLANK(BO8),"" "",GOOGLEFINANCE(BN8,""changepct"")), """")"),-2.08)</f>
        <v>-2.08</v>
      </c>
      <c r="BS8" s="22">
        <f>IFERROR(__xludf.DUMMYFUNCTION("IFERROR(if(ISBLANK($C8),"" "",GOOGLEFINANCE($B8,""change"")), """")"),-5.3)</f>
        <v>-5.3</v>
      </c>
      <c r="BT8" s="36"/>
      <c r="BU8" s="27" t="s">
        <v>192</v>
      </c>
      <c r="BV8" s="38" t="s">
        <v>179</v>
      </c>
      <c r="BW8" s="39" t="str">
        <f>IFERROR(__xludf.DUMMYFUNCTION("IFERROR(if(ISBLANK(BV8),"" "",GOOGLEFINANCE(BU8,""Name"")), """")"),"Easy Trip Planners Ltd")</f>
        <v>Easy Trip Planners Ltd</v>
      </c>
      <c r="BX8" s="21">
        <f>IFERROR(__xludf.DUMMYFUNCTION("IFERROR(if(ISBLANK(BV8),"" "",GOOGLEFINANCE(BU8,""price"")), """")"),6.49)</f>
        <v>6.49</v>
      </c>
      <c r="BY8" s="23">
        <f>IFERROR(__xludf.DUMMYFUNCTION("IFERROR(if(ISBLANK(BV8),"" "",GOOGLEFINANCE(BU8,""changepct"")), """")"),-1.37)</f>
        <v>-1.37</v>
      </c>
      <c r="BZ8" s="22">
        <f>IFERROR(__xludf.DUMMYFUNCTION("IFERROR(if(ISBLANK($C8),"" "",GOOGLEFINANCE($B8,""change"")), """")"),-5.3)</f>
        <v>-5.3</v>
      </c>
      <c r="CA8" s="37"/>
      <c r="CB8" s="27" t="s">
        <v>193</v>
      </c>
      <c r="CC8" s="38" t="s">
        <v>179</v>
      </c>
      <c r="CD8" s="39" t="str">
        <f>IFERROR(__xludf.DUMMYFUNCTION("IFERROR(if(ISBLANK(CC8),"" "",GOOGLEFINANCE(CB8,""Name"")), """")"),"Insecticides (India) Ltd")</f>
        <v>Insecticides (India) Ltd</v>
      </c>
      <c r="CE8" s="21">
        <f>IFERROR(__xludf.DUMMYFUNCTION("IFERROR(if(ISBLANK(CC8),"" "",GOOGLEFINANCE(CB8,""price"")), """")"),632.0)</f>
        <v>632</v>
      </c>
      <c r="CF8" s="23">
        <f>IFERROR(__xludf.DUMMYFUNCTION("IFERROR(if(ISBLANK(CC8),"" "",GOOGLEFINANCE(CB8,""changepct"")), """")"),-0.71)</f>
        <v>-0.71</v>
      </c>
      <c r="CG8" s="12"/>
      <c r="CH8" s="18" t="s">
        <v>194</v>
      </c>
      <c r="CI8" s="38" t="s">
        <v>179</v>
      </c>
      <c r="CJ8" s="39" t="str">
        <f>IFERROR(__xludf.DUMMYFUNCTION("IFERROR(if(ISBLANK(CI8),"" "",GOOGLEFINANCE(CH8,""Name"")), """")"),"Punjab Chemicals and Crop Protection Ltd")</f>
        <v>Punjab Chemicals and Crop Protection Ltd</v>
      </c>
      <c r="CK8" s="21">
        <f>IFERROR(__xludf.DUMMYFUNCTION("IFERROR(if(ISBLANK(CI8),"" "",GOOGLEFINANCE(CH8,""price"")), """")"),1090.0)</f>
        <v>1090</v>
      </c>
      <c r="CL8" s="23">
        <f>IFERROR(__xludf.DUMMYFUNCTION("IFERROR(if(ISBLANK(CI8),"" "",GOOGLEFINANCE(CH8,""changepct"")), """")"),-1.27)</f>
        <v>-1.27</v>
      </c>
      <c r="CM8" s="12"/>
      <c r="CN8" s="33" t="s">
        <v>196</v>
      </c>
      <c r="CO8" s="38" t="s">
        <v>179</v>
      </c>
      <c r="CP8" s="39" t="str">
        <f>IFERROR(__xludf.DUMMYFUNCTION("IFERROR(if(ISBLANK(CO8),"" "",GOOGLEFINANCE(CN8,""Name"")), """")"),"Monte Carlo Fashions Ltd")</f>
        <v>Monte Carlo Fashions Ltd</v>
      </c>
      <c r="CQ8" s="21">
        <f>IFERROR(__xludf.DUMMYFUNCTION("IFERROR(if(ISBLANK(CO8),"" "",GOOGLEFINANCE(CN8,""price"")), """")"),500.0)</f>
        <v>500</v>
      </c>
      <c r="CR8" s="23">
        <f>IFERROR(__xludf.DUMMYFUNCTION("IFERROR(if(ISBLANK(CO8),"" "",GOOGLEFINANCE(CN8,""changepct"")), """")"),-0.82)</f>
        <v>-0.82</v>
      </c>
      <c r="CS8" s="40"/>
      <c r="CT8" s="33" t="s">
        <v>197</v>
      </c>
      <c r="CU8" s="38" t="s">
        <v>179</v>
      </c>
      <c r="CV8" s="39" t="str">
        <f>IFERROR(__xludf.DUMMYFUNCTION("IFERROR(if(ISBLANK(CU8),"" "",GOOGLEFINANCE(CT8,""Name"")), """")"),"Om Infra Ltd")</f>
        <v>Om Infra Ltd</v>
      </c>
      <c r="CW8" s="21">
        <f>IFERROR(__xludf.DUMMYFUNCTION("IFERROR(if(ISBLANK(CU8),"" "",GOOGLEFINANCE(CT8,""price"")), """")"),88.3)</f>
        <v>88.3</v>
      </c>
      <c r="CX8" s="23">
        <f>IFERROR(__xludf.DUMMYFUNCTION("IFERROR(if(ISBLANK(CU8),"" "",GOOGLEFINANCE(CT8,""changepct"")), """")"),2.36)</f>
        <v>2.36</v>
      </c>
      <c r="CY8" s="17"/>
      <c r="CZ8" s="33" t="s">
        <v>198</v>
      </c>
      <c r="DA8" s="38" t="s">
        <v>179</v>
      </c>
      <c r="DB8" s="39" t="str">
        <f>IFERROR(__xludf.DUMMYFUNCTION("IFERROR(if(ISBLANK(DA8),"" "",GOOGLEFINANCE(CZ8,""Name"")), """")"),"Saurashtra Cement Ltd")</f>
        <v>Saurashtra Cement Ltd</v>
      </c>
      <c r="DC8" s="21">
        <f>IFERROR(__xludf.DUMMYFUNCTION("IFERROR(if(ISBLANK(DA8),"" "",GOOGLEFINANCE(CZ8,""price"")), """")"),61.05)</f>
        <v>61.05</v>
      </c>
      <c r="DD8" s="23">
        <f>IFERROR(__xludf.DUMMYFUNCTION("IFERROR(if(ISBLANK(DA8),"" "",GOOGLEFINANCE(CZ8,""changepct"")), """")"),0.26)</f>
        <v>0.26</v>
      </c>
      <c r="DE8" s="40"/>
      <c r="DF8" s="12"/>
    </row>
    <row r="9" ht="11.25" customHeight="1">
      <c r="A9" s="17"/>
      <c r="B9" s="18" t="s">
        <v>199</v>
      </c>
      <c r="C9" s="38" t="s">
        <v>200</v>
      </c>
      <c r="D9" s="39" t="str">
        <f>IFERROR(__xludf.DUMMYFUNCTION("IFERROR(if(ISBLANK(C9),"" "",GOOGLEFINANCE(B9,""Name"")), """")"),"Larsen and Toubro Ltd")</f>
        <v>Larsen and Toubro Ltd</v>
      </c>
      <c r="E9" s="21">
        <f>IFERROR(__xludf.DUMMYFUNCTION("IFERROR(if(ISBLANK(C9),"" "",GOOGLEFINANCE(B9,""price"")), """")"),4023.0)</f>
        <v>4023</v>
      </c>
      <c r="F9" s="22">
        <f>IFERROR(__xludf.DUMMYFUNCTION("IFERROR(if(ISBLANK(C9),"" "",GOOGLEFINANCE(B9,""changepct"")), """")"),-0.36)</f>
        <v>-0.36</v>
      </c>
      <c r="G9" s="23">
        <f>IFERROR(__xludf.DUMMYFUNCTION("IFERROR(if(ISBLANK($C9),"" "",GOOGLEFINANCE($B9,""change"")), """")"),-14.4)</f>
        <v>-14.4</v>
      </c>
      <c r="H9" s="24"/>
      <c r="I9" s="25" t="s">
        <v>201</v>
      </c>
      <c r="J9" s="38" t="s">
        <v>200</v>
      </c>
      <c r="K9" s="39" t="str">
        <f>IFERROR(__xludf.DUMMYFUNCTION("IFERROR(if(ISBLANK(J9),"" "",GOOGLEFINANCE(I9,""Name"")), """")"),"Godrej Consumer Products Limited")</f>
        <v>Godrej Consumer Products Limited</v>
      </c>
      <c r="L9" s="21">
        <f>IFERROR(__xludf.DUMMYFUNCTION("IFERROR(if(ISBLANK(J9),"" "",GOOGLEFINANCE(I9,""price"")), """")"),910.0)</f>
        <v>910</v>
      </c>
      <c r="M9" s="22">
        <f>IFERROR(__xludf.DUMMYFUNCTION("IFERROR(if(ISBLANK(J9),"" "",GOOGLEFINANCE(I9,""changepct"")), """")"),-11.22)</f>
        <v>-11.22</v>
      </c>
      <c r="N9" s="23">
        <f>IFERROR(__xludf.DUMMYFUNCTION("IFERROR(if(ISBLANK($C9),"" "",GOOGLEFINANCE($B9,""change"")), """")"),-14.4)</f>
        <v>-14.4</v>
      </c>
      <c r="O9" s="26"/>
      <c r="P9" s="27" t="s">
        <v>202</v>
      </c>
      <c r="Q9" s="38" t="s">
        <v>200</v>
      </c>
      <c r="R9" s="39" t="str">
        <f>IFERROR(__xludf.DUMMYFUNCTION("IFERROR(if(ISBLANK(Q9),"" "",GOOGLEFINANCE(P9,""Name"")), """")"),"KEI Industries Ltd")</f>
        <v>KEI Industries Ltd</v>
      </c>
      <c r="S9" s="21">
        <f>IFERROR(__xludf.DUMMYFUNCTION("IFERROR(if(ISBLANK(Q9),"" "",GOOGLEFINANCE(P9,""price"")), """")"),5720.0)</f>
        <v>5720</v>
      </c>
      <c r="T9" s="22">
        <f>IFERROR(__xludf.DUMMYFUNCTION("IFERROR(if(ISBLANK(Q9),"" "",GOOGLEFINANCE(P9,""changepct"")), """")"),1.33)</f>
        <v>1.33</v>
      </c>
      <c r="U9" s="28"/>
      <c r="V9" s="18" t="s">
        <v>204</v>
      </c>
      <c r="W9" s="38" t="s">
        <v>200</v>
      </c>
      <c r="X9" s="39" t="str">
        <f>IFERROR(__xludf.DUMMYFUNCTION("IFERROR(if(ISBLANK(W9),"" "",GOOGLEFINANCE(V9,""Name"")), """")"),"Amber Enterprises India Ltd")</f>
        <v>Amber Enterprises India Ltd</v>
      </c>
      <c r="Y9" s="21">
        <f>IFERROR(__xludf.DUMMYFUNCTION("IFERROR(if(ISBLANK(W9),"" "",GOOGLEFINANCE(V9,""price"")), """")"),6988.0)</f>
        <v>6988</v>
      </c>
      <c r="Z9" s="23">
        <f>IFERROR(__xludf.DUMMYFUNCTION("IFERROR(if(ISBLANK(W9),"" "",GOOGLEFINANCE(V9,""changepct"")), """")"),-1.28)</f>
        <v>-1.28</v>
      </c>
      <c r="AA9" s="12"/>
      <c r="AB9" s="18" t="s">
        <v>205</v>
      </c>
      <c r="AC9" s="38" t="s">
        <v>200</v>
      </c>
      <c r="AD9" s="39" t="str">
        <f>IFERROR(__xludf.DUMMYFUNCTION("IFERROR(if(ISBLANK(AC9),"" "",GOOGLEFINANCE(AB9,""Name"")), """")"),"Vardhman Textiles Ltd")</f>
        <v>Vardhman Textiles Ltd</v>
      </c>
      <c r="AE9" s="21">
        <f>IFERROR(__xludf.DUMMYFUNCTION("IFERROR(if(ISBLANK(AC9),"" "",GOOGLEFINANCE(AB9,""price"")), """")"),590.0)</f>
        <v>590</v>
      </c>
      <c r="AF9" s="23">
        <f>IFERROR(__xludf.DUMMYFUNCTION("IFERROR(if(ISBLANK(AC9),"" "",GOOGLEFINANCE(AB9,""changepct"")), """")"),-1.01)</f>
        <v>-1.01</v>
      </c>
      <c r="AG9" s="40"/>
      <c r="AH9" s="27" t="s">
        <v>206</v>
      </c>
      <c r="AI9" s="38" t="s">
        <v>200</v>
      </c>
      <c r="AJ9" s="39" t="str">
        <f>IFERROR(__xludf.DUMMYFUNCTION("IFERROR(if(ISBLANK(AI9),"" "",GOOGLEFINANCE(AH9,""Name"")), """")"),"KEC International Ltd")</f>
        <v>KEC International Ltd</v>
      </c>
      <c r="AK9" s="21">
        <f>IFERROR(__xludf.DUMMYFUNCTION("IFERROR(if(ISBLANK(AI9),"" "",GOOGLEFINANCE(AH9,""price"")), """")"),443.0)</f>
        <v>443</v>
      </c>
      <c r="AL9" s="23">
        <f>IFERROR(__xludf.DUMMYFUNCTION("IFERROR(if(ISBLANK(AI9),"" "",GOOGLEFINANCE(AH9,""changepct"")), """")"),-1.72)</f>
        <v>-1.72</v>
      </c>
      <c r="AM9" s="30"/>
      <c r="AN9" s="31" t="s">
        <v>200</v>
      </c>
      <c r="AO9" s="32" t="str">
        <f>IFERROR(__xludf.DUMMYFUNCTION("IFERROR(if(ISBLANK(AN9),"" "",GOOGLEFINANCE(AM9,""Name"")), """")"),"")</f>
        <v/>
      </c>
      <c r="AP9" s="33" t="s">
        <v>207</v>
      </c>
      <c r="AQ9" s="38" t="s">
        <v>200</v>
      </c>
      <c r="AR9" s="39" t="str">
        <f>IFERROR(__xludf.DUMMYFUNCTION("IFERROR(if(ISBLANK(AQ9),"" "",GOOGLEFINANCE(AP9,""Name"")), """")"),"Sonata Software Ltd")</f>
        <v>Sonata Software Ltd</v>
      </c>
      <c r="AS9" s="21">
        <f>IFERROR(__xludf.DUMMYFUNCTION("IFERROR(if(ISBLANK(AQ9),"" "",GOOGLEFINANCE(AP9,""price"")), """")"),322.45)</f>
        <v>322.45</v>
      </c>
      <c r="AT9" s="23">
        <f>IFERROR(__xludf.DUMMYFUNCTION("IFERROR(if(ISBLANK(AQ9),"" "",GOOGLEFINANCE(AP9,""changepct"")), """")"),-3.43)</f>
        <v>-3.43</v>
      </c>
      <c r="AU9" s="40"/>
      <c r="AV9" s="34" t="s">
        <v>209</v>
      </c>
      <c r="AW9" s="38" t="s">
        <v>200</v>
      </c>
      <c r="AX9" s="39" t="str">
        <f>IFERROR(__xludf.DUMMYFUNCTION("IFERROR(if(ISBLANK(AW9),"" "",GOOGLEFINANCE(AV9,""Name"")), """")"),"Sun Pharma Advanced Research Co Ltd")</f>
        <v>Sun Pharma Advanced Research Co Ltd</v>
      </c>
      <c r="AY9" s="21">
        <f>IFERROR(__xludf.DUMMYFUNCTION("IFERROR(if(ISBLANK(AW9),"" "",GOOGLEFINANCE(AV9,""price"")), """")"),202.1)</f>
        <v>202.1</v>
      </c>
      <c r="AZ9" s="23">
        <f>IFERROR(__xludf.DUMMYFUNCTION("IFERROR(if(ISBLANK(AW9),"" "",GOOGLEFINANCE(AV9,""changepct"")), """")"),-1.54)</f>
        <v>-1.54</v>
      </c>
      <c r="BA9" s="12"/>
      <c r="BB9" s="33" t="s">
        <v>210</v>
      </c>
      <c r="BC9" s="38" t="s">
        <v>200</v>
      </c>
      <c r="BD9" s="39" t="str">
        <f>IFERROR(__xludf.DUMMYFUNCTION("IFERROR(if(ISBLANK(BC9),"" "",GOOGLEFINANCE(BB9,""Name"")), """")"),"Electronics Mart India Ltd")</f>
        <v>Electronics Mart India Ltd</v>
      </c>
      <c r="BE9" s="21">
        <f>IFERROR(__xludf.DUMMYFUNCTION("IFERROR(if(ISBLANK(BC9),"" "",GOOGLEFINANCE(BB9,""price"")), """")"),193.0)</f>
        <v>193</v>
      </c>
      <c r="BF9" s="23">
        <f>IFERROR(__xludf.DUMMYFUNCTION("IFERROR(if(ISBLANK(BC9),"" "",GOOGLEFINANCE(BB9,""changepct"")), """")"),4.47)</f>
        <v>4.47</v>
      </c>
      <c r="BG9" s="12"/>
      <c r="BH9" s="35" t="s">
        <v>211</v>
      </c>
      <c r="BI9" s="38" t="s">
        <v>200</v>
      </c>
      <c r="BJ9" s="39" t="str">
        <f>IFERROR(__xludf.DUMMYFUNCTION("IFERROR(if(ISBLANK(BI9),"" "",GOOGLEFINANCE(BH9,""Name"")), """")"),"Share India Securities Ltd")</f>
        <v>Share India Securities Ltd</v>
      </c>
      <c r="BK9" s="21">
        <f>IFERROR(__xludf.DUMMYFUNCTION("IFERROR(if(ISBLANK(BI9),"" "",GOOGLEFINANCE(BH9,""price"")), """")"),165.3)</f>
        <v>165.3</v>
      </c>
      <c r="BL9" s="23">
        <f>IFERROR(__xludf.DUMMYFUNCTION("IFERROR(if(ISBLANK(BI9),"" "",GOOGLEFINANCE(BH9,""changepct"")), """")"),-1.35)</f>
        <v>-1.35</v>
      </c>
      <c r="BM9" s="12"/>
      <c r="BN9" s="33" t="s">
        <v>212</v>
      </c>
      <c r="BO9" s="38" t="s">
        <v>200</v>
      </c>
      <c r="BP9" s="39" t="str">
        <f>IFERROR(__xludf.DUMMYFUNCTION("IFERROR(if(ISBLANK(BO9),"" "",GOOGLEFINANCE(BN9,""Name"")), """")"),"D P Abhushan Ltd")</f>
        <v>D P Abhushan Ltd</v>
      </c>
      <c r="BQ9" s="21">
        <f>IFERROR(__xludf.DUMMYFUNCTION("IFERROR(if(ISBLANK(BO9),"" "",GOOGLEFINANCE(BN9,""price"")), """")"),1421.1)</f>
        <v>1421.1</v>
      </c>
      <c r="BR9" s="23">
        <f>IFERROR(__xludf.DUMMYFUNCTION("IFERROR(if(ISBLANK(BO9),"" "",GOOGLEFINANCE(BN9,""changepct"")), """")"),-3.12)</f>
        <v>-3.12</v>
      </c>
      <c r="BS9" s="22">
        <f>IFERROR(__xludf.DUMMYFUNCTION("IFERROR(if(ISBLANK($C9),"" "",GOOGLEFINANCE($B9,""change"")), """")"),-14.4)</f>
        <v>-14.4</v>
      </c>
      <c r="BT9" s="36"/>
      <c r="BU9" s="27" t="s">
        <v>213</v>
      </c>
      <c r="BV9" s="38" t="s">
        <v>200</v>
      </c>
      <c r="BW9" s="39" t="str">
        <f>IFERROR(__xludf.DUMMYFUNCTION("IFERROR(if(ISBLANK(BV9),"" "",GOOGLEFINANCE(BU9,""Name"")), """")"),"Kalyani Investment Company Ltd")</f>
        <v>Kalyani Investment Company Ltd</v>
      </c>
      <c r="BX9" s="21">
        <f>IFERROR(__xludf.DUMMYFUNCTION("IFERROR(if(ISBLANK(BV9),"" "",GOOGLEFINANCE(BU9,""price"")), """")"),5439.0)</f>
        <v>5439</v>
      </c>
      <c r="BY9" s="23">
        <f>IFERROR(__xludf.DUMMYFUNCTION("IFERROR(if(ISBLANK(BV9),"" "",GOOGLEFINANCE(BU9,""changepct"")), """")"),1.66)</f>
        <v>1.66</v>
      </c>
      <c r="BZ9" s="22">
        <f>IFERROR(__xludf.DUMMYFUNCTION("IFERROR(if(ISBLANK($C9),"" "",GOOGLEFINANCE($B9,""change"")), """")"),-14.4)</f>
        <v>-14.4</v>
      </c>
      <c r="CA9" s="37"/>
      <c r="CB9" s="27" t="s">
        <v>214</v>
      </c>
      <c r="CC9" s="38" t="s">
        <v>200</v>
      </c>
      <c r="CD9" s="39" t="str">
        <f>IFERROR(__xludf.DUMMYFUNCTION("IFERROR(if(ISBLANK(CC9),"" "",GOOGLEFINANCE(CB9,""Name"")), """")"),"Vikran Engineering Ltd")</f>
        <v>Vikran Engineering Ltd</v>
      </c>
      <c r="CE9" s="21">
        <f>IFERROR(__xludf.DUMMYFUNCTION("IFERROR(if(ISBLANK(CC9),"" "",GOOGLEFINANCE(CB9,""price"")), """")"),65.99)</f>
        <v>65.99</v>
      </c>
      <c r="CF9" s="23">
        <f>IFERROR(__xludf.DUMMYFUNCTION("IFERROR(if(ISBLANK(CC9),"" "",GOOGLEFINANCE(CB9,""changepct"")), """")"),-10.39)</f>
        <v>-10.39</v>
      </c>
      <c r="CG9" s="12"/>
      <c r="CH9" s="18" t="s">
        <v>215</v>
      </c>
      <c r="CI9" s="38" t="s">
        <v>200</v>
      </c>
      <c r="CJ9" s="39" t="str">
        <f>IFERROR(__xludf.DUMMYFUNCTION("IFERROR(if(ISBLANK(CI9),"" "",GOOGLEFINANCE(CH9,""Name"")), """")"),"Borosil Scientific Ltd")</f>
        <v>Borosil Scientific Ltd</v>
      </c>
      <c r="CK9" s="21">
        <f>IFERROR(__xludf.DUMMYFUNCTION("IFERROR(if(ISBLANK(CI9),"" "",GOOGLEFINANCE(CH9,""price"")), """")"),134.01)</f>
        <v>134.01</v>
      </c>
      <c r="CL9" s="23">
        <f>IFERROR(__xludf.DUMMYFUNCTION("IFERROR(if(ISBLANK(CI9),"" "",GOOGLEFINANCE(CH9,""changepct"")), """")"),-1.35)</f>
        <v>-1.35</v>
      </c>
      <c r="CM9" s="12"/>
      <c r="CN9" s="33" t="s">
        <v>216</v>
      </c>
      <c r="CO9" s="38" t="s">
        <v>200</v>
      </c>
      <c r="CP9" s="39" t="str">
        <f>IFERROR(__xludf.DUMMYFUNCTION("IFERROR(if(ISBLANK(CO9),"" "",GOOGLEFINANCE(CN9,""Name"")), """")"),"DAM Capital Advisors Ltd")</f>
        <v>DAM Capital Advisors Ltd</v>
      </c>
      <c r="CQ9" s="21">
        <f>IFERROR(__xludf.DUMMYFUNCTION("IFERROR(if(ISBLANK(CO9),"" "",GOOGLEFINANCE(CN9,""price"")), """")"),145.8)</f>
        <v>145.8</v>
      </c>
      <c r="CR9" s="23">
        <f>IFERROR(__xludf.DUMMYFUNCTION("IFERROR(if(ISBLANK(CO9),"" "",GOOGLEFINANCE(CN9,""changepct"")), """")"),-4.32)</f>
        <v>-4.32</v>
      </c>
      <c r="CS9" s="40"/>
      <c r="CT9" s="33" t="s">
        <v>218</v>
      </c>
      <c r="CU9" s="38" t="s">
        <v>200</v>
      </c>
      <c r="CV9" s="39" t="str">
        <f>IFERROR(__xludf.DUMMYFUNCTION("IFERROR(if(ISBLANK(CU9),"" "",GOOGLEFINANCE(CT9,""Name"")), """")"),"Arihant Capital Markets Ltd")</f>
        <v>Arihant Capital Markets Ltd</v>
      </c>
      <c r="CW9" s="21">
        <f>IFERROR(__xludf.DUMMYFUNCTION("IFERROR(if(ISBLANK(CU9),"" "",GOOGLEFINANCE(CT9,""price"")), """")"),74.93)</f>
        <v>74.93</v>
      </c>
      <c r="CX9" s="23">
        <f>IFERROR(__xludf.DUMMYFUNCTION("IFERROR(if(ISBLANK(CU9),"" "",GOOGLEFINANCE(CT9,""changepct"")), """")"),0.23)</f>
        <v>0.23</v>
      </c>
      <c r="CY9" s="17"/>
      <c r="CZ9" s="33" t="s">
        <v>219</v>
      </c>
      <c r="DA9" s="38" t="s">
        <v>200</v>
      </c>
      <c r="DB9" s="39" t="str">
        <f>IFERROR(__xludf.DUMMYFUNCTION("IFERROR(if(ISBLANK(DA9),"" "",GOOGLEFINANCE(CZ9,""Name"")), """")"),"Emkay Global Financial Services Ltd")</f>
        <v>Emkay Global Financial Services Ltd</v>
      </c>
      <c r="DC9" s="21">
        <f>IFERROR(__xludf.DUMMYFUNCTION("IFERROR(if(ISBLANK(DA9),"" "",GOOGLEFINANCE(CZ9,""price"")), """")"),245.02)</f>
        <v>245.02</v>
      </c>
      <c r="DD9" s="23">
        <f>IFERROR(__xludf.DUMMYFUNCTION("IFERROR(if(ISBLANK(DA9),"" "",GOOGLEFINANCE(CZ9,""changepct"")), """")"),2.52)</f>
        <v>2.52</v>
      </c>
      <c r="DE9" s="40"/>
      <c r="DF9" s="12"/>
    </row>
    <row r="10" ht="11.25" customHeight="1">
      <c r="A10" s="17"/>
      <c r="B10" s="18" t="s">
        <v>220</v>
      </c>
      <c r="C10" s="38" t="s">
        <v>221</v>
      </c>
      <c r="D10" s="39" t="str">
        <f>IFERROR(__xludf.DUMMYFUNCTION("IFERROR(if(ISBLANK(C10),"" "",GOOGLEFINANCE(B10,""Name"")), """")"),"Life Insurance Corporation of India")</f>
        <v>Life Insurance Corporation of India</v>
      </c>
      <c r="E10" s="21">
        <f>IFERROR(__xludf.DUMMYFUNCTION("IFERROR(if(ISBLANK(C10),"" "",GOOGLEFINANCE(B10,""price"")), """")"),416.1)</f>
        <v>416.1</v>
      </c>
      <c r="F10" s="22">
        <f>IFERROR(__xludf.DUMMYFUNCTION("IFERROR(if(ISBLANK(C10),"" "",GOOGLEFINANCE(B10,""changepct"")), """")"),2.49)</f>
        <v>2.49</v>
      </c>
      <c r="G10" s="23">
        <f>IFERROR(__xludf.DUMMYFUNCTION("IFERROR(if(ISBLANK($C10),"" "",GOOGLEFINANCE($B10,""change"")), """")"),10.1)</f>
        <v>10.1</v>
      </c>
      <c r="H10" s="24"/>
      <c r="I10" s="25" t="s">
        <v>222</v>
      </c>
      <c r="J10" s="38" t="s">
        <v>221</v>
      </c>
      <c r="K10" s="39" t="str">
        <f>IFERROR(__xludf.DUMMYFUNCTION("IFERROR(if(ISBLANK(J10),"" "",GOOGLEFINANCE(I10,""Name"")), """")"),"Hero Motocorp Ltd")</f>
        <v>Hero Motocorp Ltd</v>
      </c>
      <c r="L10" s="21">
        <f>IFERROR(__xludf.DUMMYFUNCTION("IFERROR(if(ISBLANK(J10),"" "",GOOGLEFINANCE(I10,""price"")), """")"),5872.0)</f>
        <v>5872</v>
      </c>
      <c r="M10" s="22">
        <f>IFERROR(__xludf.DUMMYFUNCTION("IFERROR(if(ISBLANK(J10),"" "",GOOGLEFINANCE(I10,""changepct"")), """")"),0.11)</f>
        <v>0.11</v>
      </c>
      <c r="N10" s="23">
        <f>IFERROR(__xludf.DUMMYFUNCTION("IFERROR(if(ISBLANK($C10),"" "",GOOGLEFINANCE($B10,""change"")), """")"),10.1)</f>
        <v>10.1</v>
      </c>
      <c r="O10" s="26"/>
      <c r="P10" s="27" t="s">
        <v>223</v>
      </c>
      <c r="Q10" s="38" t="s">
        <v>221</v>
      </c>
      <c r="R10" s="39" t="str">
        <f>IFERROR(__xludf.DUMMYFUNCTION("IFERROR(if(ISBLANK(Q10),"" "",GOOGLEFINANCE(P10,""Name"")), """")"),"Hindustan Copper Ltd")</f>
        <v>Hindustan Copper Ltd</v>
      </c>
      <c r="S10" s="21">
        <f>IFERROR(__xludf.DUMMYFUNCTION("IFERROR(if(ISBLANK(Q10),"" "",GOOGLEFINANCE(P10,""price"")), """")"),548.5)</f>
        <v>548.5</v>
      </c>
      <c r="T10" s="22">
        <f>IFERROR(__xludf.DUMMYFUNCTION("IFERROR(if(ISBLANK(Q10),"" "",GOOGLEFINANCE(P10,""changepct"")), """")"),2.85)</f>
        <v>2.85</v>
      </c>
      <c r="U10" s="28"/>
      <c r="V10" s="18" t="s">
        <v>224</v>
      </c>
      <c r="W10" s="38" t="s">
        <v>221</v>
      </c>
      <c r="X10" s="39" t="str">
        <f>IFERROR(__xludf.DUMMYFUNCTION("IFERROR(if(ISBLANK(W10),"" "",GOOGLEFINANCE(V10,""Name"")), """")"),"Piramal Pharma Ltd (Mumbai)")</f>
        <v>Piramal Pharma Ltd (Mumbai)</v>
      </c>
      <c r="Y10" s="21">
        <f>IFERROR(__xludf.DUMMYFUNCTION("IFERROR(if(ISBLANK(W10),"" "",GOOGLEFINANCE(V10,""price"")), """")"),209.4)</f>
        <v>209.4</v>
      </c>
      <c r="Z10" s="23">
        <f>IFERROR(__xludf.DUMMYFUNCTION("IFERROR(if(ISBLANK(W10),"" "",GOOGLEFINANCE(V10,""changepct"")), """")"),-2.24)</f>
        <v>-2.24</v>
      </c>
      <c r="AA10" s="12"/>
      <c r="AB10" s="18" t="s">
        <v>226</v>
      </c>
      <c r="AC10" s="38" t="s">
        <v>221</v>
      </c>
      <c r="AD10" s="39" t="str">
        <f>IFERROR(__xludf.DUMMYFUNCTION("IFERROR(if(ISBLANK(AC10),"" "",GOOGLEFINANCE(AB10,""Name"")), """")"),"Minda Corporation Ltd")</f>
        <v>Minda Corporation Ltd</v>
      </c>
      <c r="AE10" s="21">
        <f>IFERROR(__xludf.DUMMYFUNCTION("IFERROR(if(ISBLANK(AC10),"" "",GOOGLEFINANCE(AB10,""price"")), """")"),736.1)</f>
        <v>736.1</v>
      </c>
      <c r="AF10" s="23">
        <f>IFERROR(__xludf.DUMMYFUNCTION("IFERROR(if(ISBLANK(AC10),"" "",GOOGLEFINANCE(AB10,""changepct"")), """")"),2.03)</f>
        <v>2.03</v>
      </c>
      <c r="AG10" s="40"/>
      <c r="AH10" s="27" t="s">
        <v>227</v>
      </c>
      <c r="AI10" s="38" t="s">
        <v>221</v>
      </c>
      <c r="AJ10" s="39" t="str">
        <f>IFERROR(__xludf.DUMMYFUNCTION("IFERROR(if(ISBLANK(AI10),"" "",GOOGLEFINANCE(AH10,""Name"")), """")"),"Bluestone Jewellery and Lifestyle Ltd")</f>
        <v>Bluestone Jewellery and Lifestyle Ltd</v>
      </c>
      <c r="AK10" s="21">
        <f>IFERROR(__xludf.DUMMYFUNCTION("IFERROR(if(ISBLANK(AI10),"" "",GOOGLEFINANCE(AH10,""price"")), """")"),906.05)</f>
        <v>906.05</v>
      </c>
      <c r="AL10" s="23">
        <f>IFERROR(__xludf.DUMMYFUNCTION("IFERROR(if(ISBLANK(AI10),"" "",GOOGLEFINANCE(AH10,""changepct"")), """")"),8.14)</f>
        <v>8.14</v>
      </c>
      <c r="AM10" s="30"/>
      <c r="AN10" s="31" t="s">
        <v>200</v>
      </c>
      <c r="AO10" s="32" t="str">
        <f>IFERROR(__xludf.DUMMYFUNCTION("IFERROR(if(ISBLANK(AN10),"" "",GOOGLEFINANCE(AM10,""Name"")), """")"),"")</f>
        <v/>
      </c>
      <c r="AP10" s="33" t="s">
        <v>228</v>
      </c>
      <c r="AQ10" s="38" t="s">
        <v>221</v>
      </c>
      <c r="AR10" s="39" t="str">
        <f>IFERROR(__xludf.DUMMYFUNCTION("IFERROR(if(ISBLANK(AQ10),"" "",GOOGLEFINANCE(AP10,""Name"")), """")"),"Vesuvius India Ltd")</f>
        <v>Vesuvius India Ltd</v>
      </c>
      <c r="AS10" s="21">
        <f>IFERROR(__xludf.DUMMYFUNCTION("IFERROR(if(ISBLANK(AQ10),"" "",GOOGLEFINANCE(AP10,""price"")), """")"),453.5)</f>
        <v>453.5</v>
      </c>
      <c r="AT10" s="23">
        <f>IFERROR(__xludf.DUMMYFUNCTION("IFERROR(if(ISBLANK(AQ10),"" "",GOOGLEFINANCE(AP10,""changepct"")), """")"),-0.8)</f>
        <v>-0.8</v>
      </c>
      <c r="AU10" s="40"/>
      <c r="AV10" s="34" t="s">
        <v>229</v>
      </c>
      <c r="AW10" s="38" t="s">
        <v>221</v>
      </c>
      <c r="AX10" s="39" t="str">
        <f>IFERROR(__xludf.DUMMYFUNCTION("IFERROR(if(ISBLANK(AW10),"" "",GOOGLEFINANCE(AV10,""Name"")), """")"),"F D C Ltd")</f>
        <v>F D C Ltd</v>
      </c>
      <c r="AY10" s="21">
        <f>IFERROR(__xludf.DUMMYFUNCTION("IFERROR(if(ISBLANK(AW10),"" "",GOOGLEFINANCE(AV10,""price"")), """")"),354.75)</f>
        <v>354.75</v>
      </c>
      <c r="AZ10" s="23">
        <f>IFERROR(__xludf.DUMMYFUNCTION("IFERROR(if(ISBLANK(AW10),"" "",GOOGLEFINANCE(AV10,""changepct"")), """")"),-1.7)</f>
        <v>-1.7</v>
      </c>
      <c r="BA10" s="12"/>
      <c r="BB10" s="33" t="s">
        <v>230</v>
      </c>
      <c r="BC10" s="38" t="s">
        <v>221</v>
      </c>
      <c r="BD10" s="39" t="str">
        <f>IFERROR(__xludf.DUMMYFUNCTION("IFERROR(if(ISBLANK(BC10),"" "",GOOGLEFINANCE(BB10,""Name"")), """")"),"Orchid Pharma Ltd")</f>
        <v>Orchid Pharma Ltd</v>
      </c>
      <c r="BE10" s="21">
        <f>IFERROR(__xludf.DUMMYFUNCTION("IFERROR(if(ISBLANK(BC10),"" "",GOOGLEFINANCE(BB10,""price"")), """")"),1065.2)</f>
        <v>1065.2</v>
      </c>
      <c r="BF10" s="23">
        <f>IFERROR(__xludf.DUMMYFUNCTION("IFERROR(if(ISBLANK(BC10),"" "",GOOGLEFINANCE(BB10,""changepct"")), """")"),-1.24)</f>
        <v>-1.24</v>
      </c>
      <c r="BG10" s="12"/>
      <c r="BH10" s="35" t="s">
        <v>231</v>
      </c>
      <c r="BI10" s="38" t="s">
        <v>221</v>
      </c>
      <c r="BJ10" s="39" t="str">
        <f>IFERROR(__xludf.DUMMYFUNCTION("IFERROR(if(ISBLANK(BI10),"" "",GOOGLEFINANCE(BH10,""Name"")), """")"),"Deccan Gold Mines Ltd")</f>
        <v>Deccan Gold Mines Ltd</v>
      </c>
      <c r="BK10" s="21">
        <f>IFERROR(__xludf.DUMMYFUNCTION("IFERROR(if(ISBLANK(BI10),"" "",GOOGLEFINANCE(BH10,""price"")), """")"),219.0)</f>
        <v>219</v>
      </c>
      <c r="BL10" s="23">
        <f>IFERROR(__xludf.DUMMYFUNCTION("IFERROR(if(ISBLANK(BI10),"" "",GOOGLEFINANCE(BH10,""changepct"")), """")"),-1.04)</f>
        <v>-1.04</v>
      </c>
      <c r="BM10" s="12"/>
      <c r="BN10" s="33" t="s">
        <v>232</v>
      </c>
      <c r="BO10" s="38" t="s">
        <v>221</v>
      </c>
      <c r="BP10" s="39" t="str">
        <f>IFERROR(__xludf.DUMMYFUNCTION("IFERROR(if(ISBLANK(BO10),"" "",GOOGLEFINANCE(BN10,""Name"")), """")"),"Elpro International Ltd")</f>
        <v>Elpro International Ltd</v>
      </c>
      <c r="BQ10" s="21">
        <f>IFERROR(__xludf.DUMMYFUNCTION("IFERROR(if(ISBLANK(BO10),"" "",GOOGLEFINANCE(BN10,""price"")), """")"),174.37)</f>
        <v>174.37</v>
      </c>
      <c r="BR10" s="23">
        <f>IFERROR(__xludf.DUMMYFUNCTION("IFERROR(if(ISBLANK(BO10),"" "",GOOGLEFINANCE(BN10,""changepct"")), """")"),-0.27)</f>
        <v>-0.27</v>
      </c>
      <c r="BS10" s="22">
        <f>IFERROR(__xludf.DUMMYFUNCTION("IFERROR(if(ISBLANK($C10),"" "",GOOGLEFINANCE($B10,""change"")), """")"),10.1)</f>
        <v>10.1</v>
      </c>
      <c r="BT10" s="36"/>
      <c r="BU10" s="27" t="s">
        <v>234</v>
      </c>
      <c r="BV10" s="38" t="s">
        <v>221</v>
      </c>
      <c r="BW10" s="39" t="str">
        <f>IFERROR(__xludf.DUMMYFUNCTION("IFERROR(if(ISBLANK(BV10),"" "",GOOGLEFINANCE(BU10,""Name"")), """")"),"Orissa Minerals Development Company Ltd")</f>
        <v>Orissa Minerals Development Company Ltd</v>
      </c>
      <c r="BX10" s="21">
        <f>IFERROR(__xludf.DUMMYFUNCTION("IFERROR(if(ISBLANK(BV10),"" "",GOOGLEFINANCE(BU10,""price"")), """")"),4914.0)</f>
        <v>4914</v>
      </c>
      <c r="BY10" s="23">
        <f>IFERROR(__xludf.DUMMYFUNCTION("IFERROR(if(ISBLANK(BV10),"" "",GOOGLEFINANCE(BU10,""changepct"")), """")"),9.08)</f>
        <v>9.08</v>
      </c>
      <c r="BZ10" s="22">
        <f>IFERROR(__xludf.DUMMYFUNCTION("IFERROR(if(ISBLANK($C10),"" "",GOOGLEFINANCE($B10,""change"")), """")"),10.1)</f>
        <v>10.1</v>
      </c>
      <c r="CA10" s="37"/>
      <c r="CB10" s="27" t="s">
        <v>235</v>
      </c>
      <c r="CC10" s="38" t="s">
        <v>221</v>
      </c>
      <c r="CD10" s="39" t="str">
        <f>IFERROR(__xludf.DUMMYFUNCTION("IFERROR(if(ISBLANK(CC10),"" "",GOOGLEFINANCE(CB10,""Name"")), """")"),"GRM Overseas Ltd")</f>
        <v>GRM Overseas Ltd</v>
      </c>
      <c r="CE10" s="21">
        <f>IFERROR(__xludf.DUMMYFUNCTION("IFERROR(if(ISBLANK(CC10),"" "",GOOGLEFINANCE(CB10,""price"")), """")"),90.87)</f>
        <v>90.87</v>
      </c>
      <c r="CF10" s="23">
        <f>IFERROR(__xludf.DUMMYFUNCTION("IFERROR(if(ISBLANK(CC10),"" "",GOOGLEFINANCE(CB10,""changepct"")), """")"),-3.52)</f>
        <v>-3.52</v>
      </c>
      <c r="CG10" s="12"/>
      <c r="CH10" s="18" t="s">
        <v>236</v>
      </c>
      <c r="CI10" s="38" t="s">
        <v>221</v>
      </c>
      <c r="CJ10" s="39" t="str">
        <f>IFERROR(__xludf.DUMMYFUNCTION("IFERROR(if(ISBLANK(CI10),"" "",GOOGLEFINANCE(CH10,""Name"")), """")"),"Gala Precision Engineering Ltd")</f>
        <v>Gala Precision Engineering Ltd</v>
      </c>
      <c r="CK10" s="21">
        <f>IFERROR(__xludf.DUMMYFUNCTION("IFERROR(if(ISBLANK(CI10),"" "",GOOGLEFINANCE(CH10,""price"")), """")"),989.3)</f>
        <v>989.3</v>
      </c>
      <c r="CL10" s="23">
        <f>IFERROR(__xludf.DUMMYFUNCTION("IFERROR(if(ISBLANK(CI10),"" "",GOOGLEFINANCE(CH10,""changepct"")), """")"),-1.7)</f>
        <v>-1.7</v>
      </c>
      <c r="CM10" s="12"/>
      <c r="CN10" s="33" t="s">
        <v>237</v>
      </c>
      <c r="CO10" s="38" t="s">
        <v>221</v>
      </c>
      <c r="CP10" s="39" t="str">
        <f>IFERROR(__xludf.DUMMYFUNCTION("IFERROR(if(ISBLANK(CO10),"" "",GOOGLEFINANCE(CN10,""Name"")), """")"),"Hi-Tech Gears Ltd")</f>
        <v>Hi-Tech Gears Ltd</v>
      </c>
      <c r="CQ10" s="21">
        <f>IFERROR(__xludf.DUMMYFUNCTION("IFERROR(if(ISBLANK(CO10),"" "",GOOGLEFINANCE(CN10,""price"")), """")"),550.0)</f>
        <v>550</v>
      </c>
      <c r="CR10" s="23">
        <f>IFERROR(__xludf.DUMMYFUNCTION("IFERROR(if(ISBLANK(CO10),"" "",GOOGLEFINANCE(CN10,""changepct"")), """")"),0.39)</f>
        <v>0.39</v>
      </c>
      <c r="CS10" s="40"/>
      <c r="CT10" s="33" t="s">
        <v>238</v>
      </c>
      <c r="CU10" s="38" t="s">
        <v>221</v>
      </c>
      <c r="CV10" s="39" t="str">
        <f>IFERROR(__xludf.DUMMYFUNCTION("IFERROR(if(ISBLANK(CU10),"" "",GOOGLEFINANCE(CT10,""Name"")), """")"),"Commercial Syn Bags Ltd")</f>
        <v>Commercial Syn Bags Ltd</v>
      </c>
      <c r="CW10" s="21">
        <f>IFERROR(__xludf.DUMMYFUNCTION("IFERROR(if(ISBLANK(CU10),"" "",GOOGLEFINANCE(CT10,""price"")), """")"),268.3)</f>
        <v>268.3</v>
      </c>
      <c r="CX10" s="23">
        <f>IFERROR(__xludf.DUMMYFUNCTION("IFERROR(if(ISBLANK(CU10),"" "",GOOGLEFINANCE(CT10,""changepct"")), """")"),0.28)</f>
        <v>0.28</v>
      </c>
      <c r="CY10" s="17"/>
      <c r="CZ10" s="33" t="s">
        <v>239</v>
      </c>
      <c r="DA10" s="38" t="s">
        <v>221</v>
      </c>
      <c r="DB10" s="39" t="str">
        <f>IFERROR(__xludf.DUMMYFUNCTION("IFERROR(if(ISBLANK(DA10),"" "",GOOGLEFINANCE(CZ10,""Name"")), """")"),"Ksolves India Ltd")</f>
        <v>Ksolves India Ltd</v>
      </c>
      <c r="DC10" s="21">
        <f>IFERROR(__xludf.DUMMYFUNCTION("IFERROR(if(ISBLANK(DA10),"" "",GOOGLEFINANCE(CZ10,""price"")), """")"),272.5)</f>
        <v>272.5</v>
      </c>
      <c r="DD10" s="23">
        <f>IFERROR(__xludf.DUMMYFUNCTION("IFERROR(if(ISBLANK(DA10),"" "",GOOGLEFINANCE(CZ10,""changepct"")), """")"),-0.96)</f>
        <v>-0.96</v>
      </c>
      <c r="DE10" s="40"/>
      <c r="DF10" s="12"/>
    </row>
    <row r="11" ht="11.25" customHeight="1">
      <c r="A11" s="17"/>
      <c r="B11" s="18" t="s">
        <v>240</v>
      </c>
      <c r="C11" s="38" t="s">
        <v>241</v>
      </c>
      <c r="D11" s="39" t="str">
        <f>IFERROR(__xludf.DUMMYFUNCTION("IFERROR(if(ISBLANK(C11),"" "",GOOGLEFINANCE(B11,""Name"")), """")"),"Hindustan Unilever Ltd")</f>
        <v>Hindustan Unilever Ltd</v>
      </c>
      <c r="E11" s="21">
        <f>IFERROR(__xludf.DUMMYFUNCTION("IFERROR(if(ISBLANK(C11),"" "",GOOGLEFINANCE(B11,""price"")), """")"),2056.9)</f>
        <v>2056.9</v>
      </c>
      <c r="F11" s="22">
        <f>IFERROR(__xludf.DUMMYFUNCTION("IFERROR(if(ISBLANK(C11),"" "",GOOGLEFINANCE(B11,""changepct"")), """")"),-0.39)</f>
        <v>-0.39</v>
      </c>
      <c r="G11" s="23">
        <f>IFERROR(__xludf.DUMMYFUNCTION("IFERROR(if(ISBLANK($C11),"" "",GOOGLEFINANCE($B11,""change"")), """")"),-8.0)</f>
        <v>-8</v>
      </c>
      <c r="H11" s="24"/>
      <c r="I11" s="25" t="s">
        <v>243</v>
      </c>
      <c r="J11" s="38" t="s">
        <v>241</v>
      </c>
      <c r="K11" s="39" t="str">
        <f>IFERROR(__xludf.DUMMYFUNCTION("IFERROR(if(ISBLANK(J11),"" "",GOOGLEFINANCE(I11,""Name"")), """")"),"Tata Consumer Products Ltd")</f>
        <v>Tata Consumer Products Ltd</v>
      </c>
      <c r="L11" s="21">
        <f>IFERROR(__xludf.DUMMYFUNCTION("IFERROR(if(ISBLANK(J11),"" "",GOOGLEFINANCE(I11,""price"")), """")"),1060.9)</f>
        <v>1060.9</v>
      </c>
      <c r="M11" s="22">
        <f>IFERROR(__xludf.DUMMYFUNCTION("IFERROR(if(ISBLANK(J11),"" "",GOOGLEFINANCE(I11,""changepct"")), """")"),-1.59)</f>
        <v>-1.59</v>
      </c>
      <c r="N11" s="23">
        <f>IFERROR(__xludf.DUMMYFUNCTION("IFERROR(if(ISBLANK($C11),"" "",GOOGLEFINANCE($B11,""change"")), """")"),-8.0)</f>
        <v>-8</v>
      </c>
      <c r="O11" s="26"/>
      <c r="P11" s="27" t="s">
        <v>244</v>
      </c>
      <c r="Q11" s="38" t="s">
        <v>241</v>
      </c>
      <c r="R11" s="39" t="str">
        <f>IFERROR(__xludf.DUMMYFUNCTION("IFERROR(if(ISBLANK(Q11),"" "",GOOGLEFINANCE(P11,""Name"")), """")"),"Rail Vikas Nigam Ltd")</f>
        <v>Rail Vikas Nigam Ltd</v>
      </c>
      <c r="S11" s="21">
        <f>IFERROR(__xludf.DUMMYFUNCTION("IFERROR(if(ISBLANK(Q11),"" "",GOOGLEFINANCE(P11,""price"")), """")"),229.8)</f>
        <v>229.8</v>
      </c>
      <c r="T11" s="22">
        <f>IFERROR(__xludf.DUMMYFUNCTION("IFERROR(if(ISBLANK(Q11),"" "",GOOGLEFINANCE(P11,""changepct"")), """")"),-0.09)</f>
        <v>-0.09</v>
      </c>
      <c r="U11" s="28"/>
      <c r="V11" s="18" t="s">
        <v>245</v>
      </c>
      <c r="W11" s="38" t="s">
        <v>241</v>
      </c>
      <c r="X11" s="39" t="str">
        <f>IFERROR(__xludf.DUMMYFUNCTION("IFERROR(if(ISBLANK(W11),"" "",GOOGLEFINANCE(V11,""Name"")), """")"),"IIFL Finance Ltd")</f>
        <v>IIFL Finance Ltd</v>
      </c>
      <c r="Y11" s="21">
        <f>IFERROR(__xludf.DUMMYFUNCTION("IFERROR(if(ISBLANK(W11),"" "",GOOGLEFINANCE(V11,""price"")), """")"),627.5)</f>
        <v>627.5</v>
      </c>
      <c r="Z11" s="23">
        <f>IFERROR(__xludf.DUMMYFUNCTION("IFERROR(if(ISBLANK(W11),"" "",GOOGLEFINANCE(V11,""changepct"")), """")"),1.33)</f>
        <v>1.33</v>
      </c>
      <c r="AA11" s="12"/>
      <c r="AB11" s="18" t="s">
        <v>246</v>
      </c>
      <c r="AC11" s="38" t="s">
        <v>241</v>
      </c>
      <c r="AD11" s="39" t="str">
        <f>IFERROR(__xludf.DUMMYFUNCTION("IFERROR(if(ISBLANK(AC11),"" "",GOOGLEFINANCE(AB11,""Name"")), """")"),"Crompton Greaves Consumer Electricls Ltd")</f>
        <v>Crompton Greaves Consumer Electricls Ltd</v>
      </c>
      <c r="AE11" s="21">
        <f>IFERROR(__xludf.DUMMYFUNCTION("IFERROR(if(ISBLANK(AC11),"" "",GOOGLEFINANCE(AB11,""price"")), """")"),247.6)</f>
        <v>247.6</v>
      </c>
      <c r="AF11" s="23">
        <f>IFERROR(__xludf.DUMMYFUNCTION("IFERROR(if(ISBLANK(AC11),"" "",GOOGLEFINANCE(AB11,""changepct"")), """")"),0.9)</f>
        <v>0.9</v>
      </c>
      <c r="AG11" s="40"/>
      <c r="AH11" s="27" t="s">
        <v>247</v>
      </c>
      <c r="AI11" s="38" t="s">
        <v>241</v>
      </c>
      <c r="AJ11" s="39" t="str">
        <f>IFERROR(__xludf.DUMMYFUNCTION("IFERROR(if(ISBLANK(AI11),"" "",GOOGLEFINANCE(AH11,""Name"")), """")"),"Home First Finance Company India Ltd")</f>
        <v>Home First Finance Company India Ltd</v>
      </c>
      <c r="AK11" s="21">
        <f>IFERROR(__xludf.DUMMYFUNCTION("IFERROR(if(ISBLANK(AI11),"" "",GOOGLEFINANCE(AH11,""price"")), """")"),1184.9)</f>
        <v>1184.9</v>
      </c>
      <c r="AL11" s="23">
        <f>IFERROR(__xludf.DUMMYFUNCTION("IFERROR(if(ISBLANK(AI11),"" "",GOOGLEFINANCE(AH11,""changepct"")), """")"),0.76)</f>
        <v>0.76</v>
      </c>
      <c r="AM11" s="30"/>
      <c r="AN11" s="31" t="s">
        <v>200</v>
      </c>
      <c r="AO11" s="32" t="str">
        <f>IFERROR(__xludf.DUMMYFUNCTION("IFERROR(if(ISBLANK(AN11),"" "",GOOGLEFINANCE(AM11,""Name"")), """")"),"")</f>
        <v/>
      </c>
      <c r="AP11" s="33" t="s">
        <v>249</v>
      </c>
      <c r="AQ11" s="38" t="s">
        <v>241</v>
      </c>
      <c r="AR11" s="39" t="str">
        <f>IFERROR(__xludf.DUMMYFUNCTION("IFERROR(if(ISBLANK(AQ11),"" "",GOOGLEFINANCE(AP11,""Name"")), """")"),"PC Jeweller Ltd")</f>
        <v>PC Jeweller Ltd</v>
      </c>
      <c r="AS11" s="21">
        <f>IFERROR(__xludf.DUMMYFUNCTION("IFERROR(if(ISBLANK(AQ11),"" "",GOOGLEFINANCE(AP11,""price"")), """")"),9.8)</f>
        <v>9.8</v>
      </c>
      <c r="AT11" s="23">
        <f>IFERROR(__xludf.DUMMYFUNCTION("IFERROR(if(ISBLANK(AQ11),"" "",GOOGLEFINANCE(AP11,""changepct"")), """")"),-1.71)</f>
        <v>-1.71</v>
      </c>
      <c r="AU11" s="40"/>
      <c r="AV11" s="34" t="s">
        <v>250</v>
      </c>
      <c r="AW11" s="38" t="s">
        <v>241</v>
      </c>
      <c r="AX11" s="39" t="str">
        <f>IFERROR(__xludf.DUMMYFUNCTION("IFERROR(if(ISBLANK(AW11),"" "",GOOGLEFINANCE(AV11,""Name"")), """")"),"Gokul Agro Resources Ltd")</f>
        <v>Gokul Agro Resources Ltd</v>
      </c>
      <c r="AY11" s="21">
        <f>IFERROR(__xludf.DUMMYFUNCTION("IFERROR(if(ISBLANK(AW11),"" "",GOOGLEFINANCE(AV11,""price"")), """")"),236.2)</f>
        <v>236.2</v>
      </c>
      <c r="AZ11" s="23">
        <f>IFERROR(__xludf.DUMMYFUNCTION("IFERROR(if(ISBLANK(AW11),"" "",GOOGLEFINANCE(AV11,""changepct"")), """")"),4.5)</f>
        <v>4.5</v>
      </c>
      <c r="BA11" s="12"/>
      <c r="BB11" s="33" t="s">
        <v>251</v>
      </c>
      <c r="BC11" s="38" t="s">
        <v>241</v>
      </c>
      <c r="BD11" s="39" t="str">
        <f>IFERROR(__xludf.DUMMYFUNCTION("IFERROR(if(ISBLANK(BC11),"" "",GOOGLEFINANCE(BB11,""Name"")), """")"),"Sharda Motor Industries Ltd")</f>
        <v>Sharda Motor Industries Ltd</v>
      </c>
      <c r="BE11" s="21">
        <f>IFERROR(__xludf.DUMMYFUNCTION("IFERROR(if(ISBLANK(BC11),"" "",GOOGLEFINANCE(BB11,""price"")), """")"),879.2)</f>
        <v>879.2</v>
      </c>
      <c r="BF11" s="23">
        <f>IFERROR(__xludf.DUMMYFUNCTION("IFERROR(if(ISBLANK(BC11),"" "",GOOGLEFINANCE(BB11,""changepct"")), """")"),0.26)</f>
        <v>0.26</v>
      </c>
      <c r="BG11" s="12"/>
      <c r="BH11" s="35" t="s">
        <v>252</v>
      </c>
      <c r="BI11" s="38" t="s">
        <v>241</v>
      </c>
      <c r="BJ11" s="39" t="str">
        <f>IFERROR(__xludf.DUMMYFUNCTION("IFERROR(if(ISBLANK(BI11),"" "",GOOGLEFINANCE(BH11,""Name"")), """")"),"Gmm Pfaudler Ltd")</f>
        <v>Gmm Pfaudler Ltd</v>
      </c>
      <c r="BK11" s="21">
        <f>IFERROR(__xludf.DUMMYFUNCTION("IFERROR(if(ISBLANK(BI11),"" "",GOOGLEFINANCE(BH11,""price"")), """")"),990.5)</f>
        <v>990.5</v>
      </c>
      <c r="BL11" s="23">
        <f>IFERROR(__xludf.DUMMYFUNCTION("IFERROR(if(ISBLANK(BI11),"" "",GOOGLEFINANCE(BH11,""changepct"")), """")"),-1.32)</f>
        <v>-1.32</v>
      </c>
      <c r="BM11" s="12"/>
      <c r="BN11" s="33" t="s">
        <v>253</v>
      </c>
      <c r="BO11" s="38" t="s">
        <v>241</v>
      </c>
      <c r="BP11" s="39" t="str">
        <f>IFERROR(__xludf.DUMMYFUNCTION("IFERROR(if(ISBLANK(BO11),"" "",GOOGLEFINANCE(BN11,""Name"")), """")"),"ADF Foods Ltd")</f>
        <v>ADF Foods Ltd</v>
      </c>
      <c r="BQ11" s="21">
        <f>IFERROR(__xludf.DUMMYFUNCTION("IFERROR(if(ISBLANK(BO11),"" "",GOOGLEFINANCE(BN11,""price"")), """")"),261.1)</f>
        <v>261.1</v>
      </c>
      <c r="BR11" s="23">
        <f>IFERROR(__xludf.DUMMYFUNCTION("IFERROR(if(ISBLANK(BO11),"" "",GOOGLEFINANCE(BN11,""changepct"")), """")"),-1.64)</f>
        <v>-1.64</v>
      </c>
      <c r="BS11" s="22">
        <f>IFERROR(__xludf.DUMMYFUNCTION("IFERROR(if(ISBLANK($C11),"" "",GOOGLEFINANCE($B11,""change"")), """")"),-8.0)</f>
        <v>-8</v>
      </c>
      <c r="BT11" s="36"/>
      <c r="BU11" s="27" t="s">
        <v>254</v>
      </c>
      <c r="BV11" s="38" t="s">
        <v>241</v>
      </c>
      <c r="BW11" s="39" t="str">
        <f>IFERROR(__xludf.DUMMYFUNCTION("IFERROR(if(ISBLANK(BV11),"" "",GOOGLEFINANCE(BU11,""Name"")), """")"),"Sirca Paints India Ltd")</f>
        <v>Sirca Paints India Ltd</v>
      </c>
      <c r="BX11" s="21">
        <f>IFERROR(__xludf.DUMMYFUNCTION("IFERROR(if(ISBLANK(BV11),"" "",GOOGLEFINANCE(BU11,""price"")), """")"),434.3)</f>
        <v>434.3</v>
      </c>
      <c r="BY11" s="23">
        <f>IFERROR(__xludf.DUMMYFUNCTION("IFERROR(if(ISBLANK(BV11),"" "",GOOGLEFINANCE(BU11,""changepct"")), """")"),-1.82)</f>
        <v>-1.82</v>
      </c>
      <c r="BZ11" s="22">
        <f>IFERROR(__xludf.DUMMYFUNCTION("IFERROR(if(ISBLANK($C11),"" "",GOOGLEFINANCE($B11,""change"")), """")"),-8.0)</f>
        <v>-8</v>
      </c>
      <c r="CA11" s="37"/>
      <c r="CB11" s="27" t="s">
        <v>255</v>
      </c>
      <c r="CC11" s="38" t="s">
        <v>241</v>
      </c>
      <c r="CD11" s="39" t="str">
        <f>IFERROR(__xludf.DUMMYFUNCTION("IFERROR(if(ISBLANK(CC11),"" "",GOOGLEFINANCE(CB11,""Name"")), """")"),"Tribhovandas Bhimji Zaveri Ltd")</f>
        <v>Tribhovandas Bhimji Zaveri Ltd</v>
      </c>
      <c r="CE11" s="21">
        <f>IFERROR(__xludf.DUMMYFUNCTION("IFERROR(if(ISBLANK(CC11),"" "",GOOGLEFINANCE(CB11,""price"")), """")"),238.0)</f>
        <v>238</v>
      </c>
      <c r="CF11" s="23">
        <f>IFERROR(__xludf.DUMMYFUNCTION("IFERROR(if(ISBLANK(CC11),"" "",GOOGLEFINANCE(CB11,""changepct"")), """")"),-15.62)</f>
        <v>-15.62</v>
      </c>
      <c r="CG11" s="12"/>
      <c r="CH11" s="18" t="s">
        <v>256</v>
      </c>
      <c r="CI11" s="38" t="s">
        <v>241</v>
      </c>
      <c r="CJ11" s="39" t="str">
        <f>IFERROR(__xludf.DUMMYFUNCTION("IFERROR(if(ISBLANK(CI11),"" "",GOOGLEFINANCE(CH11,""Name"")), """")"),"Motisons Jewellers Ltd")</f>
        <v>Motisons Jewellers Ltd</v>
      </c>
      <c r="CK11" s="21">
        <f>IFERROR(__xludf.DUMMYFUNCTION("IFERROR(if(ISBLANK(CI11),"" "",GOOGLEFINANCE(CH11,""price"")), """")"),13.64)</f>
        <v>13.64</v>
      </c>
      <c r="CL11" s="23">
        <f>IFERROR(__xludf.DUMMYFUNCTION("IFERROR(if(ISBLANK(CI11),"" "",GOOGLEFINANCE(CH11,""changepct"")), """")"),-2.71)</f>
        <v>-2.71</v>
      </c>
      <c r="CM11" s="12"/>
      <c r="CN11" s="33" t="s">
        <v>257</v>
      </c>
      <c r="CO11" s="38" t="s">
        <v>241</v>
      </c>
      <c r="CP11" s="39" t="str">
        <f>IFERROR(__xludf.DUMMYFUNCTION("IFERROR(if(ISBLANK(CO11),"" "",GOOGLEFINANCE(CN11,""Name"")), """")"),"Jindal Poly Investment &amp; Finance Co Ltd")</f>
        <v>Jindal Poly Investment &amp; Finance Co Ltd</v>
      </c>
      <c r="CQ11" s="21">
        <f>IFERROR(__xludf.DUMMYFUNCTION("IFERROR(if(ISBLANK(CO11),"" "",GOOGLEFINANCE(CN11,""price"")), """")"),1058.0)</f>
        <v>1058</v>
      </c>
      <c r="CR11" s="23">
        <f>IFERROR(__xludf.DUMMYFUNCTION("IFERROR(if(ISBLANK(CO11),"" "",GOOGLEFINANCE(CN11,""changepct"")), """")"),1.69)</f>
        <v>1.69</v>
      </c>
      <c r="CS11" s="40"/>
      <c r="CT11" s="33" t="s">
        <v>258</v>
      </c>
      <c r="CU11" s="38" t="s">
        <v>241</v>
      </c>
      <c r="CV11" s="39" t="str">
        <f>IFERROR(__xludf.DUMMYFUNCTION("IFERROR(if(ISBLANK(CU11),"" "",GOOGLEFINANCE(CT11,""Name"")), """")"),"Royal Orchid Hotels Ltd")</f>
        <v>Royal Orchid Hotels Ltd</v>
      </c>
      <c r="CW11" s="21">
        <f>IFERROR(__xludf.DUMMYFUNCTION("IFERROR(if(ISBLANK(CU11),"" "",GOOGLEFINANCE(CT11,""price"")), """")"),308.0)</f>
        <v>308</v>
      </c>
      <c r="CX11" s="23">
        <f>IFERROR(__xludf.DUMMYFUNCTION("IFERROR(if(ISBLANK(CU11),"" "",GOOGLEFINANCE(CT11,""changepct"")), """")"),-1.35)</f>
        <v>-1.35</v>
      </c>
      <c r="CY11" s="17"/>
      <c r="CZ11" s="33" t="s">
        <v>260</v>
      </c>
      <c r="DA11" s="38" t="s">
        <v>241</v>
      </c>
      <c r="DB11" s="39" t="str">
        <f>IFERROR(__xludf.DUMMYFUNCTION("IFERROR(if(ISBLANK(DA11),"" "",GOOGLEFINANCE(CZ11,""Name"")), """")"),"Mercury Ev-Tech Ltd")</f>
        <v>Mercury Ev-Tech Ltd</v>
      </c>
      <c r="DC11" s="21">
        <f>IFERROR(__xludf.DUMMYFUNCTION("IFERROR(if(ISBLANK(DA11),"" "",GOOGLEFINANCE(CZ11,""price"")), """")"),35.0)</f>
        <v>35</v>
      </c>
      <c r="DD11" s="23">
        <f>IFERROR(__xludf.DUMMYFUNCTION("IFERROR(if(ISBLANK(DA11),"" "",GOOGLEFINANCE(CZ11,""changepct"")), """")"),0.84)</f>
        <v>0.84</v>
      </c>
      <c r="DE11" s="40"/>
      <c r="DF11" s="12"/>
    </row>
    <row r="12" ht="11.25" customHeight="1">
      <c r="A12" s="17"/>
      <c r="B12" s="18" t="s">
        <v>261</v>
      </c>
      <c r="C12" s="38" t="s">
        <v>262</v>
      </c>
      <c r="D12" s="39" t="str">
        <f>IFERROR(__xludf.DUMMYFUNCTION("IFERROR(if(ISBLANK(C12),"" "",GOOGLEFINANCE(B12,""Name"")), """")"),"Sun Pharmaceutical Industries Ltd")</f>
        <v>Sun Pharmaceutical Industries Ltd</v>
      </c>
      <c r="E12" s="21">
        <f>IFERROR(__xludf.DUMMYFUNCTION("IFERROR(if(ISBLANK(C12),"" "",GOOGLEFINANCE(B12,""price"")), """")"),1936.0)</f>
        <v>1936</v>
      </c>
      <c r="F12" s="22">
        <f>IFERROR(__xludf.DUMMYFUNCTION("IFERROR(if(ISBLANK(C12),"" "",GOOGLEFINANCE(B12,""changepct"")), """")"),-0.31)</f>
        <v>-0.31</v>
      </c>
      <c r="G12" s="23">
        <f>IFERROR(__xludf.DUMMYFUNCTION("IFERROR(if(ISBLANK($C12),"" "",GOOGLEFINANCE($B12,""change"")), """")"),-6.0)</f>
        <v>-6</v>
      </c>
      <c r="H12" s="24"/>
      <c r="I12" s="25" t="s">
        <v>263</v>
      </c>
      <c r="J12" s="38" t="s">
        <v>262</v>
      </c>
      <c r="K12" s="39" t="str">
        <f>IFERROR(__xludf.DUMMYFUNCTION("IFERROR(if(ISBLANK(J12),"" "",GOOGLEFINANCE(I12,""Name"")), """")"),"Max Healthcare Institute Ltd")</f>
        <v>Max Healthcare Institute Ltd</v>
      </c>
      <c r="L12" s="21">
        <f>IFERROR(__xludf.DUMMYFUNCTION("IFERROR(if(ISBLANK(J12),"" "",GOOGLEFINANCE(I12,""price"")), """")"),1006.8)</f>
        <v>1006.8</v>
      </c>
      <c r="M12" s="22">
        <f>IFERROR(__xludf.DUMMYFUNCTION("IFERROR(if(ISBLANK(J12),"" "",GOOGLEFINANCE(I12,""changepct"")), """")"),-3.19)</f>
        <v>-3.19</v>
      </c>
      <c r="N12" s="23">
        <f>IFERROR(__xludf.DUMMYFUNCTION("IFERROR(if(ISBLANK($C12),"" "",GOOGLEFINANCE($B12,""change"")), """")"),-6.0)</f>
        <v>-6</v>
      </c>
      <c r="O12" s="26"/>
      <c r="P12" s="27" t="s">
        <v>264</v>
      </c>
      <c r="Q12" s="38" t="s">
        <v>262</v>
      </c>
      <c r="R12" s="39" t="str">
        <f>IFERROR(__xludf.DUMMYFUNCTION("IFERROR(if(ISBLANK(Q12),"" "",GOOGLEFINANCE(P12,""Name"")), """")"),"Piramal Finance Ord Shs")</f>
        <v>Piramal Finance Ord Shs</v>
      </c>
      <c r="S12" s="21">
        <f>IFERROR(__xludf.DUMMYFUNCTION("IFERROR(if(ISBLANK(Q12),"" "",GOOGLEFINANCE(P12,""price"")), """")"),2065.5)</f>
        <v>2065.5</v>
      </c>
      <c r="T12" s="22">
        <f>IFERROR(__xludf.DUMMYFUNCTION("IFERROR(if(ISBLANK(Q12),"" "",GOOGLEFINANCE(P12,""changepct"")), """")"),-2.33)</f>
        <v>-2.33</v>
      </c>
      <c r="U12" s="28"/>
      <c r="V12" s="18" t="s">
        <v>265</v>
      </c>
      <c r="W12" s="38" t="s">
        <v>262</v>
      </c>
      <c r="X12" s="39" t="str">
        <f>IFERROR(__xludf.DUMMYFUNCTION("IFERROR(if(ISBLANK(W12),"" "",GOOGLEFINANCE(V12,""Name"")), """")"),"Craftsman Automation Ltd")</f>
        <v>Craftsman Automation Ltd</v>
      </c>
      <c r="Y12" s="21">
        <f>IFERROR(__xludf.DUMMYFUNCTION("IFERROR(if(ISBLANK(W12),"" "",GOOGLEFINANCE(V12,""price"")), """")"),10550.0)</f>
        <v>10550</v>
      </c>
      <c r="Z12" s="23">
        <f>IFERROR(__xludf.DUMMYFUNCTION("IFERROR(if(ISBLANK(W12),"" "",GOOGLEFINANCE(V12,""changepct"")), """")"),2.49)</f>
        <v>2.49</v>
      </c>
      <c r="AA12" s="12"/>
      <c r="AB12" s="18" t="s">
        <v>266</v>
      </c>
      <c r="AC12" s="38" t="s">
        <v>262</v>
      </c>
      <c r="AD12" s="39" t="str">
        <f>IFERROR(__xludf.DUMMYFUNCTION("IFERROR(if(ISBLANK(AC12),"" "",GOOGLEFINANCE(AB12,""Name"")), """")"),"Amara Raja Energy &amp; Mobility Ltd")</f>
        <v>Amara Raja Energy &amp; Mobility Ltd</v>
      </c>
      <c r="AE12" s="21">
        <f>IFERROR(__xludf.DUMMYFUNCTION("IFERROR(if(ISBLANK(AC12),"" "",GOOGLEFINANCE(AB12,""price"")), """")"),969.8)</f>
        <v>969.8</v>
      </c>
      <c r="AF12" s="23">
        <f>IFERROR(__xludf.DUMMYFUNCTION("IFERROR(if(ISBLANK(AC12),"" "",GOOGLEFINANCE(AB12,""changepct"")), """")"),-0.05)</f>
        <v>-0.05</v>
      </c>
      <c r="AG12" s="40"/>
      <c r="AH12" s="27" t="s">
        <v>267</v>
      </c>
      <c r="AI12" s="38" t="s">
        <v>262</v>
      </c>
      <c r="AJ12" s="39" t="str">
        <f>IFERROR(__xludf.DUMMYFUNCTION("IFERROR(if(ISBLANK(AI12),"" "",GOOGLEFINANCE(AH12,""Name"")), """")"),"Indegene Ltd")</f>
        <v>Indegene Ltd</v>
      </c>
      <c r="AK12" s="21">
        <f>IFERROR(__xludf.DUMMYFUNCTION("IFERROR(if(ISBLANK(AI12),"" "",GOOGLEFINANCE(AH12,""price"")), """")"),567.55)</f>
        <v>567.55</v>
      </c>
      <c r="AL12" s="23">
        <f>IFERROR(__xludf.DUMMYFUNCTION("IFERROR(if(ISBLANK(AI12),"" "",GOOGLEFINANCE(AH12,""changepct"")), """")"),-0.01)</f>
        <v>-0.01</v>
      </c>
      <c r="AM12" s="30"/>
      <c r="AN12" s="31" t="s">
        <v>200</v>
      </c>
      <c r="AO12" s="32" t="str">
        <f>IFERROR(__xludf.DUMMYFUNCTION("IFERROR(if(ISBLANK(AN12),"" "",GOOGLEFINANCE(AM12,""Name"")), """")"),"")</f>
        <v/>
      </c>
      <c r="AP12" s="33" t="s">
        <v>268</v>
      </c>
      <c r="AQ12" s="38" t="s">
        <v>262</v>
      </c>
      <c r="AR12" s="39" t="str">
        <f>IFERROR(__xludf.DUMMYFUNCTION("IFERROR(if(ISBLANK(AQ12),"" "",GOOGLEFINANCE(AP12,""Name"")), """")"),"Bata India Ltd")</f>
        <v>Bata India Ltd</v>
      </c>
      <c r="AS12" s="21">
        <f>IFERROR(__xludf.DUMMYFUNCTION("IFERROR(if(ISBLANK(AQ12),"" "",GOOGLEFINANCE(AP12,""price"")), """")"),714.8)</f>
        <v>714.8</v>
      </c>
      <c r="AT12" s="23">
        <f>IFERROR(__xludf.DUMMYFUNCTION("IFERROR(if(ISBLANK(AQ12),"" "",GOOGLEFINANCE(AP12,""changepct"")), """")"),2.14)</f>
        <v>2.14</v>
      </c>
      <c r="AU12" s="40"/>
      <c r="AV12" s="34" t="s">
        <v>270</v>
      </c>
      <c r="AW12" s="38" t="s">
        <v>262</v>
      </c>
      <c r="AX12" s="39" t="str">
        <f>IFERROR(__xludf.DUMMYFUNCTION("IFERROR(if(ISBLANK(AW12),"" "",GOOGLEFINANCE(AV12,""Name"")), """")"),"AJAX Engineering Ltd")</f>
        <v>AJAX Engineering Ltd</v>
      </c>
      <c r="AY12" s="21">
        <f>IFERROR(__xludf.DUMMYFUNCTION("IFERROR(if(ISBLANK(AW12),"" "",GOOGLEFINANCE(AV12,""price"")), """")"),565.05)</f>
        <v>565.05</v>
      </c>
      <c r="AZ12" s="23">
        <f>IFERROR(__xludf.DUMMYFUNCTION("IFERROR(if(ISBLANK(AW12),"" "",GOOGLEFINANCE(AV12,""changepct"")), """")"),-0.41)</f>
        <v>-0.41</v>
      </c>
      <c r="BA12" s="12"/>
      <c r="BB12" s="33" t="s">
        <v>271</v>
      </c>
      <c r="BC12" s="38" t="s">
        <v>262</v>
      </c>
      <c r="BD12" s="39" t="str">
        <f>IFERROR(__xludf.DUMMYFUNCTION("IFERROR(if(ISBLANK(BC12),"" "",GOOGLEFINANCE(BB12,""Name"")), """")"),"Puravankara Ltd")</f>
        <v>Puravankara Ltd</v>
      </c>
      <c r="BE12" s="21">
        <f>IFERROR(__xludf.DUMMYFUNCTION("IFERROR(if(ISBLANK(BC12),"" "",GOOGLEFINANCE(BB12,""price"")), """")"),210.5)</f>
        <v>210.5</v>
      </c>
      <c r="BF12" s="23">
        <f>IFERROR(__xludf.DUMMYFUNCTION("IFERROR(if(ISBLANK(BC12),"" "",GOOGLEFINANCE(BB12,""changepct"")), """")"),-0.85)</f>
        <v>-0.85</v>
      </c>
      <c r="BG12" s="12"/>
      <c r="BH12" s="35" t="s">
        <v>272</v>
      </c>
      <c r="BI12" s="38" t="s">
        <v>262</v>
      </c>
      <c r="BJ12" s="39" t="str">
        <f>IFERROR(__xludf.DUMMYFUNCTION("IFERROR(if(ISBLANK(BI12),"" "",GOOGLEFINANCE(BH12,""Name"")), """")"),"Psp Projects Ltd")</f>
        <v>Psp Projects Ltd</v>
      </c>
      <c r="BK12" s="21">
        <f>IFERROR(__xludf.DUMMYFUNCTION("IFERROR(if(ISBLANK(BI12),"" "",GOOGLEFINANCE(BH12,""price"")), """")"),905.4)</f>
        <v>905.4</v>
      </c>
      <c r="BL12" s="23">
        <f>IFERROR(__xludf.DUMMYFUNCTION("IFERROR(if(ISBLANK(BI12),"" "",GOOGLEFINANCE(BH12,""changepct"")), """")"),-3.11)</f>
        <v>-3.11</v>
      </c>
      <c r="BM12" s="12"/>
      <c r="BN12" s="33" t="s">
        <v>273</v>
      </c>
      <c r="BO12" s="38" t="s">
        <v>262</v>
      </c>
      <c r="BP12" s="39" t="str">
        <f>IFERROR(__xludf.DUMMYFUNCTION("IFERROR(if(ISBLANK(BO12),"" "",GOOGLEFINANCE(BN12,""Name"")), """")"),"Navneet Education Ltd")</f>
        <v>Navneet Education Ltd</v>
      </c>
      <c r="BQ12" s="21">
        <f>IFERROR(__xludf.DUMMYFUNCTION("IFERROR(if(ISBLANK(BO12),"" "",GOOGLEFINANCE(BN12,""price"")), """")"),134.15)</f>
        <v>134.15</v>
      </c>
      <c r="BR12" s="23">
        <f>IFERROR(__xludf.DUMMYFUNCTION("IFERROR(if(ISBLANK(BO12),"" "",GOOGLEFINANCE(BN12,""changepct"")), """")"),1.05)</f>
        <v>1.05</v>
      </c>
      <c r="BS12" s="22">
        <f>IFERROR(__xludf.DUMMYFUNCTION("IFERROR(if(ISBLANK($C12),"" "",GOOGLEFINANCE($B12,""change"")), """")"),-6.0)</f>
        <v>-6</v>
      </c>
      <c r="BT12" s="36"/>
      <c r="BU12" s="27" t="s">
        <v>274</v>
      </c>
      <c r="BV12" s="38" t="s">
        <v>262</v>
      </c>
      <c r="BW12" s="39" t="str">
        <f>IFERROR(__xludf.DUMMYFUNCTION("IFERROR(if(ISBLANK(BV12),"" "",GOOGLEFINANCE(BU12,""Name"")), """")"),"Tasty Bite Eatables Ltd")</f>
        <v>Tasty Bite Eatables Ltd</v>
      </c>
      <c r="BX12" s="21">
        <f>IFERROR(__xludf.DUMMYFUNCTION("IFERROR(if(ISBLANK(BV12),"" "",GOOGLEFINANCE(BU12,""price"")), """")"),9506.0)</f>
        <v>9506</v>
      </c>
      <c r="BY12" s="23">
        <f>IFERROR(__xludf.DUMMYFUNCTION("IFERROR(if(ISBLANK(BV12),"" "",GOOGLEFINANCE(BU12,""changepct"")), """")"),1.59)</f>
        <v>1.59</v>
      </c>
      <c r="BZ12" s="22">
        <f>IFERROR(__xludf.DUMMYFUNCTION("IFERROR(if(ISBLANK($C12),"" "",GOOGLEFINANCE($B12,""change"")), """")"),-6.0)</f>
        <v>-6</v>
      </c>
      <c r="CA12" s="37"/>
      <c r="CB12" s="27" t="s">
        <v>275</v>
      </c>
      <c r="CC12" s="38" t="s">
        <v>262</v>
      </c>
      <c r="CD12" s="39" t="str">
        <f>IFERROR(__xludf.DUMMYFUNCTION("IFERROR(if(ISBLANK(CC12),"" "",GOOGLEFINANCE(CB12,""Name"")), """")"),"Hindware Home Innovation Ltd")</f>
        <v>Hindware Home Innovation Ltd</v>
      </c>
      <c r="CE12" s="21">
        <f>IFERROR(__xludf.DUMMYFUNCTION("IFERROR(if(ISBLANK(CC12),"" "",GOOGLEFINANCE(CB12,""price"")), """")"),205.0)</f>
        <v>205</v>
      </c>
      <c r="CF12" s="23">
        <f>IFERROR(__xludf.DUMMYFUNCTION("IFERROR(if(ISBLANK(CC12),"" "",GOOGLEFINANCE(CB12,""changepct"")), """")"),-2.39)</f>
        <v>-2.39</v>
      </c>
      <c r="CG12" s="12"/>
      <c r="CH12" s="18" t="s">
        <v>276</v>
      </c>
      <c r="CI12" s="38" t="s">
        <v>262</v>
      </c>
      <c r="CJ12" s="39" t="str">
        <f>IFERROR(__xludf.DUMMYFUNCTION("IFERROR(if(ISBLANK(CI12),"" "",GOOGLEFINANCE(CH12,""Name"")), """")"),"GPT Healthcare Ltd")</f>
        <v>GPT Healthcare Ltd</v>
      </c>
      <c r="CK12" s="21">
        <f>IFERROR(__xludf.DUMMYFUNCTION("IFERROR(if(ISBLANK(CI12),"" "",GOOGLEFINANCE(CH12,""price"")), """")"),156.7)</f>
        <v>156.7</v>
      </c>
      <c r="CL12" s="23">
        <f>IFERROR(__xludf.DUMMYFUNCTION("IFERROR(if(ISBLANK(CI12),"" "",GOOGLEFINANCE(CH12,""changepct"")), """")"),-2.37)</f>
        <v>-2.37</v>
      </c>
      <c r="CM12" s="12"/>
      <c r="CN12" s="33" t="s">
        <v>277</v>
      </c>
      <c r="CO12" s="38" t="s">
        <v>262</v>
      </c>
      <c r="CP12" s="39" t="str">
        <f>IFERROR(__xludf.DUMMYFUNCTION("IFERROR(if(ISBLANK(CO12),"" "",GOOGLEFINANCE(CN12,""Name"")), """")"),"Tembo Global Industries Ltd")</f>
        <v>Tembo Global Industries Ltd</v>
      </c>
      <c r="CQ12" s="21">
        <f>IFERROR(__xludf.DUMMYFUNCTION("IFERROR(if(ISBLANK(CO12),"" "",GOOGLEFINANCE(CN12,""price"")), """")"),61.0)</f>
        <v>61</v>
      </c>
      <c r="CR12" s="23">
        <f>IFERROR(__xludf.DUMMYFUNCTION("IFERROR(if(ISBLANK(CO12),"" "",GOOGLEFINANCE(CN12,""changepct"")), """")"),-1.13)</f>
        <v>-1.13</v>
      </c>
      <c r="CS12" s="40"/>
      <c r="CT12" s="33" t="s">
        <v>279</v>
      </c>
      <c r="CU12" s="38" t="s">
        <v>262</v>
      </c>
      <c r="CV12" s="39" t="str">
        <f>IFERROR(__xludf.DUMMYFUNCTION("IFERROR(if(ISBLANK(CU12),"" "",GOOGLEFINANCE(CT12,""Name"")), """")"),"Fedders Holding Ltd")</f>
        <v>Fedders Holding Ltd</v>
      </c>
      <c r="CW12" s="21">
        <f>IFERROR(__xludf.DUMMYFUNCTION("IFERROR(if(ISBLANK(CU12),"" "",GOOGLEFINANCE(CT12,""price"")), """")"),41.18)</f>
        <v>41.18</v>
      </c>
      <c r="CX12" s="23">
        <f>IFERROR(__xludf.DUMMYFUNCTION("IFERROR(if(ISBLANK(CU12),"" "",GOOGLEFINANCE(CT12,""changepct"")), """")"),-1.62)</f>
        <v>-1.62</v>
      </c>
      <c r="CY12" s="17"/>
      <c r="CZ12" s="33" t="s">
        <v>280</v>
      </c>
      <c r="DA12" s="38" t="s">
        <v>262</v>
      </c>
      <c r="DB12" s="39" t="str">
        <f>IFERROR(__xludf.DUMMYFUNCTION("IFERROR(if(ISBLANK(DA12),"" "",GOOGLEFINANCE(CZ12,""Name"")), """")"),"Pyramid Technoplast Ltd")</f>
        <v>Pyramid Technoplast Ltd</v>
      </c>
      <c r="DC12" s="21">
        <f>IFERROR(__xludf.DUMMYFUNCTION("IFERROR(if(ISBLANK(DA12),"" "",GOOGLEFINANCE(CZ12,""price"")), """")"),163.24)</f>
        <v>163.24</v>
      </c>
      <c r="DD12" s="23">
        <f>IFERROR(__xludf.DUMMYFUNCTION("IFERROR(if(ISBLANK(DA12),"" "",GOOGLEFINANCE(CZ12,""changepct"")), """")"),-4.4)</f>
        <v>-4.4</v>
      </c>
      <c r="DE12" s="40"/>
      <c r="DF12" s="12"/>
    </row>
    <row r="13" ht="11.25" customHeight="1">
      <c r="A13" s="17"/>
      <c r="B13" s="18" t="s">
        <v>281</v>
      </c>
      <c r="C13" s="38" t="s">
        <v>282</v>
      </c>
      <c r="D13" s="39" t="str">
        <f>IFERROR(__xludf.DUMMYFUNCTION("IFERROR(if(ISBLANK(C13),"" "",GOOGLEFINANCE(B13,""Name"")), """")"),"Infosys Ltd")</f>
        <v>Infosys Ltd</v>
      </c>
      <c r="E13" s="21">
        <f>IFERROR(__xludf.DUMMYFUNCTION("IFERROR(if(ISBLANK(C13),"" "",GOOGLEFINANCE(B13,""price"")), """")"),1171.8)</f>
        <v>1171.8</v>
      </c>
      <c r="F13" s="22">
        <f>IFERROR(__xludf.DUMMYFUNCTION("IFERROR(if(ISBLANK(C13),"" "",GOOGLEFINANCE(B13,""changepct"")), """")"),-1.59)</f>
        <v>-1.59</v>
      </c>
      <c r="G13" s="23">
        <f>IFERROR(__xludf.DUMMYFUNCTION("IFERROR(if(ISBLANK($C13),"" "",GOOGLEFINANCE($B13,""change"")), """")"),-18.9)</f>
        <v>-18.9</v>
      </c>
      <c r="H13" s="24"/>
      <c r="I13" s="25" t="s">
        <v>283</v>
      </c>
      <c r="J13" s="38" t="s">
        <v>282</v>
      </c>
      <c r="K13" s="39" t="str">
        <f>IFERROR(__xludf.DUMMYFUNCTION("IFERROR(if(ISBLANK(J13),"" "",GOOGLEFINANCE(I13,""Name"")), """")"),"Ambuja Cements Ltd")</f>
        <v>Ambuja Cements Ltd</v>
      </c>
      <c r="L13" s="21">
        <f>IFERROR(__xludf.DUMMYFUNCTION("IFERROR(if(ISBLANK(J13),"" "",GOOGLEFINANCE(I13,""price"")), """")"),422.0)</f>
        <v>422</v>
      </c>
      <c r="M13" s="22">
        <f>IFERROR(__xludf.DUMMYFUNCTION("IFERROR(if(ISBLANK(J13),"" "",GOOGLEFINANCE(I13,""changepct"")), """")"),-0.47)</f>
        <v>-0.47</v>
      </c>
      <c r="N13" s="23">
        <f>IFERROR(__xludf.DUMMYFUNCTION("IFERROR(if(ISBLANK($C13),"" "",GOOGLEFINANCE($B13,""change"")), """")"),-18.9)</f>
        <v>-18.9</v>
      </c>
      <c r="O13" s="26"/>
      <c r="P13" s="27" t="s">
        <v>284</v>
      </c>
      <c r="Q13" s="38" t="s">
        <v>282</v>
      </c>
      <c r="R13" s="39" t="str">
        <f>IFERROR(__xludf.DUMMYFUNCTION("IFERROR(if(ISBLANK(Q13),"" "",GOOGLEFINANCE(P13,""Name"")), """")"),"Premier Energies Ltd")</f>
        <v>Premier Energies Ltd</v>
      </c>
      <c r="S13" s="21">
        <f>IFERROR(__xludf.DUMMYFUNCTION("IFERROR(if(ISBLANK(Q13),"" "",GOOGLEFINANCE(P13,""price"")), """")"),1025.3)</f>
        <v>1025.3</v>
      </c>
      <c r="T13" s="22">
        <f>IFERROR(__xludf.DUMMYFUNCTION("IFERROR(if(ISBLANK(Q13),"" "",GOOGLEFINANCE(P13,""changepct"")), """")"),-2.35)</f>
        <v>-2.35</v>
      </c>
      <c r="U13" s="28"/>
      <c r="V13" s="18" t="s">
        <v>286</v>
      </c>
      <c r="W13" s="38" t="s">
        <v>282</v>
      </c>
      <c r="X13" s="39" t="str">
        <f>IFERROR(__xludf.DUMMYFUNCTION("IFERROR(if(ISBLANK(W13),"" "",GOOGLEFINANCE(V13,""Name"")), """")"),"Netweb Technologies India Ltd")</f>
        <v>Netweb Technologies India Ltd</v>
      </c>
      <c r="Y13" s="21">
        <f>IFERROR(__xludf.DUMMYFUNCTION("IFERROR(if(ISBLANK(W13),"" "",GOOGLEFINANCE(V13,""price"")), """")"),4845.3)</f>
        <v>4845.3</v>
      </c>
      <c r="Z13" s="23">
        <f>IFERROR(__xludf.DUMMYFUNCTION("IFERROR(if(ISBLANK(W13),"" "",GOOGLEFINANCE(V13,""changepct"")), """")"),-0.3)</f>
        <v>-0.3</v>
      </c>
      <c r="AA13" s="12"/>
      <c r="AB13" s="18" t="s">
        <v>287</v>
      </c>
      <c r="AC13" s="38" t="s">
        <v>282</v>
      </c>
      <c r="AD13" s="39" t="str">
        <f>IFERROR(__xludf.DUMMYFUNCTION("IFERROR(if(ISBLANK(AC13),"" "",GOOGLEFINANCE(AB13,""Name"")), """")"),"Tbo Tek Ltd")</f>
        <v>Tbo Tek Ltd</v>
      </c>
      <c r="AE13" s="21">
        <f>IFERROR(__xludf.DUMMYFUNCTION("IFERROR(if(ISBLANK(AC13),"" "",GOOGLEFINANCE(AB13,""price"")), """")"),1593.7)</f>
        <v>1593.7</v>
      </c>
      <c r="AF13" s="23">
        <f>IFERROR(__xludf.DUMMYFUNCTION("IFERROR(if(ISBLANK(AC13),"" "",GOOGLEFINANCE(AB13,""changepct"")), """")"),-2.81)</f>
        <v>-2.81</v>
      </c>
      <c r="AG13" s="12"/>
      <c r="AH13" s="27" t="s">
        <v>288</v>
      </c>
      <c r="AI13" s="38" t="s">
        <v>282</v>
      </c>
      <c r="AJ13" s="39" t="str">
        <f>IFERROR(__xludf.DUMMYFUNCTION("IFERROR(if(ISBLANK(AI13),"" "",GOOGLEFINANCE(AH13,""Name"")), """")"),"Balrampur Chini Mills Ltd")</f>
        <v>Balrampur Chini Mills Ltd</v>
      </c>
      <c r="AK13" s="21">
        <f>IFERROR(__xludf.DUMMYFUNCTION("IFERROR(if(ISBLANK(AI13),"" "",GOOGLEFINANCE(AH13,""price"")), """")"),601.95)</f>
        <v>601.95</v>
      </c>
      <c r="AL13" s="23">
        <f>IFERROR(__xludf.DUMMYFUNCTION("IFERROR(if(ISBLANK(AI13),"" "",GOOGLEFINANCE(AH13,""changepct"")), """")"),-4.12)</f>
        <v>-4.12</v>
      </c>
      <c r="AM13" s="30"/>
      <c r="AN13" s="31" t="s">
        <v>200</v>
      </c>
      <c r="AO13" s="32" t="str">
        <f>IFERROR(__xludf.DUMMYFUNCTION("IFERROR(if(ISBLANK(AN13),"" "",GOOGLEFINANCE(AM13,""Name"")), """")"),"")</f>
        <v/>
      </c>
      <c r="AP13" s="33" t="s">
        <v>289</v>
      </c>
      <c r="AQ13" s="38" t="s">
        <v>282</v>
      </c>
      <c r="AR13" s="39" t="str">
        <f>IFERROR(__xludf.DUMMYFUNCTION("IFERROR(if(ISBLANK(AQ13),"" "",GOOGLEFINANCE(AP13,""Name"")), """")"),"Transformers and Rectifiers (India) Ltd")</f>
        <v>Transformers and Rectifiers (India) Ltd</v>
      </c>
      <c r="AS13" s="21">
        <f>IFERROR(__xludf.DUMMYFUNCTION("IFERROR(if(ISBLANK(AQ13),"" "",GOOGLEFINANCE(AP13,""price"")), """")"),291.6)</f>
        <v>291.6</v>
      </c>
      <c r="AT13" s="23">
        <f>IFERROR(__xludf.DUMMYFUNCTION("IFERROR(if(ISBLANK(AQ13),"" "",GOOGLEFINANCE(AP13,""changepct"")), """")"),-1.85)</f>
        <v>-1.85</v>
      </c>
      <c r="AU13" s="40"/>
      <c r="AV13" s="34" t="s">
        <v>290</v>
      </c>
      <c r="AW13" s="38" t="s">
        <v>282</v>
      </c>
      <c r="AX13" s="39" t="str">
        <f>IFERROR(__xludf.DUMMYFUNCTION("IFERROR(if(ISBLANK(AW13),"" "",GOOGLEFINANCE(AV13,""Name"")), """")"),"Senco Gold Ltd")</f>
        <v>Senco Gold Ltd</v>
      </c>
      <c r="AY13" s="21">
        <f>IFERROR(__xludf.DUMMYFUNCTION("IFERROR(if(ISBLANK(AW13),"" "",GOOGLEFINANCE(AV13,""price"")), """")"),346.5)</f>
        <v>346.5</v>
      </c>
      <c r="AZ13" s="23">
        <f>IFERROR(__xludf.DUMMYFUNCTION("IFERROR(if(ISBLANK(AW13),"" "",GOOGLEFINANCE(AV13,""changepct"")), """")"),-13.64)</f>
        <v>-13.64</v>
      </c>
      <c r="BA13" s="12"/>
      <c r="BB13" s="33" t="s">
        <v>291</v>
      </c>
      <c r="BC13" s="38" t="s">
        <v>282</v>
      </c>
      <c r="BD13" s="39" t="str">
        <f>IFERROR(__xludf.DUMMYFUNCTION("IFERROR(if(ISBLANK(BC13),"" "",GOOGLEFINANCE(BB13,""Name"")), """")"),"Quess Corp Ltd")</f>
        <v>Quess Corp Ltd</v>
      </c>
      <c r="BE13" s="21">
        <f>IFERROR(__xludf.DUMMYFUNCTION("IFERROR(if(ISBLANK(BC13),"" "",GOOGLEFINANCE(BB13,""price"")), """")"),335.5)</f>
        <v>335.5</v>
      </c>
      <c r="BF13" s="23">
        <f>IFERROR(__xludf.DUMMYFUNCTION("IFERROR(if(ISBLANK(BC13),"" "",GOOGLEFINANCE(BB13,""changepct"")), """")"),3.49)</f>
        <v>3.49</v>
      </c>
      <c r="BG13" s="12"/>
      <c r="BH13" s="35" t="s">
        <v>292</v>
      </c>
      <c r="BI13" s="38" t="s">
        <v>282</v>
      </c>
      <c r="BJ13" s="39" t="str">
        <f>IFERROR(__xludf.DUMMYFUNCTION("IFERROR(if(ISBLANK(BI13),"" "",GOOGLEFINANCE(BH13,""Name"")), """")"),"Foseco India Ltd")</f>
        <v>Foseco India Ltd</v>
      </c>
      <c r="BK13" s="21">
        <f>IFERROR(__xludf.DUMMYFUNCTION("IFERROR(if(ISBLANK(BI13),"" "",GOOGLEFINANCE(BH13,""price"")), """")"),5520.0)</f>
        <v>5520</v>
      </c>
      <c r="BL13" s="23">
        <f>IFERROR(__xludf.DUMMYFUNCTION("IFERROR(if(ISBLANK(BI13),"" "",GOOGLEFINANCE(BH13,""changepct"")), """")"),0.35)</f>
        <v>0.35</v>
      </c>
      <c r="BM13" s="12"/>
      <c r="BN13" s="33" t="s">
        <v>293</v>
      </c>
      <c r="BO13" s="38" t="s">
        <v>282</v>
      </c>
      <c r="BP13" s="39" t="str">
        <f>IFERROR(__xludf.DUMMYFUNCTION("IFERROR(if(ISBLANK(BO13),"" "",GOOGLEFINANCE(BN13,""Name"")), """")"),"HLE Glascoat Ltd")</f>
        <v>HLE Glascoat Ltd</v>
      </c>
      <c r="BQ13" s="21">
        <f>IFERROR(__xludf.DUMMYFUNCTION("IFERROR(if(ISBLANK(BO13),"" "",GOOGLEFINANCE(BN13,""price"")), """")"),324.0)</f>
        <v>324</v>
      </c>
      <c r="BR13" s="23">
        <f>IFERROR(__xludf.DUMMYFUNCTION("IFERROR(if(ISBLANK(BO13),"" "",GOOGLEFINANCE(BN13,""changepct"")), """")"),-14.65)</f>
        <v>-14.65</v>
      </c>
      <c r="BS13" s="22">
        <f>IFERROR(__xludf.DUMMYFUNCTION("IFERROR(if(ISBLANK($C13),"" "",GOOGLEFINANCE($B13,""change"")), """")"),-18.9)</f>
        <v>-18.9</v>
      </c>
      <c r="BT13" s="36"/>
      <c r="BU13" s="27" t="s">
        <v>295</v>
      </c>
      <c r="BV13" s="38" t="s">
        <v>282</v>
      </c>
      <c r="BW13" s="39" t="str">
        <f>IFERROR(__xludf.DUMMYFUNCTION("IFERROR(if(ISBLANK(BV13),"" "",GOOGLEFINANCE(BU13,""Name"")), """")"),"Greenpanel Industries Ltd")</f>
        <v>Greenpanel Industries Ltd</v>
      </c>
      <c r="BX13" s="21">
        <f>IFERROR(__xludf.DUMMYFUNCTION("IFERROR(if(ISBLANK(BV13),"" "",GOOGLEFINANCE(BU13,""price"")), """")"),176.02)</f>
        <v>176.02</v>
      </c>
      <c r="BY13" s="23">
        <f>IFERROR(__xludf.DUMMYFUNCTION("IFERROR(if(ISBLANK(BV13),"" "",GOOGLEFINANCE(BU13,""changepct"")), """")"),-4.12)</f>
        <v>-4.12</v>
      </c>
      <c r="BZ13" s="22">
        <f>IFERROR(__xludf.DUMMYFUNCTION("IFERROR(if(ISBLANK($C13),"" "",GOOGLEFINANCE($B13,""change"")), """")"),-18.9)</f>
        <v>-18.9</v>
      </c>
      <c r="CA13" s="37"/>
      <c r="CB13" s="27" t="s">
        <v>296</v>
      </c>
      <c r="CC13" s="38" t="s">
        <v>282</v>
      </c>
      <c r="CD13" s="39" t="str">
        <f>IFERROR(__xludf.DUMMYFUNCTION("IFERROR(if(ISBLANK(CC13),"" "",GOOGLEFINANCE(CB13,""Name"")), """")"),"Capacite Infraprojects Ltd")</f>
        <v>Capacite Infraprojects Ltd</v>
      </c>
      <c r="CE13" s="21">
        <f>IFERROR(__xludf.DUMMYFUNCTION("IFERROR(if(ISBLANK(CC13),"" "",GOOGLEFINANCE(CB13,""price"")), """")"),208.33)</f>
        <v>208.33</v>
      </c>
      <c r="CF13" s="23">
        <f>IFERROR(__xludf.DUMMYFUNCTION("IFERROR(if(ISBLANK(CC13),"" "",GOOGLEFINANCE(CB13,""changepct"")), """")"),-1.32)</f>
        <v>-1.32</v>
      </c>
      <c r="CG13" s="12"/>
      <c r="CH13" s="18" t="s">
        <v>297</v>
      </c>
      <c r="CI13" s="38" t="s">
        <v>282</v>
      </c>
      <c r="CJ13" s="39" t="str">
        <f>IFERROR(__xludf.DUMMYFUNCTION("IFERROR(if(ISBLANK(CI13),"" "",GOOGLEFINANCE(CH13,""Name"")), """")"),"Bharat Seats Ltd")</f>
        <v>Bharat Seats Ltd</v>
      </c>
      <c r="CK13" s="21">
        <f>IFERROR(__xludf.DUMMYFUNCTION("IFERROR(if(ISBLANK(CI13),"" "",GOOGLEFINANCE(CH13,""price"")), """")"),236.37)</f>
        <v>236.37</v>
      </c>
      <c r="CL13" s="23">
        <f>IFERROR(__xludf.DUMMYFUNCTION("IFERROR(if(ISBLANK(CI13),"" "",GOOGLEFINANCE(CH13,""changepct"")), """")"),2.07)</f>
        <v>2.07</v>
      </c>
      <c r="CM13" s="12"/>
      <c r="CN13" s="33" t="s">
        <v>298</v>
      </c>
      <c r="CO13" s="38" t="s">
        <v>282</v>
      </c>
      <c r="CP13" s="39" t="str">
        <f>IFERROR(__xludf.DUMMYFUNCTION("IFERROR(if(ISBLANK(CO13),"" "",GOOGLEFINANCE(CN13,""Name"")), """")"),"3B Blackbio DX Ltd")</f>
        <v>3B Blackbio DX Ltd</v>
      </c>
      <c r="CQ13" s="21">
        <f>IFERROR(__xludf.DUMMYFUNCTION("IFERROR(if(ISBLANK(CO13),"" "",GOOGLEFINANCE(CN13,""price"")), """")"),1255.0)</f>
        <v>1255</v>
      </c>
      <c r="CR13" s="23">
        <f>IFERROR(__xludf.DUMMYFUNCTION("IFERROR(if(ISBLANK(CO13),"" "",GOOGLEFINANCE(CN13,""changepct"")), """")"),3.89)</f>
        <v>3.89</v>
      </c>
      <c r="CS13" s="12"/>
      <c r="CT13" s="33" t="s">
        <v>299</v>
      </c>
      <c r="CU13" s="38" t="s">
        <v>282</v>
      </c>
      <c r="CV13" s="39" t="str">
        <f>IFERROR(__xludf.DUMMYFUNCTION("IFERROR(if(ISBLANK(CU13),"" "",GOOGLEFINANCE(CT13,""Name"")), """")"),"Uttam Sugar Mills Limited")</f>
        <v>Uttam Sugar Mills Limited</v>
      </c>
      <c r="CW13" s="21">
        <f>IFERROR(__xludf.DUMMYFUNCTION("IFERROR(if(ISBLANK(CU13),"" "",GOOGLEFINANCE(CT13,""price"")), """")"),252.1)</f>
        <v>252.1</v>
      </c>
      <c r="CX13" s="23">
        <f>IFERROR(__xludf.DUMMYFUNCTION("IFERROR(if(ISBLANK(CU13),"" "",GOOGLEFINANCE(CT13,""changepct"")), """")"),-0.31)</f>
        <v>-0.31</v>
      </c>
      <c r="CY13" s="17"/>
      <c r="CZ13" s="33" t="s">
        <v>300</v>
      </c>
      <c r="DA13" s="38" t="s">
        <v>282</v>
      </c>
      <c r="DB13" s="39" t="str">
        <f>IFERROR(__xludf.DUMMYFUNCTION("IFERROR(if(ISBLANK(DA13),"" "",GOOGLEFINANCE(CZ13,""Name"")), """")"),"Fabtech Technologies Ltd")</f>
        <v>Fabtech Technologies Ltd</v>
      </c>
      <c r="DC13" s="21">
        <f>IFERROR(__xludf.DUMMYFUNCTION("IFERROR(if(ISBLANK(DA13),"" "",GOOGLEFINANCE(CZ13,""price"")), """")"),145.5)</f>
        <v>145.5</v>
      </c>
      <c r="DD13" s="23">
        <f>IFERROR(__xludf.DUMMYFUNCTION("IFERROR(if(ISBLANK(DA13),"" "",GOOGLEFINANCE(CZ13,""changepct"")), """")"),-1.45)</f>
        <v>-1.45</v>
      </c>
      <c r="DE13" s="40"/>
      <c r="DF13" s="12"/>
    </row>
    <row r="14" ht="11.25" customHeight="1">
      <c r="A14" s="17"/>
      <c r="B14" s="18" t="s">
        <v>302</v>
      </c>
      <c r="C14" s="38" t="s">
        <v>303</v>
      </c>
      <c r="D14" s="39" t="str">
        <f>IFERROR(__xludf.DUMMYFUNCTION("IFERROR(if(ISBLANK(C14),"" "",GOOGLEFINANCE(B14,""Name"")), """")"),"Maruti Suzuki India Ltd")</f>
        <v>Maruti Suzuki India Ltd</v>
      </c>
      <c r="E14" s="21">
        <f>IFERROR(__xludf.DUMMYFUNCTION("IFERROR(if(ISBLANK(C14),"" "",GOOGLEFINANCE(B14,""price"")), """")"),13901.0)</f>
        <v>13901</v>
      </c>
      <c r="F14" s="22">
        <f>IFERROR(__xludf.DUMMYFUNCTION("IFERROR(if(ISBLANK(C14),"" "",GOOGLEFINANCE(B14,""changepct"")), """")"),-0.64)</f>
        <v>-0.64</v>
      </c>
      <c r="G14" s="23">
        <f>IFERROR(__xludf.DUMMYFUNCTION("IFERROR(if(ISBLANK($C14),"" "",GOOGLEFINANCE($B14,""change"")), """")"),-89.0)</f>
        <v>-89</v>
      </c>
      <c r="H14" s="24"/>
      <c r="I14" s="25" t="s">
        <v>304</v>
      </c>
      <c r="J14" s="38" t="s">
        <v>303</v>
      </c>
      <c r="K14" s="39" t="str">
        <f>IFERROR(__xludf.DUMMYFUNCTION("IFERROR(if(ISBLANK(J14),"" "",GOOGLEFINANCE(I14,""Name"")), """")"),"Bharat Forge Ltd")</f>
        <v>Bharat Forge Ltd</v>
      </c>
      <c r="L14" s="21">
        <f>IFERROR(__xludf.DUMMYFUNCTION("IFERROR(if(ISBLANK(J14),"" "",GOOGLEFINANCE(I14,""price"")), """")"),2077.0)</f>
        <v>2077</v>
      </c>
      <c r="M14" s="22">
        <f>IFERROR(__xludf.DUMMYFUNCTION("IFERROR(if(ISBLANK(J14),"" "",GOOGLEFINANCE(I14,""changepct"")), """")"),1.27)</f>
        <v>1.27</v>
      </c>
      <c r="N14" s="23">
        <f>IFERROR(__xludf.DUMMYFUNCTION("IFERROR(if(ISBLANK($C14),"" "",GOOGLEFINANCE($B14,""change"")), """")"),-89.0)</f>
        <v>-89</v>
      </c>
      <c r="O14" s="26"/>
      <c r="P14" s="27" t="s">
        <v>305</v>
      </c>
      <c r="Q14" s="38" t="s">
        <v>303</v>
      </c>
      <c r="R14" s="39" t="str">
        <f>IFERROR(__xludf.DUMMYFUNCTION("IFERROR(if(ISBLANK(Q14),"" "",GOOGLEFINANCE(P14,""Name"")), """")"),"360 One Wam Ltd")</f>
        <v>360 One Wam Ltd</v>
      </c>
      <c r="S14" s="21">
        <f>IFERROR(__xludf.DUMMYFUNCTION("IFERROR(if(ISBLANK(Q14),"" "",GOOGLEFINANCE(P14,""price"")), """")"),1155.0)</f>
        <v>1155</v>
      </c>
      <c r="T14" s="22">
        <f>IFERROR(__xludf.DUMMYFUNCTION("IFERROR(if(ISBLANK(Q14),"" "",GOOGLEFINANCE(P14,""changepct"")), """")"),-1.11)</f>
        <v>-1.11</v>
      </c>
      <c r="U14" s="28"/>
      <c r="V14" s="18" t="s">
        <v>306</v>
      </c>
      <c r="W14" s="38" t="s">
        <v>303</v>
      </c>
      <c r="X14" s="39" t="str">
        <f>IFERROR(__xludf.DUMMYFUNCTION("IFERROR(if(ISBLANK(W14),"" "",GOOGLEFINANCE(V14,""Name"")), """")"),"Gujarat Energy Ltd")</f>
        <v>Gujarat Energy Ltd</v>
      </c>
      <c r="Y14" s="21">
        <f>IFERROR(__xludf.DUMMYFUNCTION("IFERROR(if(ISBLANK(W14),"" "",GOOGLEFINANCE(V14,""price"")), """")"),275.0)</f>
        <v>275</v>
      </c>
      <c r="Z14" s="23">
        <f>IFERROR(__xludf.DUMMYFUNCTION("IFERROR(if(ISBLANK(W14),"" "",GOOGLEFINANCE(V14,""changepct"")), """")"),0.22)</f>
        <v>0.22</v>
      </c>
      <c r="AA14" s="12"/>
      <c r="AB14" s="18" t="s">
        <v>307</v>
      </c>
      <c r="AC14" s="38" t="s">
        <v>303</v>
      </c>
      <c r="AD14" s="39" t="str">
        <f>IFERROR(__xludf.DUMMYFUNCTION("IFERROR(if(ISBLANK(AC14),"" "",GOOGLEFINANCE(AB14,""Name"")), """")"),"Garware Hi-Tech Films Ltd")</f>
        <v>Garware Hi-Tech Films Ltd</v>
      </c>
      <c r="AE14" s="21">
        <f>IFERROR(__xludf.DUMMYFUNCTION("IFERROR(if(ISBLANK(AC14),"" "",GOOGLEFINANCE(AB14,""price"")), """")"),7120.5)</f>
        <v>7120.5</v>
      </c>
      <c r="AF14" s="23">
        <f>IFERROR(__xludf.DUMMYFUNCTION("IFERROR(if(ISBLANK(AC14),"" "",GOOGLEFINANCE(AB14,""changepct"")), """")"),1.42)</f>
        <v>1.42</v>
      </c>
      <c r="AG14" s="12"/>
      <c r="AH14" s="27" t="s">
        <v>308</v>
      </c>
      <c r="AI14" s="38" t="s">
        <v>303</v>
      </c>
      <c r="AJ14" s="39" t="str">
        <f>IFERROR(__xludf.DUMMYFUNCTION("IFERROR(if(ISBLANK(AI14),"" "",GOOGLEFINANCE(AH14,""Name"")), """")"),"VA Tech Wabag Ltd")</f>
        <v>VA Tech Wabag Ltd</v>
      </c>
      <c r="AK14" s="21">
        <f>IFERROR(__xludf.DUMMYFUNCTION("IFERROR(if(ISBLANK(AI14),"" "",GOOGLEFINANCE(AH14,""price"")), """")"),1899.0)</f>
        <v>1899</v>
      </c>
      <c r="AL14" s="23">
        <f>IFERROR(__xludf.DUMMYFUNCTION("IFERROR(if(ISBLANK(AI14),"" "",GOOGLEFINANCE(AH14,""changepct"")), """")"),-2.62)</f>
        <v>-2.62</v>
      </c>
      <c r="AM14" s="30"/>
      <c r="AN14" s="31" t="s">
        <v>200</v>
      </c>
      <c r="AO14" s="32" t="str">
        <f>IFERROR(__xludf.DUMMYFUNCTION("IFERROR(if(ISBLANK(AN14),"" "",GOOGLEFINANCE(AM14,""Name"")), """")"),"")</f>
        <v/>
      </c>
      <c r="AP14" s="33" t="s">
        <v>310</v>
      </c>
      <c r="AQ14" s="38" t="s">
        <v>303</v>
      </c>
      <c r="AR14" s="39" t="str">
        <f>IFERROR(__xludf.DUMMYFUNCTION("IFERROR(if(ISBLANK(AQ14),"" "",GOOGLEFINANCE(AP14,""Name"")), """")"),"NCC Ltd")</f>
        <v>NCC Ltd</v>
      </c>
      <c r="AS14" s="21">
        <f>IFERROR(__xludf.DUMMYFUNCTION("IFERROR(if(ISBLANK(AQ14),"" "",GOOGLEFINANCE(AP14,""price"")), """")"),144.0)</f>
        <v>144</v>
      </c>
      <c r="AT14" s="23">
        <f>IFERROR(__xludf.DUMMYFUNCTION("IFERROR(if(ISBLANK(AQ14),"" "",GOOGLEFINANCE(AP14,""changepct"")), """")"),-0.53)</f>
        <v>-0.53</v>
      </c>
      <c r="AU14" s="12"/>
      <c r="AV14" s="34" t="s">
        <v>311</v>
      </c>
      <c r="AW14" s="38" t="s">
        <v>303</v>
      </c>
      <c r="AX14" s="39" t="str">
        <f>IFERROR(__xludf.DUMMYFUNCTION("IFERROR(if(ISBLANK(AW14),"" "",GOOGLEFINANCE(AV14,""Name"")), """")"),"Axiscades Technologies Ltd")</f>
        <v>Axiscades Technologies Ltd</v>
      </c>
      <c r="AY14" s="21">
        <f>IFERROR(__xludf.DUMMYFUNCTION("IFERROR(if(ISBLANK(AW14),"" "",GOOGLEFINANCE(AV14,""price"")), """")"),1553.8)</f>
        <v>1553.8</v>
      </c>
      <c r="AZ14" s="23">
        <f>IFERROR(__xludf.DUMMYFUNCTION("IFERROR(if(ISBLANK(AW14),"" "",GOOGLEFINANCE(AV14,""changepct"")), """")"),0.54)</f>
        <v>0.54</v>
      </c>
      <c r="BA14" s="12"/>
      <c r="BB14" s="33" t="s">
        <v>312</v>
      </c>
      <c r="BC14" s="38" t="s">
        <v>303</v>
      </c>
      <c r="BD14" s="39" t="str">
        <f>IFERROR(__xludf.DUMMYFUNCTION("IFERROR(if(ISBLANK(BC14),"" "",GOOGLEFINANCE(BB14,""Name"")), """")"),"Laxmi Organic Industries Ltd")</f>
        <v>Laxmi Organic Industries Ltd</v>
      </c>
      <c r="BE14" s="21">
        <f>IFERROR(__xludf.DUMMYFUNCTION("IFERROR(if(ISBLANK(BC14),"" "",GOOGLEFINANCE(BB14,""price"")), """")"),173.3)</f>
        <v>173.3</v>
      </c>
      <c r="BF14" s="23">
        <f>IFERROR(__xludf.DUMMYFUNCTION("IFERROR(if(ISBLANK(BC14),"" "",GOOGLEFINANCE(BB14,""changepct"")), """")"),-0.91)</f>
        <v>-0.91</v>
      </c>
      <c r="BG14" s="12"/>
      <c r="BH14" s="35" t="s">
        <v>313</v>
      </c>
      <c r="BI14" s="38" t="s">
        <v>303</v>
      </c>
      <c r="BJ14" s="39" t="str">
        <f>IFERROR(__xludf.DUMMYFUNCTION("IFERROR(if(ISBLANK(BI14),"" "",GOOGLEFINANCE(BH14,""Name"")), """")"),"Enviro Infra Engineers Ltd")</f>
        <v>Enviro Infra Engineers Ltd</v>
      </c>
      <c r="BK14" s="21">
        <f>IFERROR(__xludf.DUMMYFUNCTION("IFERROR(if(ISBLANK(BI14),"" "",GOOGLEFINANCE(BH14,""price"")), """")"),203.4)</f>
        <v>203.4</v>
      </c>
      <c r="BL14" s="23">
        <f>IFERROR(__xludf.DUMMYFUNCTION("IFERROR(if(ISBLANK(BI14),"" "",GOOGLEFINANCE(BH14,""changepct"")), """")"),-4.94)</f>
        <v>-4.94</v>
      </c>
      <c r="BM14" s="12"/>
      <c r="BN14" s="33" t="s">
        <v>314</v>
      </c>
      <c r="BO14" s="38" t="s">
        <v>303</v>
      </c>
      <c r="BP14" s="39" t="str">
        <f>IFERROR(__xludf.DUMMYFUNCTION("IFERROR(if(ISBLANK(BO14),"" "",GOOGLEFINANCE(BN14,""Name"")), """")"),"JTL Industries Ltd")</f>
        <v>JTL Industries Ltd</v>
      </c>
      <c r="BQ14" s="21">
        <f>IFERROR(__xludf.DUMMYFUNCTION("IFERROR(if(ISBLANK(BO14),"" "",GOOGLEFINANCE(BN14,""price"")), """")"),75.25)</f>
        <v>75.25</v>
      </c>
      <c r="BR14" s="23">
        <f>IFERROR(__xludf.DUMMYFUNCTION("IFERROR(if(ISBLANK(BO14),"" "",GOOGLEFINANCE(BN14,""changepct"")), """")"),-2.01)</f>
        <v>-2.01</v>
      </c>
      <c r="BS14" s="22">
        <f>IFERROR(__xludf.DUMMYFUNCTION("IFERROR(if(ISBLANK($C14),"" "",GOOGLEFINANCE($B14,""change"")), """")"),-89.0)</f>
        <v>-89</v>
      </c>
      <c r="BT14" s="36"/>
      <c r="BU14" s="27" t="s">
        <v>315</v>
      </c>
      <c r="BV14" s="38" t="s">
        <v>303</v>
      </c>
      <c r="BW14" s="39" t="str">
        <f>IFERROR(__xludf.DUMMYFUNCTION("IFERROR(if(ISBLANK(BV14),"" "",GOOGLEFINANCE(BU14,""Name"")), """")"),"Sika Interplant Systems Ltd")</f>
        <v>Sika Interplant Systems Ltd</v>
      </c>
      <c r="BX14" s="21">
        <f>IFERROR(__xludf.DUMMYFUNCTION("IFERROR(if(ISBLANK(BV14),"" "",GOOGLEFINANCE(BU14,""price"")), """")"),1113.2)</f>
        <v>1113.2</v>
      </c>
      <c r="BY14" s="23">
        <f>IFERROR(__xludf.DUMMYFUNCTION("IFERROR(if(ISBLANK(BV14),"" "",GOOGLEFINANCE(BU14,""changepct"")), """")"),0.96)</f>
        <v>0.96</v>
      </c>
      <c r="BZ14" s="22">
        <f>IFERROR(__xludf.DUMMYFUNCTION("IFERROR(if(ISBLANK($C14),"" "",GOOGLEFINANCE($B14,""change"")), """")"),-89.0)</f>
        <v>-89</v>
      </c>
      <c r="CA14" s="37"/>
      <c r="CB14" s="27" t="s">
        <v>316</v>
      </c>
      <c r="CC14" s="38" t="s">
        <v>303</v>
      </c>
      <c r="CD14" s="39" t="str">
        <f>IFERROR(__xludf.DUMMYFUNCTION("IFERROR(if(ISBLANK(CC14),"" "",GOOGLEFINANCE(CB14,""Name"")), """")"),"Grand Oak Canyons Distillery Ltd")</f>
        <v>Grand Oak Canyons Distillery Ltd</v>
      </c>
      <c r="CE14" s="21">
        <f>IFERROR(__xludf.DUMMYFUNCTION("IFERROR(if(ISBLANK(CC14),"" "",GOOGLEFINANCE(CB14,""price"")), """")"),38.77)</f>
        <v>38.77</v>
      </c>
      <c r="CF14" s="23">
        <f>IFERROR(__xludf.DUMMYFUNCTION("IFERROR(if(ISBLANK(CC14),"" "",GOOGLEFINANCE(CB14,""changepct"")), """")"),-5.0)</f>
        <v>-5</v>
      </c>
      <c r="CG14" s="12"/>
      <c r="CH14" s="18" t="s">
        <v>317</v>
      </c>
      <c r="CI14" s="38" t="s">
        <v>303</v>
      </c>
      <c r="CJ14" s="39" t="str">
        <f>IFERROR(__xludf.DUMMYFUNCTION("IFERROR(if(ISBLANK(CI14),"" "",GOOGLEFINANCE(CH14,""Name"")), """")"),"Jagran Prakashan Ltd")</f>
        <v>Jagran Prakashan Ltd</v>
      </c>
      <c r="CK14" s="21">
        <f>IFERROR(__xludf.DUMMYFUNCTION("IFERROR(if(ISBLANK(CI14),"" "",GOOGLEFINANCE(CH14,""price"")), """")"),63.75)</f>
        <v>63.75</v>
      </c>
      <c r="CL14" s="23">
        <f>IFERROR(__xludf.DUMMYFUNCTION("IFERROR(if(ISBLANK(CI14),"" "",GOOGLEFINANCE(CH14,""changepct"")), """")"),0.24)</f>
        <v>0.24</v>
      </c>
      <c r="CM14" s="12"/>
      <c r="CN14" s="33" t="s">
        <v>318</v>
      </c>
      <c r="CO14" s="38" t="s">
        <v>303</v>
      </c>
      <c r="CP14" s="39" t="str">
        <f>IFERROR(__xludf.DUMMYFUNCTION("IFERROR(if(ISBLANK(CO14),"" "",GOOGLEFINANCE(CN14,""Name"")), """")"),"Crest Ventures Ltd")</f>
        <v>Crest Ventures Ltd</v>
      </c>
      <c r="CQ14" s="21">
        <f>IFERROR(__xludf.DUMMYFUNCTION("IFERROR(if(ISBLANK(CO14),"" "",GOOGLEFINANCE(CN14,""price"")), """")"),366.0)</f>
        <v>366</v>
      </c>
      <c r="CR14" s="23">
        <f>IFERROR(__xludf.DUMMYFUNCTION("IFERROR(if(ISBLANK(CO14),"" "",GOOGLEFINANCE(CN14,""changepct"")), """")"),-0.72)</f>
        <v>-0.72</v>
      </c>
      <c r="CS14" s="12"/>
      <c r="CT14" s="33" t="s">
        <v>320</v>
      </c>
      <c r="CU14" s="38" t="s">
        <v>303</v>
      </c>
      <c r="CV14" s="39" t="str">
        <f>IFERROR(__xludf.DUMMYFUNCTION("IFERROR(if(ISBLANK(CU14),"" "",GOOGLEFINANCE(CT14,""Name"")), """")"),"Radhika Jeweltech Ltd")</f>
        <v>Radhika Jeweltech Ltd</v>
      </c>
      <c r="CW14" s="21">
        <f>IFERROR(__xludf.DUMMYFUNCTION("IFERROR(if(ISBLANK(CU14),"" "",GOOGLEFINANCE(CT14,""price"")), """")"),72.24)</f>
        <v>72.24</v>
      </c>
      <c r="CX14" s="23">
        <f>IFERROR(__xludf.DUMMYFUNCTION("IFERROR(if(ISBLANK(CU14),"" "",GOOGLEFINANCE(CT14,""changepct"")), """")"),0.98)</f>
        <v>0.98</v>
      </c>
      <c r="CY14" s="17"/>
      <c r="CZ14" s="33" t="s">
        <v>321</v>
      </c>
      <c r="DA14" s="38" t="s">
        <v>303</v>
      </c>
      <c r="DB14" s="39" t="str">
        <f>IFERROR(__xludf.DUMMYFUNCTION("IFERROR(if(ISBLANK(DA14),"" "",GOOGLEFINANCE(CZ14,""Name"")), """")"),"Emami Paper Mills Ltd")</f>
        <v>Emami Paper Mills Ltd</v>
      </c>
      <c r="DC14" s="21">
        <f>IFERROR(__xludf.DUMMYFUNCTION("IFERROR(if(ISBLANK(DA14),"" "",GOOGLEFINANCE(CZ14,""price"")), """")"),111.06)</f>
        <v>111.06</v>
      </c>
      <c r="DD14" s="23">
        <f>IFERROR(__xludf.DUMMYFUNCTION("IFERROR(if(ISBLANK(DA14),"" "",GOOGLEFINANCE(CZ14,""changepct"")), """")"),-1.15)</f>
        <v>-1.15</v>
      </c>
      <c r="DE14" s="12"/>
      <c r="DF14" s="12"/>
    </row>
    <row r="15" ht="11.25" customHeight="1">
      <c r="A15" s="17"/>
      <c r="B15" s="18" t="s">
        <v>322</v>
      </c>
      <c r="C15" s="38" t="s">
        <v>323</v>
      </c>
      <c r="D15" s="39" t="str">
        <f>IFERROR(__xludf.DUMMYFUNCTION("IFERROR(if(ISBLANK(C15),"" "",GOOGLEFINANCE(B15,""Name"")), """")"),"Titan Company Ltd")</f>
        <v>Titan Company Ltd</v>
      </c>
      <c r="E15" s="21">
        <f>IFERROR(__xludf.DUMMYFUNCTION("IFERROR(if(ISBLANK(C15),"" "",GOOGLEFINANCE(B15,""price"")), """")"),5072.9)</f>
        <v>5072.9</v>
      </c>
      <c r="F15" s="22">
        <f>IFERROR(__xludf.DUMMYFUNCTION("IFERROR(if(ISBLANK(C15),"" "",GOOGLEFINANCE(B15,""changepct"")), """")"),-1.07)</f>
        <v>-1.07</v>
      </c>
      <c r="G15" s="23">
        <f>IFERROR(__xludf.DUMMYFUNCTION("IFERROR(if(ISBLANK($C15),"" "",GOOGLEFINANCE($B15,""change"")), """")"),-55.1)</f>
        <v>-55.1</v>
      </c>
      <c r="H15" s="24"/>
      <c r="I15" s="25" t="s">
        <v>324</v>
      </c>
      <c r="J15" s="38" t="s">
        <v>323</v>
      </c>
      <c r="K15" s="39" t="str">
        <f>IFERROR(__xludf.DUMMYFUNCTION("IFERROR(if(ISBLANK(J15),"" "",GOOGLEFINANCE(I15,""Name"")), """")"),"Indian Hotels Company Ltd")</f>
        <v>Indian Hotels Company Ltd</v>
      </c>
      <c r="L15" s="21">
        <f>IFERROR(__xludf.DUMMYFUNCTION("IFERROR(if(ISBLANK(J15),"" "",GOOGLEFINANCE(I15,""price"")), """")"),720.8)</f>
        <v>720.8</v>
      </c>
      <c r="M15" s="22">
        <f>IFERROR(__xludf.DUMMYFUNCTION("IFERROR(if(ISBLANK(J15),"" "",GOOGLEFINANCE(I15,""changepct"")), """")"),-0.44)</f>
        <v>-0.44</v>
      </c>
      <c r="N15" s="23">
        <f>IFERROR(__xludf.DUMMYFUNCTION("IFERROR(if(ISBLANK($C15),"" "",GOOGLEFINANCE($B15,""change"")), """")"),-55.1)</f>
        <v>-55.1</v>
      </c>
      <c r="O15" s="26"/>
      <c r="P15" s="27" t="s">
        <v>325</v>
      </c>
      <c r="Q15" s="38" t="s">
        <v>323</v>
      </c>
      <c r="R15" s="39" t="str">
        <f>IFERROR(__xludf.DUMMYFUNCTION("IFERROR(if(ISBLANK(Q15),"" "",GOOGLEFINANCE(P15,""Name"")), """")"),"Bharat Dynamics Ltd")</f>
        <v>Bharat Dynamics Ltd</v>
      </c>
      <c r="S15" s="21">
        <f>IFERROR(__xludf.DUMMYFUNCTION("IFERROR(if(ISBLANK(Q15),"" "",GOOGLEFINANCE(P15,""price"")), """")"),1325.0)</f>
        <v>1325</v>
      </c>
      <c r="T15" s="22">
        <f>IFERROR(__xludf.DUMMYFUNCTION("IFERROR(if(ISBLANK(Q15),"" "",GOOGLEFINANCE(P15,""changepct"")), """")"),1.33)</f>
        <v>1.33</v>
      </c>
      <c r="U15" s="28"/>
      <c r="V15" s="18" t="s">
        <v>326</v>
      </c>
      <c r="W15" s="38" t="s">
        <v>323</v>
      </c>
      <c r="X15" s="39" t="str">
        <f>IFERROR(__xludf.DUMMYFUNCTION("IFERROR(if(ISBLANK(W15),"" "",GOOGLEFINANCE(V15,""Name"")), """")"),"Acme Solar Holdings Ltd")</f>
        <v>Acme Solar Holdings Ltd</v>
      </c>
      <c r="Y15" s="21">
        <f>IFERROR(__xludf.DUMMYFUNCTION("IFERROR(if(ISBLANK(W15),"" "",GOOGLEFINANCE(V15,""price"")), """")"),372.9)</f>
        <v>372.9</v>
      </c>
      <c r="Z15" s="23">
        <f>IFERROR(__xludf.DUMMYFUNCTION("IFERROR(if(ISBLANK(W15),"" "",GOOGLEFINANCE(V15,""changepct"")), """")"),1.21)</f>
        <v>1.21</v>
      </c>
      <c r="AA15" s="12"/>
      <c r="AB15" s="18" t="s">
        <v>328</v>
      </c>
      <c r="AC15" s="38" t="s">
        <v>323</v>
      </c>
      <c r="AD15" s="39" t="str">
        <f>IFERROR(__xludf.DUMMYFUNCTION("IFERROR(if(ISBLANK(AC15),"" "",GOOGLEFINANCE(AB15,""Name"")), """")"),"Ratnamani Metals and Tubes Ltd")</f>
        <v>Ratnamani Metals and Tubes Ltd</v>
      </c>
      <c r="AE15" s="21">
        <f>IFERROR(__xludf.DUMMYFUNCTION("IFERROR(if(ISBLANK(AC15),"" "",GOOGLEFINANCE(AB15,""price"")), """")"),2258.5)</f>
        <v>2258.5</v>
      </c>
      <c r="AF15" s="23">
        <f>IFERROR(__xludf.DUMMYFUNCTION("IFERROR(if(ISBLANK(AC15),"" "",GOOGLEFINANCE(AB15,""changepct"")), """")"),0.16)</f>
        <v>0.16</v>
      </c>
      <c r="AG15" s="12"/>
      <c r="AH15" s="27" t="s">
        <v>329</v>
      </c>
      <c r="AI15" s="38" t="s">
        <v>323</v>
      </c>
      <c r="AJ15" s="39" t="str">
        <f>IFERROR(__xludf.DUMMYFUNCTION("IFERROR(if(ISBLANK(AI15),"" "",GOOGLEFINANCE(AH15,""Name"")), """")"),"India Cements Ltd")</f>
        <v>India Cements Ltd</v>
      </c>
      <c r="AK15" s="21">
        <f>IFERROR(__xludf.DUMMYFUNCTION("IFERROR(if(ISBLANK(AI15),"" "",GOOGLEFINANCE(AH15,""price"")), """")"),383.5)</f>
        <v>383.5</v>
      </c>
      <c r="AL15" s="23">
        <f>IFERROR(__xludf.DUMMYFUNCTION("IFERROR(if(ISBLANK(AI15),"" "",GOOGLEFINANCE(AH15,""changepct"")), """")"),-0.08)</f>
        <v>-0.08</v>
      </c>
      <c r="AM15" s="30"/>
      <c r="AN15" s="31" t="s">
        <v>200</v>
      </c>
      <c r="AO15" s="32" t="str">
        <f>IFERROR(__xludf.DUMMYFUNCTION("IFERROR(if(ISBLANK(AN15),"" "",GOOGLEFINANCE(AM15,""Name"")), """")"),"")</f>
        <v/>
      </c>
      <c r="AP15" s="33" t="s">
        <v>330</v>
      </c>
      <c r="AQ15" s="38" t="s">
        <v>323</v>
      </c>
      <c r="AR15" s="39" t="str">
        <f>IFERROR(__xludf.DUMMYFUNCTION("IFERROR(if(ISBLANK(AQ15),"" "",GOOGLEFINANCE(AP15,""Name"")), """")"),"SG Mart Ltd")</f>
        <v>SG Mart Ltd</v>
      </c>
      <c r="AS15" s="21">
        <f>IFERROR(__xludf.DUMMYFUNCTION("IFERROR(if(ISBLANK(AQ15),"" "",GOOGLEFINANCE(AP15,""price"")), """")"),718.0)</f>
        <v>718</v>
      </c>
      <c r="AT15" s="23">
        <f>IFERROR(__xludf.DUMMYFUNCTION("IFERROR(if(ISBLANK(AQ15),"" "",GOOGLEFINANCE(AP15,""changepct"")), """")"),0.01)</f>
        <v>0.01</v>
      </c>
      <c r="AU15" s="12"/>
      <c r="AV15" s="34" t="s">
        <v>331</v>
      </c>
      <c r="AW15" s="38" t="s">
        <v>323</v>
      </c>
      <c r="AX15" s="39" t="str">
        <f>IFERROR(__xludf.DUMMYFUNCTION("IFERROR(if(ISBLANK(AW15),"" "",GOOGLEFINANCE(AV15,""Name"")), """")"),"Sunflag Iron and Steel Co Ltd")</f>
        <v>Sunflag Iron and Steel Co Ltd</v>
      </c>
      <c r="AY15" s="21">
        <f>IFERROR(__xludf.DUMMYFUNCTION("IFERROR(if(ISBLANK(AW15),"" "",GOOGLEFINANCE(AV15,""price"")), """")"),362.45)</f>
        <v>362.45</v>
      </c>
      <c r="AZ15" s="23">
        <f>IFERROR(__xludf.DUMMYFUNCTION("IFERROR(if(ISBLANK(AW15),"" "",GOOGLEFINANCE(AV15,""changepct"")), """")"),-1.78)</f>
        <v>-1.78</v>
      </c>
      <c r="BA15" s="12"/>
      <c r="BB15" s="33" t="s">
        <v>332</v>
      </c>
      <c r="BC15" s="38" t="s">
        <v>323</v>
      </c>
      <c r="BD15" s="39" t="str">
        <f>IFERROR(__xludf.DUMMYFUNCTION("IFERROR(if(ISBLANK(BC15),"" "",GOOGLEFINANCE(BB15,""Name"")), """")"),"Bliss GVS Pharma Ltd")</f>
        <v>Bliss GVS Pharma Ltd</v>
      </c>
      <c r="BE15" s="21">
        <f>IFERROR(__xludf.DUMMYFUNCTION("IFERROR(if(ISBLANK(BC15),"" "",GOOGLEFINANCE(BB15,""price"")), """")"),490.0)</f>
        <v>490</v>
      </c>
      <c r="BF15" s="23">
        <f>IFERROR(__xludf.DUMMYFUNCTION("IFERROR(if(ISBLANK(BC15),"" "",GOOGLEFINANCE(BB15,""changepct"")), """")"),-0.82)</f>
        <v>-0.82</v>
      </c>
      <c r="BG15" s="12"/>
      <c r="BH15" s="35" t="s">
        <v>333</v>
      </c>
      <c r="BI15" s="38" t="s">
        <v>323</v>
      </c>
      <c r="BJ15" s="39" t="str">
        <f>IFERROR(__xludf.DUMMYFUNCTION("IFERROR(if(ISBLANK(BI15),"" "",GOOGLEFINANCE(BH15,""Name"")), """")"),"Raymond Ltd")</f>
        <v>Raymond Ltd</v>
      </c>
      <c r="BK15" s="21">
        <f>IFERROR(__xludf.DUMMYFUNCTION("IFERROR(if(ISBLANK(BI15),"" "",GOOGLEFINANCE(BH15,""price"")), """")"),617.0)</f>
        <v>617</v>
      </c>
      <c r="BL15" s="23">
        <f>IFERROR(__xludf.DUMMYFUNCTION("IFERROR(if(ISBLANK(BI15),"" "",GOOGLEFINANCE(BH15,""changepct"")), """")"),-1.17)</f>
        <v>-1.17</v>
      </c>
      <c r="BM15" s="12"/>
      <c r="BN15" s="33" t="s">
        <v>335</v>
      </c>
      <c r="BO15" s="38" t="s">
        <v>323</v>
      </c>
      <c r="BP15" s="39" t="str">
        <f>IFERROR(__xludf.DUMMYFUNCTION("IFERROR(if(ISBLANK(BO15),"" "",GOOGLEFINANCE(BN15,""Name"")), """")"),"Vardhman Special Steels Ltd")</f>
        <v>Vardhman Special Steels Ltd</v>
      </c>
      <c r="BQ15" s="21">
        <f>IFERROR(__xludf.DUMMYFUNCTION("IFERROR(if(ISBLANK(BO15),"" "",GOOGLEFINANCE(BN15,""price"")), """")"),330.0)</f>
        <v>330</v>
      </c>
      <c r="BR15" s="23">
        <f>IFERROR(__xludf.DUMMYFUNCTION("IFERROR(if(ISBLANK(BO15),"" "",GOOGLEFINANCE(BN15,""changepct"")), """")"),-0.81)</f>
        <v>-0.81</v>
      </c>
      <c r="BS15" s="22">
        <f>IFERROR(__xludf.DUMMYFUNCTION("IFERROR(if(ISBLANK($C15),"" "",GOOGLEFINANCE($B15,""change"")), """")"),-55.1)</f>
        <v>-55.1</v>
      </c>
      <c r="BT15" s="36"/>
      <c r="BU15" s="27" t="s">
        <v>336</v>
      </c>
      <c r="BV15" s="38" t="s">
        <v>323</v>
      </c>
      <c r="BW15" s="39" t="str">
        <f>IFERROR(__xludf.DUMMYFUNCTION("IFERROR(if(ISBLANK(BV15),"" "",GOOGLEFINANCE(BU15,""Name"")), """")"),"Dr Agarwal's Eye Hospital Ltd")</f>
        <v>Dr Agarwal's Eye Hospital Ltd</v>
      </c>
      <c r="BX15" s="21">
        <f>IFERROR(__xludf.DUMMYFUNCTION("IFERROR(if(ISBLANK(BV15),"" "",GOOGLEFINANCE(BU15,""price"")), """")"),5470.0)</f>
        <v>5470</v>
      </c>
      <c r="BY15" s="23">
        <f>IFERROR(__xludf.DUMMYFUNCTION("IFERROR(if(ISBLANK(BV15),"" "",GOOGLEFINANCE(BU15,""changepct"")), """")"),2.93)</f>
        <v>2.93</v>
      </c>
      <c r="BZ15" s="22">
        <f>IFERROR(__xludf.DUMMYFUNCTION("IFERROR(if(ISBLANK($C15),"" "",GOOGLEFINANCE($B15,""change"")), """")"),-55.1)</f>
        <v>-55.1</v>
      </c>
      <c r="CA15" s="37"/>
      <c r="CB15" s="27" t="s">
        <v>337</v>
      </c>
      <c r="CC15" s="38" t="s">
        <v>323</v>
      </c>
      <c r="CD15" s="39" t="str">
        <f>IFERROR(__xludf.DUMMYFUNCTION("IFERROR(if(ISBLANK(CC15),"" "",GOOGLEFINANCE(CB15,""Name"")), """")"),"Nucleus Software Exports Ltd")</f>
        <v>Nucleus Software Exports Ltd</v>
      </c>
      <c r="CE15" s="21">
        <f>IFERROR(__xludf.DUMMYFUNCTION("IFERROR(if(ISBLANK(CC15),"" "",GOOGLEFINANCE(CB15,""price"")), """")"),692.55)</f>
        <v>692.55</v>
      </c>
      <c r="CF15" s="23">
        <f>IFERROR(__xludf.DUMMYFUNCTION("IFERROR(if(ISBLANK(CC15),"" "",GOOGLEFINANCE(CB15,""changepct"")), """")"),0.12)</f>
        <v>0.12</v>
      </c>
      <c r="CG15" s="12"/>
      <c r="CH15" s="18" t="s">
        <v>338</v>
      </c>
      <c r="CI15" s="38" t="s">
        <v>323</v>
      </c>
      <c r="CJ15" s="39" t="str">
        <f>IFERROR(__xludf.DUMMYFUNCTION("IFERROR(if(ISBLANK(CI15),"" "",GOOGLEFINANCE(CH15,""Name"")), """")"),"Quadrant Future Tek Ltd")</f>
        <v>Quadrant Future Tek Ltd</v>
      </c>
      <c r="CK15" s="21">
        <f>IFERROR(__xludf.DUMMYFUNCTION("IFERROR(if(ISBLANK(CI15),"" "",GOOGLEFINANCE(CH15,""price"")), """")"),353.2)</f>
        <v>353.2</v>
      </c>
      <c r="CL15" s="23">
        <f>IFERROR(__xludf.DUMMYFUNCTION("IFERROR(if(ISBLANK(CI15),"" "",GOOGLEFINANCE(CH15,""changepct"")), """")"),-1.04)</f>
        <v>-1.04</v>
      </c>
      <c r="CM15" s="12"/>
      <c r="CN15" s="33" t="s">
        <v>339</v>
      </c>
      <c r="CO15" s="38" t="s">
        <v>323</v>
      </c>
      <c r="CP15" s="39" t="str">
        <f>IFERROR(__xludf.DUMMYFUNCTION("IFERROR(if(ISBLANK(CO15),"" "",GOOGLEFINANCE(CN15,""Name"")), """")"),"Madras Fertilizers Ltd")</f>
        <v>Madras Fertilizers Ltd</v>
      </c>
      <c r="CQ15" s="21">
        <f>IFERROR(__xludf.DUMMYFUNCTION("IFERROR(if(ISBLANK(CO15),"" "",GOOGLEFINANCE(CN15,""price"")), """")"),65.16)</f>
        <v>65.16</v>
      </c>
      <c r="CR15" s="23">
        <f>IFERROR(__xludf.DUMMYFUNCTION("IFERROR(if(ISBLANK(CO15),"" "",GOOGLEFINANCE(CN15,""changepct"")), """")"),-2.54)</f>
        <v>-2.54</v>
      </c>
      <c r="CS15" s="12"/>
      <c r="CT15" s="33" t="s">
        <v>340</v>
      </c>
      <c r="CU15" s="38" t="s">
        <v>323</v>
      </c>
      <c r="CV15" s="39" t="str">
        <f>IFERROR(__xludf.DUMMYFUNCTION("IFERROR(if(ISBLANK(CU15),"" "",GOOGLEFINANCE(CT15,""Name"")), """")"),"Oricon Enterprises Ltd")</f>
        <v>Oricon Enterprises Ltd</v>
      </c>
      <c r="CW15" s="21">
        <f>IFERROR(__xludf.DUMMYFUNCTION("IFERROR(if(ISBLANK(CU15),"" "",GOOGLEFINANCE(CT15,""price"")), """")"),53.0)</f>
        <v>53</v>
      </c>
      <c r="CX15" s="23">
        <f>IFERROR(__xludf.DUMMYFUNCTION("IFERROR(if(ISBLANK(CU15),"" "",GOOGLEFINANCE(CT15,""changepct"")), """")"),0.17)</f>
        <v>0.17</v>
      </c>
      <c r="CY15" s="17"/>
      <c r="CZ15" s="33" t="s">
        <v>341</v>
      </c>
      <c r="DA15" s="38" t="s">
        <v>323</v>
      </c>
      <c r="DB15" s="39" t="str">
        <f>IFERROR(__xludf.DUMMYFUNCTION("IFERROR(if(ISBLANK(DA15),"" "",GOOGLEFINANCE(CZ15,""Name"")), """")"),"Laxmi India Finance Ltd")</f>
        <v>Laxmi India Finance Ltd</v>
      </c>
      <c r="DC15" s="21">
        <f>IFERROR(__xludf.DUMMYFUNCTION("IFERROR(if(ISBLANK(DA15),"" "",GOOGLEFINANCE(CZ15,""price"")), """")"),135.05)</f>
        <v>135.05</v>
      </c>
      <c r="DD15" s="23">
        <f>IFERROR(__xludf.DUMMYFUNCTION("IFERROR(if(ISBLANK(DA15),"" "",GOOGLEFINANCE(CZ15,""changepct"")), """")"),-3.02)</f>
        <v>-3.02</v>
      </c>
      <c r="DE15" s="12"/>
      <c r="DF15" s="12"/>
    </row>
    <row r="16" ht="11.25" customHeight="1">
      <c r="A16" s="17"/>
      <c r="B16" s="18" t="s">
        <v>342</v>
      </c>
      <c r="C16" s="38" t="s">
        <v>343</v>
      </c>
      <c r="D16" s="39" t="str">
        <f>IFERROR(__xludf.DUMMYFUNCTION("IFERROR(if(ISBLANK(C16),"" "",GOOGLEFINANCE(B16,""Name"")), """")"),"Mahindra And Mahindra Ltd")</f>
        <v>Mahindra And Mahindra Ltd</v>
      </c>
      <c r="E16" s="21">
        <f>IFERROR(__xludf.DUMMYFUNCTION("IFERROR(if(ISBLANK(C16),"" "",GOOGLEFINANCE(B16,""price"")), """")"),3417.0)</f>
        <v>3417</v>
      </c>
      <c r="F16" s="22">
        <f>IFERROR(__xludf.DUMMYFUNCTION("IFERROR(if(ISBLANK(C16),"" "",GOOGLEFINANCE(B16,""changepct"")), """")"),-1.25)</f>
        <v>-1.25</v>
      </c>
      <c r="G16" s="23">
        <f>IFERROR(__xludf.DUMMYFUNCTION("IFERROR(if(ISBLANK($C16),"" "",GOOGLEFINANCE($B16,""change"")), """")"),-43.1)</f>
        <v>-43.1</v>
      </c>
      <c r="H16" s="24"/>
      <c r="I16" s="25" t="s">
        <v>345</v>
      </c>
      <c r="J16" s="38" t="s">
        <v>343</v>
      </c>
      <c r="K16" s="39" t="str">
        <f>IFERROR(__xludf.DUMMYFUNCTION("IFERROR(if(ISBLANK(J16),"" "",GOOGLEFINANCE(I16,""Name"")), """")"),"Vedanta Ltd")</f>
        <v>Vedanta Ltd</v>
      </c>
      <c r="L16" s="21">
        <f>IFERROR(__xludf.DUMMYFUNCTION("IFERROR(if(ISBLANK(J16),"" "",GOOGLEFINANCE(I16,""price"")), """")"),274.55)</f>
        <v>274.55</v>
      </c>
      <c r="M16" s="22">
        <f>IFERROR(__xludf.DUMMYFUNCTION("IFERROR(if(ISBLANK(J16),"" "",GOOGLEFINANCE(I16,""changepct"")), """")"),-0.16)</f>
        <v>-0.16</v>
      </c>
      <c r="N16" s="23">
        <f>IFERROR(__xludf.DUMMYFUNCTION("IFERROR(if(ISBLANK($C16),"" "",GOOGLEFINANCE($B16,""change"")), """")"),-43.1)</f>
        <v>-43.1</v>
      </c>
      <c r="O16" s="26"/>
      <c r="P16" s="27" t="s">
        <v>346</v>
      </c>
      <c r="Q16" s="38" t="s">
        <v>343</v>
      </c>
      <c r="R16" s="39" t="str">
        <f>IFERROR(__xludf.DUMMYFUNCTION("IFERROR(if(ISBLANK(Q16),"" "",GOOGLEFINANCE(P16,""Name"")), """")"),"Authum Investment &amp; Infrastructure Ltd")</f>
        <v>Authum Investment &amp; Infrastructure Ltd</v>
      </c>
      <c r="S16" s="21">
        <f>IFERROR(__xludf.DUMMYFUNCTION("IFERROR(if(ISBLANK(Q16),"" "",GOOGLEFINANCE(P16,""price"")), """")"),557.0)</f>
        <v>557</v>
      </c>
      <c r="T16" s="22">
        <f>IFERROR(__xludf.DUMMYFUNCTION("IFERROR(if(ISBLANK(Q16),"" "",GOOGLEFINANCE(P16,""changepct"")), """")"),-2.87)</f>
        <v>-2.87</v>
      </c>
      <c r="U16" s="28"/>
      <c r="V16" s="18" t="s">
        <v>347</v>
      </c>
      <c r="W16" s="38" t="s">
        <v>343</v>
      </c>
      <c r="X16" s="39" t="str">
        <f>IFERROR(__xludf.DUMMYFUNCTION("IFERROR(if(ISBLANK(W16),"" "",GOOGLEFINANCE(V16,""Name"")), """")"),"NBCC (India) Ltd")</f>
        <v>NBCC (India) Ltd</v>
      </c>
      <c r="Y16" s="21">
        <f>IFERROR(__xludf.DUMMYFUNCTION("IFERROR(if(ISBLANK(W16),"" "",GOOGLEFINANCE(V16,""price"")), """")"),92.51)</f>
        <v>92.51</v>
      </c>
      <c r="Z16" s="23">
        <f>IFERROR(__xludf.DUMMYFUNCTION("IFERROR(if(ISBLANK(W16),"" "",GOOGLEFINANCE(V16,""changepct"")), """")"),-1.38)</f>
        <v>-1.38</v>
      </c>
      <c r="AA16" s="12"/>
      <c r="AB16" s="18" t="s">
        <v>348</v>
      </c>
      <c r="AC16" s="38" t="s">
        <v>343</v>
      </c>
      <c r="AD16" s="39" t="str">
        <f>IFERROR(__xludf.DUMMYFUNCTION("IFERROR(if(ISBLANK(AC16),"" "",GOOGLEFINANCE(AB16,""Name"")), """")"),"Leela Palaces Hotels &amp; Resorts Ltd")</f>
        <v>Leela Palaces Hotels &amp; Resorts Ltd</v>
      </c>
      <c r="AE16" s="21">
        <f>IFERROR(__xludf.DUMMYFUNCTION("IFERROR(if(ISBLANK(AC16),"" "",GOOGLEFINANCE(AB16,""price"")), """")"),504.0)</f>
        <v>504</v>
      </c>
      <c r="AF16" s="23">
        <f>IFERROR(__xludf.DUMMYFUNCTION("IFERROR(if(ISBLANK(AC16),"" "",GOOGLEFINANCE(AB16,""changepct"")), """")"),-1.61)</f>
        <v>-1.61</v>
      </c>
      <c r="AG16" s="12"/>
      <c r="AH16" s="27" t="s">
        <v>349</v>
      </c>
      <c r="AI16" s="38" t="s">
        <v>343</v>
      </c>
      <c r="AJ16" s="39" t="str">
        <f>IFERROR(__xludf.DUMMYFUNCTION("IFERROR(if(ISBLANK(AI16),"" "",GOOGLEFINANCE(AH16,""Name"")), """")"),"Nuvoco Vistas Corporation Ltd")</f>
        <v>Nuvoco Vistas Corporation Ltd</v>
      </c>
      <c r="AK16" s="21">
        <f>IFERROR(__xludf.DUMMYFUNCTION("IFERROR(if(ISBLANK(AI16),"" "",GOOGLEFINANCE(AH16,""price"")), """")"),333.2)</f>
        <v>333.2</v>
      </c>
      <c r="AL16" s="23">
        <f>IFERROR(__xludf.DUMMYFUNCTION("IFERROR(if(ISBLANK(AI16),"" "",GOOGLEFINANCE(AH16,""changepct"")), """")"),0.59)</f>
        <v>0.59</v>
      </c>
      <c r="AM16" s="30"/>
      <c r="AN16" s="31" t="s">
        <v>200</v>
      </c>
      <c r="AO16" s="32" t="str">
        <f>IFERROR(__xludf.DUMMYFUNCTION("IFERROR(if(ISBLANK(AN16),"" "",GOOGLEFINANCE(AM16,""Name"")), """")"),"")</f>
        <v/>
      </c>
      <c r="AP16" s="33" t="s">
        <v>350</v>
      </c>
      <c r="AQ16" s="38" t="s">
        <v>343</v>
      </c>
      <c r="AR16" s="39" t="str">
        <f>IFERROR(__xludf.DUMMYFUNCTION("IFERROR(if(ISBLANK(AQ16),"" "",GOOGLEFINANCE(AP16,""Name"")), """")"),"TTK Prestige Ltd")</f>
        <v>TTK Prestige Ltd</v>
      </c>
      <c r="AS16" s="21">
        <f>IFERROR(__xludf.DUMMYFUNCTION("IFERROR(if(ISBLANK(AQ16),"" "",GOOGLEFINANCE(AP16,""price"")), """")"),585.95)</f>
        <v>585.95</v>
      </c>
      <c r="AT16" s="23">
        <f>IFERROR(__xludf.DUMMYFUNCTION("IFERROR(if(ISBLANK(AQ16),"" "",GOOGLEFINANCE(AP16,""changepct"")), """")"),-0.68)</f>
        <v>-0.68</v>
      </c>
      <c r="AU16" s="12"/>
      <c r="AV16" s="34" t="s">
        <v>351</v>
      </c>
      <c r="AW16" s="38" t="s">
        <v>343</v>
      </c>
      <c r="AX16" s="39" t="str">
        <f>IFERROR(__xludf.DUMMYFUNCTION("IFERROR(if(ISBLANK(AW16),"" "",GOOGLEFINANCE(AV16,""Name"")), """")"),"Latent View Analytics Ltd")</f>
        <v>Latent View Analytics Ltd</v>
      </c>
      <c r="AY16" s="21">
        <f>IFERROR(__xludf.DUMMYFUNCTION("IFERROR(if(ISBLANK(AW16),"" "",GOOGLEFINANCE(AV16,""price"")), """")"),290.0)</f>
        <v>290</v>
      </c>
      <c r="AZ16" s="23">
        <f>IFERROR(__xludf.DUMMYFUNCTION("IFERROR(if(ISBLANK(AW16),"" "",GOOGLEFINANCE(AV16,""changepct"")), """")"),-1.61)</f>
        <v>-1.61</v>
      </c>
      <c r="BA16" s="12"/>
      <c r="BB16" s="33" t="s">
        <v>353</v>
      </c>
      <c r="BC16" s="38" t="s">
        <v>343</v>
      </c>
      <c r="BD16" s="39" t="str">
        <f>IFERROR(__xludf.DUMMYFUNCTION("IFERROR(if(ISBLANK(BC16),"" "",GOOGLEFINANCE(BB16,""Name"")), """")"),"Lumax Industries Ltd")</f>
        <v>Lumax Industries Ltd</v>
      </c>
      <c r="BE16" s="21">
        <f>IFERROR(__xludf.DUMMYFUNCTION("IFERROR(if(ISBLANK(BC16),"" "",GOOGLEFINANCE(BB16,""price"")), """")"),5979.0)</f>
        <v>5979</v>
      </c>
      <c r="BF16" s="23">
        <f>IFERROR(__xludf.DUMMYFUNCTION("IFERROR(if(ISBLANK(BC16),"" "",GOOGLEFINANCE(BB16,""changepct"")), """")"),-0.29)</f>
        <v>-0.29</v>
      </c>
      <c r="BG16" s="12"/>
      <c r="BH16" s="35" t="s">
        <v>354</v>
      </c>
      <c r="BI16" s="38" t="s">
        <v>343</v>
      </c>
      <c r="BJ16" s="39" t="str">
        <f>IFERROR(__xludf.DUMMYFUNCTION("IFERROR(if(ISBLANK(BI16),"" "",GOOGLEFINANCE(BH16,""Name"")), """")"),"Aarti Drugs Ltd")</f>
        <v>Aarti Drugs Ltd</v>
      </c>
      <c r="BK16" s="21">
        <f>IFERROR(__xludf.DUMMYFUNCTION("IFERROR(if(ISBLANK(BI16),"" "",GOOGLEFINANCE(BH16,""price"")), """")"),433.0)</f>
        <v>433</v>
      </c>
      <c r="BL16" s="23">
        <f>IFERROR(__xludf.DUMMYFUNCTION("IFERROR(if(ISBLANK(BI16),"" "",GOOGLEFINANCE(BH16,""changepct"")), """")"),-1.45)</f>
        <v>-1.45</v>
      </c>
      <c r="BM16" s="12"/>
      <c r="BN16" s="33" t="s">
        <v>355</v>
      </c>
      <c r="BO16" s="38" t="s">
        <v>343</v>
      </c>
      <c r="BP16" s="39" t="str">
        <f>IFERROR(__xludf.DUMMYFUNCTION("IFERROR(if(ISBLANK(BO16),"" "",GOOGLEFINANCE(BN16,""Name"")), """")"),"Balmer Lawrie and Company Ltd")</f>
        <v>Balmer Lawrie and Company Ltd</v>
      </c>
      <c r="BQ16" s="21">
        <f>IFERROR(__xludf.DUMMYFUNCTION("IFERROR(if(ISBLANK(BO16),"" "",GOOGLEFINANCE(BN16,""price"")), """")"),174.85)</f>
        <v>174.85</v>
      </c>
      <c r="BR16" s="23">
        <f>IFERROR(__xludf.DUMMYFUNCTION("IFERROR(if(ISBLANK(BO16),"" "",GOOGLEFINANCE(BN16,""changepct"")), """")"),1.13)</f>
        <v>1.13</v>
      </c>
      <c r="BS16" s="22">
        <f>IFERROR(__xludf.DUMMYFUNCTION("IFERROR(if(ISBLANK($C16),"" "",GOOGLEFINANCE($B16,""change"")), """")"),-43.1)</f>
        <v>-43.1</v>
      </c>
      <c r="BT16" s="36"/>
      <c r="BU16" s="27" t="s">
        <v>357</v>
      </c>
      <c r="BV16" s="38" t="s">
        <v>343</v>
      </c>
      <c r="BW16" s="39" t="str">
        <f>IFERROR(__xludf.DUMMYFUNCTION("IFERROR(if(ISBLANK(BV16),"" "",GOOGLEFINANCE(BU16,""Name"")), """")"),"Rishabh Instruments Ltd")</f>
        <v>Rishabh Instruments Ltd</v>
      </c>
      <c r="BX16" s="21">
        <f>IFERROR(__xludf.DUMMYFUNCTION("IFERROR(if(ISBLANK(BV16),"" "",GOOGLEFINANCE(BU16,""price"")), """")"),666.75)</f>
        <v>666.75</v>
      </c>
      <c r="BY16" s="23">
        <f>IFERROR(__xludf.DUMMYFUNCTION("IFERROR(if(ISBLANK(BV16),"" "",GOOGLEFINANCE(BU16,""changepct"")), """")"),-1.78)</f>
        <v>-1.78</v>
      </c>
      <c r="BZ16" s="22">
        <f>IFERROR(__xludf.DUMMYFUNCTION("IFERROR(if(ISBLANK($C16),"" "",GOOGLEFINANCE($B16,""change"")), """")"),-43.1)</f>
        <v>-43.1</v>
      </c>
      <c r="CA16" s="37"/>
      <c r="CB16" s="27" t="s">
        <v>358</v>
      </c>
      <c r="CC16" s="38" t="s">
        <v>343</v>
      </c>
      <c r="CD16" s="39" t="str">
        <f>IFERROR(__xludf.DUMMYFUNCTION("IFERROR(if(ISBLANK(CC16),"" "",GOOGLEFINANCE(CB16,""Name"")), """")"),"Windlas Biotech Ltd")</f>
        <v>Windlas Biotech Ltd</v>
      </c>
      <c r="CE16" s="21">
        <f>IFERROR(__xludf.DUMMYFUNCTION("IFERROR(if(ISBLANK(CC16),"" "",GOOGLEFINANCE(CB16,""price"")), """")"),896.0)</f>
        <v>896</v>
      </c>
      <c r="CF16" s="23">
        <f>IFERROR(__xludf.DUMMYFUNCTION("IFERROR(if(ISBLANK(CC16),"" "",GOOGLEFINANCE(CB16,""changepct"")), """")"),-4.99)</f>
        <v>-4.99</v>
      </c>
      <c r="CG16" s="12"/>
      <c r="CH16" s="18" t="s">
        <v>359</v>
      </c>
      <c r="CI16" s="38" t="s">
        <v>343</v>
      </c>
      <c r="CJ16" s="39" t="str">
        <f>IFERROR(__xludf.DUMMYFUNCTION("IFERROR(if(ISBLANK(CI16),"" "",GOOGLEFINANCE(CH16,""Name"")), """")"),"Kabra Extrusion Technik Ltd")</f>
        <v>Kabra Extrusion Technik Ltd</v>
      </c>
      <c r="CK16" s="21">
        <f>IFERROR(__xludf.DUMMYFUNCTION("IFERROR(if(ISBLANK(CI16),"" "",GOOGLEFINANCE(CH16,""price"")), """")"),494.8)</f>
        <v>494.8</v>
      </c>
      <c r="CL16" s="23">
        <f>IFERROR(__xludf.DUMMYFUNCTION("IFERROR(if(ISBLANK(CI16),"" "",GOOGLEFINANCE(CH16,""changepct"")), """")"),-2.73)</f>
        <v>-2.73</v>
      </c>
      <c r="CM16" s="12"/>
      <c r="CN16" s="33" t="s">
        <v>361</v>
      </c>
      <c r="CO16" s="38" t="s">
        <v>343</v>
      </c>
      <c r="CP16" s="39" t="str">
        <f>IFERROR(__xludf.DUMMYFUNCTION("IFERROR(if(ISBLANK(CO16),"" "",GOOGLEFINANCE(CN16,""Name"")), """")"),"Shree Digvijay Cement Co Ltd")</f>
        <v>Shree Digvijay Cement Co Ltd</v>
      </c>
      <c r="CQ16" s="21">
        <f>IFERROR(__xludf.DUMMYFUNCTION("IFERROR(if(ISBLANK(CO16),"" "",GOOGLEFINANCE(CN16,""price"")), """")"),70.5)</f>
        <v>70.5</v>
      </c>
      <c r="CR16" s="23">
        <f>IFERROR(__xludf.DUMMYFUNCTION("IFERROR(if(ISBLANK(CO16),"" "",GOOGLEFINANCE(CN16,""changepct"")), """")"),-2.41)</f>
        <v>-2.41</v>
      </c>
      <c r="CS16" s="12"/>
      <c r="CT16" s="33" t="s">
        <v>362</v>
      </c>
      <c r="CU16" s="38" t="s">
        <v>343</v>
      </c>
      <c r="CV16" s="39" t="str">
        <f>IFERROR(__xludf.DUMMYFUNCTION("IFERROR(if(ISBLANK(CU16),"" "",GOOGLEFINANCE(CT16,""Name"")), """")"),"Regaal Resources Ltd")</f>
        <v>Regaal Resources Ltd</v>
      </c>
      <c r="CW16" s="21">
        <f>IFERROR(__xludf.DUMMYFUNCTION("IFERROR(if(ISBLANK(CU16),"" "",GOOGLEFINANCE(CT16,""price"")), """")"),87.0)</f>
        <v>87</v>
      </c>
      <c r="CX16" s="23">
        <f>IFERROR(__xludf.DUMMYFUNCTION("IFERROR(if(ISBLANK(CU16),"" "",GOOGLEFINANCE(CT16,""changepct"")), """")"),0.53)</f>
        <v>0.53</v>
      </c>
      <c r="CY16" s="17"/>
      <c r="CZ16" s="33" t="s">
        <v>363</v>
      </c>
      <c r="DA16" s="38" t="s">
        <v>343</v>
      </c>
      <c r="DB16" s="39" t="str">
        <f>IFERROR(__xludf.DUMMYFUNCTION("IFERROR(if(ISBLANK(DA16),"" "",GOOGLEFINANCE(CZ16,""Name"")), """")"),"Xtranet Technologies Ltd")</f>
        <v>Xtranet Technologies Ltd</v>
      </c>
      <c r="DC16" s="21">
        <f>IFERROR(__xludf.DUMMYFUNCTION("IFERROR(if(ISBLANK(DA16),"" "",GOOGLEFINANCE(CZ16,""price"")), """")"),157.5)</f>
        <v>157.5</v>
      </c>
      <c r="DD16" s="23">
        <f>IFERROR(__xludf.DUMMYFUNCTION("IFERROR(if(ISBLANK(DA16),"" "",GOOGLEFINANCE(CZ16,""changepct"")), """")"),4.88)</f>
        <v>4.88</v>
      </c>
      <c r="DE16" s="12"/>
      <c r="DF16" s="12"/>
    </row>
    <row r="17" ht="11.25" customHeight="1">
      <c r="A17" s="17"/>
      <c r="B17" s="18" t="s">
        <v>365</v>
      </c>
      <c r="C17" s="38" t="s">
        <v>366</v>
      </c>
      <c r="D17" s="39" t="str">
        <f>IFERROR(__xludf.DUMMYFUNCTION("IFERROR(if(ISBLANK(C17),"" "",GOOGLEFINANCE(B17,""Name"")), """")"),"Adani Power Ltd")</f>
        <v>Adani Power Ltd</v>
      </c>
      <c r="E17" s="21">
        <f>IFERROR(__xludf.DUMMYFUNCTION("IFERROR(if(ISBLANK(C17),"" "",GOOGLEFINANCE(B17,""price"")), """")"),206.15)</f>
        <v>206.15</v>
      </c>
      <c r="F17" s="22">
        <f>IFERROR(__xludf.DUMMYFUNCTION("IFERROR(if(ISBLANK(C17),"" "",GOOGLEFINANCE(B17,""changepct"")), """")"),-1.36)</f>
        <v>-1.36</v>
      </c>
      <c r="G17" s="23">
        <f>IFERROR(__xludf.DUMMYFUNCTION("IFERROR(if(ISBLANK($C17),"" "",GOOGLEFINANCE($B17,""change"")), """")"),-2.85)</f>
        <v>-2.85</v>
      </c>
      <c r="H17" s="24"/>
      <c r="I17" s="25" t="s">
        <v>367</v>
      </c>
      <c r="J17" s="38" t="s">
        <v>366</v>
      </c>
      <c r="K17" s="39" t="str">
        <f>IFERROR(__xludf.DUMMYFUNCTION("IFERROR(if(ISBLANK(J17),"" "",GOOGLEFINANCE(I17,""Name"")), """")"),"Indus Towers Ltd")</f>
        <v>Indus Towers Ltd</v>
      </c>
      <c r="L17" s="21">
        <f>IFERROR(__xludf.DUMMYFUNCTION("IFERROR(if(ISBLANK(J17),"" "",GOOGLEFINANCE(I17,""price"")), """")"),380.5)</f>
        <v>380.5</v>
      </c>
      <c r="M17" s="22">
        <f>IFERROR(__xludf.DUMMYFUNCTION("IFERROR(if(ISBLANK(J17),"" "",GOOGLEFINANCE(I17,""changepct"")), """")"),3.02)</f>
        <v>3.02</v>
      </c>
      <c r="N17" s="23">
        <f>IFERROR(__xludf.DUMMYFUNCTION("IFERROR(if(ISBLANK($C17),"" "",GOOGLEFINANCE($B17,""change"")), """")"),-2.85)</f>
        <v>-2.85</v>
      </c>
      <c r="O17" s="26"/>
      <c r="P17" s="27" t="s">
        <v>368</v>
      </c>
      <c r="Q17" s="38" t="s">
        <v>366</v>
      </c>
      <c r="R17" s="39" t="str">
        <f>IFERROR(__xludf.DUMMYFUNCTION("IFERROR(if(ISBLANK(Q17),"" "",GOOGLEFINANCE(P17,""Name"")), """")"),"Anthem BioSciences Ltd")</f>
        <v>Anthem BioSciences Ltd</v>
      </c>
      <c r="S17" s="21">
        <f>IFERROR(__xludf.DUMMYFUNCTION("IFERROR(if(ISBLANK(Q17),"" "",GOOGLEFINANCE(P17,""price"")), """")"),880.0)</f>
        <v>880</v>
      </c>
      <c r="T17" s="22">
        <f>IFERROR(__xludf.DUMMYFUNCTION("IFERROR(if(ISBLANK(Q17),"" "",GOOGLEFINANCE(P17,""changepct"")), """")"),-1.31)</f>
        <v>-1.31</v>
      </c>
      <c r="U17" s="28"/>
      <c r="V17" s="18" t="s">
        <v>369</v>
      </c>
      <c r="W17" s="38" t="s">
        <v>366</v>
      </c>
      <c r="X17" s="39" t="str">
        <f>IFERROR(__xludf.DUMMYFUNCTION("IFERROR(if(ISBLANK(W17),"" "",GOOGLEFINANCE(V17,""Name"")), """")"),"Gabriel India Ltd")</f>
        <v>Gabriel India Ltd</v>
      </c>
      <c r="Y17" s="21">
        <f>IFERROR(__xludf.DUMMYFUNCTION("IFERROR(if(ISBLANK(W17),"" "",GOOGLEFINANCE(V17,""price"")), """")"),1480.0)</f>
        <v>1480</v>
      </c>
      <c r="Z17" s="23">
        <f>IFERROR(__xludf.DUMMYFUNCTION("IFERROR(if(ISBLANK(W17),"" "",GOOGLEFINANCE(V17,""changepct"")), """")"),-1.43)</f>
        <v>-1.43</v>
      </c>
      <c r="AA17" s="12"/>
      <c r="AB17" s="18" t="s">
        <v>371</v>
      </c>
      <c r="AC17" s="38" t="s">
        <v>366</v>
      </c>
      <c r="AD17" s="39" t="str">
        <f>IFERROR(__xludf.DUMMYFUNCTION("IFERROR(if(ISBLANK(AC17),"" "",GOOGLEFINANCE(AB17,""Name"")), """")"),"Punjab &amp; Sind Bank")</f>
        <v>Punjab &amp; Sind Bank</v>
      </c>
      <c r="AE17" s="21">
        <f>IFERROR(__xludf.DUMMYFUNCTION("IFERROR(if(ISBLANK(AC17),"" "",GOOGLEFINANCE(AB17,""price"")), """")"),23.81)</f>
        <v>23.81</v>
      </c>
      <c r="AF17" s="23">
        <f>IFERROR(__xludf.DUMMYFUNCTION("IFERROR(if(ISBLANK(AC17),"" "",GOOGLEFINANCE(AB17,""changepct"")), """")"),0.29)</f>
        <v>0.29</v>
      </c>
      <c r="AG17" s="13"/>
      <c r="AH17" s="27" t="s">
        <v>372</v>
      </c>
      <c r="AI17" s="38" t="s">
        <v>366</v>
      </c>
      <c r="AJ17" s="39" t="str">
        <f>IFERROR(__xludf.DUMMYFUNCTION("IFERROR(if(ISBLANK(AI17),"" "",GOOGLEFINANCE(AH17,""Name"")), """")"),"Avanti Feeds Ltd")</f>
        <v>Avanti Feeds Ltd</v>
      </c>
      <c r="AK17" s="21">
        <f>IFERROR(__xludf.DUMMYFUNCTION("IFERROR(if(ISBLANK(AI17),"" "",GOOGLEFINANCE(AH17,""price"")), """")"),868.0)</f>
        <v>868</v>
      </c>
      <c r="AL17" s="23">
        <f>IFERROR(__xludf.DUMMYFUNCTION("IFERROR(if(ISBLANK(AI17),"" "",GOOGLEFINANCE(AH17,""changepct"")), """")"),0.95)</f>
        <v>0.95</v>
      </c>
      <c r="AM17" s="30"/>
      <c r="AN17" s="31" t="s">
        <v>200</v>
      </c>
      <c r="AO17" s="32" t="str">
        <f>IFERROR(__xludf.DUMMYFUNCTION("IFERROR(if(ISBLANK(AN17),"" "",GOOGLEFINANCE(AM17,""Name"")), """")"),"")</f>
        <v/>
      </c>
      <c r="AP17" s="33" t="s">
        <v>373</v>
      </c>
      <c r="AQ17" s="38" t="s">
        <v>366</v>
      </c>
      <c r="AR17" s="39" t="str">
        <f>IFERROR(__xludf.DUMMYFUNCTION("IFERROR(if(ISBLANK(AQ17),"" "",GOOGLEFINANCE(AP17,""Name"")), """")"),"Quality Power Electrical Equipments Ltd")</f>
        <v>Quality Power Electrical Equipments Ltd</v>
      </c>
      <c r="AS17" s="21">
        <f>IFERROR(__xludf.DUMMYFUNCTION("IFERROR(if(ISBLANK(AQ17),"" "",GOOGLEFINANCE(AP17,""price"")), """")"),1299.0)</f>
        <v>1299</v>
      </c>
      <c r="AT17" s="23">
        <f>IFERROR(__xludf.DUMMYFUNCTION("IFERROR(if(ISBLANK(AQ17),"" "",GOOGLEFINANCE(AP17,""changepct"")), """")"),4.82)</f>
        <v>4.82</v>
      </c>
      <c r="AU17" s="12"/>
      <c r="AV17" s="34" t="s">
        <v>375</v>
      </c>
      <c r="AW17" s="38" t="s">
        <v>366</v>
      </c>
      <c r="AX17" s="39" t="str">
        <f>IFERROR(__xludf.DUMMYFUNCTION("IFERROR(if(ISBLANK(AW17),"" "",GOOGLEFINANCE(AV17,""Name"")), """")"),"Archean Chemical Industries Ltd")</f>
        <v>Archean Chemical Industries Ltd</v>
      </c>
      <c r="AY17" s="21">
        <f>IFERROR(__xludf.DUMMYFUNCTION("IFERROR(if(ISBLANK(AW17),"" "",GOOGLEFINANCE(AV17,""price"")), """")"),507.8)</f>
        <v>507.8</v>
      </c>
      <c r="AZ17" s="23">
        <f>IFERROR(__xludf.DUMMYFUNCTION("IFERROR(if(ISBLANK(AW17),"" "",GOOGLEFINANCE(AV17,""changepct"")), """")"),-1.12)</f>
        <v>-1.12</v>
      </c>
      <c r="BA17" s="12"/>
      <c r="BB17" s="33" t="s">
        <v>376</v>
      </c>
      <c r="BC17" s="38" t="s">
        <v>366</v>
      </c>
      <c r="BD17" s="39" t="str">
        <f>IFERROR(__xludf.DUMMYFUNCTION("IFERROR(if(ISBLANK(BC17),"" "",GOOGLEFINANCE(BB17,""Name"")), """")"),"Gujarat Alkalies And Chemicals Ltd")</f>
        <v>Gujarat Alkalies And Chemicals Ltd</v>
      </c>
      <c r="BE17" s="21">
        <f>IFERROR(__xludf.DUMMYFUNCTION("IFERROR(if(ISBLANK(BC17),"" "",GOOGLEFINANCE(BB17,""price"")), """")"),670.85)</f>
        <v>670.85</v>
      </c>
      <c r="BF17" s="23">
        <f>IFERROR(__xludf.DUMMYFUNCTION("IFERROR(if(ISBLANK(BC17),"" "",GOOGLEFINANCE(BB17,""changepct"")), """")"),-0.96)</f>
        <v>-0.96</v>
      </c>
      <c r="BG17" s="12"/>
      <c r="BH17" s="35" t="s">
        <v>377</v>
      </c>
      <c r="BI17" s="38" t="s">
        <v>366</v>
      </c>
      <c r="BJ17" s="39" t="str">
        <f>IFERROR(__xludf.DUMMYFUNCTION("IFERROR(if(ISBLANK(BI17),"" "",GOOGLEFINANCE(BH17,""Name"")), """")"),"VST Tillers Tractors Limited")</f>
        <v>VST Tillers Tractors Limited</v>
      </c>
      <c r="BK17" s="21">
        <f>IFERROR(__xludf.DUMMYFUNCTION("IFERROR(if(ISBLANK(BI17),"" "",GOOGLEFINANCE(BH17,""price"")), """")"),4444.0)</f>
        <v>4444</v>
      </c>
      <c r="BL17" s="23">
        <f>IFERROR(__xludf.DUMMYFUNCTION("IFERROR(if(ISBLANK(BI17),"" "",GOOGLEFINANCE(BH17,""changepct"")), """")"),-0.48)</f>
        <v>-0.48</v>
      </c>
      <c r="BM17" s="12"/>
      <c r="BN17" s="33" t="s">
        <v>378</v>
      </c>
      <c r="BO17" s="38" t="s">
        <v>366</v>
      </c>
      <c r="BP17" s="39" t="str">
        <f>IFERROR(__xludf.DUMMYFUNCTION("IFERROR(if(ISBLANK(BO17),"" "",GOOGLEFINANCE(BN17,""Name"")), """")"),"Divgi TorqTransfer Systems Ltd")</f>
        <v>Divgi TorqTransfer Systems Ltd</v>
      </c>
      <c r="BQ17" s="21">
        <f>IFERROR(__xludf.DUMMYFUNCTION("IFERROR(if(ISBLANK(BO17),"" "",GOOGLEFINANCE(BN17,""price"")), """")"),1225.0)</f>
        <v>1225</v>
      </c>
      <c r="BR17" s="23">
        <f>IFERROR(__xludf.DUMMYFUNCTION("IFERROR(if(ISBLANK(BO17),"" "",GOOGLEFINANCE(BN17,""changepct"")), """")"),13.81)</f>
        <v>13.81</v>
      </c>
      <c r="BS17" s="22">
        <f>IFERROR(__xludf.DUMMYFUNCTION("IFERROR(if(ISBLANK($C17),"" "",GOOGLEFINANCE($B17,""change"")), """")"),-2.85)</f>
        <v>-2.85</v>
      </c>
      <c r="BT17" s="36"/>
      <c r="BU17" s="27" t="s">
        <v>379</v>
      </c>
      <c r="BV17" s="38" t="s">
        <v>366</v>
      </c>
      <c r="BW17" s="39" t="str">
        <f>IFERROR(__xludf.DUMMYFUNCTION("IFERROR(if(ISBLANK(BV17),"" "",GOOGLEFINANCE(BU17,""Name"")), """")"),"Vindhya Telelinks Ltd")</f>
        <v>Vindhya Telelinks Ltd</v>
      </c>
      <c r="BX17" s="21">
        <f>IFERROR(__xludf.DUMMYFUNCTION("IFERROR(if(ISBLANK(BV17),"" "",GOOGLEFINANCE(BU17,""price"")), """")"),2558.0)</f>
        <v>2558</v>
      </c>
      <c r="BY17" s="23">
        <f>IFERROR(__xludf.DUMMYFUNCTION("IFERROR(if(ISBLANK(BV17),"" "",GOOGLEFINANCE(BU17,""changepct"")), """")"),5.31)</f>
        <v>5.31</v>
      </c>
      <c r="BZ17" s="22">
        <f>IFERROR(__xludf.DUMMYFUNCTION("IFERROR(if(ISBLANK($C17),"" "",GOOGLEFINANCE($B17,""change"")), """")"),-2.85)</f>
        <v>-2.85</v>
      </c>
      <c r="CA17" s="37"/>
      <c r="CB17" s="27" t="s">
        <v>381</v>
      </c>
      <c r="CC17" s="38" t="s">
        <v>366</v>
      </c>
      <c r="CD17" s="39" t="str">
        <f>IFERROR(__xludf.DUMMYFUNCTION("IFERROR(if(ISBLANK(CC17),"" "",GOOGLEFINANCE(CB17,""Name"")), """")"),"Krishna Defence &amp; Allied Industries Ltd")</f>
        <v>Krishna Defence &amp; Allied Industries Ltd</v>
      </c>
      <c r="CE17" s="21">
        <f>IFERROR(__xludf.DUMMYFUNCTION("IFERROR(if(ISBLANK(CC17),"" "",GOOGLEFINANCE(CB17,""price"")), """")"),1190.0)</f>
        <v>1190</v>
      </c>
      <c r="CF17" s="23">
        <f>IFERROR(__xludf.DUMMYFUNCTION("IFERROR(if(ISBLANK(CC17),"" "",GOOGLEFINANCE(CB17,""changepct"")), """")"),2.48)</f>
        <v>2.48</v>
      </c>
      <c r="CG17" s="12"/>
      <c r="CH17" s="18" t="s">
        <v>382</v>
      </c>
      <c r="CI17" s="38" t="s">
        <v>366</v>
      </c>
      <c r="CJ17" s="39" t="str">
        <f>IFERROR(__xludf.DUMMYFUNCTION("IFERROR(if(ISBLANK(CI17),"" "",GOOGLEFINANCE(CH17,""Name"")), """")"),"TCC Concept Ltd")</f>
        <v>TCC Concept Ltd</v>
      </c>
      <c r="CK17" s="21">
        <f>IFERROR(__xludf.DUMMYFUNCTION("IFERROR(if(ISBLANK(CI17),"" "",GOOGLEFINANCE(CH17,""price"")), """")"),251.65)</f>
        <v>251.65</v>
      </c>
      <c r="CL17" s="23">
        <f>IFERROR(__xludf.DUMMYFUNCTION("IFERROR(if(ISBLANK(CI17),"" "",GOOGLEFINANCE(CH17,""changepct"")), """")"),-5.66)</f>
        <v>-5.66</v>
      </c>
      <c r="CM17" s="12"/>
      <c r="CN17" s="33" t="s">
        <v>383</v>
      </c>
      <c r="CO17" s="38" t="s">
        <v>366</v>
      </c>
      <c r="CP17" s="39" t="str">
        <f>IFERROR(__xludf.DUMMYFUNCTION("IFERROR(if(ISBLANK(CO17),"" "",GOOGLEFINANCE(CN17,""Name"")), """")"),"Mangalam Worldwide Ltd")</f>
        <v>Mangalam Worldwide Ltd</v>
      </c>
      <c r="CQ17" s="21">
        <f>IFERROR(__xludf.DUMMYFUNCTION("IFERROR(if(ISBLANK(CO17),"" "",GOOGLEFINANCE(CN17,""price"")), """")"),41.6)</f>
        <v>41.6</v>
      </c>
      <c r="CR17" s="23">
        <f>IFERROR(__xludf.DUMMYFUNCTION("IFERROR(if(ISBLANK(CO17),"" "",GOOGLEFINANCE(CN17,""changepct"")), """")"),-0.79)</f>
        <v>-0.79</v>
      </c>
      <c r="CS17" s="13"/>
      <c r="CT17" s="33" t="s">
        <v>384</v>
      </c>
      <c r="CU17" s="38" t="s">
        <v>366</v>
      </c>
      <c r="CV17" s="39" t="str">
        <f>IFERROR(__xludf.DUMMYFUNCTION("IFERROR(if(ISBLANK(CU17),"" "",GOOGLEFINANCE(CT17,""Name"")), """")"),"Dhunseri Ventures Ltd")</f>
        <v>Dhunseri Ventures Ltd</v>
      </c>
      <c r="CW17" s="21">
        <f>IFERROR(__xludf.DUMMYFUNCTION("IFERROR(if(ISBLANK(CU17),"" "",GOOGLEFINANCE(CT17,""price"")), """")"),272.0)</f>
        <v>272</v>
      </c>
      <c r="CX17" s="23">
        <f>IFERROR(__xludf.DUMMYFUNCTION("IFERROR(if(ISBLANK(CU17),"" "",GOOGLEFINANCE(CT17,""changepct"")), """")"),-5.49)</f>
        <v>-5.49</v>
      </c>
      <c r="CY17" s="17"/>
      <c r="CZ17" s="33" t="s">
        <v>386</v>
      </c>
      <c r="DA17" s="38" t="s">
        <v>366</v>
      </c>
      <c r="DB17" s="39" t="str">
        <f>IFERROR(__xludf.DUMMYFUNCTION("IFERROR(if(ISBLANK(DA17),"" "",GOOGLEFINANCE(CZ17,""Name"")), """")"),"Nahar Poly Films Ltd")</f>
        <v>Nahar Poly Films Ltd</v>
      </c>
      <c r="DC17" s="21">
        <f>IFERROR(__xludf.DUMMYFUNCTION("IFERROR(if(ISBLANK(DA17),"" "",GOOGLEFINANCE(CZ17,""price"")), """")"),253.45)</f>
        <v>253.45</v>
      </c>
      <c r="DD17" s="23">
        <f>IFERROR(__xludf.DUMMYFUNCTION("IFERROR(if(ISBLANK(DA17),"" "",GOOGLEFINANCE(CZ17,""changepct"")), """")"),1.1)</f>
        <v>1.1</v>
      </c>
      <c r="DE17" s="12"/>
      <c r="DF17" s="12"/>
    </row>
    <row r="18" ht="11.25" customHeight="1">
      <c r="A18" s="17"/>
      <c r="B18" s="18" t="s">
        <v>387</v>
      </c>
      <c r="C18" s="38" t="s">
        <v>388</v>
      </c>
      <c r="D18" s="39" t="str">
        <f>IFERROR(__xludf.DUMMYFUNCTION("IFERROR(if(ISBLANK(C18),"" "",GOOGLEFINANCE(B18,""Name"")), """")"),"Adani Enterprises Ltd")</f>
        <v>Adani Enterprises Ltd</v>
      </c>
      <c r="E18" s="21">
        <f>IFERROR(__xludf.DUMMYFUNCTION("IFERROR(if(ISBLANK(C18),"" "",GOOGLEFINANCE(B18,""price"")), """")"),2980.0)</f>
        <v>2980</v>
      </c>
      <c r="F18" s="22">
        <f>IFERROR(__xludf.DUMMYFUNCTION("IFERROR(if(ISBLANK(C18),"" "",GOOGLEFINANCE(B18,""changepct"")), """")"),-0.52)</f>
        <v>-0.52</v>
      </c>
      <c r="G18" s="23">
        <f>IFERROR(__xludf.DUMMYFUNCTION("IFERROR(if(ISBLANK($C18),"" "",GOOGLEFINANCE($B18,""change"")), """")"),-15.5)</f>
        <v>-15.5</v>
      </c>
      <c r="H18" s="24"/>
      <c r="I18" s="25" t="s">
        <v>389</v>
      </c>
      <c r="J18" s="38" t="s">
        <v>388</v>
      </c>
      <c r="K18" s="39" t="str">
        <f>IFERROR(__xludf.DUMMYFUNCTION("IFERROR(if(ISBLANK(J18),"" "",GOOGLEFINANCE(I18,""Name"")), """")"),"Mankind Pharma Ltd")</f>
        <v>Mankind Pharma Ltd</v>
      </c>
      <c r="L18" s="21">
        <f>IFERROR(__xludf.DUMMYFUNCTION("IFERROR(if(ISBLANK(J18),"" "",GOOGLEFINANCE(I18,""price"")), """")"),2410.1)</f>
        <v>2410.1</v>
      </c>
      <c r="M18" s="22">
        <f>IFERROR(__xludf.DUMMYFUNCTION("IFERROR(if(ISBLANK(J18),"" "",GOOGLEFINANCE(I18,""changepct"")), """")"),-0.61)</f>
        <v>-0.61</v>
      </c>
      <c r="N18" s="23">
        <f>IFERROR(__xludf.DUMMYFUNCTION("IFERROR(if(ISBLANK($C18),"" "",GOOGLEFINANCE($B18,""change"")), """")"),-15.5)</f>
        <v>-15.5</v>
      </c>
      <c r="O18" s="26"/>
      <c r="P18" s="27" t="s">
        <v>390</v>
      </c>
      <c r="Q18" s="38" t="s">
        <v>388</v>
      </c>
      <c r="R18" s="39" t="str">
        <f>IFERROR(__xludf.DUMMYFUNCTION("IFERROR(if(ISBLANK(Q18),"" "",GOOGLEFINANCE(P18,""Name"")), """")"),"Page Industries Ltd")</f>
        <v>Page Industries Ltd</v>
      </c>
      <c r="S18" s="21">
        <f>IFERROR(__xludf.DUMMYFUNCTION("IFERROR(if(ISBLANK(Q18),"" "",GOOGLEFINANCE(P18,""price"")), """")"),38015.0)</f>
        <v>38015</v>
      </c>
      <c r="T18" s="22">
        <f>IFERROR(__xludf.DUMMYFUNCTION("IFERROR(if(ISBLANK(Q18),"" "",GOOGLEFINANCE(P18,""changepct"")), """")"),-1.11)</f>
        <v>-1.11</v>
      </c>
      <c r="U18" s="41"/>
      <c r="V18" s="18" t="s">
        <v>392</v>
      </c>
      <c r="W18" s="38" t="s">
        <v>388</v>
      </c>
      <c r="X18" s="39" t="str">
        <f>IFERROR(__xludf.DUMMYFUNCTION("IFERROR(if(ISBLANK(W18),"" "",GOOGLEFINANCE(V18,""Name"")), """")"),"CreditAccess Grameen Ltd")</f>
        <v>CreditAccess Grameen Ltd</v>
      </c>
      <c r="Y18" s="21">
        <f>IFERROR(__xludf.DUMMYFUNCTION("IFERROR(if(ISBLANK(W18),"" "",GOOGLEFINANCE(V18,""price"")), """")"),1543.0)</f>
        <v>1543</v>
      </c>
      <c r="Z18" s="23">
        <f>IFERROR(__xludf.DUMMYFUNCTION("IFERROR(if(ISBLANK(W18),"" "",GOOGLEFINANCE(V18,""changepct"")), """")"),0.18)</f>
        <v>0.18</v>
      </c>
      <c r="AA18" s="42"/>
      <c r="AB18" s="18" t="s">
        <v>393</v>
      </c>
      <c r="AC18" s="38" t="s">
        <v>388</v>
      </c>
      <c r="AD18" s="39" t="str">
        <f>IFERROR(__xludf.DUMMYFUNCTION("IFERROR(if(ISBLANK(AC18),"" "",GOOGLEFINANCE(AB18,""Name"")), """")"),"Jindal SAW Ltd")</f>
        <v>Jindal SAW Ltd</v>
      </c>
      <c r="AE18" s="21">
        <f>IFERROR(__xludf.DUMMYFUNCTION("IFERROR(if(ISBLANK(AC18),"" "",GOOGLEFINANCE(AB18,""price"")), """")"),269.45)</f>
        <v>269.45</v>
      </c>
      <c r="AF18" s="23">
        <f>IFERROR(__xludf.DUMMYFUNCTION("IFERROR(if(ISBLANK(AC18),"" "",GOOGLEFINANCE(AB18,""changepct"")), """")"),-1.5)</f>
        <v>-1.5</v>
      </c>
      <c r="AG18" s="42"/>
      <c r="AH18" s="27" t="s">
        <v>394</v>
      </c>
      <c r="AI18" s="38" t="s">
        <v>388</v>
      </c>
      <c r="AJ18" s="39" t="str">
        <f>IFERROR(__xludf.DUMMYFUNCTION("IFERROR(if(ISBLANK(AI18),"" "",GOOGLEFINANCE(AH18,""Name"")), """")"),"Blue Dart Express Ltd")</f>
        <v>Blue Dart Express Ltd</v>
      </c>
      <c r="AK18" s="21">
        <f>IFERROR(__xludf.DUMMYFUNCTION("IFERROR(if(ISBLANK(AI18),"" "",GOOGLEFINANCE(AH18,""price"")), """")"),5100.0)</f>
        <v>5100</v>
      </c>
      <c r="AL18" s="23">
        <f>IFERROR(__xludf.DUMMYFUNCTION("IFERROR(if(ISBLANK(AI18),"" "",GOOGLEFINANCE(AH18,""changepct"")), """")"),0.15)</f>
        <v>0.15</v>
      </c>
      <c r="AM18" s="30"/>
      <c r="AN18" s="31" t="s">
        <v>200</v>
      </c>
      <c r="AO18" s="32" t="str">
        <f>IFERROR(__xludf.DUMMYFUNCTION("IFERROR(if(ISBLANK(AN18),"" "",GOOGLEFINANCE(AM18,""Name"")), """")"),"")</f>
        <v/>
      </c>
      <c r="AP18" s="33" t="s">
        <v>395</v>
      </c>
      <c r="AQ18" s="38" t="s">
        <v>388</v>
      </c>
      <c r="AR18" s="39" t="str">
        <f>IFERROR(__xludf.DUMMYFUNCTION("IFERROR(if(ISBLANK(AQ18),"" "",GOOGLEFINANCE(AP18,""Name"")), """")"),"Le Travenues Technology Ltd")</f>
        <v>Le Travenues Technology Ltd</v>
      </c>
      <c r="AS18" s="21">
        <f>IFERROR(__xludf.DUMMYFUNCTION("IFERROR(if(ISBLANK(AQ18),"" "",GOOGLEFINANCE(AP18,""price"")), """")"),178.6)</f>
        <v>178.6</v>
      </c>
      <c r="AT18" s="23">
        <f>IFERROR(__xludf.DUMMYFUNCTION("IFERROR(if(ISBLANK(AQ18),"" "",GOOGLEFINANCE(AP18,""changepct"")), """")"),-2.67)</f>
        <v>-2.67</v>
      </c>
      <c r="AU18" s="13"/>
      <c r="AV18" s="34" t="s">
        <v>397</v>
      </c>
      <c r="AW18" s="38" t="s">
        <v>388</v>
      </c>
      <c r="AX18" s="39" t="str">
        <f>IFERROR(__xludf.DUMMYFUNCTION("IFERROR(if(ISBLANK(AW18),"" "",GOOGLEFINANCE(AV18,""Name"")), """")"),"Paisalo Digital Ltd")</f>
        <v>Paisalo Digital Ltd</v>
      </c>
      <c r="AY18" s="21">
        <f>IFERROR(__xludf.DUMMYFUNCTION("IFERROR(if(ISBLANK(AW18),"" "",GOOGLEFINANCE(AV18,""price"")), """")"),68.68)</f>
        <v>68.68</v>
      </c>
      <c r="AZ18" s="23">
        <f>IFERROR(__xludf.DUMMYFUNCTION("IFERROR(if(ISBLANK(AW18),"" "",GOOGLEFINANCE(AV18,""changepct"")), """")"),-0.91)</f>
        <v>-0.91</v>
      </c>
      <c r="BA18" s="42"/>
      <c r="BB18" s="33" t="s">
        <v>398</v>
      </c>
      <c r="BC18" s="38" t="s">
        <v>388</v>
      </c>
      <c r="BD18" s="39" t="str">
        <f>IFERROR(__xludf.DUMMYFUNCTION("IFERROR(if(ISBLANK(BC18),"" "",GOOGLEFINANCE(BB18,""Name"")), """")"),"Bansal Wire Industries Ltd")</f>
        <v>Bansal Wire Industries Ltd</v>
      </c>
      <c r="BE18" s="21">
        <f>IFERROR(__xludf.DUMMYFUNCTION("IFERROR(if(ISBLANK(BC18),"" "",GOOGLEFINANCE(BB18,""price"")), """")"),323.2)</f>
        <v>323.2</v>
      </c>
      <c r="BF18" s="23">
        <f>IFERROR(__xludf.DUMMYFUNCTION("IFERROR(if(ISBLANK(BC18),"" "",GOOGLEFINANCE(BB18,""changepct"")), """")"),1.03)</f>
        <v>1.03</v>
      </c>
      <c r="BG18" s="42"/>
      <c r="BH18" s="35" t="s">
        <v>399</v>
      </c>
      <c r="BI18" s="38" t="s">
        <v>388</v>
      </c>
      <c r="BJ18" s="39" t="str">
        <f>IFERROR(__xludf.DUMMYFUNCTION("IFERROR(if(ISBLANK(BI18),"" "",GOOGLEFINANCE(BH18,""Name"")), """")"),"Kernex Microsystems (India) Limited")</f>
        <v>Kernex Microsystems (India) Limited</v>
      </c>
      <c r="BK18" s="21">
        <f>IFERROR(__xludf.DUMMYFUNCTION("IFERROR(if(ISBLANK(BI18),"" "",GOOGLEFINANCE(BH18,""price"")), """")"),2140.0)</f>
        <v>2140</v>
      </c>
      <c r="BL18" s="23">
        <f>IFERROR(__xludf.DUMMYFUNCTION("IFERROR(if(ISBLANK(BI18),"" "",GOOGLEFINANCE(BH18,""changepct"")), """")"),-10.36)</f>
        <v>-10.36</v>
      </c>
      <c r="BM18" s="42"/>
      <c r="BN18" s="33" t="s">
        <v>400</v>
      </c>
      <c r="BO18" s="38" t="s">
        <v>388</v>
      </c>
      <c r="BP18" s="39" t="str">
        <f>IFERROR(__xludf.DUMMYFUNCTION("IFERROR(if(ISBLANK(BO18),"" "",GOOGLEFINANCE(BN18,""Name"")), """")"),"Dishman Carbogen Amcis Ltd")</f>
        <v>Dishman Carbogen Amcis Ltd</v>
      </c>
      <c r="BQ18" s="21">
        <f>IFERROR(__xludf.DUMMYFUNCTION("IFERROR(if(ISBLANK(BO18),"" "",GOOGLEFINANCE(BN18,""price"")), """")"),190.74)</f>
        <v>190.74</v>
      </c>
      <c r="BR18" s="23">
        <f>IFERROR(__xludf.DUMMYFUNCTION("IFERROR(if(ISBLANK(BO18),"" "",GOOGLEFINANCE(BN18,""changepct"")), """")"),-1.39)</f>
        <v>-1.39</v>
      </c>
      <c r="BS18" s="22">
        <f>IFERROR(__xludf.DUMMYFUNCTION("IFERROR(if(ISBLANK($C18),"" "",GOOGLEFINANCE($B18,""change"")), """")"),-15.5)</f>
        <v>-15.5</v>
      </c>
      <c r="BT18" s="36"/>
      <c r="BU18" s="27" t="s">
        <v>401</v>
      </c>
      <c r="BV18" s="38" t="s">
        <v>388</v>
      </c>
      <c r="BW18" s="39" t="str">
        <f>IFERROR(__xludf.DUMMYFUNCTION("IFERROR(if(ISBLANK(BV18),"" "",GOOGLEFINANCE(BU18,""Name"")), """")"),"Oriental Hotels Ltd")</f>
        <v>Oriental Hotels Ltd</v>
      </c>
      <c r="BX18" s="21">
        <f>IFERROR(__xludf.DUMMYFUNCTION("IFERROR(if(ISBLANK(BV18),"" "",GOOGLEFINANCE(BU18,""price"")), """")"),126.65)</f>
        <v>126.65</v>
      </c>
      <c r="BY18" s="23">
        <f>IFERROR(__xludf.DUMMYFUNCTION("IFERROR(if(ISBLANK(BV18),"" "",GOOGLEFINANCE(BU18,""changepct"")), """")"),-1.36)</f>
        <v>-1.36</v>
      </c>
      <c r="BZ18" s="22">
        <f>IFERROR(__xludf.DUMMYFUNCTION("IFERROR(if(ISBLANK($C18),"" "",GOOGLEFINANCE($B18,""change"")), """")"),-15.5)</f>
        <v>-15.5</v>
      </c>
      <c r="CA18" s="37"/>
      <c r="CB18" s="27" t="s">
        <v>403</v>
      </c>
      <c r="CC18" s="38" t="s">
        <v>388</v>
      </c>
      <c r="CD18" s="39" t="str">
        <f>IFERROR(__xludf.DUMMYFUNCTION("IFERROR(if(ISBLANK(CC18),"" "",GOOGLEFINANCE(CB18,""Name"")), """")"),"Jindal Drilling and Industries Ltd")</f>
        <v>Jindal Drilling and Industries Ltd</v>
      </c>
      <c r="CE18" s="21">
        <f>IFERROR(__xludf.DUMMYFUNCTION("IFERROR(if(ISBLANK(CC18),"" "",GOOGLEFINANCE(CB18,""price"")), """")"),594.3)</f>
        <v>594.3</v>
      </c>
      <c r="CF18" s="23">
        <f>IFERROR(__xludf.DUMMYFUNCTION("IFERROR(if(ISBLANK(CC18),"" "",GOOGLEFINANCE(CB18,""changepct"")), """")"),0.35)</f>
        <v>0.35</v>
      </c>
      <c r="CG18" s="42"/>
      <c r="CH18" s="18" t="s">
        <v>404</v>
      </c>
      <c r="CI18" s="38" t="s">
        <v>388</v>
      </c>
      <c r="CJ18" s="39" t="str">
        <f>IFERROR(__xludf.DUMMYFUNCTION("IFERROR(if(ISBLANK(CI18),"" "",GOOGLEFINANCE(CH18,""Name"")), """")"),"Meghmani Organics Ltd")</f>
        <v>Meghmani Organics Ltd</v>
      </c>
      <c r="CK18" s="21">
        <f>IFERROR(__xludf.DUMMYFUNCTION("IFERROR(if(ISBLANK(CI18),"" "",GOOGLEFINANCE(CH18,""price"")), """")"),57.45)</f>
        <v>57.45</v>
      </c>
      <c r="CL18" s="23">
        <f>IFERROR(__xludf.DUMMYFUNCTION("IFERROR(if(ISBLANK(CI18),"" "",GOOGLEFINANCE(CH18,""changepct"")), """")"),0.52)</f>
        <v>0.52</v>
      </c>
      <c r="CM18" s="42"/>
      <c r="CN18" s="33" t="s">
        <v>405</v>
      </c>
      <c r="CO18" s="38" t="s">
        <v>388</v>
      </c>
      <c r="CP18" s="39" t="str">
        <f>IFERROR(__xludf.DUMMYFUNCTION("IFERROR(if(ISBLANK(CO18),"" "",GOOGLEFINANCE(CN18,""Name"")), """")"),"Gandhi Special Tubes Ltd")</f>
        <v>Gandhi Special Tubes Ltd</v>
      </c>
      <c r="CQ18" s="21">
        <f>IFERROR(__xludf.DUMMYFUNCTION("IFERROR(if(ISBLANK(CO18),"" "",GOOGLEFINANCE(CN18,""price"")), """")"),969.0)</f>
        <v>969</v>
      </c>
      <c r="CR18" s="23">
        <f>IFERROR(__xludf.DUMMYFUNCTION("IFERROR(if(ISBLANK(CO18),"" "",GOOGLEFINANCE(CN18,""changepct"")), """")"),4.05)</f>
        <v>4.05</v>
      </c>
      <c r="CS18" s="42"/>
      <c r="CT18" s="33" t="s">
        <v>406</v>
      </c>
      <c r="CU18" s="38" t="s">
        <v>388</v>
      </c>
      <c r="CV18" s="39" t="str">
        <f>IFERROR(__xludf.DUMMYFUNCTION("IFERROR(if(ISBLANK(CU18),"" "",GOOGLEFINANCE(CT18,""Name"")), """")"),"Krystal Integrated Services Ltd")</f>
        <v>Krystal Integrated Services Ltd</v>
      </c>
      <c r="CW18" s="21">
        <f>IFERROR(__xludf.DUMMYFUNCTION("IFERROR(if(ISBLANK(CU18),"" "",GOOGLEFINANCE(CT18,""price"")), """")"),621.45)</f>
        <v>621.45</v>
      </c>
      <c r="CX18" s="23">
        <f>IFERROR(__xludf.DUMMYFUNCTION("IFERROR(if(ISBLANK(CU18),"" "",GOOGLEFINANCE(CT18,""changepct"")), """")"),-0.72)</f>
        <v>-0.72</v>
      </c>
      <c r="CY18" s="17"/>
      <c r="CZ18" s="33" t="s">
        <v>407</v>
      </c>
      <c r="DA18" s="38" t="s">
        <v>388</v>
      </c>
      <c r="DB18" s="39" t="str">
        <f>IFERROR(__xludf.DUMMYFUNCTION("IFERROR(if(ISBLANK(DA18),"" "",GOOGLEFINANCE(CZ18,""Name"")), """")"),"Uniphos Enterprises Ltd")</f>
        <v>Uniphos Enterprises Ltd</v>
      </c>
      <c r="DC18" s="21">
        <f>IFERROR(__xludf.DUMMYFUNCTION("IFERROR(if(ISBLANK(DA18),"" "",GOOGLEFINANCE(CZ18,""price"")), """")"),97.17)</f>
        <v>97.17</v>
      </c>
      <c r="DD18" s="23">
        <f>IFERROR(__xludf.DUMMYFUNCTION("IFERROR(if(ISBLANK(DA18),"" "",GOOGLEFINANCE(CZ18,""changepct"")), """")"),0.26)</f>
        <v>0.26</v>
      </c>
      <c r="DE18" s="13"/>
      <c r="DF18" s="42"/>
    </row>
    <row r="19" ht="11.25" customHeight="1">
      <c r="A19" s="17"/>
      <c r="B19" s="18" t="s">
        <v>408</v>
      </c>
      <c r="C19" s="38" t="s">
        <v>409</v>
      </c>
      <c r="D19" s="39" t="str">
        <f>IFERROR(__xludf.DUMMYFUNCTION("IFERROR(if(ISBLANK(C19),"" "",GOOGLEFINANCE(B19,""Name"")), """")"),"Kotak Mahindra Bank Ltd Fully Paid Ord. Shrs")</f>
        <v>Kotak Mahindra Bank Ltd Fully Paid Ord. Shrs</v>
      </c>
      <c r="E19" s="21">
        <f>IFERROR(__xludf.DUMMYFUNCTION("IFERROR(if(ISBLANK(C19),"" "",GOOGLEFINANCE(B19,""price"")), """")"),392.65)</f>
        <v>392.65</v>
      </c>
      <c r="F19" s="22">
        <f>IFERROR(__xludf.DUMMYFUNCTION("IFERROR(if(ISBLANK(C19),"" "",GOOGLEFINANCE(B19,""changepct"")), """")"),-0.06)</f>
        <v>-0.06</v>
      </c>
      <c r="G19" s="23">
        <f>IFERROR(__xludf.DUMMYFUNCTION("IFERROR(if(ISBLANK($C19),"" "",GOOGLEFINANCE($B19,""change"")), """")"),-0.25)</f>
        <v>-0.25</v>
      </c>
      <c r="H19" s="24"/>
      <c r="I19" s="25" t="s">
        <v>411</v>
      </c>
      <c r="J19" s="38" t="s">
        <v>409</v>
      </c>
      <c r="K19" s="39" t="str">
        <f>IFERROR(__xludf.DUMMYFUNCTION("IFERROR(if(ISBLANK(J19),"" "",GOOGLEFINANCE(I19,""Name"")), """")"),"JSW Energy Ltd")</f>
        <v>JSW Energy Ltd</v>
      </c>
      <c r="L19" s="21">
        <f>IFERROR(__xludf.DUMMYFUNCTION("IFERROR(if(ISBLANK(J19),"" "",GOOGLEFINANCE(I19,""price"")), """")"),555.5)</f>
        <v>555.5</v>
      </c>
      <c r="M19" s="22">
        <f>IFERROR(__xludf.DUMMYFUNCTION("IFERROR(if(ISBLANK(J19),"" "",GOOGLEFINANCE(I19,""changepct"")), """")"),-1.33)</f>
        <v>-1.33</v>
      </c>
      <c r="N19" s="23">
        <f>IFERROR(__xludf.DUMMYFUNCTION("IFERROR(if(ISBLANK($C19),"" "",GOOGLEFINANCE($B19,""change"")), """")"),-0.25)</f>
        <v>-0.25</v>
      </c>
      <c r="O19" s="26"/>
      <c r="P19" s="27" t="s">
        <v>412</v>
      </c>
      <c r="Q19" s="38" t="s">
        <v>409</v>
      </c>
      <c r="R19" s="39" t="str">
        <f>IFERROR(__xludf.DUMMYFUNCTION("IFERROR(if(ISBLANK(Q19),"" "",GOOGLEFINANCE(P19,""Name"")), """")"),"GlaxoSmithKline Pharmaceuticals Ltd")</f>
        <v>GlaxoSmithKline Pharmaceuticals Ltd</v>
      </c>
      <c r="S19" s="21">
        <f>IFERROR(__xludf.DUMMYFUNCTION("IFERROR(if(ISBLANK(Q19),"" "",GOOGLEFINANCE(P19,""price"")), """")"),2615.0)</f>
        <v>2615</v>
      </c>
      <c r="T19" s="22">
        <f>IFERROR(__xludf.DUMMYFUNCTION("IFERROR(if(ISBLANK(Q19),"" "",GOOGLEFINANCE(P19,""changepct"")), """")"),0.5)</f>
        <v>0.5</v>
      </c>
      <c r="U19" s="28"/>
      <c r="V19" s="18" t="s">
        <v>413</v>
      </c>
      <c r="W19" s="38" t="s">
        <v>409</v>
      </c>
      <c r="X19" s="39" t="str">
        <f>IFERROR(__xludf.DUMMYFUNCTION("IFERROR(if(ISBLANK(W19),"" "",GOOGLEFINANCE(V19,""Name"")), """")"),"Kaynes Technology India Ltd")</f>
        <v>Kaynes Technology India Ltd</v>
      </c>
      <c r="Y19" s="21">
        <f>IFERROR(__xludf.DUMMYFUNCTION("IFERROR(if(ISBLANK(W19),"" "",GOOGLEFINANCE(V19,""price"")), """")"),3834.0)</f>
        <v>3834</v>
      </c>
      <c r="Z19" s="23">
        <f>IFERROR(__xludf.DUMMYFUNCTION("IFERROR(if(ISBLANK(W19),"" "",GOOGLEFINANCE(V19,""changepct"")), """")"),3.13)</f>
        <v>3.13</v>
      </c>
      <c r="AA19" s="12"/>
      <c r="AB19" s="18" t="s">
        <v>414</v>
      </c>
      <c r="AC19" s="38" t="s">
        <v>409</v>
      </c>
      <c r="AD19" s="39" t="str">
        <f>IFERROR(__xludf.DUMMYFUNCTION("IFERROR(if(ISBLANK(AC19),"" "",GOOGLEFINANCE(AB19,""Name"")), """")"),"Natco Pharma Ltd")</f>
        <v>Natco Pharma Ltd</v>
      </c>
      <c r="AE19" s="21">
        <f>IFERROR(__xludf.DUMMYFUNCTION("IFERROR(if(ISBLANK(AC19),"" "",GOOGLEFINANCE(AB19,""price"")), """")"),917.0)</f>
        <v>917</v>
      </c>
      <c r="AF19" s="23">
        <f>IFERROR(__xludf.DUMMYFUNCTION("IFERROR(if(ISBLANK(AC19),"" "",GOOGLEFINANCE(AB19,""changepct"")), """")"),1.1)</f>
        <v>1.1</v>
      </c>
      <c r="AG19" s="29"/>
      <c r="AH19" s="27" t="s">
        <v>415</v>
      </c>
      <c r="AI19" s="38" t="s">
        <v>409</v>
      </c>
      <c r="AJ19" s="39" t="str">
        <f>IFERROR(__xludf.DUMMYFUNCTION("IFERROR(if(ISBLANK(AI19),"" "",GOOGLEFINANCE(AH19,""Name"")), """")"),"South Indian Bank Ltd")</f>
        <v>South Indian Bank Ltd</v>
      </c>
      <c r="AK19" s="21">
        <f>IFERROR(__xludf.DUMMYFUNCTION("IFERROR(if(ISBLANK(AI19),"" "",GOOGLEFINANCE(AH19,""price"")), """")"),46.26)</f>
        <v>46.26</v>
      </c>
      <c r="AL19" s="23">
        <f>IFERROR(__xludf.DUMMYFUNCTION("IFERROR(if(ISBLANK(AI19),"" "",GOOGLEFINANCE(AH19,""changepct"")), """")"),0.98)</f>
        <v>0.98</v>
      </c>
      <c r="AM19" s="30"/>
      <c r="AN19" s="31" t="s">
        <v>200</v>
      </c>
      <c r="AO19" s="32" t="str">
        <f>IFERROR(__xludf.DUMMYFUNCTION("IFERROR(if(ISBLANK(AN19),"" "",GOOGLEFINANCE(AM19,""Name"")), """")"),"")</f>
        <v/>
      </c>
      <c r="AP19" s="33" t="s">
        <v>416</v>
      </c>
      <c r="AQ19" s="38" t="s">
        <v>409</v>
      </c>
      <c r="AR19" s="39" t="str">
        <f>IFERROR(__xludf.DUMMYFUNCTION("IFERROR(if(ISBLANK(AQ19),"" "",GOOGLEFINANCE(AP19,""Name"")), """")"),"Eureka Forbes Ltd")</f>
        <v>Eureka Forbes Ltd</v>
      </c>
      <c r="AS19" s="21">
        <f>IFERROR(__xludf.DUMMYFUNCTION("IFERROR(if(ISBLANK(AQ19),"" "",GOOGLEFINANCE(AP19,""price"")), """")"),452.0)</f>
        <v>452</v>
      </c>
      <c r="AT19" s="23">
        <f>IFERROR(__xludf.DUMMYFUNCTION("IFERROR(if(ISBLANK(AQ19),"" "",GOOGLEFINANCE(AP19,""changepct"")), """")"),-0.04)</f>
        <v>-0.04</v>
      </c>
      <c r="AU19" s="29"/>
      <c r="AV19" s="34" t="s">
        <v>418</v>
      </c>
      <c r="AW19" s="38" t="s">
        <v>409</v>
      </c>
      <c r="AX19" s="39" t="str">
        <f>IFERROR(__xludf.DUMMYFUNCTION("IFERROR(if(ISBLANK(AW19),"" "",GOOGLEFINANCE(AV19,""Name"")), """")"),"Kovai Medical Center And Hospital Ltd")</f>
        <v>Kovai Medical Center And Hospital Ltd</v>
      </c>
      <c r="AY19" s="21">
        <f>IFERROR(__xludf.DUMMYFUNCTION("IFERROR(if(ISBLANK(AW19),"" "",GOOGLEFINANCE(AV19,""price"")), """")"),5830.0)</f>
        <v>5830</v>
      </c>
      <c r="AZ19" s="23">
        <f>IFERROR(__xludf.DUMMYFUNCTION("IFERROR(if(ISBLANK(AW19),"" "",GOOGLEFINANCE(AV19,""changepct"")), """")"),-0.61)</f>
        <v>-0.61</v>
      </c>
      <c r="BA19" s="12"/>
      <c r="BB19" s="33" t="s">
        <v>419</v>
      </c>
      <c r="BC19" s="38" t="s">
        <v>409</v>
      </c>
      <c r="BD19" s="39" t="str">
        <f>IFERROR(__xludf.DUMMYFUNCTION("IFERROR(if(ISBLANK(BC19),"" "",GOOGLEFINANCE(BB19,""Name"")), """")"),"Datamatics Global Services Ltd")</f>
        <v>Datamatics Global Services Ltd</v>
      </c>
      <c r="BE19" s="21">
        <f>IFERROR(__xludf.DUMMYFUNCTION("IFERROR(if(ISBLANK(BC19),"" "",GOOGLEFINANCE(BB19,""price"")), """")"),857.7)</f>
        <v>857.7</v>
      </c>
      <c r="BF19" s="23">
        <f>IFERROR(__xludf.DUMMYFUNCTION("IFERROR(if(ISBLANK(BC19),"" "",GOOGLEFINANCE(BB19,""changepct"")), """")"),-0.58)</f>
        <v>-0.58</v>
      </c>
      <c r="BG19" s="12"/>
      <c r="BH19" s="35" t="s">
        <v>420</v>
      </c>
      <c r="BI19" s="38" t="s">
        <v>409</v>
      </c>
      <c r="BJ19" s="39" t="str">
        <f>IFERROR(__xludf.DUMMYFUNCTION("IFERROR(if(ISBLANK(BI19),"" "",GOOGLEFINANCE(BH19,""Name"")), """")"),"Jindal Worldwide Ltd")</f>
        <v>Jindal Worldwide Ltd</v>
      </c>
      <c r="BK19" s="21">
        <f>IFERROR(__xludf.DUMMYFUNCTION("IFERROR(if(ISBLANK(BI19),"" "",GOOGLEFINANCE(BH19,""price"")), """")"),36.67)</f>
        <v>36.67</v>
      </c>
      <c r="BL19" s="23">
        <f>IFERROR(__xludf.DUMMYFUNCTION("IFERROR(if(ISBLANK(BI19),"" "",GOOGLEFINANCE(BH19,""changepct"")), """")"),0.8)</f>
        <v>0.8</v>
      </c>
      <c r="BM19" s="12"/>
      <c r="BN19" s="33" t="s">
        <v>422</v>
      </c>
      <c r="BO19" s="38" t="s">
        <v>409</v>
      </c>
      <c r="BP19" s="39" t="str">
        <f>IFERROR(__xludf.DUMMYFUNCTION("IFERROR(if(ISBLANK(BO19),"" "",GOOGLEFINANCE(BN19,""Name"")), """")"),"Windsor Machines Ltd")</f>
        <v>Windsor Machines Ltd</v>
      </c>
      <c r="BQ19" s="21">
        <f>IFERROR(__xludf.DUMMYFUNCTION("IFERROR(if(ISBLANK(BO19),"" "",GOOGLEFINANCE(BN19,""price"")), """")"),306.45)</f>
        <v>306.45</v>
      </c>
      <c r="BR19" s="23">
        <f>IFERROR(__xludf.DUMMYFUNCTION("IFERROR(if(ISBLANK(BO19),"" "",GOOGLEFINANCE(BN19,""changepct"")), """")"),1.27)</f>
        <v>1.27</v>
      </c>
      <c r="BS19" s="22">
        <f>IFERROR(__xludf.DUMMYFUNCTION("IFERROR(if(ISBLANK($C19),"" "",GOOGLEFINANCE($B19,""change"")), """")"),-0.25)</f>
        <v>-0.25</v>
      </c>
      <c r="BT19" s="36"/>
      <c r="BU19" s="27" t="s">
        <v>423</v>
      </c>
      <c r="BV19" s="38" t="s">
        <v>409</v>
      </c>
      <c r="BW19" s="39" t="str">
        <f>IFERROR(__xludf.DUMMYFUNCTION("IFERROR(if(ISBLANK(BV19),"" "",GOOGLEFINANCE(BU19,""Name"")), """")"),"Cosmo First Ltd")</f>
        <v>Cosmo First Ltd</v>
      </c>
      <c r="BX19" s="21">
        <f>IFERROR(__xludf.DUMMYFUNCTION("IFERROR(if(ISBLANK(BV19),"" "",GOOGLEFINANCE(BU19,""price"")), """")"),912.55)</f>
        <v>912.55</v>
      </c>
      <c r="BY19" s="23">
        <f>IFERROR(__xludf.DUMMYFUNCTION("IFERROR(if(ISBLANK(BV19),"" "",GOOGLEFINANCE(BU19,""changepct"")), """")"),-1.91)</f>
        <v>-1.91</v>
      </c>
      <c r="BZ19" s="22">
        <f>IFERROR(__xludf.DUMMYFUNCTION("IFERROR(if(ISBLANK($C19),"" "",GOOGLEFINANCE($B19,""change"")), """")"),-0.25)</f>
        <v>-0.25</v>
      </c>
      <c r="CA19" s="37"/>
      <c r="CB19" s="27" t="s">
        <v>424</v>
      </c>
      <c r="CC19" s="38" t="s">
        <v>409</v>
      </c>
      <c r="CD19" s="39" t="str">
        <f>IFERROR(__xludf.DUMMYFUNCTION("IFERROR(if(ISBLANK(CC19),"" "",GOOGLEFINANCE(CB19,""Name"")), """")"),"Jai Corp Ltd")</f>
        <v>Jai Corp Ltd</v>
      </c>
      <c r="CE19" s="21">
        <f>IFERROR(__xludf.DUMMYFUNCTION("IFERROR(if(ISBLANK(CC19),"" "",GOOGLEFINANCE(CB19,""price"")), """")"),105.0)</f>
        <v>105</v>
      </c>
      <c r="CF19" s="23">
        <f>IFERROR(__xludf.DUMMYFUNCTION("IFERROR(if(ISBLANK(CC19),"" "",GOOGLEFINANCE(CB19,""changepct"")), """")"),2.27)</f>
        <v>2.27</v>
      </c>
      <c r="CG19" s="12"/>
      <c r="CH19" s="18" t="s">
        <v>425</v>
      </c>
      <c r="CI19" s="38" t="s">
        <v>409</v>
      </c>
      <c r="CJ19" s="39" t="str">
        <f>IFERROR(__xludf.DUMMYFUNCTION("IFERROR(if(ISBLANK(CI19),"" "",GOOGLEFINANCE(CH19,""Name"")), """")"),"Sai Silks (Kalamandir) Limited")</f>
        <v>Sai Silks (Kalamandir) Limited</v>
      </c>
      <c r="CK19" s="21">
        <f>IFERROR(__xludf.DUMMYFUNCTION("IFERROR(if(ISBLANK(CI19),"" "",GOOGLEFINANCE(CH19,""price"")), """")"),85.19)</f>
        <v>85.19</v>
      </c>
      <c r="CL19" s="23">
        <f>IFERROR(__xludf.DUMMYFUNCTION("IFERROR(if(ISBLANK(CI19),"" "",GOOGLEFINANCE(CH19,""changepct"")), """")"),-1.62)</f>
        <v>-1.62</v>
      </c>
      <c r="CM19" s="12"/>
      <c r="CN19" s="33" t="s">
        <v>426</v>
      </c>
      <c r="CO19" s="38" t="s">
        <v>409</v>
      </c>
      <c r="CP19" s="39" t="str">
        <f>IFERROR(__xludf.DUMMYFUNCTION("IFERROR(if(ISBLANK(CO19),"" "",GOOGLEFINANCE(CN19,""Name"")), """")"),"STEL Holdings Ltd")</f>
        <v>STEL Holdings Ltd</v>
      </c>
      <c r="CQ19" s="21">
        <f>IFERROR(__xludf.DUMMYFUNCTION("IFERROR(if(ISBLANK(CO19),"" "",GOOGLEFINANCE(CN19,""price"")), """")"),540.05)</f>
        <v>540.05</v>
      </c>
      <c r="CR19" s="23">
        <f>IFERROR(__xludf.DUMMYFUNCTION("IFERROR(if(ISBLANK(CO19),"" "",GOOGLEFINANCE(CN19,""changepct"")), """")"),1.01)</f>
        <v>1.01</v>
      </c>
      <c r="CS19" s="29"/>
      <c r="CT19" s="33" t="s">
        <v>428</v>
      </c>
      <c r="CU19" s="38" t="s">
        <v>409</v>
      </c>
      <c r="CV19" s="39" t="str">
        <f>IFERROR(__xludf.DUMMYFUNCTION("IFERROR(if(ISBLANK(CU19),"" "",GOOGLEFINANCE(CT19,""Name"")), """")"),"Systematix Corporate Services Ltd")</f>
        <v>Systematix Corporate Services Ltd</v>
      </c>
      <c r="CW19" s="21">
        <f>IFERROR(__xludf.DUMMYFUNCTION("IFERROR(if(ISBLANK(CU19),"" "",GOOGLEFINANCE(CT19,""price"")), """")"),59.5)</f>
        <v>59.5</v>
      </c>
      <c r="CX19" s="23">
        <f>IFERROR(__xludf.DUMMYFUNCTION("IFERROR(if(ISBLANK(CU19),"" "",GOOGLEFINANCE(CT19,""changepct"")), """")"),-0.75)</f>
        <v>-0.75</v>
      </c>
      <c r="CY19" s="17"/>
      <c r="CZ19" s="33" t="s">
        <v>429</v>
      </c>
      <c r="DA19" s="38" t="s">
        <v>409</v>
      </c>
      <c r="DB19" s="39" t="str">
        <f>IFERROR(__xludf.DUMMYFUNCTION("IFERROR(if(ISBLANK(DA19),"" "",GOOGLEFINANCE(CZ19,""Name"")), """")"),"Kilitch Drugs (India) Ltd")</f>
        <v>Kilitch Drugs (India) Ltd</v>
      </c>
      <c r="DC19" s="21">
        <f>IFERROR(__xludf.DUMMYFUNCTION("IFERROR(if(ISBLANK(DA19),"" "",GOOGLEFINANCE(CZ19,""price"")), """")"),186.0)</f>
        <v>186</v>
      </c>
      <c r="DD19" s="23">
        <f>IFERROR(__xludf.DUMMYFUNCTION("IFERROR(if(ISBLANK(DA19),"" "",GOOGLEFINANCE(CZ19,""changepct"")), """")"),-2.85)</f>
        <v>-2.85</v>
      </c>
      <c r="DE19" s="29"/>
      <c r="DF19" s="12"/>
    </row>
    <row r="20" ht="11.25" customHeight="1">
      <c r="A20" s="17"/>
      <c r="B20" s="18" t="s">
        <v>430</v>
      </c>
      <c r="C20" s="38" t="s">
        <v>431</v>
      </c>
      <c r="D20" s="39" t="str">
        <f>IFERROR(__xludf.DUMMYFUNCTION("IFERROR(if(ISBLANK(C20),"" "",GOOGLEFINANCE(B20,""Name"")), """")"),"Axis Bank Ltd")</f>
        <v>Axis Bank Ltd</v>
      </c>
      <c r="E20" s="21">
        <f>IFERROR(__xludf.DUMMYFUNCTION("IFERROR(if(ISBLANK(C20),"" "",GOOGLEFINANCE(B20,""price"")), """")"),1225.0)</f>
        <v>1225</v>
      </c>
      <c r="F20" s="22">
        <f>IFERROR(__xludf.DUMMYFUNCTION("IFERROR(if(ISBLANK(C20),"" "",GOOGLEFINANCE(B20,""changepct"")), """")"),-0.39)</f>
        <v>-0.39</v>
      </c>
      <c r="G20" s="23">
        <f>IFERROR(__xludf.DUMMYFUNCTION("IFERROR(if(ISBLANK($C20),"" "",GOOGLEFINANCE($B20,""change"")), """")"),-4.8)</f>
        <v>-4.8</v>
      </c>
      <c r="H20" s="24"/>
      <c r="I20" s="25" t="s">
        <v>432</v>
      </c>
      <c r="J20" s="38" t="s">
        <v>431</v>
      </c>
      <c r="K20" s="39" t="str">
        <f>IFERROR(__xludf.DUMMYFUNCTION("IFERROR(if(ISBLANK(J20),"" "",GOOGLEFINANCE(I20,""Name"")), """")"),"LG Electronics India Ltd")</f>
        <v>LG Electronics India Ltd</v>
      </c>
      <c r="L20" s="21">
        <f>IFERROR(__xludf.DUMMYFUNCTION("IFERROR(if(ISBLANK(J20),"" "",GOOGLEFINANCE(I20,""price"")), """")"),1580.0)</f>
        <v>1580</v>
      </c>
      <c r="M20" s="22">
        <f>IFERROR(__xludf.DUMMYFUNCTION("IFERROR(if(ISBLANK(J20),"" "",GOOGLEFINANCE(I20,""changepct"")), """")"),0.86)</f>
        <v>0.86</v>
      </c>
      <c r="N20" s="23">
        <f>IFERROR(__xludf.DUMMYFUNCTION("IFERROR(if(ISBLANK($C20),"" "",GOOGLEFINANCE($B20,""change"")), """")"),-4.8)</f>
        <v>-4.8</v>
      </c>
      <c r="O20" s="26"/>
      <c r="P20" s="27" t="s">
        <v>433</v>
      </c>
      <c r="Q20" s="38" t="s">
        <v>431</v>
      </c>
      <c r="R20" s="39" t="str">
        <f>IFERROR(__xludf.DUMMYFUNCTION("IFERROR(if(ISBLANK(Q20),"" "",GOOGLEFINANCE(P20,""Name"")), """")"),"Aegis Logistics Ltd")</f>
        <v>Aegis Logistics Ltd</v>
      </c>
      <c r="S20" s="21">
        <f>IFERROR(__xludf.DUMMYFUNCTION("IFERROR(if(ISBLANK(Q20),"" "",GOOGLEFINANCE(P20,""price"")), """")"),1263.0)</f>
        <v>1263</v>
      </c>
      <c r="T20" s="22">
        <f>IFERROR(__xludf.DUMMYFUNCTION("IFERROR(if(ISBLANK(Q20),"" "",GOOGLEFINANCE(P20,""changepct"")), """")"),-2.67)</f>
        <v>-2.67</v>
      </c>
      <c r="U20" s="28"/>
      <c r="V20" s="18" t="s">
        <v>435</v>
      </c>
      <c r="W20" s="38" t="s">
        <v>431</v>
      </c>
      <c r="X20" s="39" t="str">
        <f>IFERROR(__xludf.DUMMYFUNCTION("IFERROR(if(ISBLANK(W20),"" "",GOOGLEFINANCE(V20,""Name"")), """")"),"ACC Ltd")</f>
        <v>ACC Ltd</v>
      </c>
      <c r="Y20" s="21">
        <f>IFERROR(__xludf.DUMMYFUNCTION("IFERROR(if(ISBLANK(W20),"" "",GOOGLEFINANCE(V20,""price"")), """")"),1335.9)</f>
        <v>1335.9</v>
      </c>
      <c r="Z20" s="23">
        <f>IFERROR(__xludf.DUMMYFUNCTION("IFERROR(if(ISBLANK(W20),"" "",GOOGLEFINANCE(V20,""changepct"")), """")"),-0.29)</f>
        <v>-0.29</v>
      </c>
      <c r="AA20" s="12"/>
      <c r="AB20" s="18" t="s">
        <v>436</v>
      </c>
      <c r="AC20" s="38" t="s">
        <v>431</v>
      </c>
      <c r="AD20" s="39" t="str">
        <f>IFERROR(__xludf.DUMMYFUNCTION("IFERROR(if(ISBLANK(AC20),"" "",GOOGLEFINANCE(AB20,""Name"")), """")"),"KPIT Technologies Ltd")</f>
        <v>KPIT Technologies Ltd</v>
      </c>
      <c r="AE20" s="21">
        <f>IFERROR(__xludf.DUMMYFUNCTION("IFERROR(if(ISBLANK(AC20),"" "",GOOGLEFINANCE(AB20,""price"")), """")"),612.0)</f>
        <v>612</v>
      </c>
      <c r="AF20" s="23">
        <f>IFERROR(__xludf.DUMMYFUNCTION("IFERROR(if(ISBLANK(AC20),"" "",GOOGLEFINANCE(AB20,""changepct"")), """")"),-2.39)</f>
        <v>-2.39</v>
      </c>
      <c r="AG20" s="43"/>
      <c r="AH20" s="27" t="s">
        <v>437</v>
      </c>
      <c r="AI20" s="38" t="s">
        <v>431</v>
      </c>
      <c r="AJ20" s="39" t="str">
        <f>IFERROR(__xludf.DUMMYFUNCTION("IFERROR(if(ISBLANK(AI20),"" "",GOOGLEFINANCE(AH20,""Name"")), """")"),"Avalon Technologies Ltd")</f>
        <v>Avalon Technologies Ltd</v>
      </c>
      <c r="AK20" s="21">
        <f>IFERROR(__xludf.DUMMYFUNCTION("IFERROR(if(ISBLANK(AI20),"" "",GOOGLEFINANCE(AH20,""price"")), """")"),1973.7)</f>
        <v>1973.7</v>
      </c>
      <c r="AL20" s="23">
        <f>IFERROR(__xludf.DUMMYFUNCTION("IFERROR(if(ISBLANK(AI20),"" "",GOOGLEFINANCE(AH20,""changepct"")), """")"),1.83)</f>
        <v>1.83</v>
      </c>
      <c r="AM20" s="44"/>
      <c r="AN20" s="31" t="s">
        <v>200</v>
      </c>
      <c r="AO20" s="32" t="str">
        <f>IFERROR(__xludf.DUMMYFUNCTION("IFERROR(if(ISBLANK(AN20),"" "",GOOGLEFINANCE(AM20,""Name"")), """")"),"")</f>
        <v/>
      </c>
      <c r="AP20" s="33" t="s">
        <v>438</v>
      </c>
      <c r="AQ20" s="38" t="s">
        <v>431</v>
      </c>
      <c r="AR20" s="39" t="str">
        <f>IFERROR(__xludf.DUMMYFUNCTION("IFERROR(if(ISBLANK(AQ20),"" "",GOOGLEFINANCE(AP20,""Name"")), """")"),"Suven Life Sciences Ltd")</f>
        <v>Suven Life Sciences Ltd</v>
      </c>
      <c r="AS20" s="21">
        <f>IFERROR(__xludf.DUMMYFUNCTION("IFERROR(if(ISBLANK(AQ20),"" "",GOOGLEFINANCE(AP20,""price"")), """")"),328.0)</f>
        <v>328</v>
      </c>
      <c r="AT20" s="23">
        <f>IFERROR(__xludf.DUMMYFUNCTION("IFERROR(if(ISBLANK(AQ20),"" "",GOOGLEFINANCE(AP20,""changepct"")), """")"),-3.67)</f>
        <v>-3.67</v>
      </c>
      <c r="AU20" s="43"/>
      <c r="AV20" s="34" t="s">
        <v>439</v>
      </c>
      <c r="AW20" s="38" t="s">
        <v>431</v>
      </c>
      <c r="AX20" s="39" t="str">
        <f>IFERROR(__xludf.DUMMYFUNCTION("IFERROR(if(ISBLANK(AW20),"" "",GOOGLEFINANCE(AV20,""Name"")), """")"),"CE Info Systems Ltd")</f>
        <v>CE Info Systems Ltd</v>
      </c>
      <c r="AY20" s="21">
        <f>IFERROR(__xludf.DUMMYFUNCTION("IFERROR(if(ISBLANK(AW20),"" "",GOOGLEFINANCE(AV20,""price"")), """")"),995.0)</f>
        <v>995</v>
      </c>
      <c r="AZ20" s="23">
        <f>IFERROR(__xludf.DUMMYFUNCTION("IFERROR(if(ISBLANK(AW20),"" "",GOOGLEFINANCE(AV20,""changepct"")), """")"),-1.81)</f>
        <v>-1.81</v>
      </c>
      <c r="BA20" s="12"/>
      <c r="BB20" s="33" t="s">
        <v>441</v>
      </c>
      <c r="BC20" s="38" t="s">
        <v>431</v>
      </c>
      <c r="BD20" s="39" t="str">
        <f>IFERROR(__xludf.DUMMYFUNCTION("IFERROR(if(ISBLANK(BC20),"" "",GOOGLEFINANCE(BB20,""Name"")), """")"),"Thomas Cook (India) Ltd")</f>
        <v>Thomas Cook (India) Ltd</v>
      </c>
      <c r="BE20" s="21">
        <f>IFERROR(__xludf.DUMMYFUNCTION("IFERROR(if(ISBLANK(BC20),"" "",GOOGLEFINANCE(BB20,""price"")), """")"),107.0)</f>
        <v>107</v>
      </c>
      <c r="BF20" s="23">
        <f>IFERROR(__xludf.DUMMYFUNCTION("IFERROR(if(ISBLANK(BC20),"" "",GOOGLEFINANCE(BB20,""changepct"")), """")"),-2.22)</f>
        <v>-2.22</v>
      </c>
      <c r="BG20" s="12"/>
      <c r="BH20" s="35" t="s">
        <v>442</v>
      </c>
      <c r="BI20" s="38" t="s">
        <v>431</v>
      </c>
      <c r="BJ20" s="39" t="str">
        <f>IFERROR(__xludf.DUMMYFUNCTION("IFERROR(if(ISBLANK(BI20),"" "",GOOGLEFINANCE(BH20,""Name"")), """")"),"eMudhra Ltd")</f>
        <v>eMudhra Ltd</v>
      </c>
      <c r="BK20" s="21">
        <f>IFERROR(__xludf.DUMMYFUNCTION("IFERROR(if(ISBLANK(BI20),"" "",GOOGLEFINANCE(BH20,""price"")), """")"),521.5)</f>
        <v>521.5</v>
      </c>
      <c r="BL20" s="23">
        <f>IFERROR(__xludf.DUMMYFUNCTION("IFERROR(if(ISBLANK(BI20),"" "",GOOGLEFINANCE(BH20,""changepct"")), """")"),-0.81)</f>
        <v>-0.81</v>
      </c>
      <c r="BM20" s="12"/>
      <c r="BN20" s="33" t="s">
        <v>443</v>
      </c>
      <c r="BO20" s="38" t="s">
        <v>431</v>
      </c>
      <c r="BP20" s="39" t="str">
        <f>IFERROR(__xludf.DUMMYFUNCTION("IFERROR(if(ISBLANK(BO20),"" "",GOOGLEFINANCE(BN20,""Name"")), """")"),"Prince Pipes and Fittings Ltd")</f>
        <v>Prince Pipes and Fittings Ltd</v>
      </c>
      <c r="BQ20" s="21">
        <f>IFERROR(__xludf.DUMMYFUNCTION("IFERROR(if(ISBLANK(BO20),"" "",GOOGLEFINANCE(BN20,""price"")), """")"),268.1)</f>
        <v>268.1</v>
      </c>
      <c r="BR20" s="23">
        <f>IFERROR(__xludf.DUMMYFUNCTION("IFERROR(if(ISBLANK(BO20),"" "",GOOGLEFINANCE(BN20,""changepct"")), """")"),-1.09)</f>
        <v>-1.09</v>
      </c>
      <c r="BS20" s="22">
        <f>IFERROR(__xludf.DUMMYFUNCTION("IFERROR(if(ISBLANK($C20),"" "",GOOGLEFINANCE($B20,""change"")), """")"),-4.8)</f>
        <v>-4.8</v>
      </c>
      <c r="BT20" s="36"/>
      <c r="BU20" s="27" t="s">
        <v>444</v>
      </c>
      <c r="BV20" s="38" t="s">
        <v>431</v>
      </c>
      <c r="BW20" s="39" t="str">
        <f>IFERROR(__xludf.DUMMYFUNCTION("IFERROR(if(ISBLANK(BV20),"" "",GOOGLEFINANCE(BU20,""Name"")), """")"),"Alembic Ltd")</f>
        <v>Alembic Ltd</v>
      </c>
      <c r="BX20" s="21">
        <f>IFERROR(__xludf.DUMMYFUNCTION("IFERROR(if(ISBLANK(BV20),"" "",GOOGLEFINANCE(BU20,""price"")), """")"),84.2)</f>
        <v>84.2</v>
      </c>
      <c r="BY20" s="23">
        <f>IFERROR(__xludf.DUMMYFUNCTION("IFERROR(if(ISBLANK(BV20),"" "",GOOGLEFINANCE(BU20,""changepct"")), """")"),-2.92)</f>
        <v>-2.92</v>
      </c>
      <c r="BZ20" s="22">
        <f>IFERROR(__xludf.DUMMYFUNCTION("IFERROR(if(ISBLANK($C20),"" "",GOOGLEFINANCE($B20,""change"")), """")"),-4.8)</f>
        <v>-4.8</v>
      </c>
      <c r="CA20" s="37"/>
      <c r="CB20" s="27" t="s">
        <v>445</v>
      </c>
      <c r="CC20" s="38" t="s">
        <v>431</v>
      </c>
      <c r="CD20" s="39" t="str">
        <f>IFERROR(__xludf.DUMMYFUNCTION("IFERROR(if(ISBLANK(CC20),"" "",GOOGLEFINANCE(CB20,""Name"")), """")"),"PTC India Financial Services Ltd")</f>
        <v>PTC India Financial Services Ltd</v>
      </c>
      <c r="CE20" s="21">
        <f>IFERROR(__xludf.DUMMYFUNCTION("IFERROR(if(ISBLANK(CC20),"" "",GOOGLEFINANCE(CB20,""price"")), """")"),28.75)</f>
        <v>28.75</v>
      </c>
      <c r="CF20" s="23">
        <f>IFERROR(__xludf.DUMMYFUNCTION("IFERROR(if(ISBLANK(CC20),"" "",GOOGLEFINANCE(CB20,""changepct"")), """")"),-0.03)</f>
        <v>-0.03</v>
      </c>
      <c r="CG20" s="12"/>
      <c r="CH20" s="18" t="s">
        <v>446</v>
      </c>
      <c r="CI20" s="38" t="s">
        <v>431</v>
      </c>
      <c r="CJ20" s="39" t="str">
        <f>IFERROR(__xludf.DUMMYFUNCTION("IFERROR(if(ISBLANK(CI20),"" "",GOOGLEFINANCE(CH20,""Name"")), """")"),"DCW Ltd")</f>
        <v>DCW Ltd</v>
      </c>
      <c r="CK20" s="21">
        <f>IFERROR(__xludf.DUMMYFUNCTION("IFERROR(if(ISBLANK(CI20),"" "",GOOGLEFINANCE(CH20,""price"")), """")"),45.92)</f>
        <v>45.92</v>
      </c>
      <c r="CL20" s="23">
        <f>IFERROR(__xludf.DUMMYFUNCTION("IFERROR(if(ISBLANK(CI20),"" "",GOOGLEFINANCE(CH20,""changepct"")), """")"),-1.5)</f>
        <v>-1.5</v>
      </c>
      <c r="CM20" s="12"/>
      <c r="CN20" s="33" t="s">
        <v>447</v>
      </c>
      <c r="CO20" s="38" t="s">
        <v>431</v>
      </c>
      <c r="CP20" s="39" t="str">
        <f>IFERROR(__xludf.DUMMYFUNCTION("IFERROR(if(ISBLANK(CO20),"" "",GOOGLEFINANCE(CN20,""Name"")), """")"),"Irm Energy Ltd")</f>
        <v>Irm Energy Ltd</v>
      </c>
      <c r="CQ20" s="21">
        <f>IFERROR(__xludf.DUMMYFUNCTION("IFERROR(if(ISBLANK(CO20),"" "",GOOGLEFINANCE(CN20,""price"")), """")"),293.65)</f>
        <v>293.65</v>
      </c>
      <c r="CR20" s="23">
        <f>IFERROR(__xludf.DUMMYFUNCTION("IFERROR(if(ISBLANK(CO20),"" "",GOOGLEFINANCE(CN20,""changepct"")), """")"),-2.94)</f>
        <v>-2.94</v>
      </c>
      <c r="CS20" s="43"/>
      <c r="CT20" s="33" t="s">
        <v>448</v>
      </c>
      <c r="CU20" s="38" t="s">
        <v>431</v>
      </c>
      <c r="CV20" s="39" t="str">
        <f>IFERROR(__xludf.DUMMYFUNCTION("IFERROR(if(ISBLANK(CU20),"" "",GOOGLEFINANCE(CT20,""Name"")), """")"),"Ganesh Benzoplast Ltd")</f>
        <v>Ganesh Benzoplast Ltd</v>
      </c>
      <c r="CW20" s="21">
        <f>IFERROR(__xludf.DUMMYFUNCTION("IFERROR(if(ISBLANK(CU20),"" "",GOOGLEFINANCE(CT20,""price"")), """")"),112.25)</f>
        <v>112.25</v>
      </c>
      <c r="CX20" s="23">
        <f>IFERROR(__xludf.DUMMYFUNCTION("IFERROR(if(ISBLANK(CU20),"" "",GOOGLEFINANCE(CT20,""changepct"")), """")"),-3.85)</f>
        <v>-3.85</v>
      </c>
      <c r="CY20" s="17"/>
      <c r="CZ20" s="33" t="s">
        <v>450</v>
      </c>
      <c r="DA20" s="38" t="s">
        <v>431</v>
      </c>
      <c r="DB20" s="39" t="str">
        <f>IFERROR(__xludf.DUMMYFUNCTION("IFERROR(if(ISBLANK(DA20),"" "",GOOGLEFINANCE(CZ20,""Name"")), """")"),"NBI Industrial Finance Company Ltd")</f>
        <v>NBI Industrial Finance Company Ltd</v>
      </c>
      <c r="DC20" s="21">
        <f>IFERROR(__xludf.DUMMYFUNCTION("IFERROR(if(ISBLANK(DA20),"" "",GOOGLEFINANCE(CZ20,""price"")), """")"),2090.0)</f>
        <v>2090</v>
      </c>
      <c r="DD20" s="23">
        <f>IFERROR(__xludf.DUMMYFUNCTION("IFERROR(if(ISBLANK(DA20),"" "",GOOGLEFINANCE(CZ20,""changepct"")), """")"),-3.25)</f>
        <v>-3.25</v>
      </c>
      <c r="DE20" s="43"/>
      <c r="DF20" s="12"/>
    </row>
    <row r="21" ht="11.25" customHeight="1">
      <c r="A21" s="17"/>
      <c r="B21" s="18" t="s">
        <v>451</v>
      </c>
      <c r="C21" s="38" t="s">
        <v>452</v>
      </c>
      <c r="D21" s="39" t="str">
        <f>IFERROR(__xludf.DUMMYFUNCTION("IFERROR(if(ISBLANK(C21),"" "",GOOGLEFINANCE(B21,""Name"")), """")"),"Adani Ports and Special Economic Zone Ld")</f>
        <v>Adani Ports and Special Economic Zone Ld</v>
      </c>
      <c r="E21" s="21">
        <f>IFERROR(__xludf.DUMMYFUNCTION("IFERROR(if(ISBLANK(C21),"" "",GOOGLEFINANCE(B21,""price"")), """")"),1657.2)</f>
        <v>1657.2</v>
      </c>
      <c r="F21" s="22">
        <f>IFERROR(__xludf.DUMMYFUNCTION("IFERROR(if(ISBLANK(C21),"" "",GOOGLEFINANCE(B21,""changepct"")), """")"),-0.66)</f>
        <v>-0.66</v>
      </c>
      <c r="G21" s="23">
        <f>IFERROR(__xludf.DUMMYFUNCTION("IFERROR(if(ISBLANK($C21),"" "",GOOGLEFINANCE($B21,""change"")), """")"),-11.0)</f>
        <v>-11</v>
      </c>
      <c r="H21" s="24"/>
      <c r="I21" s="25" t="s">
        <v>453</v>
      </c>
      <c r="J21" s="38" t="s">
        <v>452</v>
      </c>
      <c r="K21" s="39" t="str">
        <f>IFERROR(__xludf.DUMMYFUNCTION("IFERROR(if(ISBLANK(J21),"" "",GOOGLEFINANCE(I21,""Name"")), """")"),"REC Ltd")</f>
        <v>REC Ltd</v>
      </c>
      <c r="L21" s="21">
        <f>IFERROR(__xludf.DUMMYFUNCTION("IFERROR(if(ISBLANK(J21),"" "",GOOGLEFINANCE(I21,""price"")), """")"),344.2)</f>
        <v>344.2</v>
      </c>
      <c r="M21" s="22">
        <f>IFERROR(__xludf.DUMMYFUNCTION("IFERROR(if(ISBLANK(J21),"" "",GOOGLEFINANCE(I21,""changepct"")), """")"),-0.15)</f>
        <v>-0.15</v>
      </c>
      <c r="N21" s="23">
        <f>IFERROR(__xludf.DUMMYFUNCTION("IFERROR(if(ISBLANK($C21),"" "",GOOGLEFINANCE($B21,""change"")), """")"),-11.0)</f>
        <v>-11</v>
      </c>
      <c r="O21" s="26"/>
      <c r="P21" s="27" t="s">
        <v>454</v>
      </c>
      <c r="Q21" s="38" t="s">
        <v>452</v>
      </c>
      <c r="R21" s="39" t="str">
        <f>IFERROR(__xludf.DUMMYFUNCTION("IFERROR(if(ISBLANK(Q21),"" "",GOOGLEFINANCE(P21,""Name"")), """")"),"Mphasis Ltd")</f>
        <v>Mphasis Ltd</v>
      </c>
      <c r="S21" s="21">
        <f>IFERROR(__xludf.DUMMYFUNCTION("IFERROR(if(ISBLANK(Q21),"" "",GOOGLEFINANCE(P21,""price"")), """")"),2502.0)</f>
        <v>2502</v>
      </c>
      <c r="T21" s="22">
        <f>IFERROR(__xludf.DUMMYFUNCTION("IFERROR(if(ISBLANK(Q21),"" "",GOOGLEFINANCE(P21,""changepct"")), """")"),-1.11)</f>
        <v>-1.11</v>
      </c>
      <c r="U21" s="28"/>
      <c r="V21" s="18" t="s">
        <v>455</v>
      </c>
      <c r="W21" s="38" t="s">
        <v>452</v>
      </c>
      <c r="X21" s="39" t="str">
        <f>IFERROR(__xludf.DUMMYFUNCTION("IFERROR(if(ISBLANK(W21),"" "",GOOGLEFINANCE(V21,""Name"")), """")"),"Sumitomo Chemical India Ltd")</f>
        <v>Sumitomo Chemical India Ltd</v>
      </c>
      <c r="Y21" s="21">
        <f>IFERROR(__xludf.DUMMYFUNCTION("IFERROR(if(ISBLANK(W21),"" "",GOOGLEFINANCE(V21,""price"")), """")"),547.0)</f>
        <v>547</v>
      </c>
      <c r="Z21" s="23">
        <f>IFERROR(__xludf.DUMMYFUNCTION("IFERROR(if(ISBLANK(W21),"" "",GOOGLEFINANCE(V21,""changepct"")), """")"),-1.99)</f>
        <v>-1.99</v>
      </c>
      <c r="AA21" s="12"/>
      <c r="AB21" s="18" t="s">
        <v>456</v>
      </c>
      <c r="AC21" s="38" t="s">
        <v>452</v>
      </c>
      <c r="AD21" s="39" t="str">
        <f>IFERROR(__xludf.DUMMYFUNCTION("IFERROR(if(ISBLANK(AC21),"" "",GOOGLEFINANCE(AB21,""Name"")), """")"),"Godawari Power and Ispat Limited")</f>
        <v>Godawari Power and Ispat Limited</v>
      </c>
      <c r="AE21" s="21">
        <f>IFERROR(__xludf.DUMMYFUNCTION("IFERROR(if(ISBLANK(AC21),"" "",GOOGLEFINANCE(AB21,""price"")), """")"),229.0)</f>
        <v>229</v>
      </c>
      <c r="AF21" s="23">
        <f>IFERROR(__xludf.DUMMYFUNCTION("IFERROR(if(ISBLANK(AC21),"" "",GOOGLEFINANCE(AB21,""changepct"")), """")"),-1.37)</f>
        <v>-1.37</v>
      </c>
      <c r="AG21" s="12"/>
      <c r="AH21" s="27" t="s">
        <v>458</v>
      </c>
      <c r="AI21" s="38" t="s">
        <v>452</v>
      </c>
      <c r="AJ21" s="39" t="str">
        <f>IFERROR(__xludf.DUMMYFUNCTION("IFERROR(if(ISBLANK(AI21),"" "",GOOGLEFINANCE(AH21,""Name"")), """")"),"Metropolis Healthcare Ltd")</f>
        <v>Metropolis Healthcare Ltd</v>
      </c>
      <c r="AK21" s="21">
        <f>IFERROR(__xludf.DUMMYFUNCTION("IFERROR(if(ISBLANK(AI21),"" "",GOOGLEFINANCE(AH21,""price"")), """")"),551.2)</f>
        <v>551.2</v>
      </c>
      <c r="AL21" s="23">
        <f>IFERROR(__xludf.DUMMYFUNCTION("IFERROR(if(ISBLANK(AI21),"" "",GOOGLEFINANCE(AH21,""changepct"")), """")"),-2.66)</f>
        <v>-2.66</v>
      </c>
      <c r="AM21" s="44"/>
      <c r="AN21" s="31" t="s">
        <v>200</v>
      </c>
      <c r="AO21" s="32" t="str">
        <f>IFERROR(__xludf.DUMMYFUNCTION("IFERROR(if(ISBLANK(AN21),"" "",GOOGLEFINANCE(AM21,""Name"")), """")"),"")</f>
        <v/>
      </c>
      <c r="AP21" s="33" t="s">
        <v>459</v>
      </c>
      <c r="AQ21" s="38" t="s">
        <v>452</v>
      </c>
      <c r="AR21" s="39" t="str">
        <f>IFERROR(__xludf.DUMMYFUNCTION("IFERROR(if(ISBLANK(AQ21),"" "",GOOGLEFINANCE(AP21,""Name"")), """")"),"ESAB India Ltd")</f>
        <v>ESAB India Ltd</v>
      </c>
      <c r="AS21" s="21">
        <f>IFERROR(__xludf.DUMMYFUNCTION("IFERROR(if(ISBLANK(AQ21),"" "",GOOGLEFINANCE(AP21,""price"")), """")"),5991.0)</f>
        <v>5991</v>
      </c>
      <c r="AT21" s="23">
        <f>IFERROR(__xludf.DUMMYFUNCTION("IFERROR(if(ISBLANK(AQ21),"" "",GOOGLEFINANCE(AP21,""changepct"")), """")"),2.93)</f>
        <v>2.93</v>
      </c>
      <c r="AU21" s="12"/>
      <c r="AV21" s="34" t="s">
        <v>460</v>
      </c>
      <c r="AW21" s="38" t="s">
        <v>452</v>
      </c>
      <c r="AX21" s="39" t="str">
        <f>IFERROR(__xludf.DUMMYFUNCTION("IFERROR(if(ISBLANK(AW21),"" "",GOOGLEFINANCE(AV21,""Name"")), """")"),"Vikram Solar Ltd")</f>
        <v>Vikram Solar Ltd</v>
      </c>
      <c r="AY21" s="21">
        <f>IFERROR(__xludf.DUMMYFUNCTION("IFERROR(if(ISBLANK(AW21),"" "",GOOGLEFINANCE(AV21,""price"")), """")"),159.35)</f>
        <v>159.35</v>
      </c>
      <c r="AZ21" s="23">
        <f>IFERROR(__xludf.DUMMYFUNCTION("IFERROR(if(ISBLANK(AW21),"" "",GOOGLEFINANCE(AV21,""changepct"")), """")"),-0.78)</f>
        <v>-0.78</v>
      </c>
      <c r="BA21" s="12"/>
      <c r="BB21" s="33" t="s">
        <v>461</v>
      </c>
      <c r="BC21" s="38" t="s">
        <v>452</v>
      </c>
      <c r="BD21" s="39" t="str">
        <f>IFERROR(__xludf.DUMMYFUNCTION("IFERROR(if(ISBLANK(BC21),"" "",GOOGLEFINANCE(BB21,""Name"")), """")"),"Triveni Engineering and Industries Ltd")</f>
        <v>Triveni Engineering and Industries Ltd</v>
      </c>
      <c r="BE21" s="21">
        <f>IFERROR(__xludf.DUMMYFUNCTION("IFERROR(if(ISBLANK(BC21),"" "",GOOGLEFINANCE(BB21,""price"")), """")"),243.8)</f>
        <v>243.8</v>
      </c>
      <c r="BF21" s="23">
        <f>IFERROR(__xludf.DUMMYFUNCTION("IFERROR(if(ISBLANK(BC21),"" "",GOOGLEFINANCE(BB21,""changepct"")), """")"),2.27)</f>
        <v>2.27</v>
      </c>
      <c r="BG21" s="12"/>
      <c r="BH21" s="35" t="s">
        <v>462</v>
      </c>
      <c r="BI21" s="38" t="s">
        <v>452</v>
      </c>
      <c r="BJ21" s="39" t="str">
        <f>IFERROR(__xludf.DUMMYFUNCTION("IFERROR(if(ISBLANK(BI21),"" "",GOOGLEFINANCE(BH21,""Name"")), """")"),"Bajaj Electricals Ltd")</f>
        <v>Bajaj Electricals Ltd</v>
      </c>
      <c r="BK21" s="21">
        <f>IFERROR(__xludf.DUMMYFUNCTION("IFERROR(if(ISBLANK(BI21),"" "",GOOGLEFINANCE(BH21,""price"")), """")"),366.0)</f>
        <v>366</v>
      </c>
      <c r="BL21" s="23">
        <f>IFERROR(__xludf.DUMMYFUNCTION("IFERROR(if(ISBLANK(BI21),"" "",GOOGLEFINANCE(BH21,""changepct"")), """")"),1.57)</f>
        <v>1.57</v>
      </c>
      <c r="BM21" s="12"/>
      <c r="BN21" s="33" t="s">
        <v>463</v>
      </c>
      <c r="BO21" s="38" t="s">
        <v>452</v>
      </c>
      <c r="BP21" s="39" t="str">
        <f>IFERROR(__xludf.DUMMYFUNCTION("IFERROR(if(ISBLANK(BO21),"" "",GOOGLEFINANCE(BN21,""Name"")), """")"),"Kitex Garments Ltd")</f>
        <v>Kitex Garments Ltd</v>
      </c>
      <c r="BQ21" s="21">
        <f>IFERROR(__xludf.DUMMYFUNCTION("IFERROR(if(ISBLANK(BO21),"" "",GOOGLEFINANCE(BN21,""price"")), """")"),135.0)</f>
        <v>135</v>
      </c>
      <c r="BR21" s="23">
        <f>IFERROR(__xludf.DUMMYFUNCTION("IFERROR(if(ISBLANK(BO21),"" "",GOOGLEFINANCE(BN21,""changepct"")), """")"),0.75)</f>
        <v>0.75</v>
      </c>
      <c r="BS21" s="22">
        <f>IFERROR(__xludf.DUMMYFUNCTION("IFERROR(if(ISBLANK($C21),"" "",GOOGLEFINANCE($B21,""change"")), """")"),-11.0)</f>
        <v>-11</v>
      </c>
      <c r="BT21" s="36"/>
      <c r="BU21" s="27" t="s">
        <v>465</v>
      </c>
      <c r="BV21" s="38" t="s">
        <v>452</v>
      </c>
      <c r="BW21" s="39" t="str">
        <f>IFERROR(__xludf.DUMMYFUNCTION("IFERROR(if(ISBLANK(BV21),"" "",GOOGLEFINANCE(BU21,""Name"")), """")"),"Knack Packaging Ltd")</f>
        <v>Knack Packaging Ltd</v>
      </c>
      <c r="BX21" s="21">
        <f>IFERROR(__xludf.DUMMYFUNCTION("IFERROR(if(ISBLANK(BV21),"" "",GOOGLEFINANCE(BU21,""price"")), """")"),204.8)</f>
        <v>204.8</v>
      </c>
      <c r="BY21" s="23">
        <f>IFERROR(__xludf.DUMMYFUNCTION("IFERROR(if(ISBLANK(BV21),"" "",GOOGLEFINANCE(BU21,""changepct"")), """")"),-0.96)</f>
        <v>-0.96</v>
      </c>
      <c r="BZ21" s="22">
        <f>IFERROR(__xludf.DUMMYFUNCTION("IFERROR(if(ISBLANK($C21),"" "",GOOGLEFINANCE($B21,""change"")), """")"),-11.0)</f>
        <v>-11</v>
      </c>
      <c r="CA21" s="37"/>
      <c r="CB21" s="27" t="s">
        <v>466</v>
      </c>
      <c r="CC21" s="38" t="s">
        <v>452</v>
      </c>
      <c r="CD21" s="39" t="str">
        <f>IFERROR(__xludf.DUMMYFUNCTION("IFERROR(if(ISBLANK(CC21),"" "",GOOGLEFINANCE(CB21,""Name"")), """")"),"DISA India Ltd")</f>
        <v>DISA India Ltd</v>
      </c>
      <c r="CE21" s="21">
        <f>IFERROR(__xludf.DUMMYFUNCTION("IFERROR(if(ISBLANK(CC21),"" "",GOOGLEFINANCE(CB21,""price"")), """")"),11651.0)</f>
        <v>11651</v>
      </c>
      <c r="CF21" s="23">
        <f>IFERROR(__xludf.DUMMYFUNCTION("IFERROR(if(ISBLANK(CC21),"" "",GOOGLEFINANCE(CB21,""changepct"")), """")"),-3.09)</f>
        <v>-3.09</v>
      </c>
      <c r="CG21" s="12"/>
      <c r="CH21" s="18" t="s">
        <v>467</v>
      </c>
      <c r="CI21" s="38" t="s">
        <v>452</v>
      </c>
      <c r="CJ21" s="39" t="str">
        <f>IFERROR(__xludf.DUMMYFUNCTION("IFERROR(if(ISBLANK(CI21),"" "",GOOGLEFINANCE(CH21,""Name"")), """")"),"Updater Services Ltd")</f>
        <v>Updater Services Ltd</v>
      </c>
      <c r="CK21" s="21">
        <f>IFERROR(__xludf.DUMMYFUNCTION("IFERROR(if(ISBLANK(CI21),"" "",GOOGLEFINANCE(CH21,""price"")), """")"),209.8)</f>
        <v>209.8</v>
      </c>
      <c r="CL21" s="23">
        <f>IFERROR(__xludf.DUMMYFUNCTION("IFERROR(if(ISBLANK(CI21),"" "",GOOGLEFINANCE(CH21,""changepct"")), """")"),0.73)</f>
        <v>0.73</v>
      </c>
      <c r="CM21" s="12"/>
      <c r="CN21" s="33" t="s">
        <v>468</v>
      </c>
      <c r="CO21" s="38" t="s">
        <v>452</v>
      </c>
      <c r="CP21" s="39" t="str">
        <f>IFERROR(__xludf.DUMMYFUNCTION("IFERROR(if(ISBLANK(CO21),"" "",GOOGLEFINANCE(CN21,""Name"")), """")"),"Nelcast Ltd")</f>
        <v>Nelcast Ltd</v>
      </c>
      <c r="CQ21" s="21">
        <f>IFERROR(__xludf.DUMMYFUNCTION("IFERROR(if(ISBLANK(CO21),"" "",GOOGLEFINANCE(CN21,""price"")), """")"),119.11)</f>
        <v>119.11</v>
      </c>
      <c r="CR21" s="23">
        <f>IFERROR(__xludf.DUMMYFUNCTION("IFERROR(if(ISBLANK(CO21),"" "",GOOGLEFINANCE(CN21,""changepct"")), """")"),-2.33)</f>
        <v>-2.33</v>
      </c>
      <c r="CS21" s="12"/>
      <c r="CT21" s="33" t="s">
        <v>469</v>
      </c>
      <c r="CU21" s="38" t="s">
        <v>452</v>
      </c>
      <c r="CV21" s="39" t="str">
        <f>IFERROR(__xludf.DUMMYFUNCTION("IFERROR(if(ISBLANK(CU21),"" "",GOOGLEFINANCE(CT21,""Name"")), """")"),"Sudarshan Colorants India Ltd")</f>
        <v>Sudarshan Colorants India Ltd</v>
      </c>
      <c r="CW21" s="21">
        <f>IFERROR(__xludf.DUMMYFUNCTION("IFERROR(if(ISBLANK(CU21),"" "",GOOGLEFINANCE(CT21,""price"")), """")"),407.9)</f>
        <v>407.9</v>
      </c>
      <c r="CX21" s="23">
        <f>IFERROR(__xludf.DUMMYFUNCTION("IFERROR(if(ISBLANK(CU21),"" "",GOOGLEFINANCE(CT21,""changepct"")), """")"),0.33)</f>
        <v>0.33</v>
      </c>
      <c r="CY21" s="17"/>
      <c r="CZ21" s="33" t="s">
        <v>470</v>
      </c>
      <c r="DA21" s="38" t="s">
        <v>452</v>
      </c>
      <c r="DB21" s="39" t="str">
        <f>IFERROR(__xludf.DUMMYFUNCTION("IFERROR(if(ISBLANK(DA21),"" "",GOOGLEFINANCE(CZ21,""Name"")), """")"),"Dhampur Bio Organics Ltd")</f>
        <v>Dhampur Bio Organics Ltd</v>
      </c>
      <c r="DC21" s="21">
        <f>IFERROR(__xludf.DUMMYFUNCTION("IFERROR(if(ISBLANK(DA21),"" "",GOOGLEFINANCE(CZ21,""price"")), """")"),113.81)</f>
        <v>113.81</v>
      </c>
      <c r="DD21" s="23">
        <f>IFERROR(__xludf.DUMMYFUNCTION("IFERROR(if(ISBLANK(DA21),"" "",GOOGLEFINANCE(CZ21,""changepct"")), """")"),-0.72)</f>
        <v>-0.72</v>
      </c>
      <c r="DE21" s="12"/>
      <c r="DF21" s="12"/>
    </row>
    <row r="22" ht="11.25" customHeight="1">
      <c r="A22" s="17"/>
      <c r="B22" s="18" t="s">
        <v>472</v>
      </c>
      <c r="C22" s="38" t="s">
        <v>473</v>
      </c>
      <c r="D22" s="39" t="str">
        <f>IFERROR(__xludf.DUMMYFUNCTION("IFERROR(if(ISBLANK(C22),"" "",GOOGLEFINANCE(B22,""Name"")), """")"),"HCL Technologies Ltd")</f>
        <v>HCL Technologies Ltd</v>
      </c>
      <c r="E22" s="21">
        <f>IFERROR(__xludf.DUMMYFUNCTION("IFERROR(if(ISBLANK(C22),"" "",GOOGLEFINANCE(B22,""price"")), """")"),1360.0)</f>
        <v>1360</v>
      </c>
      <c r="F22" s="22">
        <f>IFERROR(__xludf.DUMMYFUNCTION("IFERROR(if(ISBLANK(C22),"" "",GOOGLEFINANCE(B22,""changepct"")), """")"),-0.4)</f>
        <v>-0.4</v>
      </c>
      <c r="G22" s="23">
        <f>IFERROR(__xludf.DUMMYFUNCTION("IFERROR(if(ISBLANK($C22),"" "",GOOGLEFINANCE($B22,""change"")), """")"),-5.4)</f>
        <v>-5.4</v>
      </c>
      <c r="H22" s="24"/>
      <c r="I22" s="25" t="s">
        <v>474</v>
      </c>
      <c r="J22" s="38" t="s">
        <v>473</v>
      </c>
      <c r="K22" s="39" t="str">
        <f>IFERROR(__xludf.DUMMYFUNCTION("IFERROR(if(ISBLANK(J22),"" "",GOOGLEFINANCE(I22,""Name"")), """")"),"Laurus Labs Ltd")</f>
        <v>Laurus Labs Ltd</v>
      </c>
      <c r="L22" s="21">
        <f>IFERROR(__xludf.DUMMYFUNCTION("IFERROR(if(ISBLANK(J22),"" "",GOOGLEFINANCE(I22,""price"")), """")"),1839.0)</f>
        <v>1839</v>
      </c>
      <c r="M22" s="22">
        <f>IFERROR(__xludf.DUMMYFUNCTION("IFERROR(if(ISBLANK(J22),"" "",GOOGLEFINANCE(I22,""changepct"")), """")"),-1.02)</f>
        <v>-1.02</v>
      </c>
      <c r="N22" s="23">
        <f>IFERROR(__xludf.DUMMYFUNCTION("IFERROR(if(ISBLANK($C22),"" "",GOOGLEFINANCE($B22,""change"")), """")"),-5.4)</f>
        <v>-5.4</v>
      </c>
      <c r="O22" s="26"/>
      <c r="P22" s="27" t="s">
        <v>475</v>
      </c>
      <c r="Q22" s="38" t="s">
        <v>473</v>
      </c>
      <c r="R22" s="39" t="str">
        <f>IFERROR(__xludf.DUMMYFUNCTION("IFERROR(if(ISBLANK(Q22),"" "",GOOGLEFINANCE(P22,""Name"")), """")"),"Godrej Industries Ltd")</f>
        <v>Godrej Industries Ltd</v>
      </c>
      <c r="S22" s="21">
        <f>IFERROR(__xludf.DUMMYFUNCTION("IFERROR(if(ISBLANK(Q22),"" "",GOOGLEFINANCE(P22,""price"")), """")"),1231.8)</f>
        <v>1231.8</v>
      </c>
      <c r="T22" s="22">
        <f>IFERROR(__xludf.DUMMYFUNCTION("IFERROR(if(ISBLANK(Q22),"" "",GOOGLEFINANCE(P22,""changepct"")), """")"),-4.5)</f>
        <v>-4.5</v>
      </c>
      <c r="U22" s="28"/>
      <c r="V22" s="18" t="s">
        <v>476</v>
      </c>
      <c r="W22" s="38" t="s">
        <v>473</v>
      </c>
      <c r="X22" s="39" t="str">
        <f>IFERROR(__xludf.DUMMYFUNCTION("IFERROR(if(ISBLANK(W22),"" "",GOOGLEFINANCE(V22,""Name"")), """")"),"Acutaas Chemicals Ltd")</f>
        <v>Acutaas Chemicals Ltd</v>
      </c>
      <c r="Y22" s="21">
        <f>IFERROR(__xludf.DUMMYFUNCTION("IFERROR(if(ISBLANK(W22),"" "",GOOGLEFINANCE(V22,""price"")), """")"),3151.0)</f>
        <v>3151</v>
      </c>
      <c r="Z22" s="23">
        <f>IFERROR(__xludf.DUMMYFUNCTION("IFERROR(if(ISBLANK(W22),"" "",GOOGLEFINANCE(V22,""changepct"")), """")"),-2.93)</f>
        <v>-2.93</v>
      </c>
      <c r="AA22" s="12"/>
      <c r="AB22" s="18" t="s">
        <v>477</v>
      </c>
      <c r="AC22" s="38" t="s">
        <v>473</v>
      </c>
      <c r="AD22" s="39" t="str">
        <f>IFERROR(__xludf.DUMMYFUNCTION("IFERROR(if(ISBLANK(AC22),"" "",GOOGLEFINANCE(AB22,""Name"")), """")"),"Cohance Lifesciences Ltd")</f>
        <v>Cohance Lifesciences Ltd</v>
      </c>
      <c r="AE22" s="21">
        <f>IFERROR(__xludf.DUMMYFUNCTION("IFERROR(if(ISBLANK(AC22),"" "",GOOGLEFINANCE(AB22,""price"")), """")"),443.05)</f>
        <v>443.05</v>
      </c>
      <c r="AF22" s="23">
        <f>IFERROR(__xludf.DUMMYFUNCTION("IFERROR(if(ISBLANK(AC22),"" "",GOOGLEFINANCE(AB22,""changepct"")), """")"),-4.5)</f>
        <v>-4.5</v>
      </c>
      <c r="AG22" s="45"/>
      <c r="AH22" s="27" t="s">
        <v>479</v>
      </c>
      <c r="AI22" s="38" t="s">
        <v>473</v>
      </c>
      <c r="AJ22" s="39" t="str">
        <f>IFERROR(__xludf.DUMMYFUNCTION("IFERROR(if(ISBLANK(AI22),"" "",GOOGLEFINANCE(AH22,""Name"")), """")"),"Lloyds Enterprises Ltd")</f>
        <v>Lloyds Enterprises Ltd</v>
      </c>
      <c r="AK22" s="21">
        <f>IFERROR(__xludf.DUMMYFUNCTION("IFERROR(if(ISBLANK(AI22),"" "",GOOGLEFINANCE(AH22,""price"")), """")"),78.03)</f>
        <v>78.03</v>
      </c>
      <c r="AL22" s="23">
        <f>IFERROR(__xludf.DUMMYFUNCTION("IFERROR(if(ISBLANK(AI22),"" "",GOOGLEFINANCE(AH22,""changepct"")), """")"),-3.04)</f>
        <v>-3.04</v>
      </c>
      <c r="AM22" s="44"/>
      <c r="AN22" s="31" t="s">
        <v>200</v>
      </c>
      <c r="AO22" s="32" t="str">
        <f>IFERROR(__xludf.DUMMYFUNCTION("IFERROR(if(ISBLANK(AN22),"" "",GOOGLEFINANCE(AM22,""Name"")), """")"),"")</f>
        <v/>
      </c>
      <c r="AP22" s="33" t="s">
        <v>480</v>
      </c>
      <c r="AQ22" s="38" t="s">
        <v>473</v>
      </c>
      <c r="AR22" s="39" t="str">
        <f>IFERROR(__xludf.DUMMYFUNCTION("IFERROR(if(ISBLANK(AQ22),"" "",GOOGLEFINANCE(AP22,""Name"")), """")"),"Lemon Tree Hotels Ltd")</f>
        <v>Lemon Tree Hotels Ltd</v>
      </c>
      <c r="AS22" s="21">
        <f>IFERROR(__xludf.DUMMYFUNCTION("IFERROR(if(ISBLANK(AQ22),"" "",GOOGLEFINANCE(AP22,""price"")), """")"),109.12)</f>
        <v>109.12</v>
      </c>
      <c r="AT22" s="23">
        <f>IFERROR(__xludf.DUMMYFUNCTION("IFERROR(if(ISBLANK(AQ22),"" "",GOOGLEFINANCE(AP22,""changepct"")), """")"),-0.22)</f>
        <v>-0.22</v>
      </c>
      <c r="AU22" s="45"/>
      <c r="AV22" s="34" t="s">
        <v>481</v>
      </c>
      <c r="AW22" s="38" t="s">
        <v>473</v>
      </c>
      <c r="AX22" s="39" t="str">
        <f>IFERROR(__xludf.DUMMYFUNCTION("IFERROR(if(ISBLANK(AW22),"" "",GOOGLEFINANCE(AV22,""Name"")), """")"),"Max Estates Ltd")</f>
        <v>Max Estates Ltd</v>
      </c>
      <c r="AY22" s="21">
        <f>IFERROR(__xludf.DUMMYFUNCTION("IFERROR(if(ISBLANK(AW22),"" "",GOOGLEFINANCE(AV22,""price"")), """")"),422.0)</f>
        <v>422</v>
      </c>
      <c r="AZ22" s="23">
        <f>IFERROR(__xludf.DUMMYFUNCTION("IFERROR(if(ISBLANK(AW22),"" "",GOOGLEFINANCE(AV22,""changepct"")), """")"),-1.09)</f>
        <v>-1.09</v>
      </c>
      <c r="BA22" s="12"/>
      <c r="BB22" s="33" t="s">
        <v>482</v>
      </c>
      <c r="BC22" s="38" t="s">
        <v>473</v>
      </c>
      <c r="BD22" s="39" t="str">
        <f>IFERROR(__xludf.DUMMYFUNCTION("IFERROR(if(ISBLANK(BC22),"" "",GOOGLEFINANCE(BB22,""Name"")), """")"),"Steel Strips Wheels Ltd")</f>
        <v>Steel Strips Wheels Ltd</v>
      </c>
      <c r="BE22" s="21">
        <f>IFERROR(__xludf.DUMMYFUNCTION("IFERROR(if(ISBLANK(BC22),"" "",GOOGLEFINANCE(BB22,""price"")), """")"),313.0)</f>
        <v>313</v>
      </c>
      <c r="BF22" s="23">
        <f>IFERROR(__xludf.DUMMYFUNCTION("IFERROR(if(ISBLANK(BC22),"" "",GOOGLEFINANCE(BB22,""changepct"")), """")"),-1.39)</f>
        <v>-1.39</v>
      </c>
      <c r="BG22" s="12"/>
      <c r="BH22" s="35" t="s">
        <v>483</v>
      </c>
      <c r="BI22" s="38" t="s">
        <v>473</v>
      </c>
      <c r="BJ22" s="39" t="str">
        <f>IFERROR(__xludf.DUMMYFUNCTION("IFERROR(if(ISBLANK(BI22),"" "",GOOGLEFINANCE(BH22,""Name"")), """")"),"Hemisphere Properties India Ltd")</f>
        <v>Hemisphere Properties India Ltd</v>
      </c>
      <c r="BK22" s="21">
        <f>IFERROR(__xludf.DUMMYFUNCTION("IFERROR(if(ISBLANK(BI22),"" "",GOOGLEFINANCE(BH22,""price"")), """")"),134.7)</f>
        <v>134.7</v>
      </c>
      <c r="BL22" s="23">
        <f>IFERROR(__xludf.DUMMYFUNCTION("IFERROR(if(ISBLANK(BI22),"" "",GOOGLEFINANCE(BH22,""changepct"")), """")"),-1.62)</f>
        <v>-1.62</v>
      </c>
      <c r="BM22" s="12"/>
      <c r="BN22" s="33" t="s">
        <v>485</v>
      </c>
      <c r="BO22" s="38" t="s">
        <v>473</v>
      </c>
      <c r="BP22" s="39" t="str">
        <f>IFERROR(__xludf.DUMMYFUNCTION("IFERROR(if(ISBLANK(BO22),"" "",GOOGLEFINANCE(BN22,""Name"")), """")"),"Pokarna Ltd")</f>
        <v>Pokarna Ltd</v>
      </c>
      <c r="BQ22" s="21">
        <f>IFERROR(__xludf.DUMMYFUNCTION("IFERROR(if(ISBLANK(BO22),"" "",GOOGLEFINANCE(BN22,""price"")), """")"),989.3)</f>
        <v>989.3</v>
      </c>
      <c r="BR22" s="23">
        <f>IFERROR(__xludf.DUMMYFUNCTION("IFERROR(if(ISBLANK(BO22),"" "",GOOGLEFINANCE(BN22,""changepct"")), """")"),1.02)</f>
        <v>1.02</v>
      </c>
      <c r="BS22" s="22">
        <f>IFERROR(__xludf.DUMMYFUNCTION("IFERROR(if(ISBLANK($C22),"" "",GOOGLEFINANCE($B22,""change"")), """")"),-5.4)</f>
        <v>-5.4</v>
      </c>
      <c r="BT22" s="36"/>
      <c r="BU22" s="27" t="s">
        <v>486</v>
      </c>
      <c r="BV22" s="38" t="s">
        <v>473</v>
      </c>
      <c r="BW22" s="39" t="str">
        <f>IFERROR(__xludf.DUMMYFUNCTION("IFERROR(if(ISBLANK(BV22),"" "",GOOGLEFINANCE(BU22,""Name"")), """")"),"Nelco Ltd")</f>
        <v>Nelco Ltd</v>
      </c>
      <c r="BX22" s="21">
        <f>IFERROR(__xludf.DUMMYFUNCTION("IFERROR(if(ISBLANK(BV22),"" "",GOOGLEFINANCE(BU22,""price"")), """")"),975.0)</f>
        <v>975</v>
      </c>
      <c r="BY22" s="23">
        <f>IFERROR(__xludf.DUMMYFUNCTION("IFERROR(if(ISBLANK(BV22),"" "",GOOGLEFINANCE(BU22,""changepct"")), """")"),-2.02)</f>
        <v>-2.02</v>
      </c>
      <c r="BZ22" s="22">
        <f>IFERROR(__xludf.DUMMYFUNCTION("IFERROR(if(ISBLANK($C22),"" "",GOOGLEFINANCE($B22,""change"")), """")"),-5.4)</f>
        <v>-5.4</v>
      </c>
      <c r="CA22" s="37"/>
      <c r="CB22" s="27" t="s">
        <v>487</v>
      </c>
      <c r="CC22" s="38" t="s">
        <v>473</v>
      </c>
      <c r="CD22" s="39" t="str">
        <f>IFERROR(__xludf.DUMMYFUNCTION("IFERROR(if(ISBLANK(CC22),"" "",GOOGLEFINANCE(CB22,""Name"")), """")"),"India Pesticides Ltd")</f>
        <v>India Pesticides Ltd</v>
      </c>
      <c r="CE22" s="21">
        <f>IFERROR(__xludf.DUMMYFUNCTION("IFERROR(if(ISBLANK(CC22),"" "",GOOGLEFINANCE(CB22,""price"")), """")"),142.0)</f>
        <v>142</v>
      </c>
      <c r="CF22" s="23">
        <f>IFERROR(__xludf.DUMMYFUNCTION("IFERROR(if(ISBLANK(CC22),"" "",GOOGLEFINANCE(CB22,""changepct"")), """")"),-0.85)</f>
        <v>-0.85</v>
      </c>
      <c r="CG22" s="12"/>
      <c r="CH22" s="18" t="s">
        <v>488</v>
      </c>
      <c r="CI22" s="38" t="s">
        <v>473</v>
      </c>
      <c r="CJ22" s="39" t="str">
        <f>IFERROR(__xludf.DUMMYFUNCTION("IFERROR(if(ISBLANK(CI22),"" "",GOOGLEFINANCE(CH22,""Name"")), """")"),"PNGS Reva Diamond Jewellery Ltd")</f>
        <v>PNGS Reva Diamond Jewellery Ltd</v>
      </c>
      <c r="CK22" s="21">
        <f>IFERROR(__xludf.DUMMYFUNCTION("IFERROR(if(ISBLANK(CI22),"" "",GOOGLEFINANCE(CH22,""price"")), """")"),629.5)</f>
        <v>629.5</v>
      </c>
      <c r="CL22" s="23">
        <f>IFERROR(__xludf.DUMMYFUNCTION("IFERROR(if(ISBLANK(CI22),"" "",GOOGLEFINANCE(CH22,""changepct"")), """")"),12.33)</f>
        <v>12.33</v>
      </c>
      <c r="CM22" s="12"/>
      <c r="CN22" s="33" t="s">
        <v>489</v>
      </c>
      <c r="CO22" s="38" t="s">
        <v>473</v>
      </c>
      <c r="CP22" s="39" t="str">
        <f>IFERROR(__xludf.DUMMYFUNCTION("IFERROR(if(ISBLANK(CO22),"" "",GOOGLEFINANCE(CN22,""Name"")), """")"),"Arisinfra Solutions Ltd")</f>
        <v>Arisinfra Solutions Ltd</v>
      </c>
      <c r="CQ22" s="21">
        <f>IFERROR(__xludf.DUMMYFUNCTION("IFERROR(if(ISBLANK(CO22),"" "",GOOGLEFINANCE(CN22,""price"")), """")"),135.7)</f>
        <v>135.7</v>
      </c>
      <c r="CR22" s="23">
        <f>IFERROR(__xludf.DUMMYFUNCTION("IFERROR(if(ISBLANK(CO22),"" "",GOOGLEFINANCE(CN22,""changepct"")), """")"),1.45)</f>
        <v>1.45</v>
      </c>
      <c r="CS22" s="45"/>
      <c r="CT22" s="33" t="s">
        <v>490</v>
      </c>
      <c r="CU22" s="38" t="s">
        <v>473</v>
      </c>
      <c r="CV22" s="39" t="str">
        <f>IFERROR(__xludf.DUMMYFUNCTION("IFERROR(if(ISBLANK(CU22),"" "",GOOGLEFINANCE(CT22,""Name"")), """")"),"SAL Steel Ltd")</f>
        <v>SAL Steel Ltd</v>
      </c>
      <c r="CW22" s="21">
        <f>IFERROR(__xludf.DUMMYFUNCTION("IFERROR(if(ISBLANK(CU22),"" "",GOOGLEFINANCE(CT22,""price"")), """")"),62.5)</f>
        <v>62.5</v>
      </c>
      <c r="CX22" s="23">
        <f>IFERROR(__xludf.DUMMYFUNCTION("IFERROR(if(ISBLANK(CU22),"" "",GOOGLEFINANCE(CT22,""changepct"")), """")"),6.13)</f>
        <v>6.13</v>
      </c>
      <c r="CY22" s="17"/>
      <c r="CZ22" s="33" t="s">
        <v>492</v>
      </c>
      <c r="DA22" s="38" t="s">
        <v>473</v>
      </c>
      <c r="DB22" s="39" t="str">
        <f>IFERROR(__xludf.DUMMYFUNCTION("IFERROR(if(ISBLANK(DA22),"" "",GOOGLEFINANCE(CZ22,""Name"")), """")"),"Onward Technologies Ltd")</f>
        <v>Onward Technologies Ltd</v>
      </c>
      <c r="DC22" s="21">
        <f>IFERROR(__xludf.DUMMYFUNCTION("IFERROR(if(ISBLANK(DA22),"" "",GOOGLEFINANCE(CZ22,""price"")), """")"),289.25)</f>
        <v>289.25</v>
      </c>
      <c r="DD22" s="23">
        <f>IFERROR(__xludf.DUMMYFUNCTION("IFERROR(if(ISBLANK(DA22),"" "",GOOGLEFINANCE(CZ22,""changepct"")), """")"),1.12)</f>
        <v>1.12</v>
      </c>
      <c r="DE22" s="45"/>
      <c r="DF22" s="12"/>
    </row>
    <row r="23" ht="11.25" customHeight="1">
      <c r="A23" s="17"/>
      <c r="B23" s="18" t="s">
        <v>493</v>
      </c>
      <c r="C23" s="38" t="s">
        <v>494</v>
      </c>
      <c r="D23" s="39" t="str">
        <f>IFERROR(__xludf.DUMMYFUNCTION("IFERROR(if(ISBLANK(C23),"" "",GOOGLEFINANCE(B23,""Name"")), """")"),"ITC Ltd")</f>
        <v>ITC Ltd</v>
      </c>
      <c r="E23" s="21">
        <f>IFERROR(__xludf.DUMMYFUNCTION("IFERROR(if(ISBLANK(C23),"" "",GOOGLEFINANCE(B23,""price"")), """")"),276.5)</f>
        <v>276.5</v>
      </c>
      <c r="F23" s="22">
        <f>IFERROR(__xludf.DUMMYFUNCTION("IFERROR(if(ISBLANK(C23),"" "",GOOGLEFINANCE(B23,""changepct"")), """")"),-0.9)</f>
        <v>-0.9</v>
      </c>
      <c r="G23" s="23">
        <f>IFERROR(__xludf.DUMMYFUNCTION("IFERROR(if(ISBLANK($C23),"" "",GOOGLEFINANCE($B23,""change"")), """")"),-2.5)</f>
        <v>-2.5</v>
      </c>
      <c r="H23" s="24"/>
      <c r="I23" s="25" t="s">
        <v>495</v>
      </c>
      <c r="J23" s="38" t="s">
        <v>494</v>
      </c>
      <c r="K23" s="39" t="str">
        <f>IFERROR(__xludf.DUMMYFUNCTION("IFERROR(if(ISBLANK(J23),"" "",GOOGLEFINANCE(I23,""Name"")), """")"),"Lenskart Solutions Ltd")</f>
        <v>Lenskart Solutions Ltd</v>
      </c>
      <c r="L23" s="21">
        <f>IFERROR(__xludf.DUMMYFUNCTION("IFERROR(if(ISBLANK(J23),"" "",GOOGLEFINANCE(I23,""price"")), """")"),585.0)</f>
        <v>585</v>
      </c>
      <c r="M23" s="22">
        <f>IFERROR(__xludf.DUMMYFUNCTION("IFERROR(if(ISBLANK(J23),"" "",GOOGLEFINANCE(I23,""changepct"")), """")"),-0.71)</f>
        <v>-0.71</v>
      </c>
      <c r="N23" s="23">
        <f>IFERROR(__xludf.DUMMYFUNCTION("IFERROR(if(ISBLANK($C23),"" "",GOOGLEFINANCE($B23,""change"")), """")"),-2.5)</f>
        <v>-2.5</v>
      </c>
      <c r="O23" s="26"/>
      <c r="P23" s="27" t="s">
        <v>496</v>
      </c>
      <c r="Q23" s="38" t="s">
        <v>494</v>
      </c>
      <c r="R23" s="39" t="str">
        <f>IFERROR(__xludf.DUMMYFUNCTION("IFERROR(if(ISBLANK(Q23),"" "",GOOGLEFINANCE(P23,""Name"")), """")"),"IPCA Laboratories Ltd")</f>
        <v>IPCA Laboratories Ltd</v>
      </c>
      <c r="S23" s="21">
        <f>IFERROR(__xludf.DUMMYFUNCTION("IFERROR(if(ISBLANK(Q23),"" "",GOOGLEFINANCE(P23,""price"")), """")"),1769.0)</f>
        <v>1769</v>
      </c>
      <c r="T23" s="22">
        <f>IFERROR(__xludf.DUMMYFUNCTION("IFERROR(if(ISBLANK(Q23),"" "",GOOGLEFINANCE(P23,""changepct"")), """")"),1.18)</f>
        <v>1.18</v>
      </c>
      <c r="U23" s="28"/>
      <c r="V23" s="18" t="s">
        <v>497</v>
      </c>
      <c r="W23" s="38" t="s">
        <v>494</v>
      </c>
      <c r="X23" s="39" t="str">
        <f>IFERROR(__xludf.DUMMYFUNCTION("IFERROR(if(ISBLANK(W23),"" "",GOOGLEFINANCE(V23,""Name"")), """")"),"Redington Ltd")</f>
        <v>Redington Ltd</v>
      </c>
      <c r="Y23" s="21">
        <f>IFERROR(__xludf.DUMMYFUNCTION("IFERROR(if(ISBLANK(W23),"" "",GOOGLEFINANCE(V23,""price"")), """")"),340.05)</f>
        <v>340.05</v>
      </c>
      <c r="Z23" s="23">
        <f>IFERROR(__xludf.DUMMYFUNCTION("IFERROR(if(ISBLANK(W23),"" "",GOOGLEFINANCE(V23,""changepct"")), """")"),-4.09)</f>
        <v>-4.09</v>
      </c>
      <c r="AA23" s="12"/>
      <c r="AB23" s="18" t="s">
        <v>498</v>
      </c>
      <c r="AC23" s="38" t="s">
        <v>494</v>
      </c>
      <c r="AD23" s="39" t="str">
        <f>IFERROR(__xludf.DUMMYFUNCTION("IFERROR(if(ISBLANK(AC23),"" "",GOOGLEFINANCE(AB23,""Name"")), """")"),"Thangamayil Jewellery Ltd")</f>
        <v>Thangamayil Jewellery Ltd</v>
      </c>
      <c r="AE23" s="21">
        <f>IFERROR(__xludf.DUMMYFUNCTION("IFERROR(if(ISBLANK(AC23),"" "",GOOGLEFINANCE(AB23,""price"")), """")"),5342.5)</f>
        <v>5342.5</v>
      </c>
      <c r="AF23" s="23">
        <f>IFERROR(__xludf.DUMMYFUNCTION("IFERROR(if(ISBLANK(AC23),"" "",GOOGLEFINANCE(AB23,""changepct"")), """")"),2.19)</f>
        <v>2.19</v>
      </c>
      <c r="AG23" s="45"/>
      <c r="AH23" s="27" t="s">
        <v>499</v>
      </c>
      <c r="AI23" s="38" t="s">
        <v>494</v>
      </c>
      <c r="AJ23" s="39" t="str">
        <f>IFERROR(__xludf.DUMMYFUNCTION("IFERROR(if(ISBLANK(AI23),"" "",GOOGLEFINANCE(AH23,""Name"")), """")"),"Jain Resource Recycling Ltd")</f>
        <v>Jain Resource Recycling Ltd</v>
      </c>
      <c r="AK23" s="21">
        <f>IFERROR(__xludf.DUMMYFUNCTION("IFERROR(if(ISBLANK(AI23),"" "",GOOGLEFINANCE(AH23,""price"")), """")"),304.5)</f>
        <v>304.5</v>
      </c>
      <c r="AL23" s="23">
        <f>IFERROR(__xludf.DUMMYFUNCTION("IFERROR(if(ISBLANK(AI23),"" "",GOOGLEFINANCE(AH23,""changepct"")), """")"),2.27)</f>
        <v>2.27</v>
      </c>
      <c r="AM23" s="30"/>
      <c r="AN23" s="31" t="s">
        <v>200</v>
      </c>
      <c r="AO23" s="32" t="str">
        <f>IFERROR(__xludf.DUMMYFUNCTION("IFERROR(if(ISBLANK(AN23),"" "",GOOGLEFINANCE(AM23,""Name"")), """")"),"")</f>
        <v/>
      </c>
      <c r="AP23" s="33" t="s">
        <v>500</v>
      </c>
      <c r="AQ23" s="38" t="s">
        <v>494</v>
      </c>
      <c r="AR23" s="39" t="str">
        <f>IFERROR(__xludf.DUMMYFUNCTION("IFERROR(if(ISBLANK(AQ23),"" "",GOOGLEFINANCE(AP23,""Name"")), """")"),"Religare Enterprises Ltd")</f>
        <v>Religare Enterprises Ltd</v>
      </c>
      <c r="AS23" s="21">
        <f>IFERROR(__xludf.DUMMYFUNCTION("IFERROR(if(ISBLANK(AQ23),"" "",GOOGLEFINANCE(AP23,""price"")), """")"),240.05)</f>
        <v>240.05</v>
      </c>
      <c r="AT23" s="23">
        <f>IFERROR(__xludf.DUMMYFUNCTION("IFERROR(if(ISBLANK(AQ23),"" "",GOOGLEFINANCE(AP23,""changepct"")), """")"),5.59)</f>
        <v>5.59</v>
      </c>
      <c r="AU23" s="45"/>
      <c r="AV23" s="34" t="s">
        <v>502</v>
      </c>
      <c r="AW23" s="38" t="s">
        <v>494</v>
      </c>
      <c r="AX23" s="39" t="str">
        <f>IFERROR(__xludf.DUMMYFUNCTION("IFERROR(if(ISBLANK(AW23),"" "",GOOGLEFINANCE(AV23,""Name"")), """")"),"Greenlam Industries Ltd")</f>
        <v>Greenlam Industries Ltd</v>
      </c>
      <c r="AY23" s="21">
        <f>IFERROR(__xludf.DUMMYFUNCTION("IFERROR(if(ISBLANK(AW23),"" "",GOOGLEFINANCE(AV23,""price"")), """")"),248.1)</f>
        <v>248.1</v>
      </c>
      <c r="AZ23" s="23">
        <f>IFERROR(__xludf.DUMMYFUNCTION("IFERROR(if(ISBLANK(AW23),"" "",GOOGLEFINANCE(AV23,""changepct"")), """")"),2.37)</f>
        <v>2.37</v>
      </c>
      <c r="BA23" s="12"/>
      <c r="BB23" s="33" t="s">
        <v>503</v>
      </c>
      <c r="BC23" s="38" t="s">
        <v>494</v>
      </c>
      <c r="BD23" s="39" t="str">
        <f>IFERROR(__xludf.DUMMYFUNCTION("IFERROR(if(ISBLANK(BC23),"" "",GOOGLEFINANCE(BB23,""Name"")), """")"),"Ge Power India Ltd")</f>
        <v>Ge Power India Ltd</v>
      </c>
      <c r="BE23" s="21">
        <f>IFERROR(__xludf.DUMMYFUNCTION("IFERROR(if(ISBLANK(BC23),"" "",GOOGLEFINANCE(BB23,""price"")), """")"),794.5)</f>
        <v>794.5</v>
      </c>
      <c r="BF23" s="23">
        <f>IFERROR(__xludf.DUMMYFUNCTION("IFERROR(if(ISBLANK(BC23),"" "",GOOGLEFINANCE(BB23,""changepct"")), """")"),4.51)</f>
        <v>4.51</v>
      </c>
      <c r="BG23" s="12"/>
      <c r="BH23" s="35" t="s">
        <v>504</v>
      </c>
      <c r="BI23" s="38" t="s">
        <v>494</v>
      </c>
      <c r="BJ23" s="39" t="str">
        <f>IFERROR(__xludf.DUMMYFUNCTION("IFERROR(if(ISBLANK(BI23),"" "",GOOGLEFINANCE(BH23,""Name"")), """")"),"Deep Industries Ltd")</f>
        <v>Deep Industries Ltd</v>
      </c>
      <c r="BK23" s="21">
        <f>IFERROR(__xludf.DUMMYFUNCTION("IFERROR(if(ISBLANK(BI23),"" "",GOOGLEFINANCE(BH23,""price"")), """")"),693.3)</f>
        <v>693.3</v>
      </c>
      <c r="BL23" s="23">
        <f>IFERROR(__xludf.DUMMYFUNCTION("IFERROR(if(ISBLANK(BI23),"" "",GOOGLEFINANCE(BH23,""changepct"")), """")"),3.47)</f>
        <v>3.47</v>
      </c>
      <c r="BM23" s="12"/>
      <c r="BN23" s="33" t="s">
        <v>505</v>
      </c>
      <c r="BO23" s="38" t="s">
        <v>494</v>
      </c>
      <c r="BP23" s="39" t="str">
        <f>IFERROR(__xludf.DUMMYFUNCTION("IFERROR(if(ISBLANK(BO23),"" "",GOOGLEFINANCE(BN23,""Name"")), """")"),"Antelopus Selan Energy Ltd")</f>
        <v>Antelopus Selan Energy Ltd</v>
      </c>
      <c r="BQ23" s="21">
        <f>IFERROR(__xludf.DUMMYFUNCTION("IFERROR(if(ISBLANK(BO23),"" "",GOOGLEFINANCE(BN23,""price"")), """")"),803.95)</f>
        <v>803.95</v>
      </c>
      <c r="BR23" s="23">
        <f>IFERROR(__xludf.DUMMYFUNCTION("IFERROR(if(ISBLANK(BO23),"" "",GOOGLEFINANCE(BN23,""changepct"")), """")"),-1.08)</f>
        <v>-1.08</v>
      </c>
      <c r="BS23" s="22">
        <f>IFERROR(__xludf.DUMMYFUNCTION("IFERROR(if(ISBLANK($C23),"" "",GOOGLEFINANCE($B23,""change"")), """")"),-2.5)</f>
        <v>-2.5</v>
      </c>
      <c r="BT23" s="36"/>
      <c r="BU23" s="27" t="s">
        <v>506</v>
      </c>
      <c r="BV23" s="38" t="s">
        <v>494</v>
      </c>
      <c r="BW23" s="39" t="str">
        <f>IFERROR(__xludf.DUMMYFUNCTION("IFERROR(if(ISBLANK(BV23),"" "",GOOGLEFINANCE(BU23,""Name"")), """")"),"Beta Drugs Ltd")</f>
        <v>Beta Drugs Ltd</v>
      </c>
      <c r="BX23" s="21">
        <f>IFERROR(__xludf.DUMMYFUNCTION("IFERROR(if(ISBLANK(BV23),"" "",GOOGLEFINANCE(BU23,""price"")), """")"),2570.0)</f>
        <v>2570</v>
      </c>
      <c r="BY23" s="23">
        <f>IFERROR(__xludf.DUMMYFUNCTION("IFERROR(if(ISBLANK(BV23),"" "",GOOGLEFINANCE(BU23,""changepct"")), """")"),-3.68)</f>
        <v>-3.68</v>
      </c>
      <c r="BZ23" s="22">
        <f>IFERROR(__xludf.DUMMYFUNCTION("IFERROR(if(ISBLANK($C23),"" "",GOOGLEFINANCE($B23,""change"")), """")"),-2.5)</f>
        <v>-2.5</v>
      </c>
      <c r="CA23" s="37"/>
      <c r="CB23" s="27" t="s">
        <v>507</v>
      </c>
      <c r="CC23" s="38" t="s">
        <v>494</v>
      </c>
      <c r="CD23" s="39" t="str">
        <f>IFERROR(__xludf.DUMMYFUNCTION("IFERROR(if(ISBLANK(CC23),"" "",GOOGLEFINANCE(CB23,""Name"")), """")"),"Go Fashion (India) Ltd")</f>
        <v>Go Fashion (India) Ltd</v>
      </c>
      <c r="CE23" s="21">
        <f>IFERROR(__xludf.DUMMYFUNCTION("IFERROR(if(ISBLANK(CC23),"" "",GOOGLEFINANCE(CB23,""price"")), """")"),323.25)</f>
        <v>323.25</v>
      </c>
      <c r="CF23" s="23">
        <f>IFERROR(__xludf.DUMMYFUNCTION("IFERROR(if(ISBLANK(CC23),"" "",GOOGLEFINANCE(CB23,""changepct"")), """")"),0.08)</f>
        <v>0.08</v>
      </c>
      <c r="CG23" s="12"/>
      <c r="CH23" s="18" t="s">
        <v>508</v>
      </c>
      <c r="CI23" s="38" t="s">
        <v>494</v>
      </c>
      <c r="CJ23" s="39" t="str">
        <f>IFERROR(__xludf.DUMMYFUNCTION("IFERROR(if(ISBLANK(CI23),"" "",GOOGLEFINANCE(CH23,""Name"")), """")"),"Southern Petrochemical Industries CorpLd")</f>
        <v>Southern Petrochemical Industries CorpLd</v>
      </c>
      <c r="CK23" s="21">
        <f>IFERROR(__xludf.DUMMYFUNCTION("IFERROR(if(ISBLANK(CI23),"" "",GOOGLEFINANCE(CH23,""price"")), """")"),67.13)</f>
        <v>67.13</v>
      </c>
      <c r="CL23" s="23">
        <f>IFERROR(__xludf.DUMMYFUNCTION("IFERROR(if(ISBLANK(CI23),"" "",GOOGLEFINANCE(CH23,""changepct"")), """")"),0.39)</f>
        <v>0.39</v>
      </c>
      <c r="CM23" s="12"/>
      <c r="CN23" s="33" t="s">
        <v>509</v>
      </c>
      <c r="CO23" s="38" t="s">
        <v>494</v>
      </c>
      <c r="CP23" s="39" t="str">
        <f>IFERROR(__xludf.DUMMYFUNCTION("IFERROR(if(ISBLANK(CO23),"" "",GOOGLEFINANCE(CN23,""Name"")), """")"),"Tamilnadu Newsprint &amp; Papers Ltd")</f>
        <v>Tamilnadu Newsprint &amp; Papers Ltd</v>
      </c>
      <c r="CQ23" s="21">
        <f>IFERROR(__xludf.DUMMYFUNCTION("IFERROR(if(ISBLANK(CO23),"" "",GOOGLEFINANCE(CN23,""price"")), """")"),155.5)</f>
        <v>155.5</v>
      </c>
      <c r="CR23" s="23">
        <f>IFERROR(__xludf.DUMMYFUNCTION("IFERROR(if(ISBLANK(CO23),"" "",GOOGLEFINANCE(CN23,""changepct"")), """")"),0.96)</f>
        <v>0.96</v>
      </c>
      <c r="CS23" s="45"/>
      <c r="CT23" s="33" t="s">
        <v>510</v>
      </c>
      <c r="CU23" s="38" t="s">
        <v>494</v>
      </c>
      <c r="CV23" s="39" t="str">
        <f>IFERROR(__xludf.DUMMYFUNCTION("IFERROR(if(ISBLANK(CU23),"" "",GOOGLEFINANCE(CT23,""Name"")), """")"),"Sree Rayalaseema Hi-Strength Hypo Ltd")</f>
        <v>Sree Rayalaseema Hi-Strength Hypo Ltd</v>
      </c>
      <c r="CW23" s="21">
        <f>IFERROR(__xludf.DUMMYFUNCTION("IFERROR(if(ISBLANK(CU23),"" "",GOOGLEFINANCE(CT23,""price"")), """")"),496.0)</f>
        <v>496</v>
      </c>
      <c r="CX23" s="23">
        <f>IFERROR(__xludf.DUMMYFUNCTION("IFERROR(if(ISBLANK(CU23),"" "",GOOGLEFINANCE(CT23,""changepct"")), """")"),-0.99)</f>
        <v>-0.99</v>
      </c>
      <c r="CY23" s="17"/>
      <c r="CZ23" s="33" t="s">
        <v>511</v>
      </c>
      <c r="DA23" s="38" t="s">
        <v>494</v>
      </c>
      <c r="DB23" s="39" t="str">
        <f>IFERROR(__xludf.DUMMYFUNCTION("IFERROR(if(ISBLANK(DA23),"" "",GOOGLEFINANCE(CZ23,""Name"")), """")"),"Allied Digital Services Ltd.")</f>
        <v>Allied Digital Services Ltd.</v>
      </c>
      <c r="DC23" s="21">
        <f>IFERROR(__xludf.DUMMYFUNCTION("IFERROR(if(ISBLANK(DA23),"" "",GOOGLEFINANCE(CZ23,""price"")), """")"),113.75)</f>
        <v>113.75</v>
      </c>
      <c r="DD23" s="23">
        <f>IFERROR(__xludf.DUMMYFUNCTION("IFERROR(if(ISBLANK(DA23),"" "",GOOGLEFINANCE(CZ23,""changepct"")), """")"),-0.3)</f>
        <v>-0.3</v>
      </c>
      <c r="DE23" s="45"/>
      <c r="DF23" s="12"/>
    </row>
    <row r="24" ht="11.25" customHeight="1">
      <c r="A24" s="17"/>
      <c r="B24" s="18" t="s">
        <v>512</v>
      </c>
      <c r="C24" s="38" t="s">
        <v>513</v>
      </c>
      <c r="D24" s="39" t="str">
        <f>IFERROR(__xludf.DUMMYFUNCTION("IFERROR(if(ISBLANK(C24),"" "",GOOGLEFINANCE(B24,""Name"")), """")"),"UltraTech Cement Ltd")</f>
        <v>UltraTech Cement Ltd</v>
      </c>
      <c r="E24" s="21">
        <f>IFERROR(__xludf.DUMMYFUNCTION("IFERROR(if(ISBLANK(C24),"" "",GOOGLEFINANCE(B24,""price"")), """")"),11835.0)</f>
        <v>11835</v>
      </c>
      <c r="F24" s="22">
        <f>IFERROR(__xludf.DUMMYFUNCTION("IFERROR(if(ISBLANK(C24),"" "",GOOGLEFINANCE(B24,""changepct"")), """")"),0.47)</f>
        <v>0.47</v>
      </c>
      <c r="G24" s="23">
        <f>IFERROR(__xludf.DUMMYFUNCTION("IFERROR(if(ISBLANK($C24),"" "",GOOGLEFINANCE($B24,""change"")), """")"),55.0)</f>
        <v>55</v>
      </c>
      <c r="H24" s="24"/>
      <c r="I24" s="25" t="s">
        <v>515</v>
      </c>
      <c r="J24" s="38" t="s">
        <v>513</v>
      </c>
      <c r="K24" s="39" t="str">
        <f>IFERROR(__xludf.DUMMYFUNCTION("IFERROR(if(ISBLANK(J24),"" "",GOOGLEFINANCE(I24,""Name"")), """")"),"Ashok Leyland Ltd")</f>
        <v>Ashok Leyland Ltd</v>
      </c>
      <c r="L24" s="21">
        <f>IFERROR(__xludf.DUMMYFUNCTION("IFERROR(if(ISBLANK(J24),"" "",GOOGLEFINANCE(I24,""price"")), """")"),175.95)</f>
        <v>175.95</v>
      </c>
      <c r="M24" s="22">
        <f>IFERROR(__xludf.DUMMYFUNCTION("IFERROR(if(ISBLANK(J24),"" "",GOOGLEFINANCE(I24,""changepct"")), """")"),0.64)</f>
        <v>0.64</v>
      </c>
      <c r="N24" s="23">
        <f>IFERROR(__xludf.DUMMYFUNCTION("IFERROR(if(ISBLANK($C24),"" "",GOOGLEFINANCE($B24,""change"")), """")"),55.0)</f>
        <v>55</v>
      </c>
      <c r="O24" s="26"/>
      <c r="P24" s="27" t="s">
        <v>516</v>
      </c>
      <c r="Q24" s="38" t="s">
        <v>513</v>
      </c>
      <c r="R24" s="39" t="str">
        <f>IFERROR(__xludf.DUMMYFUNCTION("IFERROR(if(ISBLANK(Q24),"" "",GOOGLEFINANCE(P24,""Name"")), """")"),"Supreme Industries Ltd")</f>
        <v>Supreme Industries Ltd</v>
      </c>
      <c r="S24" s="21">
        <f>IFERROR(__xludf.DUMMYFUNCTION("IFERROR(if(ISBLANK(Q24),"" "",GOOGLEFINANCE(P24,""price"")), """")"),3440.0)</f>
        <v>3440</v>
      </c>
      <c r="T24" s="22">
        <f>IFERROR(__xludf.DUMMYFUNCTION("IFERROR(if(ISBLANK(Q24),"" "",GOOGLEFINANCE(P24,""changepct"")), """")"),0.15)</f>
        <v>0.15</v>
      </c>
      <c r="U24" s="28"/>
      <c r="V24" s="18" t="s">
        <v>517</v>
      </c>
      <c r="W24" s="38" t="s">
        <v>513</v>
      </c>
      <c r="X24" s="39" t="str">
        <f>IFERROR(__xludf.DUMMYFUNCTION("IFERROR(if(ISBLANK(W24),"" "",GOOGLEFINANCE(V24,""Name"")), """")"),"Gillette India Ltd")</f>
        <v>Gillette India Ltd</v>
      </c>
      <c r="Y24" s="21">
        <f>IFERROR(__xludf.DUMMYFUNCTION("IFERROR(if(ISBLANK(W24),"" "",GOOGLEFINANCE(V24,""price"")), """")"),7585.0)</f>
        <v>7585</v>
      </c>
      <c r="Z24" s="23">
        <f>IFERROR(__xludf.DUMMYFUNCTION("IFERROR(if(ISBLANK(W24),"" "",GOOGLEFINANCE(V24,""changepct"")), """")"),-0.74)</f>
        <v>-0.74</v>
      </c>
      <c r="AA24" s="12"/>
      <c r="AB24" s="18" t="s">
        <v>519</v>
      </c>
      <c r="AC24" s="38" t="s">
        <v>513</v>
      </c>
      <c r="AD24" s="39" t="str">
        <f>IFERROR(__xludf.DUMMYFUNCTION("IFERROR(if(ISBLANK(AC24),"" "",GOOGLEFINANCE(AB24,""Name"")), """")"),"Kfin Technologies Ltd")</f>
        <v>Kfin Technologies Ltd</v>
      </c>
      <c r="AE24" s="21">
        <f>IFERROR(__xludf.DUMMYFUNCTION("IFERROR(if(ISBLANK(AC24),"" "",GOOGLEFINANCE(AB24,""price"")), """")"),925.0)</f>
        <v>925</v>
      </c>
      <c r="AF24" s="23">
        <f>IFERROR(__xludf.DUMMYFUNCTION("IFERROR(if(ISBLANK(AC24),"" "",GOOGLEFINANCE(AB24,""changepct"")), """")"),-1.07)</f>
        <v>-1.07</v>
      </c>
      <c r="AG24" s="45"/>
      <c r="AH24" s="27" t="s">
        <v>520</v>
      </c>
      <c r="AI24" s="38" t="s">
        <v>513</v>
      </c>
      <c r="AJ24" s="39" t="str">
        <f>IFERROR(__xludf.DUMMYFUNCTION("IFERROR(if(ISBLANK(AI24),"" "",GOOGLEFINANCE(AH24,""Name"")), """")"),"Shilpa Medicare Ltd")</f>
        <v>Shilpa Medicare Ltd</v>
      </c>
      <c r="AK24" s="21">
        <f>IFERROR(__xludf.DUMMYFUNCTION("IFERROR(if(ISBLANK(AI24),"" "",GOOGLEFINANCE(AH24,""price"")), """")"),803.65)</f>
        <v>803.65</v>
      </c>
      <c r="AL24" s="23">
        <f>IFERROR(__xludf.DUMMYFUNCTION("IFERROR(if(ISBLANK(AI24),"" "",GOOGLEFINANCE(AH24,""changepct"")), """")"),-1.96)</f>
        <v>-1.96</v>
      </c>
      <c r="AM24" s="30"/>
      <c r="AN24" s="31" t="s">
        <v>200</v>
      </c>
      <c r="AO24" s="32" t="str">
        <f>IFERROR(__xludf.DUMMYFUNCTION("IFERROR(if(ISBLANK(AN24),"" "",GOOGLEFINANCE(AM24,""Name"")), """")"),"")</f>
        <v/>
      </c>
      <c r="AP24" s="33" t="s">
        <v>521</v>
      </c>
      <c r="AQ24" s="38" t="s">
        <v>513</v>
      </c>
      <c r="AR24" s="39" t="str">
        <f>IFERROR(__xludf.DUMMYFUNCTION("IFERROR(if(ISBLANK(AQ24),"" "",GOOGLEFINANCE(AP24,""Name"")), """")"),"Equitas Small Finance Bank Ltd")</f>
        <v>Equitas Small Finance Bank Ltd</v>
      </c>
      <c r="AS24" s="21">
        <f>IFERROR(__xludf.DUMMYFUNCTION("IFERROR(if(ISBLANK(AQ24),"" "",GOOGLEFINANCE(AP24,""price"")), """")"),74.53)</f>
        <v>74.53</v>
      </c>
      <c r="AT24" s="23">
        <f>IFERROR(__xludf.DUMMYFUNCTION("IFERROR(if(ISBLANK(AQ24),"" "",GOOGLEFINANCE(AP24,""changepct"")), """")"),-0.33)</f>
        <v>-0.33</v>
      </c>
      <c r="AU24" s="45"/>
      <c r="AV24" s="34" t="s">
        <v>523</v>
      </c>
      <c r="AW24" s="38" t="s">
        <v>513</v>
      </c>
      <c r="AX24" s="39" t="str">
        <f>IFERROR(__xludf.DUMMYFUNCTION("IFERROR(if(ISBLANK(AW24),"" "",GOOGLEFINANCE(AV24,""Name"")), """")"),"Shakti Pumps (India) Ltd")</f>
        <v>Shakti Pumps (India) Ltd</v>
      </c>
      <c r="AY24" s="21">
        <f>IFERROR(__xludf.DUMMYFUNCTION("IFERROR(if(ISBLANK(AW24),"" "",GOOGLEFINANCE(AV24,""price"")), """")"),509.0)</f>
        <v>509</v>
      </c>
      <c r="AZ24" s="23">
        <f>IFERROR(__xludf.DUMMYFUNCTION("IFERROR(if(ISBLANK(AW24),"" "",GOOGLEFINANCE(AV24,""changepct"")), """")"),-0.31)</f>
        <v>-0.31</v>
      </c>
      <c r="BA24" s="12"/>
      <c r="BB24" s="33" t="s">
        <v>524</v>
      </c>
      <c r="BC24" s="38" t="s">
        <v>513</v>
      </c>
      <c r="BD24" s="39" t="str">
        <f>IFERROR(__xludf.DUMMYFUNCTION("IFERROR(if(ISBLANK(BC24),"" "",GOOGLEFINANCE(BB24,""Name"")), """")"),"Pilani Investment &amp; Industries Corp Ltd")</f>
        <v>Pilani Investment &amp; Industries Corp Ltd</v>
      </c>
      <c r="BE24" s="21">
        <f>IFERROR(__xludf.DUMMYFUNCTION("IFERROR(if(ISBLANK(BC24),"" "",GOOGLEFINANCE(BB24,""price"")), """")"),4359.0)</f>
        <v>4359</v>
      </c>
      <c r="BF24" s="23">
        <f>IFERROR(__xludf.DUMMYFUNCTION("IFERROR(if(ISBLANK(BC24),"" "",GOOGLEFINANCE(BB24,""changepct"")), """")"),-0.71)</f>
        <v>-0.71</v>
      </c>
      <c r="BG24" s="12"/>
      <c r="BH24" s="35" t="s">
        <v>525</v>
      </c>
      <c r="BI24" s="38" t="s">
        <v>513</v>
      </c>
      <c r="BJ24" s="39" t="str">
        <f>IFERROR(__xludf.DUMMYFUNCTION("IFERROR(if(ISBLANK(BI24),"" "",GOOGLEFINANCE(BH24,""Name"")), """")"),"Kalyani Steels Ltd")</f>
        <v>Kalyani Steels Ltd</v>
      </c>
      <c r="BK24" s="21">
        <f>IFERROR(__xludf.DUMMYFUNCTION("IFERROR(if(ISBLANK(BI24),"" "",GOOGLEFINANCE(BH24,""price"")), """")"),861.0)</f>
        <v>861</v>
      </c>
      <c r="BL24" s="23">
        <f>IFERROR(__xludf.DUMMYFUNCTION("IFERROR(if(ISBLANK(BI24),"" "",GOOGLEFINANCE(BH24,""changepct"")), """")"),2.05)</f>
        <v>2.05</v>
      </c>
      <c r="BM24" s="12"/>
      <c r="BN24" s="33" t="s">
        <v>526</v>
      </c>
      <c r="BO24" s="38" t="s">
        <v>513</v>
      </c>
      <c r="BP24" s="39" t="str">
        <f>IFERROR(__xludf.DUMMYFUNCTION("IFERROR(if(ISBLANK(BO24),"" "",GOOGLEFINANCE(BN24,""Name"")), """")"),"Bhansali Engineering Polymers Ltd")</f>
        <v>Bhansali Engineering Polymers Ltd</v>
      </c>
      <c r="BQ24" s="21">
        <f>IFERROR(__xludf.DUMMYFUNCTION("IFERROR(if(ISBLANK(BO24),"" "",GOOGLEFINANCE(BN24,""price"")), """")"),120.45)</f>
        <v>120.45</v>
      </c>
      <c r="BR24" s="23">
        <f>IFERROR(__xludf.DUMMYFUNCTION("IFERROR(if(ISBLANK(BO24),"" "",GOOGLEFINANCE(BN24,""changepct"")), """")"),-1.7)</f>
        <v>-1.7</v>
      </c>
      <c r="BS24" s="22">
        <f>IFERROR(__xludf.DUMMYFUNCTION("IFERROR(if(ISBLANK($C24),"" "",GOOGLEFINANCE($B24,""change"")), """")"),55.0)</f>
        <v>55</v>
      </c>
      <c r="BT24" s="36"/>
      <c r="BU24" s="27" t="s">
        <v>527</v>
      </c>
      <c r="BV24" s="38" t="s">
        <v>513</v>
      </c>
      <c r="BW24" s="39" t="str">
        <f>IFERROR(__xludf.DUMMYFUNCTION("IFERROR(if(ISBLANK(BV24),"" "",GOOGLEFINANCE(BU24,""Name"")), """")"),"GNA Axles Ltd")</f>
        <v>GNA Axles Ltd</v>
      </c>
      <c r="BX24" s="21">
        <f>IFERROR(__xludf.DUMMYFUNCTION("IFERROR(if(ISBLANK(BV24),"" "",GOOGLEFINANCE(BU24,""price"")), """")"),554.8)</f>
        <v>554.8</v>
      </c>
      <c r="BY24" s="23">
        <f>IFERROR(__xludf.DUMMYFUNCTION("IFERROR(if(ISBLANK(BV24),"" "",GOOGLEFINANCE(BU24,""changepct"")), """")"),3.25)</f>
        <v>3.25</v>
      </c>
      <c r="BZ24" s="22">
        <f>IFERROR(__xludf.DUMMYFUNCTION("IFERROR(if(ISBLANK($C24),"" "",GOOGLEFINANCE($B24,""change"")), """")"),55.0)</f>
        <v>55</v>
      </c>
      <c r="CA24" s="37"/>
      <c r="CB24" s="27" t="s">
        <v>528</v>
      </c>
      <c r="CC24" s="38" t="s">
        <v>513</v>
      </c>
      <c r="CD24" s="39" t="str">
        <f>IFERROR(__xludf.DUMMYFUNCTION("IFERROR(if(ISBLANK(CC24),"" "",GOOGLEFINANCE(CB24,""Name"")), """")"),"Ceinsys Tech Ltd")</f>
        <v>Ceinsys Tech Ltd</v>
      </c>
      <c r="CE24" s="21">
        <f>IFERROR(__xludf.DUMMYFUNCTION("IFERROR(if(ISBLANK(CC24),"" "",GOOGLEFINANCE(CB24,""price"")), """")"),754.95)</f>
        <v>754.95</v>
      </c>
      <c r="CF24" s="23">
        <f>IFERROR(__xludf.DUMMYFUNCTION("IFERROR(if(ISBLANK(CC24),"" "",GOOGLEFINANCE(CB24,""changepct"")), """")"),-5.16)</f>
        <v>-5.16</v>
      </c>
      <c r="CG24" s="12"/>
      <c r="CH24" s="18" t="s">
        <v>530</v>
      </c>
      <c r="CI24" s="38" t="s">
        <v>513</v>
      </c>
      <c r="CJ24" s="39" t="str">
        <f>IFERROR(__xludf.DUMMYFUNCTION("IFERROR(if(ISBLANK(CI24),"" "",GOOGLEFINANCE(CH24,""Name"")), """")"),"India Motor Parts &amp; Accessories Ltd")</f>
        <v>India Motor Parts &amp; Accessories Ltd</v>
      </c>
      <c r="CK24" s="21">
        <f>IFERROR(__xludf.DUMMYFUNCTION("IFERROR(if(ISBLANK(CI24),"" "",GOOGLEFINANCE(CH24,""price"")), """")"),1066.0)</f>
        <v>1066</v>
      </c>
      <c r="CL24" s="23">
        <f>IFERROR(__xludf.DUMMYFUNCTION("IFERROR(if(ISBLANK(CI24),"" "",GOOGLEFINANCE(CH24,""changepct"")), """")"),-2.51)</f>
        <v>-2.51</v>
      </c>
      <c r="CM24" s="12"/>
      <c r="CN24" s="33" t="s">
        <v>531</v>
      </c>
      <c r="CO24" s="38" t="s">
        <v>513</v>
      </c>
      <c r="CP24" s="39" t="str">
        <f>IFERROR(__xludf.DUMMYFUNCTION("IFERROR(if(ISBLANK(CO24),"" "",GOOGLEFINANCE(CN24,""Name"")), """")"),"Jaro Institute of Tech Mgt and Rsrch Ltd")</f>
        <v>Jaro Institute of Tech Mgt and Rsrch Ltd</v>
      </c>
      <c r="CQ24" s="21">
        <f>IFERROR(__xludf.DUMMYFUNCTION("IFERROR(if(ISBLANK(CO24),"" "",GOOGLEFINANCE(CN24,""price"")), """")"),450.4)</f>
        <v>450.4</v>
      </c>
      <c r="CR24" s="23">
        <f>IFERROR(__xludf.DUMMYFUNCTION("IFERROR(if(ISBLANK(CO24),"" "",GOOGLEFINANCE(CN24,""changepct"")), """")"),2.04)</f>
        <v>2.04</v>
      </c>
      <c r="CS24" s="45"/>
      <c r="CT24" s="33" t="s">
        <v>532</v>
      </c>
      <c r="CU24" s="38" t="s">
        <v>513</v>
      </c>
      <c r="CV24" s="39" t="str">
        <f>IFERROR(__xludf.DUMMYFUNCTION("IFERROR(if(ISBLANK(CU24),"" "",GOOGLEFINANCE(CT24,""Name"")), """")"),"Shree Vasu Logistics Ltd")</f>
        <v>Shree Vasu Logistics Ltd</v>
      </c>
      <c r="CW24" s="21">
        <f>IFERROR(__xludf.DUMMYFUNCTION("IFERROR(if(ISBLANK(CU24),"" "",GOOGLEFINANCE(CT24,""price"")), """")"),743.5)</f>
        <v>743.5</v>
      </c>
      <c r="CX24" s="23">
        <f>IFERROR(__xludf.DUMMYFUNCTION("IFERROR(if(ISBLANK(CU24),"" "",GOOGLEFINANCE(CT24,""changepct"")), """")"),-0.34)</f>
        <v>-0.34</v>
      </c>
      <c r="CY24" s="17"/>
      <c r="CZ24" s="33" t="s">
        <v>533</v>
      </c>
      <c r="DA24" s="38" t="s">
        <v>513</v>
      </c>
      <c r="DB24" s="39" t="str">
        <f>IFERROR(__xludf.DUMMYFUNCTION("IFERROR(if(ISBLANK(DA24),"" "",GOOGLEFINANCE(CZ24,""Name"")), """")"),"Aqylon Nexus Ltd")</f>
        <v>Aqylon Nexus Ltd</v>
      </c>
      <c r="DC24" s="21">
        <f>IFERROR(__xludf.DUMMYFUNCTION("IFERROR(if(ISBLANK(DA24),"" "",GOOGLEFINANCE(CZ24,""price"")), """")"),24.13)</f>
        <v>24.13</v>
      </c>
      <c r="DD24" s="23">
        <f>IFERROR(__xludf.DUMMYFUNCTION("IFERROR(if(ISBLANK(DA24),"" "",GOOGLEFINANCE(CZ24,""changepct"")), """")"),-5.0)</f>
        <v>-5</v>
      </c>
      <c r="DE24" s="45"/>
      <c r="DF24" s="12"/>
    </row>
    <row r="25" ht="11.25" customHeight="1">
      <c r="A25" s="17"/>
      <c r="B25" s="18" t="s">
        <v>534</v>
      </c>
      <c r="C25" s="38" t="s">
        <v>535</v>
      </c>
      <c r="D25" s="39" t="str">
        <f>IFERROR(__xludf.DUMMYFUNCTION("IFERROR(if(ISBLANK(C25),"" "",GOOGLEFINANCE(B25,""Name"")), """")"),"NTPC Ltd")</f>
        <v>NTPC Ltd</v>
      </c>
      <c r="E25" s="21">
        <f>IFERROR(__xludf.DUMMYFUNCTION("IFERROR(if(ISBLANK(C25),"" "",GOOGLEFINANCE(B25,""price"")), """")"),338.5)</f>
        <v>338.5</v>
      </c>
      <c r="F25" s="22">
        <f>IFERROR(__xludf.DUMMYFUNCTION("IFERROR(if(ISBLANK(C25),"" "",GOOGLEFINANCE(B25,""changepct"")), """")"),0.01)</f>
        <v>0.01</v>
      </c>
      <c r="G25" s="23">
        <f>IFERROR(__xludf.DUMMYFUNCTION("IFERROR(if(ISBLANK($C25),"" "",GOOGLEFINANCE($B25,""change"")), """")"),0.05)</f>
        <v>0.05</v>
      </c>
      <c r="H25" s="24"/>
      <c r="I25" s="25" t="s">
        <v>536</v>
      </c>
      <c r="J25" s="38" t="s">
        <v>535</v>
      </c>
      <c r="K25" s="39" t="str">
        <f>IFERROR(__xludf.DUMMYFUNCTION("IFERROR(if(ISBLANK(J25),"" "",GOOGLEFINANCE(I25,""Name"")), """")"),"Oracle Financial Services Software Ltd")</f>
        <v>Oracle Financial Services Software Ltd</v>
      </c>
      <c r="L25" s="21">
        <f>IFERROR(__xludf.DUMMYFUNCTION("IFERROR(if(ISBLANK(J25),"" "",GOOGLEFINANCE(I25,""price"")), """")"),11590.0)</f>
        <v>11590</v>
      </c>
      <c r="M25" s="22">
        <f>IFERROR(__xludf.DUMMYFUNCTION("IFERROR(if(ISBLANK(J25),"" "",GOOGLEFINANCE(I25,""changepct"")), """")"),-2.57)</f>
        <v>-2.57</v>
      </c>
      <c r="N25" s="23">
        <f>IFERROR(__xludf.DUMMYFUNCTION("IFERROR(if(ISBLANK($C25),"" "",GOOGLEFINANCE($B25,""change"")), """")"),0.05)</f>
        <v>0.05</v>
      </c>
      <c r="O25" s="26"/>
      <c r="P25" s="27" t="s">
        <v>537</v>
      </c>
      <c r="Q25" s="38" t="s">
        <v>535</v>
      </c>
      <c r="R25" s="39" t="str">
        <f>IFERROR(__xludf.DUMMYFUNCTION("IFERROR(if(ISBLANK(Q25),"" "",GOOGLEFINANCE(P25,""Name"")), """")"),"Voltas Ltd")</f>
        <v>Voltas Ltd</v>
      </c>
      <c r="S25" s="21">
        <f>IFERROR(__xludf.DUMMYFUNCTION("IFERROR(if(ISBLANK(Q25),"" "",GOOGLEFINANCE(P25,""price"")), """")"),1285.9)</f>
        <v>1285.9</v>
      </c>
      <c r="T25" s="22">
        <f>IFERROR(__xludf.DUMMYFUNCTION("IFERROR(if(ISBLANK(Q25),"" "",GOOGLEFINANCE(P25,""changepct"")), """")"),0.46)</f>
        <v>0.46</v>
      </c>
      <c r="U25" s="28"/>
      <c r="V25" s="18" t="s">
        <v>539</v>
      </c>
      <c r="W25" s="38" t="s">
        <v>535</v>
      </c>
      <c r="X25" s="39" t="str">
        <f>IFERROR(__xludf.DUMMYFUNCTION("IFERROR(if(ISBLANK(W25),"" "",GOOGLEFINANCE(V25,""Name"")), """")"),"Rubicon Research Ltd")</f>
        <v>Rubicon Research Ltd</v>
      </c>
      <c r="Y25" s="21">
        <f>IFERROR(__xludf.DUMMYFUNCTION("IFERROR(if(ISBLANK(W25),"" "",GOOGLEFINANCE(V25,""price"")), """")"),1645.2)</f>
        <v>1645.2</v>
      </c>
      <c r="Z25" s="23">
        <f>IFERROR(__xludf.DUMMYFUNCTION("IFERROR(if(ISBLANK(W25),"" "",GOOGLEFINANCE(V25,""changepct"")), """")"),-0.6)</f>
        <v>-0.6</v>
      </c>
      <c r="AA25" s="12"/>
      <c r="AB25" s="18" t="s">
        <v>540</v>
      </c>
      <c r="AC25" s="38" t="s">
        <v>535</v>
      </c>
      <c r="AD25" s="39" t="str">
        <f>IFERROR(__xludf.DUMMYFUNCTION("IFERROR(if(ISBLANK(AC25),"" "",GOOGLEFINANCE(AB25,""Name"")), """")"),"Five-Star Business Finance Ltd")</f>
        <v>Five-Star Business Finance Ltd</v>
      </c>
      <c r="AE25" s="21">
        <f>IFERROR(__xludf.DUMMYFUNCTION("IFERROR(if(ISBLANK(AC25),"" "",GOOGLEFINANCE(AB25,""price"")), """")"),554.85)</f>
        <v>554.85</v>
      </c>
      <c r="AF25" s="23">
        <f>IFERROR(__xludf.DUMMYFUNCTION("IFERROR(if(ISBLANK(AC25),"" "",GOOGLEFINANCE(AB25,""changepct"")), """")"),1.57)</f>
        <v>1.57</v>
      </c>
      <c r="AG25" s="45"/>
      <c r="AH25" s="27" t="s">
        <v>541</v>
      </c>
      <c r="AI25" s="38" t="s">
        <v>535</v>
      </c>
      <c r="AJ25" s="39" t="str">
        <f>IFERROR(__xludf.DUMMYFUNCTION("IFERROR(if(ISBLANK(AI25),"" "",GOOGLEFINANCE(AH25,""Name"")), """")"),"Gravita India Limited")</f>
        <v>Gravita India Limited</v>
      </c>
      <c r="AK25" s="21">
        <f>IFERROR(__xludf.DUMMYFUNCTION("IFERROR(if(ISBLANK(AI25),"" "",GOOGLEFINANCE(AH25,""price"")), """")"),1820.0)</f>
        <v>1820</v>
      </c>
      <c r="AL25" s="23">
        <f>IFERROR(__xludf.DUMMYFUNCTION("IFERROR(if(ISBLANK(AI25),"" "",GOOGLEFINANCE(AH25,""changepct"")), """")"),1.99)</f>
        <v>1.99</v>
      </c>
      <c r="AM25" s="30"/>
      <c r="AN25" s="31" t="s">
        <v>200</v>
      </c>
      <c r="AO25" s="32" t="str">
        <f>IFERROR(__xludf.DUMMYFUNCTION("IFERROR(if(ISBLANK(AN25),"" "",GOOGLEFINANCE(AM25,""Name"")), """")"),"")</f>
        <v/>
      </c>
      <c r="AP25" s="33" t="s">
        <v>542</v>
      </c>
      <c r="AQ25" s="38" t="s">
        <v>535</v>
      </c>
      <c r="AR25" s="39" t="str">
        <f>IFERROR(__xludf.DUMMYFUNCTION("IFERROR(if(ISBLANK(AQ25),"" "",GOOGLEFINANCE(AP25,""Name"")), """")"),"Sheela Foam Ltd")</f>
        <v>Sheela Foam Ltd</v>
      </c>
      <c r="AS25" s="21">
        <f>IFERROR(__xludf.DUMMYFUNCTION("IFERROR(if(ISBLANK(AQ25),"" "",GOOGLEFINANCE(AP25,""price"")), """")"),691.5)</f>
        <v>691.5</v>
      </c>
      <c r="AT25" s="23">
        <f>IFERROR(__xludf.DUMMYFUNCTION("IFERROR(if(ISBLANK(AQ25),"" "",GOOGLEFINANCE(AP25,""changepct"")), """")"),1.8)</f>
        <v>1.8</v>
      </c>
      <c r="AU25" s="45"/>
      <c r="AV25" s="34" t="s">
        <v>543</v>
      </c>
      <c r="AW25" s="38" t="s">
        <v>535</v>
      </c>
      <c r="AX25" s="39" t="str">
        <f>IFERROR(__xludf.DUMMYFUNCTION("IFERROR(if(ISBLANK(AW25),"" "",GOOGLEFINANCE(AV25,""Name"")), """")"),"Indiabulls Ltd")</f>
        <v>Indiabulls Ltd</v>
      </c>
      <c r="AY25" s="21">
        <f>IFERROR(__xludf.DUMMYFUNCTION("IFERROR(if(ISBLANK(AW25),"" "",GOOGLEFINANCE(AV25,""price"")), """")"),26.89)</f>
        <v>26.89</v>
      </c>
      <c r="AZ25" s="23">
        <f>IFERROR(__xludf.DUMMYFUNCTION("IFERROR(if(ISBLANK(AW25),"" "",GOOGLEFINANCE(AV25,""changepct"")), """")"),-4.34)</f>
        <v>-4.34</v>
      </c>
      <c r="BA25" s="12"/>
      <c r="BB25" s="33" t="s">
        <v>241</v>
      </c>
      <c r="BC25" s="38" t="s">
        <v>535</v>
      </c>
      <c r="BD25" s="39" t="str">
        <f>IFERROR(__xludf.DUMMYFUNCTION("IFERROR(if(ISBLANK(BC25),"" "",GOOGLEFINANCE(BB25,""Name"")), """")"),"Sterling and Wilson Renewable Energy Ltd")</f>
        <v>Sterling and Wilson Renewable Energy Ltd</v>
      </c>
      <c r="BE25" s="21">
        <f>IFERROR(__xludf.DUMMYFUNCTION("IFERROR(if(ISBLANK(BC25),"" "",GOOGLEFINANCE(BB25,""price"")), """")"),202.0)</f>
        <v>202</v>
      </c>
      <c r="BF25" s="23">
        <f>IFERROR(__xludf.DUMMYFUNCTION("IFERROR(if(ISBLANK(BC25),"" "",GOOGLEFINANCE(BB25,""changepct"")), """")"),-0.48)</f>
        <v>-0.48</v>
      </c>
      <c r="BG25" s="12"/>
      <c r="BH25" s="35" t="s">
        <v>544</v>
      </c>
      <c r="BI25" s="38" t="s">
        <v>535</v>
      </c>
      <c r="BJ25" s="39" t="str">
        <f>IFERROR(__xludf.DUMMYFUNCTION("IFERROR(if(ISBLANK(BI25),"" "",GOOGLEFINANCE(BH25,""Name"")), """")"),"AGI Infra Ltd")</f>
        <v>AGI Infra Ltd</v>
      </c>
      <c r="BK25" s="21">
        <f>IFERROR(__xludf.DUMMYFUNCTION("IFERROR(if(ISBLANK(BI25),"" "",GOOGLEFINANCE(BH25,""price"")), """")"),301.0)</f>
        <v>301</v>
      </c>
      <c r="BL25" s="23">
        <f>IFERROR(__xludf.DUMMYFUNCTION("IFERROR(if(ISBLANK(BI25),"" "",GOOGLEFINANCE(BH25,""changepct"")), """")"),0.28)</f>
        <v>0.28</v>
      </c>
      <c r="BM25" s="12"/>
      <c r="BN25" s="33" t="s">
        <v>545</v>
      </c>
      <c r="BO25" s="38" t="s">
        <v>535</v>
      </c>
      <c r="BP25" s="39" t="str">
        <f>IFERROR(__xludf.DUMMYFUNCTION("IFERROR(if(ISBLANK(BO25),"" "",GOOGLEFINANCE(BN25,""Name"")), """")"),"EFC (I) Ltd")</f>
        <v>EFC (I) Ltd</v>
      </c>
      <c r="BQ25" s="21">
        <f>IFERROR(__xludf.DUMMYFUNCTION("IFERROR(if(ISBLANK(BO25),"" "",GOOGLEFINANCE(BN25,""price"")), """")"),179.4)</f>
        <v>179.4</v>
      </c>
      <c r="BR25" s="23">
        <f>IFERROR(__xludf.DUMMYFUNCTION("IFERROR(if(ISBLANK(BO25),"" "",GOOGLEFINANCE(BN25,""changepct"")), """")"),0.88)</f>
        <v>0.88</v>
      </c>
      <c r="BS25" s="22">
        <f>IFERROR(__xludf.DUMMYFUNCTION("IFERROR(if(ISBLANK($C25),"" "",GOOGLEFINANCE($B25,""change"")), """")"),0.05)</f>
        <v>0.05</v>
      </c>
      <c r="BT25" s="36"/>
      <c r="BU25" s="27" t="s">
        <v>546</v>
      </c>
      <c r="BV25" s="38" t="s">
        <v>535</v>
      </c>
      <c r="BW25" s="39" t="str">
        <f>IFERROR(__xludf.DUMMYFUNCTION("IFERROR(if(ISBLANK(BV25),"" "",GOOGLEFINANCE(BU25,""Name"")), """")"),"Thejo Engineering Ltd")</f>
        <v>Thejo Engineering Ltd</v>
      </c>
      <c r="BX25" s="21">
        <f>IFERROR(__xludf.DUMMYFUNCTION("IFERROR(if(ISBLANK(BV25),"" "",GOOGLEFINANCE(BU25,""price"")), """")"),2110.0)</f>
        <v>2110</v>
      </c>
      <c r="BY25" s="23">
        <f>IFERROR(__xludf.DUMMYFUNCTION("IFERROR(if(ISBLANK(BV25),"" "",GOOGLEFINANCE(BU25,""changepct"")), """")"),-2.07)</f>
        <v>-2.07</v>
      </c>
      <c r="BZ25" s="22">
        <f>IFERROR(__xludf.DUMMYFUNCTION("IFERROR(if(ISBLANK($C25),"" "",GOOGLEFINANCE($B25,""change"")), """")"),0.05)</f>
        <v>0.05</v>
      </c>
      <c r="CA25" s="37"/>
      <c r="CB25" s="27" t="s">
        <v>548</v>
      </c>
      <c r="CC25" s="38" t="s">
        <v>535</v>
      </c>
      <c r="CD25" s="39" t="str">
        <f>IFERROR(__xludf.DUMMYFUNCTION("IFERROR(if(ISBLANK(CC25),"" "",GOOGLEFINANCE(CB25,""Name"")), """")"),"Nitta Gelatin India Ltd")</f>
        <v>Nitta Gelatin India Ltd</v>
      </c>
      <c r="CE25" s="21">
        <f>IFERROR(__xludf.DUMMYFUNCTION("IFERROR(if(ISBLANK(CC25),"" "",GOOGLEFINANCE(CB25,""price"")), """")"),1587.0)</f>
        <v>1587</v>
      </c>
      <c r="CF25" s="23">
        <f>IFERROR(__xludf.DUMMYFUNCTION("IFERROR(if(ISBLANK(CC25),"" "",GOOGLEFINANCE(CB25,""changepct"")), """")"),-1.54)</f>
        <v>-1.54</v>
      </c>
      <c r="CG25" s="12"/>
      <c r="CH25" s="18" t="s">
        <v>549</v>
      </c>
      <c r="CI25" s="38" t="s">
        <v>535</v>
      </c>
      <c r="CJ25" s="39" t="str">
        <f>IFERROR(__xludf.DUMMYFUNCTION("IFERROR(if(ISBLANK(CI25),"" "",GOOGLEFINANCE(CH25,""Name"")), """")"),"Aeroflex Enterprises Ltd")</f>
        <v>Aeroflex Enterprises Ltd</v>
      </c>
      <c r="CK25" s="21">
        <f>IFERROR(__xludf.DUMMYFUNCTION("IFERROR(if(ISBLANK(CI25),"" "",GOOGLEFINANCE(CH25,""price"")), """")"),129.89)</f>
        <v>129.89</v>
      </c>
      <c r="CL25" s="23">
        <f>IFERROR(__xludf.DUMMYFUNCTION("IFERROR(if(ISBLANK(CI25),"" "",GOOGLEFINANCE(CH25,""changepct"")), """")"),0.37)</f>
        <v>0.37</v>
      </c>
      <c r="CM25" s="12"/>
      <c r="CN25" s="33" t="s">
        <v>550</v>
      </c>
      <c r="CO25" s="38" t="s">
        <v>535</v>
      </c>
      <c r="CP25" s="39" t="str">
        <f>IFERROR(__xludf.DUMMYFUNCTION("IFERROR(if(ISBLANK(CO25),"" "",GOOGLEFINANCE(CN25,""Name"")), """")"),"Fairchem Organics Ltd")</f>
        <v>Fairchem Organics Ltd</v>
      </c>
      <c r="CQ25" s="21">
        <f>IFERROR(__xludf.DUMMYFUNCTION("IFERROR(if(ISBLANK(CO25),"" "",GOOGLEFINANCE(CN25,""price"")), """")"),730.3)</f>
        <v>730.3</v>
      </c>
      <c r="CR25" s="23">
        <f>IFERROR(__xludf.DUMMYFUNCTION("IFERROR(if(ISBLANK(CO25),"" "",GOOGLEFINANCE(CN25,""changepct"")), """")"),-2.0)</f>
        <v>-2</v>
      </c>
      <c r="CS25" s="45"/>
      <c r="CT25" s="33" t="s">
        <v>551</v>
      </c>
      <c r="CU25" s="38" t="s">
        <v>535</v>
      </c>
      <c r="CV25" s="39" t="str">
        <f>IFERROR(__xludf.DUMMYFUNCTION("IFERROR(if(ISBLANK(CU25),"" "",GOOGLEFINANCE(CT25,""Name"")), """")"),"Quick Heal Technologies Ltd")</f>
        <v>Quick Heal Technologies Ltd</v>
      </c>
      <c r="CW25" s="21">
        <f>IFERROR(__xludf.DUMMYFUNCTION("IFERROR(if(ISBLANK(CU25),"" "",GOOGLEFINANCE(CT25,""price"")), """")"),150.0)</f>
        <v>150</v>
      </c>
      <c r="CX25" s="23">
        <f>IFERROR(__xludf.DUMMYFUNCTION("IFERROR(if(ISBLANK(CU25),"" "",GOOGLEFINANCE(CT25,""changepct"")), """")"),-0.9)</f>
        <v>-0.9</v>
      </c>
      <c r="CY25" s="17"/>
      <c r="CZ25" s="33" t="s">
        <v>552</v>
      </c>
      <c r="DA25" s="38" t="s">
        <v>535</v>
      </c>
      <c r="DB25" s="39" t="str">
        <f>IFERROR(__xludf.DUMMYFUNCTION("IFERROR(if(ISBLANK(DA25),"" "",GOOGLEFINANCE(CZ25,""Name"")), """")"),"Vakrangee Limited")</f>
        <v>Vakrangee Limited</v>
      </c>
      <c r="DC25" s="21">
        <f>IFERROR(__xludf.DUMMYFUNCTION("IFERROR(if(ISBLANK(DA25),"" "",GOOGLEFINANCE(CZ25,""price"")), """")"),5.97)</f>
        <v>5.97</v>
      </c>
      <c r="DD25" s="23">
        <f>IFERROR(__xludf.DUMMYFUNCTION("IFERROR(if(ISBLANK(DA25),"" "",GOOGLEFINANCE(CZ25,""changepct"")), """")"),-0.5)</f>
        <v>-0.5</v>
      </c>
      <c r="DE25" s="45"/>
      <c r="DF25" s="12"/>
    </row>
    <row r="26" ht="11.25" customHeight="1">
      <c r="A26" s="17"/>
      <c r="B26" s="18" t="s">
        <v>553</v>
      </c>
      <c r="C26" s="38" t="s">
        <v>554</v>
      </c>
      <c r="D26" s="39" t="str">
        <f>IFERROR(__xludf.DUMMYFUNCTION("IFERROR(if(ISBLANK(C26),"" "",GOOGLEFINANCE(B26,""Name"")), """")"),"Bajaj Finserv Ltd")</f>
        <v>Bajaj Finserv Ltd</v>
      </c>
      <c r="E26" s="21">
        <f>IFERROR(__xludf.DUMMYFUNCTION("IFERROR(if(ISBLANK(C26),"" "",GOOGLEFINANCE(B26,""price"")), """")"),2009.6)</f>
        <v>2009.6</v>
      </c>
      <c r="F26" s="22">
        <f>IFERROR(__xludf.DUMMYFUNCTION("IFERROR(if(ISBLANK(C26),"" "",GOOGLEFINANCE(B26,""changepct"")), """")"),-1.1)</f>
        <v>-1.1</v>
      </c>
      <c r="G26" s="23">
        <f>IFERROR(__xludf.DUMMYFUNCTION("IFERROR(if(ISBLANK($C26),"" "",GOOGLEFINANCE($B26,""change"")), """")"),-22.4)</f>
        <v>-22.4</v>
      </c>
      <c r="H26" s="24"/>
      <c r="I26" s="25" t="s">
        <v>555</v>
      </c>
      <c r="J26" s="38" t="s">
        <v>554</v>
      </c>
      <c r="K26" s="39" t="str">
        <f>IFERROR(__xludf.DUMMYFUNCTION("IFERROR(if(ISBLANK(J26),"" "",GOOGLEFINANCE(I26,""Name"")), """")"),"Mazagon Dock Shipbuilders Ltd")</f>
        <v>Mazagon Dock Shipbuilders Ltd</v>
      </c>
      <c r="L26" s="21">
        <f>IFERROR(__xludf.DUMMYFUNCTION("IFERROR(if(ISBLANK(J26),"" "",GOOGLEFINANCE(I26,""price"")), """")"),2552.0)</f>
        <v>2552</v>
      </c>
      <c r="M26" s="22">
        <f>IFERROR(__xludf.DUMMYFUNCTION("IFERROR(if(ISBLANK(J26),"" "",GOOGLEFINANCE(I26,""changepct"")), """")"),-0.08)</f>
        <v>-0.08</v>
      </c>
      <c r="N26" s="23">
        <f>IFERROR(__xludf.DUMMYFUNCTION("IFERROR(if(ISBLANK($C26),"" "",GOOGLEFINANCE($B26,""change"")), """")"),-22.4)</f>
        <v>-22.4</v>
      </c>
      <c r="O26" s="26"/>
      <c r="P26" s="27" t="s">
        <v>557</v>
      </c>
      <c r="Q26" s="38" t="s">
        <v>554</v>
      </c>
      <c r="R26" s="39" t="str">
        <f>IFERROR(__xludf.DUMMYFUNCTION("IFERROR(if(ISBLANK(Q26),"" "",GOOGLEFINANCE(P26,""Name"")), """")"),"Welspun Corp Ltd")</f>
        <v>Welspun Corp Ltd</v>
      </c>
      <c r="S26" s="21">
        <f>IFERROR(__xludf.DUMMYFUNCTION("IFERROR(if(ISBLANK(Q26),"" "",GOOGLEFINANCE(P26,""price"")), """")"),1863.0)</f>
        <v>1863</v>
      </c>
      <c r="T26" s="22">
        <f>IFERROR(__xludf.DUMMYFUNCTION("IFERROR(if(ISBLANK(Q26),"" "",GOOGLEFINANCE(P26,""changepct"")), """")"),1.42)</f>
        <v>1.42</v>
      </c>
      <c r="U26" s="28"/>
      <c r="V26" s="18" t="s">
        <v>558</v>
      </c>
      <c r="W26" s="38" t="s">
        <v>554</v>
      </c>
      <c r="X26" s="39" t="str">
        <f>IFERROR(__xludf.DUMMYFUNCTION("IFERROR(if(ISBLANK(W26),"" "",GOOGLEFINANCE(V26,""Name"")), """")"),"AWL Agri Business Ltd")</f>
        <v>AWL Agri Business Ltd</v>
      </c>
      <c r="Y26" s="21">
        <f>IFERROR(__xludf.DUMMYFUNCTION("IFERROR(if(ISBLANK(W26),"" "",GOOGLEFINANCE(V26,""price"")), """")"),194.6)</f>
        <v>194.6</v>
      </c>
      <c r="Z26" s="23">
        <f>IFERROR(__xludf.DUMMYFUNCTION("IFERROR(if(ISBLANK(W26),"" "",GOOGLEFINANCE(V26,""changepct"")), """")"),0.9)</f>
        <v>0.9</v>
      </c>
      <c r="AA26" s="12"/>
      <c r="AB26" s="18" t="s">
        <v>559</v>
      </c>
      <c r="AC26" s="38" t="s">
        <v>554</v>
      </c>
      <c r="AD26" s="39" t="str">
        <f>IFERROR(__xludf.DUMMYFUNCTION("IFERROR(if(ISBLANK(AC26),"" "",GOOGLEFINANCE(AB26,""Name"")), """")"),"DCM Shriram Ltd")</f>
        <v>DCM Shriram Ltd</v>
      </c>
      <c r="AE26" s="21">
        <f>IFERROR(__xludf.DUMMYFUNCTION("IFERROR(if(ISBLANK(AC26),"" "",GOOGLEFINANCE(AB26,""price"")), """")"),992.0)</f>
        <v>992</v>
      </c>
      <c r="AF26" s="23">
        <f>IFERROR(__xludf.DUMMYFUNCTION("IFERROR(if(ISBLANK(AC26),"" "",GOOGLEFINANCE(AB26,""changepct"")), """")"),-1.49)</f>
        <v>-1.49</v>
      </c>
      <c r="AG26" s="45"/>
      <c r="AH26" s="27" t="s">
        <v>560</v>
      </c>
      <c r="AI26" s="38" t="s">
        <v>554</v>
      </c>
      <c r="AJ26" s="39" t="str">
        <f>IFERROR(__xludf.DUMMYFUNCTION("IFERROR(if(ISBLANK(AI26),"" "",GOOGLEFINANCE(AH26,""Name"")), """")"),"SEDEMAC Mechatronics Ltd")</f>
        <v>SEDEMAC Mechatronics Ltd</v>
      </c>
      <c r="AK26" s="21">
        <f>IFERROR(__xludf.DUMMYFUNCTION("IFERROR(if(ISBLANK(AI26),"" "",GOOGLEFINANCE(AH26,""price"")), """")"),3060.0)</f>
        <v>3060</v>
      </c>
      <c r="AL26" s="23">
        <f>IFERROR(__xludf.DUMMYFUNCTION("IFERROR(if(ISBLANK(AI26),"" "",GOOGLEFINANCE(AH26,""changepct"")), """")"),-1.17)</f>
        <v>-1.17</v>
      </c>
      <c r="AM26" s="44"/>
      <c r="AN26" s="31" t="s">
        <v>200</v>
      </c>
      <c r="AO26" s="32" t="str">
        <f>IFERROR(__xludf.DUMMYFUNCTION("IFERROR(if(ISBLANK(AN26),"" "",GOOGLEFINANCE(AM26,""Name"")), """")"),"")</f>
        <v/>
      </c>
      <c r="AP26" s="33" t="s">
        <v>561</v>
      </c>
      <c r="AQ26" s="38" t="s">
        <v>554</v>
      </c>
      <c r="AR26" s="39" t="str">
        <f>IFERROR(__xludf.DUMMYFUNCTION("IFERROR(if(ISBLANK(AQ26),"" "",GOOGLEFINANCE(AP26,""Name"")), """")"),"G R Infraprojects Ltd")</f>
        <v>G R Infraprojects Ltd</v>
      </c>
      <c r="AS26" s="21">
        <f>IFERROR(__xludf.DUMMYFUNCTION("IFERROR(if(ISBLANK(AQ26),"" "",GOOGLEFINANCE(AP26,""price"")), """")"),885.0)</f>
        <v>885</v>
      </c>
      <c r="AT26" s="23">
        <f>IFERROR(__xludf.DUMMYFUNCTION("IFERROR(if(ISBLANK(AQ26),"" "",GOOGLEFINANCE(AP26,""changepct"")), """")"),0.55)</f>
        <v>0.55</v>
      </c>
      <c r="AU26" s="45"/>
      <c r="AV26" s="34" t="s">
        <v>562</v>
      </c>
      <c r="AW26" s="38" t="s">
        <v>554</v>
      </c>
      <c r="AX26" s="39" t="str">
        <f>IFERROR(__xludf.DUMMYFUNCTION("IFERROR(if(ISBLANK(AW26),"" "",GOOGLEFINANCE(AV26,""Name"")), """")"),"Mrs. Bectors Food Specialities Ltd")</f>
        <v>Mrs. Bectors Food Specialities Ltd</v>
      </c>
      <c r="AY26" s="21">
        <f>IFERROR(__xludf.DUMMYFUNCTION("IFERROR(if(ISBLANK(AW26),"" "",GOOGLEFINANCE(AV26,""price"")), """")"),242.03)</f>
        <v>242.03</v>
      </c>
      <c r="AZ26" s="23">
        <f>IFERROR(__xludf.DUMMYFUNCTION("IFERROR(if(ISBLANK(AW26),"" "",GOOGLEFINANCE(AV26,""changepct"")), """")"),0.59)</f>
        <v>0.59</v>
      </c>
      <c r="BA26" s="12"/>
      <c r="BB26" s="33" t="s">
        <v>563</v>
      </c>
      <c r="BC26" s="38" t="s">
        <v>554</v>
      </c>
      <c r="BD26" s="39" t="str">
        <f>IFERROR(__xludf.DUMMYFUNCTION("IFERROR(if(ISBLANK(BC26),"" "",GOOGLEFINANCE(BB26,""Name"")), """")"),"CMR Green Technologies Ltd")</f>
        <v>CMR Green Technologies Ltd</v>
      </c>
      <c r="BE26" s="21">
        <f>IFERROR(__xludf.DUMMYFUNCTION("IFERROR(if(ISBLANK(BC26),"" "",GOOGLEFINANCE(BB26,""price"")), """")"),215.88)</f>
        <v>215.88</v>
      </c>
      <c r="BF26" s="23">
        <f>IFERROR(__xludf.DUMMYFUNCTION("IFERROR(if(ISBLANK(BC26),"" "",GOOGLEFINANCE(BB26,""changepct"")), """")"),-1.47)</f>
        <v>-1.47</v>
      </c>
      <c r="BG26" s="12"/>
      <c r="BH26" s="35" t="s">
        <v>564</v>
      </c>
      <c r="BI26" s="38" t="s">
        <v>554</v>
      </c>
      <c r="BJ26" s="39" t="str">
        <f>IFERROR(__xludf.DUMMYFUNCTION("IFERROR(if(ISBLANK(BI26),"" "",GOOGLEFINANCE(BH26,""Name"")), """")"),"Novartis India Ltd")</f>
        <v>Novartis India Ltd</v>
      </c>
      <c r="BK26" s="21">
        <f>IFERROR(__xludf.DUMMYFUNCTION("IFERROR(if(ISBLANK(BI26),"" "",GOOGLEFINANCE(BH26,""price"")), """")"),1599.9)</f>
        <v>1599.9</v>
      </c>
      <c r="BL26" s="23">
        <f>IFERROR(__xludf.DUMMYFUNCTION("IFERROR(if(ISBLANK(BI26),"" "",GOOGLEFINANCE(BH26,""changepct"")), """")"),0.39)</f>
        <v>0.39</v>
      </c>
      <c r="BM26" s="12"/>
      <c r="BN26" s="33" t="s">
        <v>565</v>
      </c>
      <c r="BO26" s="38" t="s">
        <v>554</v>
      </c>
      <c r="BP26" s="39" t="str">
        <f>IFERROR(__xludf.DUMMYFUNCTION("IFERROR(if(ISBLANK(BO26),"" "",GOOGLEFINANCE(BN26,""Name"")), """")"),"TCPL Packaging Ltd")</f>
        <v>TCPL Packaging Ltd</v>
      </c>
      <c r="BQ26" s="21">
        <f>IFERROR(__xludf.DUMMYFUNCTION("IFERROR(if(ISBLANK(BO26),"" "",GOOGLEFINANCE(BN26,""price"")), """")"),4401.0)</f>
        <v>4401</v>
      </c>
      <c r="BR26" s="23">
        <f>IFERROR(__xludf.DUMMYFUNCTION("IFERROR(if(ISBLANK(BO26),"" "",GOOGLEFINANCE(BN26,""changepct"")), """")"),19.73)</f>
        <v>19.73</v>
      </c>
      <c r="BS26" s="22">
        <f>IFERROR(__xludf.DUMMYFUNCTION("IFERROR(if(ISBLANK($C26),"" "",GOOGLEFINANCE($B26,""change"")), """")"),-22.4)</f>
        <v>-22.4</v>
      </c>
      <c r="BT26" s="36"/>
      <c r="BU26" s="27" t="s">
        <v>567</v>
      </c>
      <c r="BV26" s="38" t="s">
        <v>554</v>
      </c>
      <c r="BW26" s="39" t="str">
        <f>IFERROR(__xludf.DUMMYFUNCTION("IFERROR(if(ISBLANK(BV26),"" "",GOOGLEFINANCE(BU26,""Name"")), """")"),"Ems Ltd")</f>
        <v>Ems Ltd</v>
      </c>
      <c r="BX26" s="21">
        <f>IFERROR(__xludf.DUMMYFUNCTION("IFERROR(if(ISBLANK(BV26),"" "",GOOGLEFINANCE(BU26,""price"")), """")"),381.25)</f>
        <v>381.25</v>
      </c>
      <c r="BY26" s="23">
        <f>IFERROR(__xludf.DUMMYFUNCTION("IFERROR(if(ISBLANK(BV26),"" "",GOOGLEFINANCE(BU26,""changepct"")), """")"),-3.21)</f>
        <v>-3.21</v>
      </c>
      <c r="BZ26" s="22">
        <f>IFERROR(__xludf.DUMMYFUNCTION("IFERROR(if(ISBLANK($C26),"" "",GOOGLEFINANCE($B26,""change"")), """")"),-22.4)</f>
        <v>-22.4</v>
      </c>
      <c r="CA26" s="37"/>
      <c r="CB26" s="27" t="s">
        <v>568</v>
      </c>
      <c r="CC26" s="38" t="s">
        <v>554</v>
      </c>
      <c r="CD26" s="39" t="str">
        <f>IFERROR(__xludf.DUMMYFUNCTION("IFERROR(if(ISBLANK(CC26),"" "",GOOGLEFINANCE(CB26,""Name"")), """")"),"Shalby Ltd")</f>
        <v>Shalby Ltd</v>
      </c>
      <c r="CE26" s="21">
        <f>IFERROR(__xludf.DUMMYFUNCTION("IFERROR(if(ISBLANK(CC26),"" "",GOOGLEFINANCE(CB26,""price"")), """")"),157.0)</f>
        <v>157</v>
      </c>
      <c r="CF26" s="23">
        <f>IFERROR(__xludf.DUMMYFUNCTION("IFERROR(if(ISBLANK(CC26),"" "",GOOGLEFINANCE(CB26,""changepct"")), """")"),-2.89)</f>
        <v>-2.89</v>
      </c>
      <c r="CG26" s="12"/>
      <c r="CH26" s="18" t="s">
        <v>569</v>
      </c>
      <c r="CI26" s="38" t="s">
        <v>554</v>
      </c>
      <c r="CJ26" s="39" t="str">
        <f>IFERROR(__xludf.DUMMYFUNCTION("IFERROR(if(ISBLANK(CI26),"" "",GOOGLEFINANCE(CH26,""Name"")), """")"),"Bharat Wire Ropes Ltd")</f>
        <v>Bharat Wire Ropes Ltd</v>
      </c>
      <c r="CK26" s="21">
        <f>IFERROR(__xludf.DUMMYFUNCTION("IFERROR(if(ISBLANK(CI26),"" "",GOOGLEFINANCE(CH26,""price"")), """")"),187.8)</f>
        <v>187.8</v>
      </c>
      <c r="CL26" s="23">
        <f>IFERROR(__xludf.DUMMYFUNCTION("IFERROR(if(ISBLANK(CI26),"" "",GOOGLEFINANCE(CH26,""changepct"")), """")"),-1.46)</f>
        <v>-1.46</v>
      </c>
      <c r="CM26" s="12"/>
      <c r="CN26" s="33" t="s">
        <v>570</v>
      </c>
      <c r="CO26" s="38" t="s">
        <v>554</v>
      </c>
      <c r="CP26" s="39" t="str">
        <f>IFERROR(__xludf.DUMMYFUNCTION("IFERROR(if(ISBLANK(CO26),"" "",GOOGLEFINANCE(CN26,""Name"")), """")"),"Salzer Electronics Ltd")</f>
        <v>Salzer Electronics Ltd</v>
      </c>
      <c r="CQ26" s="21">
        <f>IFERROR(__xludf.DUMMYFUNCTION("IFERROR(if(ISBLANK(CO26),"" "",GOOGLEFINANCE(CN26,""price"")), """")"),569.85)</f>
        <v>569.85</v>
      </c>
      <c r="CR26" s="23">
        <f>IFERROR(__xludf.DUMMYFUNCTION("IFERROR(if(ISBLANK(CO26),"" "",GOOGLEFINANCE(CN26,""changepct"")), """")"),-0.01)</f>
        <v>-0.01</v>
      </c>
      <c r="CS26" s="45"/>
      <c r="CT26" s="33" t="s">
        <v>571</v>
      </c>
      <c r="CU26" s="38" t="s">
        <v>554</v>
      </c>
      <c r="CV26" s="39" t="str">
        <f>IFERROR(__xludf.DUMMYFUNCTION("IFERROR(if(ISBLANK(CU26),"" "",GOOGLEFINANCE(CT26,""Name"")), """")"),"OCCL Ltd")</f>
        <v>OCCL Ltd</v>
      </c>
      <c r="CW26" s="21">
        <f>IFERROR(__xludf.DUMMYFUNCTION("IFERROR(if(ISBLANK(CU26),"" "",GOOGLEFINANCE(CT26,""price"")), """")"),150.8)</f>
        <v>150.8</v>
      </c>
      <c r="CX26" s="23">
        <f>IFERROR(__xludf.DUMMYFUNCTION("IFERROR(if(ISBLANK(CU26),"" "",GOOGLEFINANCE(CT26,""changepct"")), """")"),-3.26)</f>
        <v>-3.26</v>
      </c>
      <c r="CY26" s="17"/>
      <c r="CZ26" s="33" t="s">
        <v>572</v>
      </c>
      <c r="DA26" s="38" t="s">
        <v>554</v>
      </c>
      <c r="DB26" s="39" t="str">
        <f>IFERROR(__xludf.DUMMYFUNCTION("IFERROR(if(ISBLANK(DA26),"" "",GOOGLEFINANCE(CZ26,""Name"")), """")"),"Cheviot Co Ltd")</f>
        <v>Cheviot Co Ltd</v>
      </c>
      <c r="DC26" s="21">
        <f>IFERROR(__xludf.DUMMYFUNCTION("IFERROR(if(ISBLANK(DA26),"" "",GOOGLEFINANCE(CZ26,""price"")), """")"),1152.0)</f>
        <v>1152</v>
      </c>
      <c r="DD26" s="23">
        <f>IFERROR(__xludf.DUMMYFUNCTION("IFERROR(if(ISBLANK(DA26),"" "",GOOGLEFINANCE(CZ26,""changepct"")), """")"),-1.41)</f>
        <v>-1.41</v>
      </c>
      <c r="DE26" s="45"/>
      <c r="DF26" s="12"/>
    </row>
    <row r="27" ht="11.25" customHeight="1">
      <c r="A27" s="17"/>
      <c r="B27" s="18" t="s">
        <v>573</v>
      </c>
      <c r="C27" s="38" t="s">
        <v>574</v>
      </c>
      <c r="D27" s="39" t="str">
        <f>IFERROR(__xludf.DUMMYFUNCTION("IFERROR(if(ISBLANK(C27),"" "",GOOGLEFINANCE(B27,""Name"")), """")"),"Bajaj Auto Ltd")</f>
        <v>Bajaj Auto Ltd</v>
      </c>
      <c r="E27" s="21">
        <f>IFERROR(__xludf.DUMMYFUNCTION("IFERROR(if(ISBLANK(C27),"" "",GOOGLEFINANCE(B27,""price"")), """")"),11731.0)</f>
        <v>11731</v>
      </c>
      <c r="F27" s="22">
        <f>IFERROR(__xludf.DUMMYFUNCTION("IFERROR(if(ISBLANK(C27),"" "",GOOGLEFINANCE(B27,""changepct"")), """")"),0.12)</f>
        <v>0.12</v>
      </c>
      <c r="G27" s="23">
        <f>IFERROR(__xludf.DUMMYFUNCTION("IFERROR(if(ISBLANK($C27),"" "",GOOGLEFINANCE($B27,""change"")), """")"),14.0)</f>
        <v>14</v>
      </c>
      <c r="H27" s="24"/>
      <c r="I27" s="25" t="s">
        <v>575</v>
      </c>
      <c r="J27" s="38" t="s">
        <v>574</v>
      </c>
      <c r="K27" s="39" t="str">
        <f>IFERROR(__xludf.DUMMYFUNCTION("IFERROR(if(ISBLANK(J27),"" "",GOOGLEFINANCE(I27,""Name"")), """")"),"Dr Reddy's Laboratories Ltd")</f>
        <v>Dr Reddy's Laboratories Ltd</v>
      </c>
      <c r="L27" s="21">
        <f>IFERROR(__xludf.DUMMYFUNCTION("IFERROR(if(ISBLANK(J27),"" "",GOOGLEFINANCE(I27,""price"")), """")"),1195.0)</f>
        <v>1195</v>
      </c>
      <c r="M27" s="22">
        <f>IFERROR(__xludf.DUMMYFUNCTION("IFERROR(if(ISBLANK(J27),"" "",GOOGLEFINANCE(I27,""changepct"")), """")"),-0.83)</f>
        <v>-0.83</v>
      </c>
      <c r="N27" s="23">
        <f>IFERROR(__xludf.DUMMYFUNCTION("IFERROR(if(ISBLANK($C27),"" "",GOOGLEFINANCE($B27,""change"")), """")"),14.0)</f>
        <v>14</v>
      </c>
      <c r="O27" s="26"/>
      <c r="P27" s="27" t="s">
        <v>577</v>
      </c>
      <c r="Q27" s="38" t="s">
        <v>574</v>
      </c>
      <c r="R27" s="39" t="str">
        <f>IFERROR(__xludf.DUMMYFUNCTION("IFERROR(if(ISBLANK(Q27),"" "",GOOGLEFINANCE(P27,""Name"")), """")"),"Ajanta Pharma Ltd")</f>
        <v>Ajanta Pharma Ltd</v>
      </c>
      <c r="S27" s="21">
        <f>IFERROR(__xludf.DUMMYFUNCTION("IFERROR(if(ISBLANK(Q27),"" "",GOOGLEFINANCE(P27,""price"")), """")"),3545.6)</f>
        <v>3545.6</v>
      </c>
      <c r="T27" s="22">
        <f>IFERROR(__xludf.DUMMYFUNCTION("IFERROR(if(ISBLANK(Q27),"" "",GOOGLEFINANCE(P27,""changepct"")), """")"),1.1)</f>
        <v>1.1</v>
      </c>
      <c r="U27" s="28"/>
      <c r="V27" s="18" t="s">
        <v>578</v>
      </c>
      <c r="W27" s="38" t="s">
        <v>574</v>
      </c>
      <c r="X27" s="39" t="str">
        <f>IFERROR(__xludf.DUMMYFUNCTION("IFERROR(if(ISBLANK(W27),"" "",GOOGLEFINANCE(V27,""Name"")), """")"),"Neuland Laboratories Ltd")</f>
        <v>Neuland Laboratories Ltd</v>
      </c>
      <c r="Y27" s="21">
        <f>IFERROR(__xludf.DUMMYFUNCTION("IFERROR(if(ISBLANK(W27),"" "",GOOGLEFINANCE(V27,""price"")), """")"),22507.0)</f>
        <v>22507</v>
      </c>
      <c r="Z27" s="23">
        <f>IFERROR(__xludf.DUMMYFUNCTION("IFERROR(if(ISBLANK(W27),"" "",GOOGLEFINANCE(V27,""changepct"")), """")"),-1.95)</f>
        <v>-1.95</v>
      </c>
      <c r="AA27" s="12"/>
      <c r="AB27" s="18" t="s">
        <v>579</v>
      </c>
      <c r="AC27" s="38" t="s">
        <v>574</v>
      </c>
      <c r="AD27" s="39" t="str">
        <f>IFERROR(__xludf.DUMMYFUNCTION("IFERROR(if(ISBLANK(AC27),"" "",GOOGLEFINANCE(AB27,""Name"")), """")"),"Niva Bupa Health Insurance Company Ltd")</f>
        <v>Niva Bupa Health Insurance Company Ltd</v>
      </c>
      <c r="AE27" s="21">
        <f>IFERROR(__xludf.DUMMYFUNCTION("IFERROR(if(ISBLANK(AC27),"" "",GOOGLEFINANCE(AB27,""price"")), """")"),83.5)</f>
        <v>83.5</v>
      </c>
      <c r="AF27" s="23">
        <f>IFERROR(__xludf.DUMMYFUNCTION("IFERROR(if(ISBLANK(AC27),"" "",GOOGLEFINANCE(AB27,""changepct"")), """")"),-2.3)</f>
        <v>-2.3</v>
      </c>
      <c r="AG27" s="45"/>
      <c r="AH27" s="27" t="s">
        <v>580</v>
      </c>
      <c r="AI27" s="38" t="s">
        <v>574</v>
      </c>
      <c r="AJ27" s="39" t="str">
        <f>IFERROR(__xludf.DUMMYFUNCTION("IFERROR(if(ISBLANK(AI27),"" "",GOOGLEFINANCE(AH27,""Name"")), """")"),"Ircon International Ltd")</f>
        <v>Ircon International Ltd</v>
      </c>
      <c r="AK27" s="21">
        <f>IFERROR(__xludf.DUMMYFUNCTION("IFERROR(if(ISBLANK(AI27),"" "",GOOGLEFINANCE(AH27,""price"")), """")"),126.45)</f>
        <v>126.45</v>
      </c>
      <c r="AL27" s="23">
        <f>IFERROR(__xludf.DUMMYFUNCTION("IFERROR(if(ISBLANK(AI27),"" "",GOOGLEFINANCE(AH27,""changepct"")), """")"),-1.32)</f>
        <v>-1.32</v>
      </c>
      <c r="AM27" s="44"/>
      <c r="AN27" s="31" t="s">
        <v>200</v>
      </c>
      <c r="AO27" s="32" t="str">
        <f>IFERROR(__xludf.DUMMYFUNCTION("IFERROR(if(ISBLANK(AN27),"" "",GOOGLEFINANCE(AM27,""Name"")), """")"),"")</f>
        <v/>
      </c>
      <c r="AP27" s="33" t="s">
        <v>581</v>
      </c>
      <c r="AQ27" s="38" t="s">
        <v>574</v>
      </c>
      <c r="AR27" s="39" t="str">
        <f>IFERROR(__xludf.DUMMYFUNCTION("IFERROR(if(ISBLANK(AQ27),"" "",GOOGLEFINANCE(AP27,""Name"")), """")"),"Tips Music Ltd")</f>
        <v>Tips Music Ltd</v>
      </c>
      <c r="AS27" s="21">
        <f>IFERROR(__xludf.DUMMYFUNCTION("IFERROR(if(ISBLANK(AQ27),"" "",GOOGLEFINANCE(AP27,""price"")), """")"),674.6)</f>
        <v>674.6</v>
      </c>
      <c r="AT27" s="23">
        <f>IFERROR(__xludf.DUMMYFUNCTION("IFERROR(if(ISBLANK(AQ27),"" "",GOOGLEFINANCE(AP27,""changepct"")), """")"),0.82)</f>
        <v>0.82</v>
      </c>
      <c r="AU27" s="45"/>
      <c r="AV27" s="34" t="s">
        <v>582</v>
      </c>
      <c r="AW27" s="38" t="s">
        <v>574</v>
      </c>
      <c r="AX27" s="39" t="str">
        <f>IFERROR(__xludf.DUMMYFUNCTION("IFERROR(if(ISBLANK(AW27),"" "",GOOGLEFINANCE(AV27,""Name"")), """")"),"Gujarat State Fertilizers &amp; Chemicls Ltd")</f>
        <v>Gujarat State Fertilizers &amp; Chemicls Ltd</v>
      </c>
      <c r="AY27" s="21">
        <f>IFERROR(__xludf.DUMMYFUNCTION("IFERROR(if(ISBLANK(AW27),"" "",GOOGLEFINANCE(AV27,""price"")), """")"),160.41)</f>
        <v>160.41</v>
      </c>
      <c r="AZ27" s="23">
        <f>IFERROR(__xludf.DUMMYFUNCTION("IFERROR(if(ISBLANK(AW27),"" "",GOOGLEFINANCE(AV27,""changepct"")), """")"),-0.58)</f>
        <v>-0.58</v>
      </c>
      <c r="BA27" s="12"/>
      <c r="BB27" s="33" t="s">
        <v>583</v>
      </c>
      <c r="BC27" s="38" t="s">
        <v>574</v>
      </c>
      <c r="BD27" s="39" t="str">
        <f>IFERROR(__xludf.DUMMYFUNCTION("IFERROR(if(ISBLANK(BC27),"" "",GOOGLEFINANCE(BB27,""Name"")), """")"),"Restaurant Brands Asia Ltd")</f>
        <v>Restaurant Brands Asia Ltd</v>
      </c>
      <c r="BE27" s="21">
        <f>IFERROR(__xludf.DUMMYFUNCTION("IFERROR(if(ISBLANK(BC27),"" "",GOOGLEFINANCE(BB27,""price"")), """")"),93.64)</f>
        <v>93.64</v>
      </c>
      <c r="BF27" s="23">
        <f>IFERROR(__xludf.DUMMYFUNCTION("IFERROR(if(ISBLANK(BC27),"" "",GOOGLEFINANCE(BB27,""changepct"")), """")"),1.07)</f>
        <v>1.07</v>
      </c>
      <c r="BG27" s="12"/>
      <c r="BH27" s="35" t="s">
        <v>584</v>
      </c>
      <c r="BI27" s="38" t="s">
        <v>574</v>
      </c>
      <c r="BJ27" s="39" t="str">
        <f>IFERROR(__xludf.DUMMYFUNCTION("IFERROR(if(ISBLANK(BI27),"" "",GOOGLEFINANCE(BH27,""Name"")), """")"),"Bosch Home Comfort India Ltd")</f>
        <v>Bosch Home Comfort India Ltd</v>
      </c>
      <c r="BK27" s="21">
        <f>IFERROR(__xludf.DUMMYFUNCTION("IFERROR(if(ISBLANK(BI27),"" "",GOOGLEFINANCE(BH27,""price"")), """")"),1702.5)</f>
        <v>1702.5</v>
      </c>
      <c r="BL27" s="23">
        <f>IFERROR(__xludf.DUMMYFUNCTION("IFERROR(if(ISBLANK(BI27),"" "",GOOGLEFINANCE(BH27,""changepct"")), """")"),0.34)</f>
        <v>0.34</v>
      </c>
      <c r="BM27" s="12"/>
      <c r="BN27" s="33" t="s">
        <v>585</v>
      </c>
      <c r="BO27" s="38" t="s">
        <v>574</v>
      </c>
      <c r="BP27" s="39" t="str">
        <f>IFERROR(__xludf.DUMMYFUNCTION("IFERROR(if(ISBLANK(BO27),"" "",GOOGLEFINANCE(BN27,""Name"")), """")"),"Maithan Alloys Ltd")</f>
        <v>Maithan Alloys Ltd</v>
      </c>
      <c r="BQ27" s="21">
        <f>IFERROR(__xludf.DUMMYFUNCTION("IFERROR(if(ISBLANK(BO27),"" "",GOOGLEFINANCE(BN27,""price"")), """")"),992.6)</f>
        <v>992.6</v>
      </c>
      <c r="BR27" s="23">
        <f>IFERROR(__xludf.DUMMYFUNCTION("IFERROR(if(ISBLANK(BO27),"" "",GOOGLEFINANCE(BN27,""changepct"")), """")"),-1.29)</f>
        <v>-1.29</v>
      </c>
      <c r="BS27" s="22">
        <f>IFERROR(__xludf.DUMMYFUNCTION("IFERROR(if(ISBLANK($C27),"" "",GOOGLEFINANCE($B27,""change"")), """")"),14.0)</f>
        <v>14</v>
      </c>
      <c r="BT27" s="36"/>
      <c r="BU27" s="27" t="s">
        <v>587</v>
      </c>
      <c r="BV27" s="38" t="s">
        <v>574</v>
      </c>
      <c r="BW27" s="39" t="str">
        <f>IFERROR(__xludf.DUMMYFUNCTION("IFERROR(if(ISBLANK(BV27),"" "",GOOGLEFINANCE(BU27,""Name"")), """")"),"Pix Transmissions Ltd")</f>
        <v>Pix Transmissions Ltd</v>
      </c>
      <c r="BX27" s="21">
        <f>IFERROR(__xludf.DUMMYFUNCTION("IFERROR(if(ISBLANK(BV27),"" "",GOOGLEFINANCE(BU27,""price"")), """")"),1945.2)</f>
        <v>1945.2</v>
      </c>
      <c r="BY27" s="23">
        <f>IFERROR(__xludf.DUMMYFUNCTION("IFERROR(if(ISBLANK(BV27),"" "",GOOGLEFINANCE(BU27,""changepct"")), """")"),-1.91)</f>
        <v>-1.91</v>
      </c>
      <c r="BZ27" s="22">
        <f>IFERROR(__xludf.DUMMYFUNCTION("IFERROR(if(ISBLANK($C27),"" "",GOOGLEFINANCE($B27,""change"")), """")"),14.0)</f>
        <v>14</v>
      </c>
      <c r="CA27" s="37"/>
      <c r="CB27" s="27" t="s">
        <v>588</v>
      </c>
      <c r="CC27" s="38" t="s">
        <v>574</v>
      </c>
      <c r="CD27" s="39" t="str">
        <f>IFERROR(__xludf.DUMMYFUNCTION("IFERROR(if(ISBLANK(CC27),"" "",GOOGLEFINANCE(CB27,""Name"")), """")"),"Jay Bharat Maruti Ltd")</f>
        <v>Jay Bharat Maruti Ltd</v>
      </c>
      <c r="CE27" s="21">
        <f>IFERROR(__xludf.DUMMYFUNCTION("IFERROR(if(ISBLANK(CC27),"" "",GOOGLEFINANCE(CB27,""price"")), """")"),132.7)</f>
        <v>132.7</v>
      </c>
      <c r="CF27" s="23">
        <f>IFERROR(__xludf.DUMMYFUNCTION("IFERROR(if(ISBLANK(CC27),"" "",GOOGLEFINANCE(CB27,""changepct"")), """")"),4.36)</f>
        <v>4.36</v>
      </c>
      <c r="CG27" s="12"/>
      <c r="CH27" s="18" t="s">
        <v>589</v>
      </c>
      <c r="CI27" s="38" t="s">
        <v>574</v>
      </c>
      <c r="CJ27" s="39" t="str">
        <f>IFERROR(__xludf.DUMMYFUNCTION("IFERROR(if(ISBLANK(CI27),"" "",GOOGLEFINANCE(CH27,""Name"")), """")"),"Pashupati Cotspin Ltd")</f>
        <v>Pashupati Cotspin Ltd</v>
      </c>
      <c r="CK27" s="21">
        <f>IFERROR(__xludf.DUMMYFUNCTION("IFERROR(if(ISBLANK(CI27),"" "",GOOGLEFINANCE(CH27,""price"")), """")"),84.1)</f>
        <v>84.1</v>
      </c>
      <c r="CL27" s="23">
        <f>IFERROR(__xludf.DUMMYFUNCTION("IFERROR(if(ISBLANK(CI27),"" "",GOOGLEFINANCE(CH27,""changepct"")), """")"),-0.06)</f>
        <v>-0.06</v>
      </c>
      <c r="CM27" s="12"/>
      <c r="CN27" s="33" t="s">
        <v>590</v>
      </c>
      <c r="CO27" s="38" t="s">
        <v>574</v>
      </c>
      <c r="CP27" s="39" t="str">
        <f>IFERROR(__xludf.DUMMYFUNCTION("IFERROR(if(ISBLANK(CO27),"" "",GOOGLEFINANCE(CN27,""Name"")), """")"),"Laxmi Goldorna House Ltd")</f>
        <v>Laxmi Goldorna House Ltd</v>
      </c>
      <c r="CQ27" s="21">
        <f>IFERROR(__xludf.DUMMYFUNCTION("IFERROR(if(ISBLANK(CO27),"" "",GOOGLEFINANCE(CN27,""price"")), """")"),201.98)</f>
        <v>201.98</v>
      </c>
      <c r="CR27" s="23">
        <f>IFERROR(__xludf.DUMMYFUNCTION("IFERROR(if(ISBLANK(CO27),"" "",GOOGLEFINANCE(CN27,""changepct"")), """")"),3.55)</f>
        <v>3.55</v>
      </c>
      <c r="CS27" s="45"/>
      <c r="CT27" s="33" t="s">
        <v>591</v>
      </c>
      <c r="CU27" s="38" t="s">
        <v>574</v>
      </c>
      <c r="CV27" s="39" t="str">
        <f>IFERROR(__xludf.DUMMYFUNCTION("IFERROR(if(ISBLANK(CU27),"" "",GOOGLEFINANCE(CT27,""Name"")), """")"),"RITCO LOGISTICS Ltd")</f>
        <v>RITCO LOGISTICS Ltd</v>
      </c>
      <c r="CW27" s="21">
        <f>IFERROR(__xludf.DUMMYFUNCTION("IFERROR(if(ISBLANK(CU27),"" "",GOOGLEFINANCE(CT27,""price"")), """")"),301.35)</f>
        <v>301.35</v>
      </c>
      <c r="CX27" s="23">
        <f>IFERROR(__xludf.DUMMYFUNCTION("IFERROR(if(ISBLANK(CU27),"" "",GOOGLEFINANCE(CT27,""changepct"")), """")"),-0.31)</f>
        <v>-0.31</v>
      </c>
      <c r="CY27" s="17"/>
      <c r="CZ27" s="33" t="s">
        <v>592</v>
      </c>
      <c r="DA27" s="38" t="s">
        <v>574</v>
      </c>
      <c r="DB27" s="39" t="str">
        <f>IFERROR(__xludf.DUMMYFUNCTION("IFERROR(if(ISBLANK(DA27),"" "",GOOGLEFINANCE(CZ27,""Name"")), """")"),"Haldyn Glass Ltd")</f>
        <v>Haldyn Glass Ltd</v>
      </c>
      <c r="DC27" s="21">
        <f>IFERROR(__xludf.DUMMYFUNCTION("IFERROR(if(ISBLANK(DA27),"" "",GOOGLEFINANCE(CZ27,""price"")), """")"),125.0)</f>
        <v>125</v>
      </c>
      <c r="DD27" s="23">
        <f>IFERROR(__xludf.DUMMYFUNCTION("IFERROR(if(ISBLANK(DA27),"" "",GOOGLEFINANCE(CZ27,""changepct"")), """")"),-3.45)</f>
        <v>-3.45</v>
      </c>
      <c r="DE27" s="45"/>
      <c r="DF27" s="12"/>
    </row>
    <row r="28" ht="11.25" customHeight="1">
      <c r="A28" s="17"/>
      <c r="B28" s="18" t="s">
        <v>593</v>
      </c>
      <c r="C28" s="38" t="s">
        <v>594</v>
      </c>
      <c r="D28" s="39" t="str">
        <f>IFERROR(__xludf.DUMMYFUNCTION("IFERROR(if(ISBLANK(C28),"" "",GOOGLEFINANCE(B28,""Name"")), """")"),"Hindustan Aeronautics Ltd")</f>
        <v>Hindustan Aeronautics Ltd</v>
      </c>
      <c r="E28" s="21">
        <f>IFERROR(__xludf.DUMMYFUNCTION("IFERROR(if(ISBLANK(C28),"" "",GOOGLEFINANCE(B28,""price"")), """")"),4990.0)</f>
        <v>4990</v>
      </c>
      <c r="F28" s="22">
        <f>IFERROR(__xludf.DUMMYFUNCTION("IFERROR(if(ISBLANK(C28),"" "",GOOGLEFINANCE(B28,""changepct"")), """")"),1.65)</f>
        <v>1.65</v>
      </c>
      <c r="G28" s="23">
        <f>IFERROR(__xludf.DUMMYFUNCTION("IFERROR(if(ISBLANK($C28),"" "",GOOGLEFINANCE($B28,""change"")), """")"),81.0)</f>
        <v>81</v>
      </c>
      <c r="H28" s="24"/>
      <c r="I28" s="25" t="s">
        <v>596</v>
      </c>
      <c r="J28" s="38" t="s">
        <v>594</v>
      </c>
      <c r="K28" s="39" t="str">
        <f>IFERROR(__xludf.DUMMYFUNCTION("IFERROR(if(ISBLANK(J28),"" "",GOOGLEFINANCE(I28,""Name"")), """")"),"Fsn E-Commerce Ventures Ltd")</f>
        <v>Fsn E-Commerce Ventures Ltd</v>
      </c>
      <c r="L28" s="21">
        <f>IFERROR(__xludf.DUMMYFUNCTION("IFERROR(if(ISBLANK(J28),"" "",GOOGLEFINANCE(I28,""price"")), """")"),326.0)</f>
        <v>326</v>
      </c>
      <c r="M28" s="22">
        <f>IFERROR(__xludf.DUMMYFUNCTION("IFERROR(if(ISBLANK(J28),"" "",GOOGLEFINANCE(I28,""changepct"")), """")"),0.31)</f>
        <v>0.31</v>
      </c>
      <c r="N28" s="23">
        <f>IFERROR(__xludf.DUMMYFUNCTION("IFERROR(if(ISBLANK($C28),"" "",GOOGLEFINANCE($B28,""change"")), """")"),81.0)</f>
        <v>81</v>
      </c>
      <c r="O28" s="26"/>
      <c r="P28" s="27" t="s">
        <v>597</v>
      </c>
      <c r="Q28" s="38" t="s">
        <v>594</v>
      </c>
      <c r="R28" s="39" t="str">
        <f>IFERROR(__xludf.DUMMYFUNCTION("IFERROR(if(ISBLANK(Q28),"" "",GOOGLEFINANCE(P28,""Name"")), """")"),"AIA Engineering Ltd")</f>
        <v>AIA Engineering Ltd</v>
      </c>
      <c r="S28" s="21">
        <f>IFERROR(__xludf.DUMMYFUNCTION("IFERROR(if(ISBLANK(Q28),"" "",GOOGLEFINANCE(P28,""price"")), """")"),4565.0)</f>
        <v>4565</v>
      </c>
      <c r="T28" s="22">
        <f>IFERROR(__xludf.DUMMYFUNCTION("IFERROR(if(ISBLANK(Q28),"" "",GOOGLEFINANCE(P28,""changepct"")), """")"),-4.53)</f>
        <v>-4.53</v>
      </c>
      <c r="U28" s="28"/>
      <c r="V28" s="18" t="s">
        <v>598</v>
      </c>
      <c r="W28" s="38" t="s">
        <v>594</v>
      </c>
      <c r="X28" s="39" t="str">
        <f>IFERROR(__xludf.DUMMYFUNCTION("IFERROR(if(ISBLANK(W28),"" "",GOOGLEFINANCE(V28,""Name"")), """")"),"Irb Infrastructure Developers Ltd")</f>
        <v>Irb Infrastructure Developers Ltd</v>
      </c>
      <c r="Y28" s="21">
        <f>IFERROR(__xludf.DUMMYFUNCTION("IFERROR(if(ISBLANK(W28),"" "",GOOGLEFINANCE(V28,""price"")), """")"),19.34)</f>
        <v>19.34</v>
      </c>
      <c r="Z28" s="23">
        <f>IFERROR(__xludf.DUMMYFUNCTION("IFERROR(if(ISBLANK(W28),"" "",GOOGLEFINANCE(V28,""changepct"")), """")"),-1.12)</f>
        <v>-1.12</v>
      </c>
      <c r="AA28" s="12"/>
      <c r="AB28" s="18" t="s">
        <v>599</v>
      </c>
      <c r="AC28" s="38" t="s">
        <v>594</v>
      </c>
      <c r="AD28" s="39" t="str">
        <f>IFERROR(__xludf.DUMMYFUNCTION("IFERROR(if(ISBLANK(AC28),"" "",GOOGLEFINANCE(AB28,""Name"")), """")"),"Bikaji Foods International Ltd")</f>
        <v>Bikaji Foods International Ltd</v>
      </c>
      <c r="AE28" s="21">
        <f>IFERROR(__xludf.DUMMYFUNCTION("IFERROR(if(ISBLANK(AC28),"" "",GOOGLEFINANCE(AB28,""price"")), """")"),609.0)</f>
        <v>609</v>
      </c>
      <c r="AF28" s="23">
        <f>IFERROR(__xludf.DUMMYFUNCTION("IFERROR(if(ISBLANK(AC28),"" "",GOOGLEFINANCE(AB28,""changepct"")), """")"),-1.75)</f>
        <v>-1.75</v>
      </c>
      <c r="AG28" s="45"/>
      <c r="AH28" s="27" t="s">
        <v>601</v>
      </c>
      <c r="AI28" s="38" t="s">
        <v>594</v>
      </c>
      <c r="AJ28" s="39" t="str">
        <f>IFERROR(__xludf.DUMMYFUNCTION("IFERROR(if(ISBLANK(AI28),"" "",GOOGLEFINANCE(AH28,""Name"")), """")"),"Atlanta Electricals Ltd")</f>
        <v>Atlanta Electricals Ltd</v>
      </c>
      <c r="AK28" s="21">
        <f>IFERROR(__xludf.DUMMYFUNCTION("IFERROR(if(ISBLANK(AI28),"" "",GOOGLEFINANCE(AH28,""price"")), """")"),1649.8)</f>
        <v>1649.8</v>
      </c>
      <c r="AL28" s="23">
        <f>IFERROR(__xludf.DUMMYFUNCTION("IFERROR(if(ISBLANK(AI28),"" "",GOOGLEFINANCE(AH28,""changepct"")), """")"),4.0)</f>
        <v>4</v>
      </c>
      <c r="AM28" s="44"/>
      <c r="AN28" s="31" t="s">
        <v>200</v>
      </c>
      <c r="AO28" s="32" t="str">
        <f>IFERROR(__xludf.DUMMYFUNCTION("IFERROR(if(ISBLANK(AN28),"" "",GOOGLEFINANCE(AM28,""Name"")), """")"),"")</f>
        <v/>
      </c>
      <c r="AP28" s="33" t="s">
        <v>602</v>
      </c>
      <c r="AQ28" s="38" t="s">
        <v>594</v>
      </c>
      <c r="AR28" s="39" t="str">
        <f>IFERROR(__xludf.DUMMYFUNCTION("IFERROR(if(ISBLANK(AQ28),"" "",GOOGLEFINANCE(AP28,""Name"")), """")"),"Embassy Developments Ltd")</f>
        <v>Embassy Developments Ltd</v>
      </c>
      <c r="AS28" s="21">
        <f>IFERROR(__xludf.DUMMYFUNCTION("IFERROR(if(ISBLANK(AQ28),"" "",GOOGLEFINANCE(AP28,""price"")), """")"),62.0)</f>
        <v>62</v>
      </c>
      <c r="AT28" s="23">
        <f>IFERROR(__xludf.DUMMYFUNCTION("IFERROR(if(ISBLANK(AQ28),"" "",GOOGLEFINANCE(AP28,""changepct"")), """")"),-4.2)</f>
        <v>-4.2</v>
      </c>
      <c r="AU28" s="45"/>
      <c r="AV28" s="34" t="s">
        <v>603</v>
      </c>
      <c r="AW28" s="38" t="s">
        <v>594</v>
      </c>
      <c r="AX28" s="39" t="str">
        <f>IFERROR(__xludf.DUMMYFUNCTION("IFERROR(if(ISBLANK(AW28),"" "",GOOGLEFINANCE(AV28,""Name"")), """")"),"PNC Infratech Ltd")</f>
        <v>PNC Infratech Ltd</v>
      </c>
      <c r="AY28" s="21">
        <f>IFERROR(__xludf.DUMMYFUNCTION("IFERROR(if(ISBLANK(AW28),"" "",GOOGLEFINANCE(AV28,""price"")), """")"),223.01)</f>
        <v>223.01</v>
      </c>
      <c r="AZ28" s="23">
        <f>IFERROR(__xludf.DUMMYFUNCTION("IFERROR(if(ISBLANK(AW28),"" "",GOOGLEFINANCE(AV28,""changepct"")), """")"),0.27)</f>
        <v>0.27</v>
      </c>
      <c r="BA28" s="12"/>
      <c r="BB28" s="33" t="s">
        <v>604</v>
      </c>
      <c r="BC28" s="38" t="s">
        <v>594</v>
      </c>
      <c r="BD28" s="39" t="str">
        <f>IFERROR(__xludf.DUMMYFUNCTION("IFERROR(if(ISBLANK(BC28),"" "",GOOGLEFINANCE(BB28,""Name"")), """")"),"ICRA Ltd")</f>
        <v>ICRA Ltd</v>
      </c>
      <c r="BE28" s="21">
        <f>IFERROR(__xludf.DUMMYFUNCTION("IFERROR(if(ISBLANK(BC28),"" "",GOOGLEFINANCE(BB28,""price"")), """")"),5147.0)</f>
        <v>5147</v>
      </c>
      <c r="BF28" s="23">
        <f>IFERROR(__xludf.DUMMYFUNCTION("IFERROR(if(ISBLANK(BC28),"" "",GOOGLEFINANCE(BB28,""changepct"")), """")"),1.53)</f>
        <v>1.53</v>
      </c>
      <c r="BG28" s="12"/>
      <c r="BH28" s="35" t="s">
        <v>605</v>
      </c>
      <c r="BI28" s="38" t="s">
        <v>594</v>
      </c>
      <c r="BJ28" s="39" t="str">
        <f>IFERROR(__xludf.DUMMYFUNCTION("IFERROR(if(ISBLANK(BI28),"" "",GOOGLEFINANCE(BH28,""Name"")), """")"),"Sandhar Technologies Ltd")</f>
        <v>Sandhar Technologies Ltd</v>
      </c>
      <c r="BK28" s="21">
        <f>IFERROR(__xludf.DUMMYFUNCTION("IFERROR(if(ISBLANK(BI28),"" "",GOOGLEFINANCE(BH28,""price"")), """")"),627.0)</f>
        <v>627</v>
      </c>
      <c r="BL28" s="23">
        <f>IFERROR(__xludf.DUMMYFUNCTION("IFERROR(if(ISBLANK(BI28),"" "",GOOGLEFINANCE(BH28,""changepct"")), """")"),0.81)</f>
        <v>0.81</v>
      </c>
      <c r="BM28" s="12"/>
      <c r="BN28" s="33" t="s">
        <v>606</v>
      </c>
      <c r="BO28" s="38" t="s">
        <v>594</v>
      </c>
      <c r="BP28" s="39" t="str">
        <f>IFERROR(__xludf.DUMMYFUNCTION("IFERROR(if(ISBLANK(BO28),"" "",GOOGLEFINANCE(BN28,""Name"")), """")"),"Bharat Bijlee Ltd")</f>
        <v>Bharat Bijlee Ltd</v>
      </c>
      <c r="BQ28" s="21">
        <f>IFERROR(__xludf.DUMMYFUNCTION("IFERROR(if(ISBLANK(BO28),"" "",GOOGLEFINANCE(BN28,""price"")), """")"),2301.7)</f>
        <v>2301.7</v>
      </c>
      <c r="BR28" s="23">
        <f>IFERROR(__xludf.DUMMYFUNCTION("IFERROR(if(ISBLANK(BO28),"" "",GOOGLEFINANCE(BN28,""changepct"")), """")"),-0.98)</f>
        <v>-0.98</v>
      </c>
      <c r="BS28" s="22">
        <f>IFERROR(__xludf.DUMMYFUNCTION("IFERROR(if(ISBLANK($C28),"" "",GOOGLEFINANCE($B28,""change"")), """")"),81.0)</f>
        <v>81</v>
      </c>
      <c r="BT28" s="36"/>
      <c r="BU28" s="27" t="s">
        <v>608</v>
      </c>
      <c r="BV28" s="38" t="s">
        <v>594</v>
      </c>
      <c r="BW28" s="39" t="str">
        <f>IFERROR(__xludf.DUMMYFUNCTION("IFERROR(if(ISBLANK(BV28),"" "",GOOGLEFINANCE(BU28,""Name"")), """")"),"S H Kelkar And Company Ltd")</f>
        <v>S H Kelkar And Company Ltd</v>
      </c>
      <c r="BX28" s="21">
        <f>IFERROR(__xludf.DUMMYFUNCTION("IFERROR(if(ISBLANK(BV28),"" "",GOOGLEFINANCE(BU28,""price"")), """")"),170.93)</f>
        <v>170.93</v>
      </c>
      <c r="BY28" s="23">
        <f>IFERROR(__xludf.DUMMYFUNCTION("IFERROR(if(ISBLANK(BV28),"" "",GOOGLEFINANCE(BU28,""changepct"")), """")"),-1.02)</f>
        <v>-1.02</v>
      </c>
      <c r="BZ28" s="22">
        <f>IFERROR(__xludf.DUMMYFUNCTION("IFERROR(if(ISBLANK($C28),"" "",GOOGLEFINANCE($B28,""change"")), """")"),81.0)</f>
        <v>81</v>
      </c>
      <c r="CA28" s="37"/>
      <c r="CB28" s="27" t="s">
        <v>609</v>
      </c>
      <c r="CC28" s="38" t="s">
        <v>594</v>
      </c>
      <c r="CD28" s="39" t="str">
        <f>IFERROR(__xludf.DUMMYFUNCTION("IFERROR(if(ISBLANK(CC28),"" "",GOOGLEFINANCE(CB28,""Name"")), """")"),"Studds Accessories Ltd")</f>
        <v>Studds Accessories Ltd</v>
      </c>
      <c r="CE28" s="21">
        <f>IFERROR(__xludf.DUMMYFUNCTION("IFERROR(if(ISBLANK(CC28),"" "",GOOGLEFINANCE(CB28,""price"")), """")"),420.2)</f>
        <v>420.2</v>
      </c>
      <c r="CF28" s="23">
        <f>IFERROR(__xludf.DUMMYFUNCTION("IFERROR(if(ISBLANK(CC28),"" "",GOOGLEFINANCE(CB28,""changepct"")), """")"),-0.28)</f>
        <v>-0.28</v>
      </c>
      <c r="CG28" s="12"/>
      <c r="CH28" s="18" t="s">
        <v>610</v>
      </c>
      <c r="CI28" s="38" t="s">
        <v>594</v>
      </c>
      <c r="CJ28" s="39" t="str">
        <f>IFERROR(__xludf.DUMMYFUNCTION("IFERROR(if(ISBLANK(CI28),"" "",GOOGLEFINANCE(CH28,""Name"")), """")"),"Saraswati Commercial (india) Ltd")</f>
        <v>Saraswati Commercial (india) Ltd</v>
      </c>
      <c r="CK28" s="21">
        <f>IFERROR(__xludf.DUMMYFUNCTION("IFERROR(if(ISBLANK(CI28),"" "",GOOGLEFINANCE(CH28,""price"")), """")"),11550.0)</f>
        <v>11550</v>
      </c>
      <c r="CL28" s="23">
        <f>IFERROR(__xludf.DUMMYFUNCTION("IFERROR(if(ISBLANK(CI28),"" "",GOOGLEFINANCE(CH28,""changepct"")), """")"),2.45)</f>
        <v>2.45</v>
      </c>
      <c r="CM28" s="12"/>
      <c r="CN28" s="33" t="s">
        <v>611</v>
      </c>
      <c r="CO28" s="38" t="s">
        <v>594</v>
      </c>
      <c r="CP28" s="39" t="str">
        <f>IFERROR(__xludf.DUMMYFUNCTION("IFERROR(if(ISBLANK(CO28),"" "",GOOGLEFINANCE(CN28,""Name"")), """")"),"HMA Agro Industries Ltd")</f>
        <v>HMA Agro Industries Ltd</v>
      </c>
      <c r="CQ28" s="21">
        <f>IFERROR(__xludf.DUMMYFUNCTION("IFERROR(if(ISBLANK(CO28),"" "",GOOGLEFINANCE(CN28,""price"")), """")"),21.73)</f>
        <v>21.73</v>
      </c>
      <c r="CR28" s="23">
        <f>IFERROR(__xludf.DUMMYFUNCTION("IFERROR(if(ISBLANK(CO28),"" "",GOOGLEFINANCE(CN28,""changepct"")), """")"),-1.45)</f>
        <v>-1.45</v>
      </c>
      <c r="CS28" s="45"/>
      <c r="CT28" s="33" t="s">
        <v>612</v>
      </c>
      <c r="CU28" s="38" t="s">
        <v>594</v>
      </c>
      <c r="CV28" s="39" t="str">
        <f>IFERROR(__xludf.DUMMYFUNCTION("IFERROR(if(ISBLANK(CU28),"" "",GOOGLEFINANCE(CT28,""Name"")), """")"),"Sarla Performance Fibers Ltd")</f>
        <v>Sarla Performance Fibers Ltd</v>
      </c>
      <c r="CW28" s="21">
        <f>IFERROR(__xludf.DUMMYFUNCTION("IFERROR(if(ISBLANK(CU28),"" "",GOOGLEFINANCE(CT28,""price"")), """")"),101.25)</f>
        <v>101.25</v>
      </c>
      <c r="CX28" s="23">
        <f>IFERROR(__xludf.DUMMYFUNCTION("IFERROR(if(ISBLANK(CU28),"" "",GOOGLEFINANCE(CT28,""changepct"")), """")"),0.36)</f>
        <v>0.36</v>
      </c>
      <c r="CY28" s="17"/>
      <c r="CZ28" s="33" t="s">
        <v>613</v>
      </c>
      <c r="DA28" s="38" t="s">
        <v>594</v>
      </c>
      <c r="DB28" s="39" t="str">
        <f>IFERROR(__xludf.DUMMYFUNCTION("IFERROR(if(ISBLANK(DA28),"" "",GOOGLEFINANCE(CZ28,""Name"")), """")"),"Sheetal Cool Products Ltd")</f>
        <v>Sheetal Cool Products Ltd</v>
      </c>
      <c r="DC28" s="21">
        <f>IFERROR(__xludf.DUMMYFUNCTION("IFERROR(if(ISBLANK(DA28),"" "",GOOGLEFINANCE(CZ28,""price"")), """")"),650.0)</f>
        <v>650</v>
      </c>
      <c r="DD28" s="23">
        <f>IFERROR(__xludf.DUMMYFUNCTION("IFERROR(if(ISBLANK(DA28),"" "",GOOGLEFINANCE(CZ28,""changepct"")), """")"),5.57)</f>
        <v>5.57</v>
      </c>
      <c r="DE28" s="45"/>
      <c r="DF28" s="12"/>
    </row>
    <row r="29" ht="11.25" customHeight="1">
      <c r="A29" s="17"/>
      <c r="B29" s="18" t="s">
        <v>614</v>
      </c>
      <c r="C29" s="38" t="s">
        <v>615</v>
      </c>
      <c r="D29" s="39" t="str">
        <f>IFERROR(__xludf.DUMMYFUNCTION("IFERROR(if(ISBLANK(C29),"" "",GOOGLEFINANCE(B29,""Name"")), """")"),"JSW Steel Ltd")</f>
        <v>JSW Steel Ltd</v>
      </c>
      <c r="E29" s="21">
        <f>IFERROR(__xludf.DUMMYFUNCTION("IFERROR(if(ISBLANK(C29),"" "",GOOGLEFINANCE(B29,""price"")), """")"),1268.6)</f>
        <v>1268.6</v>
      </c>
      <c r="F29" s="22">
        <f>IFERROR(__xludf.DUMMYFUNCTION("IFERROR(if(ISBLANK(C29),"" "",GOOGLEFINANCE(B29,""changepct"")), """")"),-1.15)</f>
        <v>-1.15</v>
      </c>
      <c r="G29" s="23">
        <f>IFERROR(__xludf.DUMMYFUNCTION("IFERROR(if(ISBLANK($C29),"" "",GOOGLEFINANCE($B29,""change"")), """")"),-14.8)</f>
        <v>-14.8</v>
      </c>
      <c r="H29" s="24"/>
      <c r="I29" s="25" t="s">
        <v>617</v>
      </c>
      <c r="J29" s="38" t="s">
        <v>615</v>
      </c>
      <c r="K29" s="39" t="str">
        <f>IFERROR(__xludf.DUMMYFUNCTION("IFERROR(if(ISBLANK(J29),"" "",GOOGLEFINANCE(I29,""Name"")), """")"),"Shree Cement Ltd")</f>
        <v>Shree Cement Ltd</v>
      </c>
      <c r="L29" s="21">
        <f>IFERROR(__xludf.DUMMYFUNCTION("IFERROR(if(ISBLANK(J29),"" "",GOOGLEFINANCE(I29,""price"")), """")"),25410.0)</f>
        <v>25410</v>
      </c>
      <c r="M29" s="22">
        <f>IFERROR(__xludf.DUMMYFUNCTION("IFERROR(if(ISBLANK(J29),"" "",GOOGLEFINANCE(I29,""changepct"")), """")"),-0.39)</f>
        <v>-0.39</v>
      </c>
      <c r="N29" s="23">
        <f>IFERROR(__xludf.DUMMYFUNCTION("IFERROR(if(ISBLANK($C29),"" "",GOOGLEFINANCE($B29,""change"")), """")"),-14.8)</f>
        <v>-14.8</v>
      </c>
      <c r="O29" s="26"/>
      <c r="P29" s="27" t="s">
        <v>618</v>
      </c>
      <c r="Q29" s="38" t="s">
        <v>615</v>
      </c>
      <c r="R29" s="39" t="str">
        <f>IFERROR(__xludf.DUMMYFUNCTION("IFERROR(if(ISBLANK(Q29),"" "",GOOGLEFINANCE(P29,""Name"")), """")"),"Aster DM Quality Care Ltd")</f>
        <v>Aster DM Quality Care Ltd</v>
      </c>
      <c r="S29" s="21">
        <f>IFERROR(__xludf.DUMMYFUNCTION("IFERROR(if(ISBLANK(Q29),"" "",GOOGLEFINANCE(P29,""price"")), """")"),832.0)</f>
        <v>832</v>
      </c>
      <c r="T29" s="22">
        <f>IFERROR(__xludf.DUMMYFUNCTION("IFERROR(if(ISBLANK(Q29),"" "",GOOGLEFINANCE(P29,""changepct"")), """")"),-2.68)</f>
        <v>-2.68</v>
      </c>
      <c r="U29" s="28"/>
      <c r="V29" s="18" t="s">
        <v>619</v>
      </c>
      <c r="W29" s="38" t="s">
        <v>615</v>
      </c>
      <c r="X29" s="39" t="str">
        <f>IFERROR(__xludf.DUMMYFUNCTION("IFERROR(if(ISBLANK(W29),"" "",GOOGLEFINANCE(V29,""Name"")), """")"),"Data Patterns (India) Ltd")</f>
        <v>Data Patterns (India) Ltd</v>
      </c>
      <c r="Y29" s="21">
        <f>IFERROR(__xludf.DUMMYFUNCTION("IFERROR(if(ISBLANK(W29),"" "",GOOGLEFINANCE(V29,""price"")), """")"),4504.0)</f>
        <v>4504</v>
      </c>
      <c r="Z29" s="23">
        <f>IFERROR(__xludf.DUMMYFUNCTION("IFERROR(if(ISBLANK(W29),"" "",GOOGLEFINANCE(V29,""changepct"")), """")"),2.56)</f>
        <v>2.56</v>
      </c>
      <c r="AA29" s="12"/>
      <c r="AB29" s="18" t="s">
        <v>620</v>
      </c>
      <c r="AC29" s="38" t="s">
        <v>615</v>
      </c>
      <c r="AD29" s="39" t="str">
        <f>IFERROR(__xludf.DUMMYFUNCTION("IFERROR(if(ISBLANK(AC29),"" "",GOOGLEFINANCE(AB29,""Name"")), """")"),"Pine Labs Ltd")</f>
        <v>Pine Labs Ltd</v>
      </c>
      <c r="AE29" s="21">
        <f>IFERROR(__xludf.DUMMYFUNCTION("IFERROR(if(ISBLANK(AC29),"" "",GOOGLEFINANCE(AB29,""price"")), """")"),169.95)</f>
        <v>169.95</v>
      </c>
      <c r="AF29" s="23">
        <f>IFERROR(__xludf.DUMMYFUNCTION("IFERROR(if(ISBLANK(AC29),"" "",GOOGLEFINANCE(AB29,""changepct"")), """")"),1.41)</f>
        <v>1.41</v>
      </c>
      <c r="AG29" s="45"/>
      <c r="AH29" s="27" t="s">
        <v>621</v>
      </c>
      <c r="AI29" s="38" t="s">
        <v>615</v>
      </c>
      <c r="AJ29" s="39" t="str">
        <f>IFERROR(__xludf.DUMMYFUNCTION("IFERROR(if(ISBLANK(AI29),"" "",GOOGLEFINANCE(AH29,""Name"")), """")"),"Sigma Advanced Systems Ltd")</f>
        <v>Sigma Advanced Systems Ltd</v>
      </c>
      <c r="AK29" s="21">
        <f>IFERROR(__xludf.DUMMYFUNCTION("IFERROR(if(ISBLANK(AI29),"" "",GOOGLEFINANCE(AH29,""price"")), """")"),684.95)</f>
        <v>684.95</v>
      </c>
      <c r="AL29" s="23">
        <f>IFERROR(__xludf.DUMMYFUNCTION("IFERROR(if(ISBLANK(AI29),"" "",GOOGLEFINANCE(AH29,""changepct"")), """")"),-2.35)</f>
        <v>-2.35</v>
      </c>
      <c r="AM29" s="30"/>
      <c r="AN29" s="31" t="s">
        <v>200</v>
      </c>
      <c r="AO29" s="32" t="str">
        <f>IFERROR(__xludf.DUMMYFUNCTION("IFERROR(if(ISBLANK(AN29),"" "",GOOGLEFINANCE(AM29,""Name"")), """")"),"")</f>
        <v/>
      </c>
      <c r="AP29" s="33" t="s">
        <v>623</v>
      </c>
      <c r="AQ29" s="38" t="s">
        <v>615</v>
      </c>
      <c r="AR29" s="39" t="str">
        <f>IFERROR(__xludf.DUMMYFUNCTION("IFERROR(if(ISBLANK(AQ29),"" "",GOOGLEFINANCE(AP29,""Name"")), """")"),"Pricol Ltd")</f>
        <v>Pricol Ltd</v>
      </c>
      <c r="AS29" s="21">
        <f>IFERROR(__xludf.DUMMYFUNCTION("IFERROR(if(ISBLANK(AQ29),"" "",GOOGLEFINANCE(AP29,""price"")), """")"),780.2)</f>
        <v>780.2</v>
      </c>
      <c r="AT29" s="23">
        <f>IFERROR(__xludf.DUMMYFUNCTION("IFERROR(if(ISBLANK(AQ29),"" "",GOOGLEFINANCE(AP29,""changepct"")), """")"),5.84)</f>
        <v>5.84</v>
      </c>
      <c r="AU29" s="45"/>
      <c r="AV29" s="34" t="s">
        <v>624</v>
      </c>
      <c r="AW29" s="38" t="s">
        <v>615</v>
      </c>
      <c r="AX29" s="39" t="str">
        <f>IFERROR(__xludf.DUMMYFUNCTION("IFERROR(if(ISBLANK(AW29),"" "",GOOGLEFINANCE(AV29,""Name"")), """")"),"Unimech Aerospace and Manufacturing Ltd")</f>
        <v>Unimech Aerospace and Manufacturing Ltd</v>
      </c>
      <c r="AY29" s="21">
        <f>IFERROR(__xludf.DUMMYFUNCTION("IFERROR(if(ISBLANK(AW29),"" "",GOOGLEFINANCE(AV29,""price"")), """")"),1424.7)</f>
        <v>1424.7</v>
      </c>
      <c r="AZ29" s="23">
        <f>IFERROR(__xludf.DUMMYFUNCTION("IFERROR(if(ISBLANK(AW29),"" "",GOOGLEFINANCE(AV29,""changepct"")), """")"),0.23)</f>
        <v>0.23</v>
      </c>
      <c r="BA29" s="12"/>
      <c r="BB29" s="33" t="s">
        <v>625</v>
      </c>
      <c r="BC29" s="38" t="s">
        <v>615</v>
      </c>
      <c r="BD29" s="39" t="str">
        <f>IFERROR(__xludf.DUMMYFUNCTION("IFERROR(if(ISBLANK(BC29),"" "",GOOGLEFINANCE(BB29,""Name"")), """")"),"Symphony Ltd")</f>
        <v>Symphony Ltd</v>
      </c>
      <c r="BE29" s="21">
        <f>IFERROR(__xludf.DUMMYFUNCTION("IFERROR(if(ISBLANK(BC29),"" "",GOOGLEFINANCE(BB29,""price"")), """")"),630.5)</f>
        <v>630.5</v>
      </c>
      <c r="BF29" s="23">
        <f>IFERROR(__xludf.DUMMYFUNCTION("IFERROR(if(ISBLANK(BC29),"" "",GOOGLEFINANCE(BB29,""changepct"")), """")"),-1.66)</f>
        <v>-1.66</v>
      </c>
      <c r="BG29" s="12"/>
      <c r="BH29" s="35" t="s">
        <v>626</v>
      </c>
      <c r="BI29" s="38" t="s">
        <v>615</v>
      </c>
      <c r="BJ29" s="39" t="str">
        <f>IFERROR(__xludf.DUMMYFUNCTION("IFERROR(if(ISBLANK(BI29),"" "",GOOGLEFINANCE(BH29,""Name"")), """")"),"Bhagiradha Chemicals and Industries Ltd")</f>
        <v>Bhagiradha Chemicals and Industries Ltd</v>
      </c>
      <c r="BK29" s="21">
        <f>IFERROR(__xludf.DUMMYFUNCTION("IFERROR(if(ISBLANK(BI29),"" "",GOOGLEFINANCE(BH29,""price"")), """")"),279.15)</f>
        <v>279.15</v>
      </c>
      <c r="BL29" s="23">
        <f>IFERROR(__xludf.DUMMYFUNCTION("IFERROR(if(ISBLANK(BI29),"" "",GOOGLEFINANCE(BH29,""changepct"")), """")"),-2.6)</f>
        <v>-2.6</v>
      </c>
      <c r="BM29" s="12"/>
      <c r="BN29" s="33" t="s">
        <v>628</v>
      </c>
      <c r="BO29" s="38" t="s">
        <v>615</v>
      </c>
      <c r="BP29" s="39" t="str">
        <f>IFERROR(__xludf.DUMMYFUNCTION("IFERROR(if(ISBLANK(BO29),"" "",GOOGLEFINANCE(BN29,""Name"")), """")"),"Dalmia Bharat Sugar and Industries Ltd")</f>
        <v>Dalmia Bharat Sugar and Industries Ltd</v>
      </c>
      <c r="BQ29" s="21">
        <f>IFERROR(__xludf.DUMMYFUNCTION("IFERROR(if(ISBLANK(BO29),"" "",GOOGLEFINANCE(BN29,""price"")), """")"),411.75)</f>
        <v>411.75</v>
      </c>
      <c r="BR29" s="23">
        <f>IFERROR(__xludf.DUMMYFUNCTION("IFERROR(if(ISBLANK(BO29),"" "",GOOGLEFINANCE(BN29,""changepct"")), """")"),0.84)</f>
        <v>0.84</v>
      </c>
      <c r="BS29" s="22">
        <f>IFERROR(__xludf.DUMMYFUNCTION("IFERROR(if(ISBLANK($C29),"" "",GOOGLEFINANCE($B29,""change"")), """")"),-14.8)</f>
        <v>-14.8</v>
      </c>
      <c r="BT29" s="36"/>
      <c r="BU29" s="27" t="s">
        <v>629</v>
      </c>
      <c r="BV29" s="38" t="s">
        <v>615</v>
      </c>
      <c r="BW29" s="39" t="str">
        <f>IFERROR(__xludf.DUMMYFUNCTION("IFERROR(if(ISBLANK(BV29),"" "",GOOGLEFINANCE(BU29,""Name"")), """")"),"TAJ GVK Hotels and Resorts Ltd")</f>
        <v>TAJ GVK Hotels and Resorts Ltd</v>
      </c>
      <c r="BX29" s="21">
        <f>IFERROR(__xludf.DUMMYFUNCTION("IFERROR(if(ISBLANK(BV29),"" "",GOOGLEFINANCE(BU29,""price"")), """")"),352.0)</f>
        <v>352</v>
      </c>
      <c r="BY29" s="23">
        <f>IFERROR(__xludf.DUMMYFUNCTION("IFERROR(if(ISBLANK(BV29),"" "",GOOGLEFINANCE(BU29,""changepct"")), """")"),-1.87)</f>
        <v>-1.87</v>
      </c>
      <c r="BZ29" s="22">
        <f>IFERROR(__xludf.DUMMYFUNCTION("IFERROR(if(ISBLANK($C29),"" "",GOOGLEFINANCE($B29,""change"")), """")"),-14.8)</f>
        <v>-14.8</v>
      </c>
      <c r="CA29" s="37"/>
      <c r="CB29" s="27" t="s">
        <v>631</v>
      </c>
      <c r="CC29" s="38" t="s">
        <v>615</v>
      </c>
      <c r="CD29" s="39" t="str">
        <f>IFERROR(__xludf.DUMMYFUNCTION("IFERROR(if(ISBLANK(CC29),"" "",GOOGLEFINANCE(CB29,""Name"")), """")"),"Bluspring Enterprises Ltd")</f>
        <v>Bluspring Enterprises Ltd</v>
      </c>
      <c r="CE29" s="21">
        <f>IFERROR(__xludf.DUMMYFUNCTION("IFERROR(if(ISBLANK(CC29),"" "",GOOGLEFINANCE(CB29,""price"")), """")"),121.05)</f>
        <v>121.05</v>
      </c>
      <c r="CF29" s="23">
        <f>IFERROR(__xludf.DUMMYFUNCTION("IFERROR(if(ISBLANK(CC29),"" "",GOOGLEFINANCE(CB29,""changepct"")), """")"),2.72)</f>
        <v>2.72</v>
      </c>
      <c r="CG29" s="12"/>
      <c r="CH29" s="18" t="s">
        <v>632</v>
      </c>
      <c r="CI29" s="38" t="s">
        <v>615</v>
      </c>
      <c r="CJ29" s="39" t="str">
        <f>IFERROR(__xludf.DUMMYFUNCTION("IFERROR(if(ISBLANK(CI29),"" "",GOOGLEFINANCE(CH29,""Name"")), """")"),"Godavari Biorefineries Ltd")</f>
        <v>Godavari Biorefineries Ltd</v>
      </c>
      <c r="CK29" s="21">
        <f>IFERROR(__xludf.DUMMYFUNCTION("IFERROR(if(ISBLANK(CI29),"" "",GOOGLEFINANCE(CH29,""price"")), """")"),262.7)</f>
        <v>262.7</v>
      </c>
      <c r="CL29" s="23">
        <f>IFERROR(__xludf.DUMMYFUNCTION("IFERROR(if(ISBLANK(CI29),"" "",GOOGLEFINANCE(CH29,""changepct"")), """")"),-3.98)</f>
        <v>-3.98</v>
      </c>
      <c r="CM29" s="12"/>
      <c r="CN29" s="33" t="s">
        <v>633</v>
      </c>
      <c r="CO29" s="38" t="s">
        <v>615</v>
      </c>
      <c r="CP29" s="39" t="str">
        <f>IFERROR(__xludf.DUMMYFUNCTION("IFERROR(if(ISBLANK(CO29),"" "",GOOGLEFINANCE(CN29,""Name"")), """")"),"Eimco Elecon (India) Ltd")</f>
        <v>Eimco Elecon (India) Ltd</v>
      </c>
      <c r="CQ29" s="21">
        <f>IFERROR(__xludf.DUMMYFUNCTION("IFERROR(if(ISBLANK(CO29),"" "",GOOGLEFINANCE(CN29,""price"")), """")"),1785.6)</f>
        <v>1785.6</v>
      </c>
      <c r="CR29" s="23">
        <f>IFERROR(__xludf.DUMMYFUNCTION("IFERROR(if(ISBLANK(CO29),"" "",GOOGLEFINANCE(CN29,""changepct"")), """")"),-1.15)</f>
        <v>-1.15</v>
      </c>
      <c r="CS29" s="45"/>
      <c r="CT29" s="33" t="s">
        <v>634</v>
      </c>
      <c r="CU29" s="38" t="s">
        <v>615</v>
      </c>
      <c r="CV29" s="39" t="str">
        <f>IFERROR(__xludf.DUMMYFUNCTION("IFERROR(if(ISBLANK(CU29),"" "",GOOGLEFINANCE(CT29,""Name"")), """")"),"Bajaj Steel Industries Ltd")</f>
        <v>Bajaj Steel Industries Ltd</v>
      </c>
      <c r="CW29" s="21">
        <f>IFERROR(__xludf.DUMMYFUNCTION("IFERROR(if(ISBLANK(CU29),"" "",GOOGLEFINANCE(CT29,""price"")), """")"),369.0)</f>
        <v>369</v>
      </c>
      <c r="CX29" s="23">
        <f>IFERROR(__xludf.DUMMYFUNCTION("IFERROR(if(ISBLANK(CU29),"" "",GOOGLEFINANCE(CT29,""changepct"")), """")"),-2.65)</f>
        <v>-2.65</v>
      </c>
      <c r="CY29" s="17"/>
      <c r="CZ29" s="33" t="s">
        <v>636</v>
      </c>
      <c r="DA29" s="38" t="s">
        <v>615</v>
      </c>
      <c r="DB29" s="39" t="str">
        <f>IFERROR(__xludf.DUMMYFUNCTION("IFERROR(if(ISBLANK(DA29),"" "",GOOGLEFINANCE(CZ29,""Name"")), """")"),"Coffee Day Enterprises Ltd")</f>
        <v>Coffee Day Enterprises Ltd</v>
      </c>
      <c r="DC29" s="21">
        <f>IFERROR(__xludf.DUMMYFUNCTION("IFERROR(if(ISBLANK(DA29),"" "",GOOGLEFINANCE(CZ29,""price"")), """")"),30.17)</f>
        <v>30.17</v>
      </c>
      <c r="DD29" s="23">
        <f>IFERROR(__xludf.DUMMYFUNCTION("IFERROR(if(ISBLANK(DA29),"" "",GOOGLEFINANCE(CZ29,""changepct"")), """")"),-0.95)</f>
        <v>-0.95</v>
      </c>
      <c r="DE29" s="45"/>
      <c r="DF29" s="12"/>
    </row>
    <row r="30" ht="11.25" customHeight="1">
      <c r="A30" s="17"/>
      <c r="B30" s="18" t="s">
        <v>637</v>
      </c>
      <c r="C30" s="38" t="s">
        <v>638</v>
      </c>
      <c r="D30" s="39" t="str">
        <f>IFERROR(__xludf.DUMMYFUNCTION("IFERROR(if(ISBLANK(C30),"" "",GOOGLEFINANCE(B30,""Name"")), """")"),"Oil and Natural Gas Corporation Ltd")</f>
        <v>Oil and Natural Gas Corporation Ltd</v>
      </c>
      <c r="E30" s="21">
        <f>IFERROR(__xludf.DUMMYFUNCTION("IFERROR(if(ISBLANK(C30),"" "",GOOGLEFINANCE(B30,""price"")), """")"),239.45)</f>
        <v>239.45</v>
      </c>
      <c r="F30" s="22">
        <f>IFERROR(__xludf.DUMMYFUNCTION("IFERROR(if(ISBLANK(C30),"" "",GOOGLEFINANCE(B30,""changepct"")), """")"),0.0)</f>
        <v>0</v>
      </c>
      <c r="G30" s="23">
        <f>IFERROR(__xludf.DUMMYFUNCTION("IFERROR(if(ISBLANK($C30),"" "",GOOGLEFINANCE($B30,""change"")), """")"),0.0)</f>
        <v>0</v>
      </c>
      <c r="H30" s="24"/>
      <c r="I30" s="25" t="s">
        <v>639</v>
      </c>
      <c r="J30" s="38" t="s">
        <v>638</v>
      </c>
      <c r="K30" s="39" t="str">
        <f>IFERROR(__xludf.DUMMYFUNCTION("IFERROR(if(ISBLANK(J30),"" "",GOOGLEFINANCE(I30,""Name"")), """")"),"Aurobindo Pharma Ltd")</f>
        <v>Aurobindo Pharma Ltd</v>
      </c>
      <c r="L30" s="21">
        <f>IFERROR(__xludf.DUMMYFUNCTION("IFERROR(if(ISBLANK(J30),"" "",GOOGLEFINANCE(I30,""price"")), """")"),1663.0)</f>
        <v>1663</v>
      </c>
      <c r="M30" s="22">
        <f>IFERROR(__xludf.DUMMYFUNCTION("IFERROR(if(ISBLANK(J30),"" "",GOOGLEFINANCE(I30,""changepct"")), """")"),0.3)</f>
        <v>0.3</v>
      </c>
      <c r="N30" s="23">
        <f>IFERROR(__xludf.DUMMYFUNCTION("IFERROR(if(ISBLANK($C30),"" "",GOOGLEFINANCE($B30,""change"")), """")"),0.0)</f>
        <v>0</v>
      </c>
      <c r="O30" s="26"/>
      <c r="P30" s="27" t="s">
        <v>641</v>
      </c>
      <c r="Q30" s="38" t="s">
        <v>638</v>
      </c>
      <c r="R30" s="39" t="str">
        <f>IFERROR(__xludf.DUMMYFUNCTION("IFERROR(if(ISBLANK(Q30),"" "",GOOGLEFINANCE(P30,""Name"")), """")"),"Petronet LNG Ltd")</f>
        <v>Petronet LNG Ltd</v>
      </c>
      <c r="S30" s="21">
        <f>IFERROR(__xludf.DUMMYFUNCTION("IFERROR(if(ISBLANK(Q30),"" "",GOOGLEFINANCE(P30,""price"")), """")"),279.4)</f>
        <v>279.4</v>
      </c>
      <c r="T30" s="22">
        <f>IFERROR(__xludf.DUMMYFUNCTION("IFERROR(if(ISBLANK(Q30),"" "",GOOGLEFINANCE(P30,""changepct"")), """")"),0.87)</f>
        <v>0.87</v>
      </c>
      <c r="U30" s="28"/>
      <c r="V30" s="18" t="s">
        <v>642</v>
      </c>
      <c r="W30" s="38" t="s">
        <v>638</v>
      </c>
      <c r="X30" s="39" t="str">
        <f>IFERROR(__xludf.DUMMYFUNCTION("IFERROR(if(ISBLANK(W30),"" "",GOOGLEFINANCE(V30,""Name"")), """")"),"Timken India Ltd")</f>
        <v>Timken India Ltd</v>
      </c>
      <c r="Y30" s="21">
        <f>IFERROR(__xludf.DUMMYFUNCTION("IFERROR(if(ISBLANK(W30),"" "",GOOGLEFINANCE(V30,""price"")), """")"),3250.0)</f>
        <v>3250</v>
      </c>
      <c r="Z30" s="23">
        <f>IFERROR(__xludf.DUMMYFUNCTION("IFERROR(if(ISBLANK(W30),"" "",GOOGLEFINANCE(V30,""changepct"")), """")"),1.2)</f>
        <v>1.2</v>
      </c>
      <c r="AA30" s="12"/>
      <c r="AB30" s="18" t="s">
        <v>643</v>
      </c>
      <c r="AC30" s="38" t="s">
        <v>638</v>
      </c>
      <c r="AD30" s="39" t="str">
        <f>IFERROR(__xludf.DUMMYFUNCTION("IFERROR(if(ISBLANK(AC30),"" "",GOOGLEFINANCE(AB30,""Name"")), """")"),"Kansai Nerolac Paints Ltd")</f>
        <v>Kansai Nerolac Paints Ltd</v>
      </c>
      <c r="AE30" s="21">
        <f>IFERROR(__xludf.DUMMYFUNCTION("IFERROR(if(ISBLANK(AC30),"" "",GOOGLEFINANCE(AB30,""price"")), """")"),207.24)</f>
        <v>207.24</v>
      </c>
      <c r="AF30" s="23">
        <f>IFERROR(__xludf.DUMMYFUNCTION("IFERROR(if(ISBLANK(AC30),"" "",GOOGLEFINANCE(AB30,""changepct"")), """")"),-2.37)</f>
        <v>-2.37</v>
      </c>
      <c r="AG30" s="45"/>
      <c r="AH30" s="27" t="s">
        <v>644</v>
      </c>
      <c r="AI30" s="38" t="s">
        <v>638</v>
      </c>
      <c r="AJ30" s="39" t="str">
        <f>IFERROR(__xludf.DUMMYFUNCTION("IFERROR(if(ISBLANK(AI30),"" "",GOOGLEFINANCE(AH30,""Name"")), """")"),"Indian Energy Exchange Ltd")</f>
        <v>Indian Energy Exchange Ltd</v>
      </c>
      <c r="AK30" s="21">
        <f>IFERROR(__xludf.DUMMYFUNCTION("IFERROR(if(ISBLANK(AI30),"" "",GOOGLEFINANCE(AH30,""price"")), """")"),125.0)</f>
        <v>125</v>
      </c>
      <c r="AL30" s="23">
        <f>IFERROR(__xludf.DUMMYFUNCTION("IFERROR(if(ISBLANK(AI30),"" "",GOOGLEFINANCE(AH30,""changepct"")), """")"),-0.79)</f>
        <v>-0.79</v>
      </c>
      <c r="AM30" s="30"/>
      <c r="AN30" s="31" t="s">
        <v>200</v>
      </c>
      <c r="AO30" s="32" t="str">
        <f>IFERROR(__xludf.DUMMYFUNCTION("IFERROR(if(ISBLANK(AN30),"" "",GOOGLEFINANCE(AM30,""Name"")), """")"),"")</f>
        <v/>
      </c>
      <c r="AP30" s="33" t="s">
        <v>646</v>
      </c>
      <c r="AQ30" s="38" t="s">
        <v>638</v>
      </c>
      <c r="AR30" s="39" t="str">
        <f>IFERROR(__xludf.DUMMYFUNCTION("IFERROR(if(ISBLANK(AQ30),"" "",GOOGLEFINANCE(AP30,""Name"")), """")"),"MedPlus Health Services Ltd")</f>
        <v>MedPlus Health Services Ltd</v>
      </c>
      <c r="AS30" s="21">
        <f>IFERROR(__xludf.DUMMYFUNCTION("IFERROR(if(ISBLANK(AQ30),"" "",GOOGLEFINANCE(AP30,""price"")), """")"),672.0)</f>
        <v>672</v>
      </c>
      <c r="AT30" s="23">
        <f>IFERROR(__xludf.DUMMYFUNCTION("IFERROR(if(ISBLANK(AQ30),"" "",GOOGLEFINANCE(AP30,""changepct"")), """")"),-1.05)</f>
        <v>-1.05</v>
      </c>
      <c r="AU30" s="45"/>
      <c r="AV30" s="34" t="s">
        <v>647</v>
      </c>
      <c r="AW30" s="38" t="s">
        <v>638</v>
      </c>
      <c r="AX30" s="39" t="str">
        <f>IFERROR(__xludf.DUMMYFUNCTION("IFERROR(if(ISBLANK(AW30),"" "",GOOGLEFINANCE(AV30,""Name"")), """")"),"Dodla Dairy Ltd")</f>
        <v>Dodla Dairy Ltd</v>
      </c>
      <c r="AY30" s="21">
        <f>IFERROR(__xludf.DUMMYFUNCTION("IFERROR(if(ISBLANK(AW30),"" "",GOOGLEFINANCE(AV30,""price"")), """")"),1042.0)</f>
        <v>1042</v>
      </c>
      <c r="AZ30" s="23">
        <f>IFERROR(__xludf.DUMMYFUNCTION("IFERROR(if(ISBLANK(AW30),"" "",GOOGLEFINANCE(AV30,""changepct"")), """")"),-0.17)</f>
        <v>-0.17</v>
      </c>
      <c r="BA30" s="12"/>
      <c r="BB30" s="33" t="s">
        <v>648</v>
      </c>
      <c r="BC30" s="38" t="s">
        <v>638</v>
      </c>
      <c r="BD30" s="39" t="str">
        <f>IFERROR(__xludf.DUMMYFUNCTION("IFERROR(if(ISBLANK(BC30),"" "",GOOGLEFINANCE(BB30,""Name"")), """")"),"Artemis Medicare Services Ltd")</f>
        <v>Artemis Medicare Services Ltd</v>
      </c>
      <c r="BE30" s="21">
        <f>IFERROR(__xludf.DUMMYFUNCTION("IFERROR(if(ISBLANK(BC30),"" "",GOOGLEFINANCE(BB30,""price"")), """")"),321.5)</f>
        <v>321.5</v>
      </c>
      <c r="BF30" s="23">
        <f>IFERROR(__xludf.DUMMYFUNCTION("IFERROR(if(ISBLANK(BC30),"" "",GOOGLEFINANCE(BB30,""changepct"")), """")"),2.62)</f>
        <v>2.62</v>
      </c>
      <c r="BG30" s="12"/>
      <c r="BH30" s="35" t="s">
        <v>649</v>
      </c>
      <c r="BI30" s="38" t="s">
        <v>638</v>
      </c>
      <c r="BJ30" s="39" t="str">
        <f>IFERROR(__xludf.DUMMYFUNCTION("IFERROR(if(ISBLANK(BI30),"" "",GOOGLEFINANCE(BH30,""Name"")), """")"),"Sindhu Trade Links Ltd")</f>
        <v>Sindhu Trade Links Ltd</v>
      </c>
      <c r="BK30" s="21">
        <f>IFERROR(__xludf.DUMMYFUNCTION("IFERROR(if(ISBLANK(BI30),"" "",GOOGLEFINANCE(BH30,""price"")), """")"),24.46)</f>
        <v>24.46</v>
      </c>
      <c r="BL30" s="23">
        <f>IFERROR(__xludf.DUMMYFUNCTION("IFERROR(if(ISBLANK(BI30),"" "",GOOGLEFINANCE(BH30,""changepct"")), """")"),0.04)</f>
        <v>0.04</v>
      </c>
      <c r="BM30" s="12"/>
      <c r="BN30" s="33" t="s">
        <v>650</v>
      </c>
      <c r="BO30" s="38" t="s">
        <v>638</v>
      </c>
      <c r="BP30" s="39" t="str">
        <f>IFERROR(__xludf.DUMMYFUNCTION("IFERROR(if(ISBLANK(BO30),"" "",GOOGLEFINANCE(BN30,""Name"")), """")"),"Indo Thai Securities Ltd")</f>
        <v>Indo Thai Securities Ltd</v>
      </c>
      <c r="BQ30" s="21">
        <f>IFERROR(__xludf.DUMMYFUNCTION("IFERROR(if(ISBLANK(BO30),"" "",GOOGLEFINANCE(BN30,""price"")), """")"),85.4)</f>
        <v>85.4</v>
      </c>
      <c r="BR30" s="23">
        <f>IFERROR(__xludf.DUMMYFUNCTION("IFERROR(if(ISBLANK(BO30),"" "",GOOGLEFINANCE(BN30,""changepct"")), """")"),-4.99)</f>
        <v>-4.99</v>
      </c>
      <c r="BS30" s="22">
        <f>IFERROR(__xludf.DUMMYFUNCTION("IFERROR(if(ISBLANK($C30),"" "",GOOGLEFINANCE($B30,""change"")), """")"),0.0)</f>
        <v>0</v>
      </c>
      <c r="BT30" s="36"/>
      <c r="BU30" s="27" t="s">
        <v>652</v>
      </c>
      <c r="BV30" s="38" t="s">
        <v>638</v>
      </c>
      <c r="BW30" s="39" t="str">
        <f>IFERROR(__xludf.DUMMYFUNCTION("IFERROR(if(ISBLANK(BV30),"" "",GOOGLEFINANCE(BU30,""Name"")), """")"),"Sagar Cements Ltd")</f>
        <v>Sagar Cements Ltd</v>
      </c>
      <c r="BX30" s="21">
        <f>IFERROR(__xludf.DUMMYFUNCTION("IFERROR(if(ISBLANK(BV30),"" "",GOOGLEFINANCE(BU30,""price"")), """")"),175.85)</f>
        <v>175.85</v>
      </c>
      <c r="BY30" s="23">
        <f>IFERROR(__xludf.DUMMYFUNCTION("IFERROR(if(ISBLANK(BV30),"" "",GOOGLEFINANCE(BU30,""changepct"")), """")"),0.45)</f>
        <v>0.45</v>
      </c>
      <c r="BZ30" s="22">
        <f>IFERROR(__xludf.DUMMYFUNCTION("IFERROR(if(ISBLANK($C30),"" "",GOOGLEFINANCE($B30,""change"")), """")"),0.0)</f>
        <v>0</v>
      </c>
      <c r="CA30" s="37"/>
      <c r="CB30" s="27" t="s">
        <v>653</v>
      </c>
      <c r="CC30" s="38" t="s">
        <v>638</v>
      </c>
      <c r="CD30" s="39" t="str">
        <f>IFERROR(__xludf.DUMMYFUNCTION("IFERROR(if(ISBLANK(CC30),"" "",GOOGLEFINANCE(CB30,""Name"")), """")"),"Magellanic Cloud Ltd")</f>
        <v>Magellanic Cloud Ltd</v>
      </c>
      <c r="CE30" s="21">
        <f>IFERROR(__xludf.DUMMYFUNCTION("IFERROR(if(ISBLANK(CC30),"" "",GOOGLEFINANCE(CB30,""price"")), """")"),28.55)</f>
        <v>28.55</v>
      </c>
      <c r="CF30" s="23">
        <f>IFERROR(__xludf.DUMMYFUNCTION("IFERROR(if(ISBLANK(CC30),"" "",GOOGLEFINANCE(CB30,""changepct"")), """")"),-1.25)</f>
        <v>-1.25</v>
      </c>
      <c r="CG30" s="12"/>
      <c r="CH30" s="18" t="s">
        <v>654</v>
      </c>
      <c r="CI30" s="38" t="s">
        <v>638</v>
      </c>
      <c r="CJ30" s="39" t="str">
        <f>IFERROR(__xludf.DUMMYFUNCTION("IFERROR(if(ISBLANK(CI30),"" "",GOOGLEFINANCE(CH30,""Name"")), """")"),"Century Enka Ltd")</f>
        <v>Century Enka Ltd</v>
      </c>
      <c r="CK30" s="21">
        <f>IFERROR(__xludf.DUMMYFUNCTION("IFERROR(if(ISBLANK(CI30),"" "",GOOGLEFINANCE(CH30,""price"")), """")"),602.1)</f>
        <v>602.1</v>
      </c>
      <c r="CL30" s="23">
        <f>IFERROR(__xludf.DUMMYFUNCTION("IFERROR(if(ISBLANK(CI30),"" "",GOOGLEFINANCE(CH30,""changepct"")), """")"),-0.33)</f>
        <v>-0.33</v>
      </c>
      <c r="CM30" s="12"/>
      <c r="CN30" s="33" t="s">
        <v>655</v>
      </c>
      <c r="CO30" s="38" t="s">
        <v>638</v>
      </c>
      <c r="CP30" s="39" t="str">
        <f>IFERROR(__xludf.DUMMYFUNCTION("IFERROR(if(ISBLANK(CO30),"" "",GOOGLEFINANCE(CN30,""Name"")), """")"),"Wanbury Ltd")</f>
        <v>Wanbury Ltd</v>
      </c>
      <c r="CQ30" s="21">
        <f>IFERROR(__xludf.DUMMYFUNCTION("IFERROR(if(ISBLANK(CO30),"" "",GOOGLEFINANCE(CN30,""price"")), """")"),262.7)</f>
        <v>262.7</v>
      </c>
      <c r="CR30" s="23">
        <f>IFERROR(__xludf.DUMMYFUNCTION("IFERROR(if(ISBLANK(CO30),"" "",GOOGLEFINANCE(CN30,""changepct"")), """")"),3.3)</f>
        <v>3.3</v>
      </c>
      <c r="CS30" s="45"/>
      <c r="CT30" s="33" t="s">
        <v>657</v>
      </c>
      <c r="CU30" s="38" t="s">
        <v>638</v>
      </c>
      <c r="CV30" s="39" t="str">
        <f>IFERROR(__xludf.DUMMYFUNCTION("IFERROR(if(ISBLANK(CU30),"" "",GOOGLEFINANCE(CT30,""Name"")), """")"),"Ncl Industries Ltd")</f>
        <v>Ncl Industries Ltd</v>
      </c>
      <c r="CW30" s="21">
        <f>IFERROR(__xludf.DUMMYFUNCTION("IFERROR(if(ISBLANK(CU30),"" "",GOOGLEFINANCE(CT30,""price"")), """")"),173.0)</f>
        <v>173</v>
      </c>
      <c r="CX30" s="23">
        <f>IFERROR(__xludf.DUMMYFUNCTION("IFERROR(if(ISBLANK(CU30),"" "",GOOGLEFINANCE(CT30,""changepct"")), """")"),-0.56)</f>
        <v>-0.56</v>
      </c>
      <c r="CY30" s="17"/>
      <c r="CZ30" s="33" t="s">
        <v>658</v>
      </c>
      <c r="DA30" s="38" t="s">
        <v>638</v>
      </c>
      <c r="DB30" s="39" t="str">
        <f>IFERROR(__xludf.DUMMYFUNCTION("IFERROR(if(ISBLANK(DA30),"" "",GOOGLEFINANCE(CZ30,""Name"")), """")"),"Bigbloc Construction Ltd")</f>
        <v>Bigbloc Construction Ltd</v>
      </c>
      <c r="DC30" s="21">
        <f>IFERROR(__xludf.DUMMYFUNCTION("IFERROR(if(ISBLANK(DA30),"" "",GOOGLEFINANCE(CZ30,""price"")), """")"),45.87)</f>
        <v>45.87</v>
      </c>
      <c r="DD30" s="23">
        <f>IFERROR(__xludf.DUMMYFUNCTION("IFERROR(if(ISBLANK(DA30),"" "",GOOGLEFINANCE(CZ30,""changepct"")), """")"),-1.46)</f>
        <v>-1.46</v>
      </c>
      <c r="DE30" s="45"/>
      <c r="DF30" s="12"/>
    </row>
    <row r="31" ht="11.25" customHeight="1">
      <c r="A31" s="17"/>
      <c r="B31" s="18" t="s">
        <v>660</v>
      </c>
      <c r="C31" s="38" t="s">
        <v>661</v>
      </c>
      <c r="D31" s="39" t="str">
        <f>IFERROR(__xludf.DUMMYFUNCTION("IFERROR(if(ISBLANK(C31),"" "",GOOGLEFINANCE(B31,""Name"")), """")"),"Eternal Ltd")</f>
        <v>Eternal Ltd</v>
      </c>
      <c r="E31" s="21">
        <f>IFERROR(__xludf.DUMMYFUNCTION("IFERROR(if(ISBLANK(C31),"" "",GOOGLEFINANCE(B31,""price"")), """")"),314.5)</f>
        <v>314.5</v>
      </c>
      <c r="F31" s="22">
        <f>IFERROR(__xludf.DUMMYFUNCTION("IFERROR(if(ISBLANK(C31),"" "",GOOGLEFINANCE(B31,""changepct"")), """")"),-1.1)</f>
        <v>-1.1</v>
      </c>
      <c r="G31" s="23">
        <f>IFERROR(__xludf.DUMMYFUNCTION("IFERROR(if(ISBLANK($C31),"" "",GOOGLEFINANCE($B31,""change"")), """")"),-3.5)</f>
        <v>-3.5</v>
      </c>
      <c r="H31" s="24"/>
      <c r="I31" s="25" t="s">
        <v>662</v>
      </c>
      <c r="J31" s="38" t="s">
        <v>661</v>
      </c>
      <c r="K31" s="39" t="str">
        <f>IFERROR(__xludf.DUMMYFUNCTION("IFERROR(if(ISBLANK(J31),"" "",GOOGLEFINANCE(I31,""Name"")), """")"),"IDBI Bank Ltd")</f>
        <v>IDBI Bank Ltd</v>
      </c>
      <c r="L31" s="21">
        <f>IFERROR(__xludf.DUMMYFUNCTION("IFERROR(if(ISBLANK(J31),"" "",GOOGLEFINANCE(I31,""price"")), """")"),82.69)</f>
        <v>82.69</v>
      </c>
      <c r="M31" s="22">
        <f>IFERROR(__xludf.DUMMYFUNCTION("IFERROR(if(ISBLANK(J31),"" "",GOOGLEFINANCE(I31,""changepct"")), """")"),0.3)</f>
        <v>0.3</v>
      </c>
      <c r="N31" s="23">
        <f>IFERROR(__xludf.DUMMYFUNCTION("IFERROR(if(ISBLANK($C31),"" "",GOOGLEFINANCE($B31,""change"")), """")"),-3.5)</f>
        <v>-3.5</v>
      </c>
      <c r="O31" s="26"/>
      <c r="P31" s="27" t="s">
        <v>663</v>
      </c>
      <c r="Q31" s="38" t="s">
        <v>661</v>
      </c>
      <c r="R31" s="39" t="str">
        <f>IFERROR(__xludf.DUMMYFUNCTION("IFERROR(if(ISBLANK(Q31),"" "",GOOGLEFINANCE(P31,""Name"")), """")"),"J K Cement Ltd")</f>
        <v>J K Cement Ltd</v>
      </c>
      <c r="S31" s="21">
        <f>IFERROR(__xludf.DUMMYFUNCTION("IFERROR(if(ISBLANK(Q31),"" "",GOOGLEFINANCE(P31,""price"")), """")"),5371.0)</f>
        <v>5371</v>
      </c>
      <c r="T31" s="22">
        <f>IFERROR(__xludf.DUMMYFUNCTION("IFERROR(if(ISBLANK(Q31),"" "",GOOGLEFINANCE(P31,""changepct"")), """")"),0.19)</f>
        <v>0.19</v>
      </c>
      <c r="U31" s="28"/>
      <c r="V31" s="18" t="s">
        <v>664</v>
      </c>
      <c r="W31" s="38" t="s">
        <v>661</v>
      </c>
      <c r="X31" s="39" t="str">
        <f>IFERROR(__xludf.DUMMYFUNCTION("IFERROR(if(ISBLANK(W31),"" "",GOOGLEFINANCE(V31,""Name"")), """")"),"Force Motors Ltd")</f>
        <v>Force Motors Ltd</v>
      </c>
      <c r="Y31" s="21">
        <f>IFERROR(__xludf.DUMMYFUNCTION("IFERROR(if(ISBLANK(W31),"" "",GOOGLEFINANCE(V31,""price"")), """")"),19269.0)</f>
        <v>19269</v>
      </c>
      <c r="Z31" s="23">
        <f>IFERROR(__xludf.DUMMYFUNCTION("IFERROR(if(ISBLANK(W31),"" "",GOOGLEFINANCE(V31,""changepct"")), """")"),5.12)</f>
        <v>5.12</v>
      </c>
      <c r="AA31" s="12"/>
      <c r="AB31" s="18" t="s">
        <v>665</v>
      </c>
      <c r="AC31" s="38" t="s">
        <v>661</v>
      </c>
      <c r="AD31" s="39" t="str">
        <f>IFERROR(__xludf.DUMMYFUNCTION("IFERROR(if(ISBLANK(AC31),"" "",GOOGLEFINANCE(AB31,""Name"")), """")"),"Aditya Birla Real Estate Ltd")</f>
        <v>Aditya Birla Real Estate Ltd</v>
      </c>
      <c r="AE31" s="21">
        <f>IFERROR(__xludf.DUMMYFUNCTION("IFERROR(if(ISBLANK(AC31),"" "",GOOGLEFINANCE(AB31,""price"")), """")"),1378.0)</f>
        <v>1378</v>
      </c>
      <c r="AF31" s="23">
        <f>IFERROR(__xludf.DUMMYFUNCTION("IFERROR(if(ISBLANK(AC31),"" "",GOOGLEFINANCE(AB31,""changepct"")), """")"),-1.63)</f>
        <v>-1.63</v>
      </c>
      <c r="AG31" s="45"/>
      <c r="AH31" s="27" t="s">
        <v>667</v>
      </c>
      <c r="AI31" s="38" t="s">
        <v>661</v>
      </c>
      <c r="AJ31" s="39" t="str">
        <f>IFERROR(__xludf.DUMMYFUNCTION("IFERROR(if(ISBLANK(AI31),"" "",GOOGLEFINANCE(AH31,""Name"")), """")"),"Ramkrishna Forgings Ltd")</f>
        <v>Ramkrishna Forgings Ltd</v>
      </c>
      <c r="AK31" s="21">
        <f>IFERROR(__xludf.DUMMYFUNCTION("IFERROR(if(ISBLANK(AI31),"" "",GOOGLEFINANCE(AH31,""price"")), """")"),741.7)</f>
        <v>741.7</v>
      </c>
      <c r="AL31" s="23">
        <f>IFERROR(__xludf.DUMMYFUNCTION("IFERROR(if(ISBLANK(AI31),"" "",GOOGLEFINANCE(AH31,""changepct"")), """")"),-1.28)</f>
        <v>-1.28</v>
      </c>
      <c r="AM31" s="44"/>
      <c r="AN31" s="31" t="s">
        <v>200</v>
      </c>
      <c r="AO31" s="32" t="str">
        <f>IFERROR(__xludf.DUMMYFUNCTION("IFERROR(if(ISBLANK(AN31),"" "",GOOGLEFINANCE(AM31,""Name"")), """")"),"")</f>
        <v/>
      </c>
      <c r="AP31" s="33" t="s">
        <v>668</v>
      </c>
      <c r="AQ31" s="38" t="s">
        <v>661</v>
      </c>
      <c r="AR31" s="39" t="str">
        <f>IFERROR(__xludf.DUMMYFUNCTION("IFERROR(if(ISBLANK(AQ31),"" "",GOOGLEFINANCE(AP31,""Name"")), """")"),"Birlasoft Ltd")</f>
        <v>Birlasoft Ltd</v>
      </c>
      <c r="AS31" s="21">
        <f>IFERROR(__xludf.DUMMYFUNCTION("IFERROR(if(ISBLANK(AQ31),"" "",GOOGLEFINANCE(AP31,""price"")), """")"),312.6)</f>
        <v>312.6</v>
      </c>
      <c r="AT31" s="23">
        <f>IFERROR(__xludf.DUMMYFUNCTION("IFERROR(if(ISBLANK(AQ31),"" "",GOOGLEFINANCE(AP31,""changepct"")), """")"),-2.4)</f>
        <v>-2.4</v>
      </c>
      <c r="AU31" s="45"/>
      <c r="AV31" s="34" t="s">
        <v>669</v>
      </c>
      <c r="AW31" s="38" t="s">
        <v>661</v>
      </c>
      <c r="AX31" s="39" t="str">
        <f>IFERROR(__xludf.DUMMYFUNCTION("IFERROR(if(ISBLANK(AW31),"" "",GOOGLEFINANCE(AV31,""Name"")), """")"),"Kennametal India Ltd")</f>
        <v>Kennametal India Ltd</v>
      </c>
      <c r="AY31" s="21">
        <f>IFERROR(__xludf.DUMMYFUNCTION("IFERROR(if(ISBLANK(AW31),"" "",GOOGLEFINANCE(AV31,""price"")), """")"),3580.0)</f>
        <v>3580</v>
      </c>
      <c r="AZ31" s="23">
        <f>IFERROR(__xludf.DUMMYFUNCTION("IFERROR(if(ISBLANK(AW31),"" "",GOOGLEFINANCE(AV31,""changepct"")), """")"),8.42)</f>
        <v>8.42</v>
      </c>
      <c r="BA31" s="12"/>
      <c r="BB31" s="33" t="s">
        <v>670</v>
      </c>
      <c r="BC31" s="38" t="s">
        <v>661</v>
      </c>
      <c r="BD31" s="39" t="str">
        <f>IFERROR(__xludf.DUMMYFUNCTION("IFERROR(if(ISBLANK(BC31),"" "",GOOGLEFINANCE(BB31,""Name"")), """")"),"Tourism Finance Corporation of India Ltd")</f>
        <v>Tourism Finance Corporation of India Ltd</v>
      </c>
      <c r="BE31" s="21">
        <f>IFERROR(__xludf.DUMMYFUNCTION("IFERROR(if(ISBLANK(BC31),"" "",GOOGLEFINANCE(BB31,""price"")), """")"),115.18)</f>
        <v>115.18</v>
      </c>
      <c r="BF31" s="23">
        <f>IFERROR(__xludf.DUMMYFUNCTION("IFERROR(if(ISBLANK(BC31),"" "",GOOGLEFINANCE(BB31,""changepct"")), """")"),-0.36)</f>
        <v>-0.36</v>
      </c>
      <c r="BG31" s="12"/>
      <c r="BH31" s="35" t="s">
        <v>671</v>
      </c>
      <c r="BI31" s="38" t="s">
        <v>661</v>
      </c>
      <c r="BJ31" s="39" t="str">
        <f>IFERROR(__xludf.DUMMYFUNCTION("IFERROR(if(ISBLANK(BI31),"" "",GOOGLEFINANCE(BH31,""Name"")), """")"),"VST Industries Ltd")</f>
        <v>VST Industries Ltd</v>
      </c>
      <c r="BK31" s="21">
        <f>IFERROR(__xludf.DUMMYFUNCTION("IFERROR(if(ISBLANK(BI31),"" "",GOOGLEFINANCE(BH31,""price"")), """")"),218.69)</f>
        <v>218.69</v>
      </c>
      <c r="BL31" s="23">
        <f>IFERROR(__xludf.DUMMYFUNCTION("IFERROR(if(ISBLANK(BI31),"" "",GOOGLEFINANCE(BH31,""changepct"")), """")"),-0.12)</f>
        <v>-0.12</v>
      </c>
      <c r="BM31" s="12"/>
      <c r="BN31" s="33" t="s">
        <v>672</v>
      </c>
      <c r="BO31" s="38" t="s">
        <v>661</v>
      </c>
      <c r="BP31" s="39" t="str">
        <f>IFERROR(__xludf.DUMMYFUNCTION("IFERROR(if(ISBLANK(BO31),"" "",GOOGLEFINANCE(BN31,""Name"")), """")"),"Nalwa Sons Investments Ltd")</f>
        <v>Nalwa Sons Investments Ltd</v>
      </c>
      <c r="BQ31" s="21">
        <f>IFERROR(__xludf.DUMMYFUNCTION("IFERROR(if(ISBLANK(BO31),"" "",GOOGLEFINANCE(BN31,""price"")), """")"),5537.5)</f>
        <v>5537.5</v>
      </c>
      <c r="BR31" s="23">
        <f>IFERROR(__xludf.DUMMYFUNCTION("IFERROR(if(ISBLANK(BO31),"" "",GOOGLEFINANCE(BN31,""changepct"")), """")"),-1.27)</f>
        <v>-1.27</v>
      </c>
      <c r="BS31" s="22">
        <f>IFERROR(__xludf.DUMMYFUNCTION("IFERROR(if(ISBLANK($C31),"" "",GOOGLEFINANCE($B31,""change"")), """")"),-3.5)</f>
        <v>-3.5</v>
      </c>
      <c r="BT31" s="36"/>
      <c r="BU31" s="27" t="s">
        <v>674</v>
      </c>
      <c r="BV31" s="38" t="s">
        <v>661</v>
      </c>
      <c r="BW31" s="39" t="str">
        <f>IFERROR(__xludf.DUMMYFUNCTION("IFERROR(if(ISBLANK(BV31),"" "",GOOGLEFINANCE(BU31,""Name"")), """")"),"Apollo Pipes Ltd")</f>
        <v>Apollo Pipes Ltd</v>
      </c>
      <c r="BX31" s="21">
        <f>IFERROR(__xludf.DUMMYFUNCTION("IFERROR(if(ISBLANK(BV31),"" "",GOOGLEFINANCE(BU31,""price"")), """")"),513.85)</f>
        <v>513.85</v>
      </c>
      <c r="BY31" s="23">
        <f>IFERROR(__xludf.DUMMYFUNCTION("IFERROR(if(ISBLANK(BV31),"" "",GOOGLEFINANCE(BU31,""changepct"")), """")"),1.14)</f>
        <v>1.14</v>
      </c>
      <c r="BZ31" s="22">
        <f>IFERROR(__xludf.DUMMYFUNCTION("IFERROR(if(ISBLANK($C31),"" "",GOOGLEFINANCE($B31,""change"")), """")"),-3.5)</f>
        <v>-3.5</v>
      </c>
      <c r="CA31" s="37"/>
      <c r="CB31" s="27" t="s">
        <v>675</v>
      </c>
      <c r="CC31" s="38" t="s">
        <v>661</v>
      </c>
      <c r="CD31" s="39" t="str">
        <f>IFERROR(__xludf.DUMMYFUNCTION("IFERROR(if(ISBLANK(CC31),"" "",GOOGLEFINANCE(CB31,""Name"")), """")"),"Suryoday Small Finance Bank Ltd")</f>
        <v>Suryoday Small Finance Bank Ltd</v>
      </c>
      <c r="CE31" s="21">
        <f>IFERROR(__xludf.DUMMYFUNCTION("IFERROR(if(ISBLANK(CC31),"" "",GOOGLEFINANCE(CB31,""price"")), """")"),160.99)</f>
        <v>160.99</v>
      </c>
      <c r="CF31" s="23">
        <f>IFERROR(__xludf.DUMMYFUNCTION("IFERROR(if(ISBLANK(CC31),"" "",GOOGLEFINANCE(CB31,""changepct"")), """")"),-1.63)</f>
        <v>-1.63</v>
      </c>
      <c r="CG31" s="12"/>
      <c r="CH31" s="18" t="s">
        <v>676</v>
      </c>
      <c r="CI31" s="38" t="s">
        <v>661</v>
      </c>
      <c r="CJ31" s="39" t="str">
        <f>IFERROR(__xludf.DUMMYFUNCTION("IFERROR(if(ISBLANK(CI31),"" "",GOOGLEFINANCE(CH31,""Name"")), """")"),"Precision Camshafts Ltd")</f>
        <v>Precision Camshafts Ltd</v>
      </c>
      <c r="CK31" s="21">
        <f>IFERROR(__xludf.DUMMYFUNCTION("IFERROR(if(ISBLANK(CI31),"" "",GOOGLEFINANCE(CH31,""price"")), """")"),134.7)</f>
        <v>134.7</v>
      </c>
      <c r="CL31" s="23">
        <f>IFERROR(__xludf.DUMMYFUNCTION("IFERROR(if(ISBLANK(CI31),"" "",GOOGLEFINANCE(CH31,""changepct"")), """")"),-4.18)</f>
        <v>-4.18</v>
      </c>
      <c r="CM31" s="12"/>
      <c r="CN31" s="33" t="s">
        <v>677</v>
      </c>
      <c r="CO31" s="38" t="s">
        <v>661</v>
      </c>
      <c r="CP31" s="39" t="str">
        <f>IFERROR(__xludf.DUMMYFUNCTION("IFERROR(if(ISBLANK(CO31),"" "",GOOGLEFINANCE(CN31,""Name"")), """")"),"Abans Financial Services Ltd")</f>
        <v>Abans Financial Services Ltd</v>
      </c>
      <c r="CQ31" s="21">
        <f>IFERROR(__xludf.DUMMYFUNCTION("IFERROR(if(ISBLANK(CO31),"" "",GOOGLEFINANCE(CN31,""price"")), """")"),217.5)</f>
        <v>217.5</v>
      </c>
      <c r="CR31" s="23">
        <f>IFERROR(__xludf.DUMMYFUNCTION("IFERROR(if(ISBLANK(CO31),"" "",GOOGLEFINANCE(CN31,""changepct"")), """")"),3.21)</f>
        <v>3.21</v>
      </c>
      <c r="CS31" s="45"/>
      <c r="CT31" s="33" t="s">
        <v>678</v>
      </c>
      <c r="CU31" s="38" t="s">
        <v>661</v>
      </c>
      <c r="CV31" s="39" t="str">
        <f>IFERROR(__xludf.DUMMYFUNCTION("IFERROR(if(ISBLANK(CU31),"" "",GOOGLEFINANCE(CT31,""Name"")), """")"),"Kothari Petrochemicals Ltd")</f>
        <v>Kothari Petrochemicals Ltd</v>
      </c>
      <c r="CW31" s="21">
        <f>IFERROR(__xludf.DUMMYFUNCTION("IFERROR(if(ISBLANK(CU31),"" "",GOOGLEFINANCE(CT31,""price"")), """")"),151.0)</f>
        <v>151</v>
      </c>
      <c r="CX31" s="23">
        <f>IFERROR(__xludf.DUMMYFUNCTION("IFERROR(if(ISBLANK(CU31),"" "",GOOGLEFINANCE(CT31,""changepct"")), """")"),3.67)</f>
        <v>3.67</v>
      </c>
      <c r="CY31" s="17"/>
      <c r="CZ31" s="33" t="s">
        <v>680</v>
      </c>
      <c r="DA31" s="38" t="s">
        <v>661</v>
      </c>
      <c r="DB31" s="39" t="str">
        <f>IFERROR(__xludf.DUMMYFUNCTION("IFERROR(if(ISBLANK(DA31),"" "",GOOGLEFINANCE(CZ31,""Name"")), """")"),"Chemcon Speciality Chemicals Ltd")</f>
        <v>Chemcon Speciality Chemicals Ltd</v>
      </c>
      <c r="DC31" s="21">
        <f>IFERROR(__xludf.DUMMYFUNCTION("IFERROR(if(ISBLANK(DA31),"" "",GOOGLEFINANCE(CZ31,""price"")), """")"),190.01)</f>
        <v>190.01</v>
      </c>
      <c r="DD31" s="23">
        <f>IFERROR(__xludf.DUMMYFUNCTION("IFERROR(if(ISBLANK(DA31),"" "",GOOGLEFINANCE(CZ31,""changepct"")), """")"),0.24)</f>
        <v>0.24</v>
      </c>
      <c r="DE31" s="45"/>
      <c r="DF31" s="12"/>
    </row>
    <row r="32" ht="11.25" customHeight="1">
      <c r="A32" s="17"/>
      <c r="B32" s="18" t="s">
        <v>681</v>
      </c>
      <c r="C32" s="38" t="s">
        <v>682</v>
      </c>
      <c r="D32" s="39" t="str">
        <f>IFERROR(__xludf.DUMMYFUNCTION("IFERROR(if(ISBLANK(C32),"" "",GOOGLEFINANCE(B32,""Name"")), """")"),"Nestle India Ltd")</f>
        <v>Nestle India Ltd</v>
      </c>
      <c r="E32" s="21">
        <f>IFERROR(__xludf.DUMMYFUNCTION("IFERROR(if(ISBLANK(C32),"" "",GOOGLEFINANCE(B32,""price"")), """")"),1498.8)</f>
        <v>1498.8</v>
      </c>
      <c r="F32" s="22">
        <f>IFERROR(__xludf.DUMMYFUNCTION("IFERROR(if(ISBLANK(C32),"" "",GOOGLEFINANCE(B32,""changepct"")), """")"),0.38)</f>
        <v>0.38</v>
      </c>
      <c r="G32" s="23">
        <f>IFERROR(__xludf.DUMMYFUNCTION("IFERROR(if(ISBLANK($C32),"" "",GOOGLEFINANCE($B32,""change"")), """")"),5.6)</f>
        <v>5.6</v>
      </c>
      <c r="H32" s="24"/>
      <c r="I32" s="25" t="s">
        <v>683</v>
      </c>
      <c r="J32" s="38" t="s">
        <v>682</v>
      </c>
      <c r="K32" s="39" t="str">
        <f>IFERROR(__xludf.DUMMYFUNCTION("IFERROR(if(ISBLANK(J32),"" "",GOOGLEFINANCE(I32,""Name"")), """")"),"Federal Bank Ltd")</f>
        <v>Federal Bank Ltd</v>
      </c>
      <c r="L32" s="21">
        <f>IFERROR(__xludf.DUMMYFUNCTION("IFERROR(if(ISBLANK(J32),"" "",GOOGLEFINANCE(I32,""price"")), """")"),355.15)</f>
        <v>355.15</v>
      </c>
      <c r="M32" s="22">
        <f>IFERROR(__xludf.DUMMYFUNCTION("IFERROR(if(ISBLANK(J32),"" "",GOOGLEFINANCE(I32,""changepct"")), """")"),0.17)</f>
        <v>0.17</v>
      </c>
      <c r="N32" s="23">
        <f>IFERROR(__xludf.DUMMYFUNCTION("IFERROR(if(ISBLANK($C32),"" "",GOOGLEFINANCE($B32,""change"")), """")"),5.6)</f>
        <v>5.6</v>
      </c>
      <c r="O32" s="26"/>
      <c r="P32" s="27" t="s">
        <v>684</v>
      </c>
      <c r="Q32" s="38" t="s">
        <v>682</v>
      </c>
      <c r="R32" s="39" t="str">
        <f>IFERROR(__xludf.DUMMYFUNCTION("IFERROR(if(ISBLANK(Q32),"" "",GOOGLEFINANCE(P32,""Name"")), """")"),"PI Industries Ltd")</f>
        <v>PI Industries Ltd</v>
      </c>
      <c r="S32" s="21">
        <f>IFERROR(__xludf.DUMMYFUNCTION("IFERROR(if(ISBLANK(Q32),"" "",GOOGLEFINANCE(P32,""price"")), """")"),2480.0)</f>
        <v>2480</v>
      </c>
      <c r="T32" s="22">
        <f>IFERROR(__xludf.DUMMYFUNCTION("IFERROR(if(ISBLANK(Q32),"" "",GOOGLEFINANCE(P32,""changepct"")), """")"),-9.16)</f>
        <v>-9.16</v>
      </c>
      <c r="U32" s="28"/>
      <c r="V32" s="18" t="s">
        <v>686</v>
      </c>
      <c r="W32" s="38" t="s">
        <v>682</v>
      </c>
      <c r="X32" s="39" t="str">
        <f>IFERROR(__xludf.DUMMYFUNCTION("IFERROR(if(ISBLANK(W32),"" "",GOOGLEFINANCE(V32,""Name"")), """")"),"Cemindia Projects Ltd")</f>
        <v>Cemindia Projects Ltd</v>
      </c>
      <c r="Y32" s="21">
        <f>IFERROR(__xludf.DUMMYFUNCTION("IFERROR(if(ISBLANK(W32),"" "",GOOGLEFINANCE(V32,""price"")), """")"),1255.0)</f>
        <v>1255</v>
      </c>
      <c r="Z32" s="23">
        <f>IFERROR(__xludf.DUMMYFUNCTION("IFERROR(if(ISBLANK(W32),"" "",GOOGLEFINANCE(V32,""changepct"")), """")"),-1.54)</f>
        <v>-1.54</v>
      </c>
      <c r="AA32" s="12"/>
      <c r="AB32" s="18" t="s">
        <v>687</v>
      </c>
      <c r="AC32" s="38" t="s">
        <v>682</v>
      </c>
      <c r="AD32" s="39" t="str">
        <f>IFERROR(__xludf.DUMMYFUNCTION("IFERROR(if(ISBLANK(AC32),"" "",GOOGLEFINANCE(AB32,""Name"")), """")"),"Bharat Coking Coal Ltd")</f>
        <v>Bharat Coking Coal Ltd</v>
      </c>
      <c r="AE32" s="21">
        <f>IFERROR(__xludf.DUMMYFUNCTION("IFERROR(if(ISBLANK(AC32),"" "",GOOGLEFINANCE(AB32,""price"")), """")"),33.83)</f>
        <v>33.83</v>
      </c>
      <c r="AF32" s="23">
        <f>IFERROR(__xludf.DUMMYFUNCTION("IFERROR(if(ISBLANK(AC32),"" "",GOOGLEFINANCE(AB32,""changepct"")), """")"),-0.09)</f>
        <v>-0.09</v>
      </c>
      <c r="AG32" s="45"/>
      <c r="AH32" s="27" t="s">
        <v>688</v>
      </c>
      <c r="AI32" s="38" t="s">
        <v>682</v>
      </c>
      <c r="AJ32" s="39" t="str">
        <f>IFERROR(__xludf.DUMMYFUNCTION("IFERROR(if(ISBLANK(AI32),"" "",GOOGLEFINANCE(AH32,""Name"")), """")"),"Jubilant Ingrevia Ltd")</f>
        <v>Jubilant Ingrevia Ltd</v>
      </c>
      <c r="AK32" s="21">
        <f>IFERROR(__xludf.DUMMYFUNCTION("IFERROR(if(ISBLANK(AI32),"" "",GOOGLEFINANCE(AH32,""price"")), """")"),717.2)</f>
        <v>717.2</v>
      </c>
      <c r="AL32" s="23">
        <f>IFERROR(__xludf.DUMMYFUNCTION("IFERROR(if(ISBLANK(AI32),"" "",GOOGLEFINANCE(AH32,""changepct"")), """")"),-2.17)</f>
        <v>-2.17</v>
      </c>
      <c r="AM32" s="44"/>
      <c r="AN32" s="31" t="s">
        <v>200</v>
      </c>
      <c r="AO32" s="32" t="str">
        <f>IFERROR(__xludf.DUMMYFUNCTION("IFERROR(if(ISBLANK(AN32),"" "",GOOGLEFINANCE(AM32,""Name"")), """")"),"")</f>
        <v/>
      </c>
      <c r="AP32" s="33" t="s">
        <v>689</v>
      </c>
      <c r="AQ32" s="38" t="s">
        <v>682</v>
      </c>
      <c r="AR32" s="39" t="str">
        <f>IFERROR(__xludf.DUMMYFUNCTION("IFERROR(if(ISBLANK(AQ32),"" "",GOOGLEFINANCE(AP32,""Name"")), """")"),"Mahindra Lifespace Developers Ltd")</f>
        <v>Mahindra Lifespace Developers Ltd</v>
      </c>
      <c r="AS32" s="21">
        <f>IFERROR(__xludf.DUMMYFUNCTION("IFERROR(if(ISBLANK(AQ32),"" "",GOOGLEFINANCE(AP32,""price"")), """")"),382.2)</f>
        <v>382.2</v>
      </c>
      <c r="AT32" s="23">
        <f>IFERROR(__xludf.DUMMYFUNCTION("IFERROR(if(ISBLANK(AQ32),"" "",GOOGLEFINANCE(AP32,""changepct"")), """")"),-0.12)</f>
        <v>-0.12</v>
      </c>
      <c r="AU32" s="45"/>
      <c r="AV32" s="34" t="s">
        <v>690</v>
      </c>
      <c r="AW32" s="38" t="s">
        <v>682</v>
      </c>
      <c r="AX32" s="39" t="str">
        <f>IFERROR(__xludf.DUMMYFUNCTION("IFERROR(if(ISBLANK(AW32),"" "",GOOGLEFINANCE(AV32,""Name"")), """")"),"V-Mart Retail Ltd")</f>
        <v>V-Mart Retail Ltd</v>
      </c>
      <c r="AY32" s="21">
        <f>IFERROR(__xludf.DUMMYFUNCTION("IFERROR(if(ISBLANK(AW32),"" "",GOOGLEFINANCE(AV32,""price"")), """")"),801.6)</f>
        <v>801.6</v>
      </c>
      <c r="AZ32" s="23">
        <f>IFERROR(__xludf.DUMMYFUNCTION("IFERROR(if(ISBLANK(AW32),"" "",GOOGLEFINANCE(AV32,""changepct"")), """")"),-1.61)</f>
        <v>-1.61</v>
      </c>
      <c r="BA32" s="12"/>
      <c r="BB32" s="33" t="s">
        <v>692</v>
      </c>
      <c r="BC32" s="38" t="s">
        <v>682</v>
      </c>
      <c r="BD32" s="39" t="str">
        <f>IFERROR(__xludf.DUMMYFUNCTION("IFERROR(if(ISBLANK(BC32),"" "",GOOGLEFINANCE(BB32,""Name"")), """")"),"Universal Cables Ltd")</f>
        <v>Universal Cables Ltd</v>
      </c>
      <c r="BE32" s="21">
        <f>IFERROR(__xludf.DUMMYFUNCTION("IFERROR(if(ISBLANK(BC32),"" "",GOOGLEFINANCE(BB32,""price"")), """")"),1700.2)</f>
        <v>1700.2</v>
      </c>
      <c r="BF32" s="23">
        <f>IFERROR(__xludf.DUMMYFUNCTION("IFERROR(if(ISBLANK(BC32),"" "",GOOGLEFINANCE(BB32,""changepct"")), """")"),1.84)</f>
        <v>1.84</v>
      </c>
      <c r="BG32" s="12"/>
      <c r="BH32" s="35" t="s">
        <v>693</v>
      </c>
      <c r="BI32" s="38" t="s">
        <v>682</v>
      </c>
      <c r="BJ32" s="39" t="str">
        <f>IFERROR(__xludf.DUMMYFUNCTION("IFERROR(if(ISBLANK(BI32),"" "",GOOGLEFINANCE(BH32,""Name"")), """")"),"West Coast Paper Mills Ltd")</f>
        <v>West Coast Paper Mills Ltd</v>
      </c>
      <c r="BK32" s="21">
        <f>IFERROR(__xludf.DUMMYFUNCTION("IFERROR(if(ISBLANK(BI32),"" "",GOOGLEFINANCE(BH32,""price"")), """")"),616.9)</f>
        <v>616.9</v>
      </c>
      <c r="BL32" s="23">
        <f>IFERROR(__xludf.DUMMYFUNCTION("IFERROR(if(ISBLANK(BI32),"" "",GOOGLEFINANCE(BH32,""changepct"")), """")"),3.32)</f>
        <v>3.32</v>
      </c>
      <c r="BM32" s="12"/>
      <c r="BN32" s="33" t="s">
        <v>694</v>
      </c>
      <c r="BO32" s="38" t="s">
        <v>682</v>
      </c>
      <c r="BP32" s="39" t="str">
        <f>IFERROR(__xludf.DUMMYFUNCTION("IFERROR(if(ISBLANK(BO32),"" "",GOOGLEFINANCE(BN32,""Name"")), """")"),"Ramco Industries Ltd")</f>
        <v>Ramco Industries Ltd</v>
      </c>
      <c r="BQ32" s="21">
        <f>IFERROR(__xludf.DUMMYFUNCTION("IFERROR(if(ISBLANK(BO32),"" "",GOOGLEFINANCE(BN32,""price"")), """")"),358.0)</f>
        <v>358</v>
      </c>
      <c r="BR32" s="23">
        <f>IFERROR(__xludf.DUMMYFUNCTION("IFERROR(if(ISBLANK(BO32),"" "",GOOGLEFINANCE(BN32,""changepct"")), """")"),-3.4)</f>
        <v>-3.4</v>
      </c>
      <c r="BS32" s="22">
        <f>IFERROR(__xludf.DUMMYFUNCTION("IFERROR(if(ISBLANK($C32),"" "",GOOGLEFINANCE($B32,""change"")), """")"),5.6)</f>
        <v>5.6</v>
      </c>
      <c r="BT32" s="36"/>
      <c r="BU32" s="27" t="s">
        <v>695</v>
      </c>
      <c r="BV32" s="38" t="s">
        <v>682</v>
      </c>
      <c r="BW32" s="39" t="str">
        <f>IFERROR(__xludf.DUMMYFUNCTION("IFERROR(if(ISBLANK(BV32),"" "",GOOGLEFINANCE(BU32,""Name"")), """")"),"Brigade Hotel Ventures Ltd")</f>
        <v>Brigade Hotel Ventures Ltd</v>
      </c>
      <c r="BX32" s="21">
        <f>IFERROR(__xludf.DUMMYFUNCTION("IFERROR(if(ISBLANK(BV32),"" "",GOOGLEFINANCE(BU32,""price"")), """")"),59.0)</f>
        <v>59</v>
      </c>
      <c r="BY32" s="23">
        <f>IFERROR(__xludf.DUMMYFUNCTION("IFERROR(if(ISBLANK(BV32),"" "",GOOGLEFINANCE(BU32,""changepct"")), """")"),-1.34)</f>
        <v>-1.34</v>
      </c>
      <c r="BZ32" s="22">
        <f>IFERROR(__xludf.DUMMYFUNCTION("IFERROR(if(ISBLANK($C32),"" "",GOOGLEFINANCE($B32,""change"")), """")"),5.6)</f>
        <v>5.6</v>
      </c>
      <c r="CA32" s="37"/>
      <c r="CB32" s="27" t="s">
        <v>696</v>
      </c>
      <c r="CC32" s="38" t="s">
        <v>682</v>
      </c>
      <c r="CD32" s="39" t="str">
        <f>IFERROR(__xludf.DUMMYFUNCTION("IFERROR(if(ISBLANK(CC32),"" "",GOOGLEFINANCE(CB32,""Name"")), """")"),"Hi-Tech Pipes Ltd")</f>
        <v>Hi-Tech Pipes Ltd</v>
      </c>
      <c r="CE32" s="21">
        <f>IFERROR(__xludf.DUMMYFUNCTION("IFERROR(if(ISBLANK(CC32),"" "",GOOGLEFINANCE(CB32,""price"")), """")"),77.96)</f>
        <v>77.96</v>
      </c>
      <c r="CF32" s="23">
        <f>IFERROR(__xludf.DUMMYFUNCTION("IFERROR(if(ISBLANK(CC32),"" "",GOOGLEFINANCE(CB32,""changepct"")), """")"),-7.39)</f>
        <v>-7.39</v>
      </c>
      <c r="CG32" s="12"/>
      <c r="CH32" s="18" t="s">
        <v>697</v>
      </c>
      <c r="CI32" s="38" t="s">
        <v>682</v>
      </c>
      <c r="CJ32" s="39" t="str">
        <f>IFERROR(__xludf.DUMMYFUNCTION("IFERROR(if(ISBLANK(CI32),"" "",GOOGLEFINANCE(CH32,""Name"")), """")"),"Capital Small Finance Bank Ltd")</f>
        <v>Capital Small Finance Bank Ltd</v>
      </c>
      <c r="CK32" s="21">
        <f>IFERROR(__xludf.DUMMYFUNCTION("IFERROR(if(ISBLANK(CI32),"" "",GOOGLEFINANCE(CH32,""price"")), """")"),291.5)</f>
        <v>291.5</v>
      </c>
      <c r="CL32" s="23">
        <f>IFERROR(__xludf.DUMMYFUNCTION("IFERROR(if(ISBLANK(CI32),"" "",GOOGLEFINANCE(CH32,""changepct"")), """")"),-1.25)</f>
        <v>-1.25</v>
      </c>
      <c r="CM32" s="12"/>
      <c r="CN32" s="33" t="s">
        <v>699</v>
      </c>
      <c r="CO32" s="38" t="s">
        <v>682</v>
      </c>
      <c r="CP32" s="39" t="str">
        <f>IFERROR(__xludf.DUMMYFUNCTION("IFERROR(if(ISBLANK(CO32),"" "",GOOGLEFINANCE(CN32,""Name"")), """")"),"Salasar Techno Engineering Ltd")</f>
        <v>Salasar Techno Engineering Ltd</v>
      </c>
      <c r="CQ32" s="21">
        <f>IFERROR(__xludf.DUMMYFUNCTION("IFERROR(if(ISBLANK(CO32),"" "",GOOGLEFINANCE(CN32,""price"")), """")"),5.79)</f>
        <v>5.79</v>
      </c>
      <c r="CR32" s="23">
        <f>IFERROR(__xludf.DUMMYFUNCTION("IFERROR(if(ISBLANK(CO32),"" "",GOOGLEFINANCE(CN32,""changepct"")), """")"),0.0)</f>
        <v>0</v>
      </c>
      <c r="CS32" s="45"/>
      <c r="CT32" s="33" t="s">
        <v>700</v>
      </c>
      <c r="CU32" s="38" t="s">
        <v>682</v>
      </c>
      <c r="CV32" s="39" t="str">
        <f>IFERROR(__xludf.DUMMYFUNCTION("IFERROR(if(ISBLANK(CU32),"" "",GOOGLEFINANCE(CT32,""Name"")), """")"),"Manoj Vaibhav Gems N Jewellers Ltd")</f>
        <v>Manoj Vaibhav Gems N Jewellers Ltd</v>
      </c>
      <c r="CW32" s="21">
        <f>IFERROR(__xludf.DUMMYFUNCTION("IFERROR(if(ISBLANK(CU32),"" "",GOOGLEFINANCE(CT32,""price"")), """")"),156.4)</f>
        <v>156.4</v>
      </c>
      <c r="CX32" s="23">
        <f>IFERROR(__xludf.DUMMYFUNCTION("IFERROR(if(ISBLANK(CU32),"" "",GOOGLEFINANCE(CT32,""changepct"")), """")"),-3.58)</f>
        <v>-3.58</v>
      </c>
      <c r="CY32" s="17"/>
      <c r="CZ32" s="33" t="s">
        <v>701</v>
      </c>
      <c r="DA32" s="38" t="s">
        <v>682</v>
      </c>
      <c r="DB32" s="39" t="str">
        <f>IFERROR(__xludf.DUMMYFUNCTION("IFERROR(if(ISBLANK(DA32),"" "",GOOGLEFINANCE(CZ32,""Name"")), """")"),"Speciality Restaurants Ltd")</f>
        <v>Speciality Restaurants Ltd</v>
      </c>
      <c r="DC32" s="21">
        <f>IFERROR(__xludf.DUMMYFUNCTION("IFERROR(if(ISBLANK(DA32),"" "",GOOGLEFINANCE(CZ32,""price"")), """")"),159.0)</f>
        <v>159</v>
      </c>
      <c r="DD32" s="23">
        <f>IFERROR(__xludf.DUMMYFUNCTION("IFERROR(if(ISBLANK(DA32),"" "",GOOGLEFINANCE(CZ32,""changepct"")), """")"),0.25)</f>
        <v>0.25</v>
      </c>
      <c r="DE32" s="45"/>
      <c r="DF32" s="12"/>
    </row>
    <row r="33" ht="11.25" customHeight="1">
      <c r="A33" s="17"/>
      <c r="B33" s="18" t="s">
        <v>702</v>
      </c>
      <c r="C33" s="38" t="s">
        <v>703</v>
      </c>
      <c r="D33" s="39" t="str">
        <f>IFERROR(__xludf.DUMMYFUNCTION("IFERROR(if(ISBLANK(C33),"" "",GOOGLEFINANCE(B33,""Name"")), """")"),"Bharat Electronics Ltd")</f>
        <v>Bharat Electronics Ltd</v>
      </c>
      <c r="E33" s="21">
        <f>IFERROR(__xludf.DUMMYFUNCTION("IFERROR(if(ISBLANK(C33),"" "",GOOGLEFINANCE(B33,""price"")), """")"),404.3)</f>
        <v>404.3</v>
      </c>
      <c r="F33" s="22">
        <f>IFERROR(__xludf.DUMMYFUNCTION("IFERROR(if(ISBLANK(C33),"" "",GOOGLEFINANCE(B33,""changepct"")), """")"),-0.38)</f>
        <v>-0.38</v>
      </c>
      <c r="G33" s="23">
        <f>IFERROR(__xludf.DUMMYFUNCTION("IFERROR(if(ISBLANK($C33),"" "",GOOGLEFINANCE($B33,""change"")), """")"),-1.55)</f>
        <v>-1.55</v>
      </c>
      <c r="H33" s="24"/>
      <c r="I33" s="25" t="s">
        <v>704</v>
      </c>
      <c r="J33" s="38" t="s">
        <v>703</v>
      </c>
      <c r="K33" s="39" t="str">
        <f>IFERROR(__xludf.DUMMYFUNCTION("IFERROR(if(ISBLANK(J33),"" "",GOOGLEFINANCE(I33,""Name"")), """")"),"Persistent Systems Ltd")</f>
        <v>Persistent Systems Ltd</v>
      </c>
      <c r="L33" s="21">
        <f>IFERROR(__xludf.DUMMYFUNCTION("IFERROR(if(ISBLANK(J33),"" "",GOOGLEFINANCE(I33,""price"")), """")"),5465.0)</f>
        <v>5465</v>
      </c>
      <c r="M33" s="22">
        <f>IFERROR(__xludf.DUMMYFUNCTION("IFERROR(if(ISBLANK(J33),"" "",GOOGLEFINANCE(I33,""changepct"")), """")"),-1.28)</f>
        <v>-1.28</v>
      </c>
      <c r="N33" s="23">
        <f>IFERROR(__xludf.DUMMYFUNCTION("IFERROR(if(ISBLANK($C33),"" "",GOOGLEFINANCE($B33,""change"")), """")"),-1.55)</f>
        <v>-1.55</v>
      </c>
      <c r="O33" s="26"/>
      <c r="P33" s="27" t="s">
        <v>706</v>
      </c>
      <c r="Q33" s="38" t="s">
        <v>703</v>
      </c>
      <c r="R33" s="39" t="str">
        <f>IFERROR(__xludf.DUMMYFUNCTION("IFERROR(if(ISBLANK(Q33),"" "",GOOGLEFINANCE(P33,""Name"")), """")"),"Narayana Hrudayalaya Ltd")</f>
        <v>Narayana Hrudayalaya Ltd</v>
      </c>
      <c r="S33" s="21">
        <f>IFERROR(__xludf.DUMMYFUNCTION("IFERROR(if(ISBLANK(Q33),"" "",GOOGLEFINANCE(P33,""price"")), """")"),1836.0)</f>
        <v>1836</v>
      </c>
      <c r="T33" s="22">
        <f>IFERROR(__xludf.DUMMYFUNCTION("IFERROR(if(ISBLANK(Q33),"" "",GOOGLEFINANCE(P33,""changepct"")), """")"),-0.69)</f>
        <v>-0.69</v>
      </c>
      <c r="U33" s="28"/>
      <c r="V33" s="18" t="s">
        <v>707</v>
      </c>
      <c r="W33" s="38" t="s">
        <v>703</v>
      </c>
      <c r="X33" s="39" t="str">
        <f>IFERROR(__xludf.DUMMYFUNCTION("IFERROR(if(ISBLANK(W33),"" "",GOOGLEFINANCE(V33,""Name"")), """")"),"Grindwell Norton Ltd")</f>
        <v>Grindwell Norton Ltd</v>
      </c>
      <c r="Y33" s="21">
        <f>IFERROR(__xludf.DUMMYFUNCTION("IFERROR(if(ISBLANK(W33),"" "",GOOGLEFINANCE(V33,""price"")), """")"),2103.0)</f>
        <v>2103</v>
      </c>
      <c r="Z33" s="23">
        <f>IFERROR(__xludf.DUMMYFUNCTION("IFERROR(if(ISBLANK(W33),"" "",GOOGLEFINANCE(V33,""changepct"")), """")"),1.07)</f>
        <v>1.07</v>
      </c>
      <c r="AA33" s="12"/>
      <c r="AB33" s="18" t="s">
        <v>708</v>
      </c>
      <c r="AC33" s="38" t="s">
        <v>703</v>
      </c>
      <c r="AD33" s="39" t="str">
        <f>IFERROR(__xludf.DUMMYFUNCTION("IFERROR(if(ISBLANK(AC33),"" "",GOOGLEFINANCE(AB33,""Name"")), """")"),"BASF India Ltd")</f>
        <v>BASF India Ltd</v>
      </c>
      <c r="AE33" s="21">
        <f>IFERROR(__xludf.DUMMYFUNCTION("IFERROR(if(ISBLANK(AC33),"" "",GOOGLEFINANCE(AB33,""price"")), """")"),3992.0)</f>
        <v>3992</v>
      </c>
      <c r="AF33" s="23">
        <f>IFERROR(__xludf.DUMMYFUNCTION("IFERROR(if(ISBLANK(AC33),"" "",GOOGLEFINANCE(AB33,""changepct"")), """")"),-1.12)</f>
        <v>-1.12</v>
      </c>
      <c r="AG33" s="45"/>
      <c r="AH33" s="27" t="s">
        <v>709</v>
      </c>
      <c r="AI33" s="38" t="s">
        <v>703</v>
      </c>
      <c r="AJ33" s="39" t="str">
        <f>IFERROR(__xludf.DUMMYFUNCTION("IFERROR(if(ISBLANK(AI33),"" "",GOOGLEFINANCE(AH33,""Name"")), """")"),"Marksans Pharma Ltd")</f>
        <v>Marksans Pharma Ltd</v>
      </c>
      <c r="AK33" s="21">
        <f>IFERROR(__xludf.DUMMYFUNCTION("IFERROR(if(ISBLANK(AI33),"" "",GOOGLEFINANCE(AH33,""price"")), """")"),309.7)</f>
        <v>309.7</v>
      </c>
      <c r="AL33" s="23">
        <f>IFERROR(__xludf.DUMMYFUNCTION("IFERROR(if(ISBLANK(AI33),"" "",GOOGLEFINANCE(AH33,""changepct"")), """")"),11.02)</f>
        <v>11.02</v>
      </c>
      <c r="AM33" s="44"/>
      <c r="AN33" s="31" t="s">
        <v>200</v>
      </c>
      <c r="AO33" s="32" t="str">
        <f>IFERROR(__xludf.DUMMYFUNCTION("IFERROR(if(ISBLANK(AN33),"" "",GOOGLEFINANCE(AM33,""Name"")), """")"),"")</f>
        <v/>
      </c>
      <c r="AP33" s="33" t="s">
        <v>710</v>
      </c>
      <c r="AQ33" s="38" t="s">
        <v>703</v>
      </c>
      <c r="AR33" s="39" t="str">
        <f>IFERROR(__xludf.DUMMYFUNCTION("IFERROR(if(ISBLANK(AQ33),"" "",GOOGLEFINANCE(AP33,""Name"")), """")"),"Jayaswal Neco Industries Ltd")</f>
        <v>Jayaswal Neco Industries Ltd</v>
      </c>
      <c r="AS33" s="21">
        <f>IFERROR(__xludf.DUMMYFUNCTION("IFERROR(if(ISBLANK(AQ33),"" "",GOOGLEFINANCE(AP33,""price"")), """")"),90.34)</f>
        <v>90.34</v>
      </c>
      <c r="AT33" s="23">
        <f>IFERROR(__xludf.DUMMYFUNCTION("IFERROR(if(ISBLANK(AQ33),"" "",GOOGLEFINANCE(AP33,""changepct"")), """")"),-2.86)</f>
        <v>-2.86</v>
      </c>
      <c r="AU33" s="45"/>
      <c r="AV33" s="34" t="s">
        <v>711</v>
      </c>
      <c r="AW33" s="38" t="s">
        <v>703</v>
      </c>
      <c r="AX33" s="39" t="str">
        <f>IFERROR(__xludf.DUMMYFUNCTION("IFERROR(if(ISBLANK(AW33),"" "",GOOGLEFINANCE(AV33,""Name"")), """")"),"Ganesh Housing Ltd")</f>
        <v>Ganesh Housing Ltd</v>
      </c>
      <c r="AY33" s="21">
        <f>IFERROR(__xludf.DUMMYFUNCTION("IFERROR(if(ISBLANK(AW33),"" "",GOOGLEFINANCE(AV33,""price"")), """")"),762.0)</f>
        <v>762</v>
      </c>
      <c r="AZ33" s="23">
        <f>IFERROR(__xludf.DUMMYFUNCTION("IFERROR(if(ISBLANK(AW33),"" "",GOOGLEFINANCE(AV33,""changepct"")), """")"),-0.26)</f>
        <v>-0.26</v>
      </c>
      <c r="BA33" s="12"/>
      <c r="BB33" s="33" t="s">
        <v>713</v>
      </c>
      <c r="BC33" s="38" t="s">
        <v>703</v>
      </c>
      <c r="BD33" s="39" t="str">
        <f>IFERROR(__xludf.DUMMYFUNCTION("IFERROR(if(ISBLANK(BC33),"" "",GOOGLEFINANCE(BB33,""Name"")), """")"),"Epigral Ltd")</f>
        <v>Epigral Ltd</v>
      </c>
      <c r="BE33" s="21">
        <f>IFERROR(__xludf.DUMMYFUNCTION("IFERROR(if(ISBLANK(BC33),"" "",GOOGLEFINANCE(BB33,""price"")), """")"),1098.4)</f>
        <v>1098.4</v>
      </c>
      <c r="BF33" s="23">
        <f>IFERROR(__xludf.DUMMYFUNCTION("IFERROR(if(ISBLANK(BC33),"" "",GOOGLEFINANCE(BB33,""changepct"")), """")"),-0.77)</f>
        <v>-0.77</v>
      </c>
      <c r="BG33" s="12"/>
      <c r="BH33" s="35" t="s">
        <v>714</v>
      </c>
      <c r="BI33" s="38" t="s">
        <v>703</v>
      </c>
      <c r="BJ33" s="39" t="str">
        <f>IFERROR(__xludf.DUMMYFUNCTION("IFERROR(if(ISBLANK(BI33),"" "",GOOGLEFINANCE(BH33,""Name"")), """")"),"Oswal Pumps Ltd")</f>
        <v>Oswal Pumps Ltd</v>
      </c>
      <c r="BK33" s="21">
        <f>IFERROR(__xludf.DUMMYFUNCTION("IFERROR(if(ISBLANK(BI33),"" "",GOOGLEFINANCE(BH33,""price"")), """")"),301.2)</f>
        <v>301.2</v>
      </c>
      <c r="BL33" s="23">
        <f>IFERROR(__xludf.DUMMYFUNCTION("IFERROR(if(ISBLANK(BI33),"" "",GOOGLEFINANCE(BH33,""changepct"")), """")"),-1.68)</f>
        <v>-1.68</v>
      </c>
      <c r="BM33" s="12"/>
      <c r="BN33" s="33" t="s">
        <v>715</v>
      </c>
      <c r="BO33" s="38" t="s">
        <v>703</v>
      </c>
      <c r="BP33" s="39" t="str">
        <f>IFERROR(__xludf.DUMMYFUNCTION("IFERROR(if(ISBLANK(BO33),"" "",GOOGLEFINANCE(BN33,""Name"")), """")"),"Borosil Ltd")</f>
        <v>Borosil Ltd</v>
      </c>
      <c r="BQ33" s="21">
        <f>IFERROR(__xludf.DUMMYFUNCTION("IFERROR(if(ISBLANK(BO33),"" "",GOOGLEFINANCE(BN33,""price"")), """")"),244.45)</f>
        <v>244.45</v>
      </c>
      <c r="BR33" s="23">
        <f>IFERROR(__xludf.DUMMYFUNCTION("IFERROR(if(ISBLANK(BO33),"" "",GOOGLEFINANCE(BN33,""changepct"")), """")"),-0.08)</f>
        <v>-0.08</v>
      </c>
      <c r="BS33" s="22">
        <f>IFERROR(__xludf.DUMMYFUNCTION("IFERROR(if(ISBLANK($C33),"" "",GOOGLEFINANCE($B33,""change"")), """")"),-1.55)</f>
        <v>-1.55</v>
      </c>
      <c r="BT33" s="36"/>
      <c r="BU33" s="27" t="s">
        <v>716</v>
      </c>
      <c r="BV33" s="38" t="s">
        <v>703</v>
      </c>
      <c r="BW33" s="39" t="str">
        <f>IFERROR(__xludf.DUMMYFUNCTION("IFERROR(if(ISBLANK(BV33),"" "",GOOGLEFINANCE(BU33,""Name"")), """")"),"Huhtamaki India Ltd")</f>
        <v>Huhtamaki India Ltd</v>
      </c>
      <c r="BX33" s="21">
        <f>IFERROR(__xludf.DUMMYFUNCTION("IFERROR(if(ISBLANK(BV33),"" "",GOOGLEFINANCE(BU33,""price"")), """")"),279.0)</f>
        <v>279</v>
      </c>
      <c r="BY33" s="23">
        <f>IFERROR(__xludf.DUMMYFUNCTION("IFERROR(if(ISBLANK(BV33),"" "",GOOGLEFINANCE(BU33,""changepct"")), """")"),-4.34)</f>
        <v>-4.34</v>
      </c>
      <c r="BZ33" s="22">
        <f>IFERROR(__xludf.DUMMYFUNCTION("IFERROR(if(ISBLANK($C33),"" "",GOOGLEFINANCE($B33,""change"")), """")"),-1.55)</f>
        <v>-1.55</v>
      </c>
      <c r="CA33" s="37"/>
      <c r="CB33" s="27" t="s">
        <v>717</v>
      </c>
      <c r="CC33" s="38" t="s">
        <v>703</v>
      </c>
      <c r="CD33" s="39" t="str">
        <f>IFERROR(__xludf.DUMMYFUNCTION("IFERROR(if(ISBLANK(CC33),"" "",GOOGLEFINANCE(CB33,""Name"")), """")"),"Kothari Industrial Corp Ltd")</f>
        <v>Kothari Industrial Corp Ltd</v>
      </c>
      <c r="CE33" s="21">
        <f>IFERROR(__xludf.DUMMYFUNCTION("IFERROR(if(ISBLANK(CC33),"" "",GOOGLEFINANCE(CB33,""price"")), """")"),147.01)</f>
        <v>147.01</v>
      </c>
      <c r="CF33" s="23">
        <f>IFERROR(__xludf.DUMMYFUNCTION("IFERROR(if(ISBLANK(CC33),"" "",GOOGLEFINANCE(CB33,""changepct"")), """")"),-1.95)</f>
        <v>-1.95</v>
      </c>
      <c r="CG33" s="12"/>
      <c r="CH33" s="18" t="s">
        <v>719</v>
      </c>
      <c r="CI33" s="38" t="s">
        <v>703</v>
      </c>
      <c r="CJ33" s="39" t="str">
        <f>IFERROR(__xludf.DUMMYFUNCTION("IFERROR(if(ISBLANK(CI33),"" "",GOOGLEFINANCE(CH33,""Name"")), """")"),"FINO Payments Bank Ltd")</f>
        <v>FINO Payments Bank Ltd</v>
      </c>
      <c r="CK33" s="21">
        <f>IFERROR(__xludf.DUMMYFUNCTION("IFERROR(if(ISBLANK(CI33),"" "",GOOGLEFINANCE(CH33,""price"")), """")"),159.5)</f>
        <v>159.5</v>
      </c>
      <c r="CL33" s="23">
        <f>IFERROR(__xludf.DUMMYFUNCTION("IFERROR(if(ISBLANK(CI33),"" "",GOOGLEFINANCE(CH33,""changepct"")), """")"),-1.83)</f>
        <v>-1.83</v>
      </c>
      <c r="CM33" s="12"/>
      <c r="CN33" s="33" t="s">
        <v>720</v>
      </c>
      <c r="CO33" s="38" t="s">
        <v>703</v>
      </c>
      <c r="CP33" s="39" t="str">
        <f>IFERROR(__xludf.DUMMYFUNCTION("IFERROR(if(ISBLANK(CO33),"" "",GOOGLEFINANCE(CN33,""Name"")), """")"),"Balaji Telefilms Ltd")</f>
        <v>Balaji Telefilms Ltd</v>
      </c>
      <c r="CQ33" s="21">
        <f>IFERROR(__xludf.DUMMYFUNCTION("IFERROR(if(ISBLANK(CO33),"" "",GOOGLEFINANCE(CN33,""price"")), """")"),90.7)</f>
        <v>90.7</v>
      </c>
      <c r="CR33" s="23">
        <f>IFERROR(__xludf.DUMMYFUNCTION("IFERROR(if(ISBLANK(CO33),"" "",GOOGLEFINANCE(CN33,""changepct"")), """")"),-0.07)</f>
        <v>-0.07</v>
      </c>
      <c r="CS33" s="45"/>
      <c r="CT33" s="33" t="s">
        <v>721</v>
      </c>
      <c r="CU33" s="38" t="s">
        <v>703</v>
      </c>
      <c r="CV33" s="39" t="str">
        <f>IFERROR(__xludf.DUMMYFUNCTION("IFERROR(if(ISBLANK(CU33),"" "",GOOGLEFINANCE(CT33,""Name"")), """")"),"Advit Jewels Ltd")</f>
        <v>Advit Jewels Ltd</v>
      </c>
      <c r="CW33" s="21">
        <f>IFERROR(__xludf.DUMMYFUNCTION("IFERROR(if(ISBLANK(CU33),"" "",GOOGLEFINANCE(CT33,""price"")), """")"),185.42)</f>
        <v>185.42</v>
      </c>
      <c r="CX33" s="23">
        <f>IFERROR(__xludf.DUMMYFUNCTION("IFERROR(if(ISBLANK(CU33),"" "",GOOGLEFINANCE(CT33,""changepct"")), """")"),-1.17)</f>
        <v>-1.17</v>
      </c>
      <c r="CY33" s="17"/>
      <c r="CZ33" s="33" t="s">
        <v>722</v>
      </c>
      <c r="DA33" s="38" t="s">
        <v>703</v>
      </c>
      <c r="DB33" s="39" t="str">
        <f>IFERROR(__xludf.DUMMYFUNCTION("IFERROR(if(ISBLANK(DA33),"" "",GOOGLEFINANCE(CZ33,""Name"")), """")"),"A B Infrabuild Ltd")</f>
        <v>A B Infrabuild Ltd</v>
      </c>
      <c r="DC33" s="21">
        <f>IFERROR(__xludf.DUMMYFUNCTION("IFERROR(if(ISBLANK(DA33),"" "",GOOGLEFINANCE(CZ33,""price"")), """")"),11.16)</f>
        <v>11.16</v>
      </c>
      <c r="DD33" s="23">
        <f>IFERROR(__xludf.DUMMYFUNCTION("IFERROR(if(ISBLANK(DA33),"" "",GOOGLEFINANCE(CZ33,""changepct"")), """")"),3.24)</f>
        <v>3.24</v>
      </c>
      <c r="DE33" s="45"/>
      <c r="DF33" s="12"/>
    </row>
    <row r="34" ht="11.25" customHeight="1">
      <c r="A34" s="17"/>
      <c r="B34" s="18" t="s">
        <v>723</v>
      </c>
      <c r="C34" s="38" t="s">
        <v>724</v>
      </c>
      <c r="D34" s="39" t="str">
        <f>IFERROR(__xludf.DUMMYFUNCTION("IFERROR(if(ISBLANK(C34),"" "",GOOGLEFINANCE(B34,""Name"")), """")"),"Power Grid Corporation of India Ltd")</f>
        <v>Power Grid Corporation of India Ltd</v>
      </c>
      <c r="E34" s="21">
        <f>IFERROR(__xludf.DUMMYFUNCTION("IFERROR(if(ISBLANK(C34),"" "",GOOGLEFINANCE(B34,""price"")), """")"),269.0)</f>
        <v>269</v>
      </c>
      <c r="F34" s="22">
        <f>IFERROR(__xludf.DUMMYFUNCTION("IFERROR(if(ISBLANK(C34),"" "",GOOGLEFINANCE(B34,""changepct"")), """")"),0.39)</f>
        <v>0.39</v>
      </c>
      <c r="G34" s="23">
        <f>IFERROR(__xludf.DUMMYFUNCTION("IFERROR(if(ISBLANK($C34),"" "",GOOGLEFINANCE($B34,""change"")), """")"),1.05)</f>
        <v>1.05</v>
      </c>
      <c r="H34" s="24"/>
      <c r="I34" s="25" t="s">
        <v>726</v>
      </c>
      <c r="J34" s="38" t="s">
        <v>724</v>
      </c>
      <c r="K34" s="39" t="str">
        <f>IFERROR(__xludf.DUMMYFUNCTION("IFERROR(if(ISBLANK(J34),"" "",GOOGLEFINANCE(I34,""Name"")), """")"),"One 97 Communications Ltd")</f>
        <v>One 97 Communications Ltd</v>
      </c>
      <c r="L34" s="21">
        <f>IFERROR(__xludf.DUMMYFUNCTION("IFERROR(if(ISBLANK(J34),"" "",GOOGLEFINANCE(I34,""price"")), """")"),1602.3)</f>
        <v>1602.3</v>
      </c>
      <c r="M34" s="22">
        <f>IFERROR(__xludf.DUMMYFUNCTION("IFERROR(if(ISBLANK(J34),"" "",GOOGLEFINANCE(I34,""changepct"")), """")"),0.54)</f>
        <v>0.54</v>
      </c>
      <c r="N34" s="23">
        <f>IFERROR(__xludf.DUMMYFUNCTION("IFERROR(if(ISBLANK($C34),"" "",GOOGLEFINANCE($B34,""change"")), """")"),1.05)</f>
        <v>1.05</v>
      </c>
      <c r="O34" s="26"/>
      <c r="P34" s="27" t="s">
        <v>727</v>
      </c>
      <c r="Q34" s="38" t="s">
        <v>724</v>
      </c>
      <c r="R34" s="39" t="str">
        <f>IFERROR(__xludf.DUMMYFUNCTION("IFERROR(if(ISBLANK(Q34),"" "",GOOGLEFINANCE(P34,""Name"")), """")"),"NLC India Ltd")</f>
        <v>NLC India Ltd</v>
      </c>
      <c r="S34" s="21">
        <f>IFERROR(__xludf.DUMMYFUNCTION("IFERROR(if(ISBLANK(Q34),"" "",GOOGLEFINANCE(P34,""price"")), """")"),275.0)</f>
        <v>275</v>
      </c>
      <c r="T34" s="22">
        <f>IFERROR(__xludf.DUMMYFUNCTION("IFERROR(if(ISBLANK(Q34),"" "",GOOGLEFINANCE(P34,""changepct"")), """")"),-3.86)</f>
        <v>-3.86</v>
      </c>
      <c r="U34" s="28"/>
      <c r="V34" s="18" t="s">
        <v>728</v>
      </c>
      <c r="W34" s="38" t="s">
        <v>724</v>
      </c>
      <c r="X34" s="39" t="str">
        <f>IFERROR(__xludf.DUMMYFUNCTION("IFERROR(if(ISBLANK(W34),"" "",GOOGLEFINANCE(V34,""Name"")), """")"),"Go Digit General Insurance Ltd")</f>
        <v>Go Digit General Insurance Ltd</v>
      </c>
      <c r="Y34" s="21">
        <f>IFERROR(__xludf.DUMMYFUNCTION("IFERROR(if(ISBLANK(W34),"" "",GOOGLEFINANCE(V34,""price"")), """")"),262.05)</f>
        <v>262.05</v>
      </c>
      <c r="Z34" s="23">
        <f>IFERROR(__xludf.DUMMYFUNCTION("IFERROR(if(ISBLANK(W34),"" "",GOOGLEFINANCE(V34,""changepct"")), """")"),-1.19)</f>
        <v>-1.19</v>
      </c>
      <c r="AA34" s="12"/>
      <c r="AB34" s="18" t="s">
        <v>729</v>
      </c>
      <c r="AC34" s="38" t="s">
        <v>724</v>
      </c>
      <c r="AD34" s="39" t="str">
        <f>IFERROR(__xludf.DUMMYFUNCTION("IFERROR(if(ISBLANK(AC34),"" "",GOOGLEFINANCE(AB34,""Name"")), """")"),"Nava Limited")</f>
        <v>Nava Limited</v>
      </c>
      <c r="AE34" s="21">
        <f>IFERROR(__xludf.DUMMYFUNCTION("IFERROR(if(ISBLANK(AC34),"" "",GOOGLEFINANCE(AB34,""price"")), """")"),586.7)</f>
        <v>586.7</v>
      </c>
      <c r="AF34" s="23">
        <f>IFERROR(__xludf.DUMMYFUNCTION("IFERROR(if(ISBLANK(AC34),"" "",GOOGLEFINANCE(AB34,""changepct"")), """")"),3.08)</f>
        <v>3.08</v>
      </c>
      <c r="AG34" s="45"/>
      <c r="AH34" s="27" t="s">
        <v>730</v>
      </c>
      <c r="AI34" s="38" t="s">
        <v>724</v>
      </c>
      <c r="AJ34" s="39" t="str">
        <f>IFERROR(__xludf.DUMMYFUNCTION("IFERROR(if(ISBLANK(AI34),"" "",GOOGLEFINANCE(AH34,""Name"")), """")"),"JM Financial Ltd")</f>
        <v>JM Financial Ltd</v>
      </c>
      <c r="AK34" s="21">
        <f>IFERROR(__xludf.DUMMYFUNCTION("IFERROR(if(ISBLANK(AI34),"" "",GOOGLEFINANCE(AH34,""price"")), """")"),129.52)</f>
        <v>129.52</v>
      </c>
      <c r="AL34" s="23">
        <f>IFERROR(__xludf.DUMMYFUNCTION("IFERROR(if(ISBLANK(AI34),"" "",GOOGLEFINANCE(AH34,""changepct"")), """")"),2.66)</f>
        <v>2.66</v>
      </c>
      <c r="AM34" s="44"/>
      <c r="AN34" s="31" t="s">
        <v>200</v>
      </c>
      <c r="AO34" s="32" t="str">
        <f>IFERROR(__xludf.DUMMYFUNCTION("IFERROR(if(ISBLANK(AN34),"" "",GOOGLEFINANCE(AM34,""Name"")), """")"),"")</f>
        <v/>
      </c>
      <c r="AP34" s="33" t="s">
        <v>732</v>
      </c>
      <c r="AQ34" s="38" t="s">
        <v>724</v>
      </c>
      <c r="AR34" s="39" t="str">
        <f>IFERROR(__xludf.DUMMYFUNCTION("IFERROR(if(ISBLANK(AQ34),"" "",GOOGLEFINANCE(AP34,""Name"")), """")"),"Aditya Vision Ltd")</f>
        <v>Aditya Vision Ltd</v>
      </c>
      <c r="AS34" s="21">
        <f>IFERROR(__xludf.DUMMYFUNCTION("IFERROR(if(ISBLANK(AQ34),"" "",GOOGLEFINANCE(AP34,""price"")), """")"),621.0)</f>
        <v>621</v>
      </c>
      <c r="AT34" s="23">
        <f>IFERROR(__xludf.DUMMYFUNCTION("IFERROR(if(ISBLANK(AQ34),"" "",GOOGLEFINANCE(AP34,""changepct"")), """")"),0.8)</f>
        <v>0.8</v>
      </c>
      <c r="AU34" s="45"/>
      <c r="AV34" s="34" t="s">
        <v>733</v>
      </c>
      <c r="AW34" s="38" t="s">
        <v>724</v>
      </c>
      <c r="AX34" s="39" t="str">
        <f>IFERROR(__xludf.DUMMYFUNCTION("IFERROR(if(ISBLANK(AW34),"" "",GOOGLEFINANCE(AV34,""Name"")), """")"),"Ion Exchange (India) Ltd")</f>
        <v>Ion Exchange (India) Ltd</v>
      </c>
      <c r="AY34" s="21">
        <f>IFERROR(__xludf.DUMMYFUNCTION("IFERROR(if(ISBLANK(AW34),"" "",GOOGLEFINANCE(AV34,""price"")), """")"),378.0)</f>
        <v>378</v>
      </c>
      <c r="AZ34" s="23">
        <f>IFERROR(__xludf.DUMMYFUNCTION("IFERROR(if(ISBLANK(AW34),"" "",GOOGLEFINANCE(AV34,""changepct"")), """")"),-0.76)</f>
        <v>-0.76</v>
      </c>
      <c r="BA34" s="12"/>
      <c r="BB34" s="33" t="s">
        <v>734</v>
      </c>
      <c r="BC34" s="38" t="s">
        <v>724</v>
      </c>
      <c r="BD34" s="39" t="str">
        <f>IFERROR(__xludf.DUMMYFUNCTION("IFERROR(if(ISBLANK(BC34),"" "",GOOGLEFINANCE(BB34,""Name"")), """")"),"RattanIndia Power Ltd")</f>
        <v>RattanIndia Power Ltd</v>
      </c>
      <c r="BE34" s="21">
        <f>IFERROR(__xludf.DUMMYFUNCTION("IFERROR(if(ISBLANK(BC34),"" "",GOOGLEFINANCE(BB34,""price"")), """")"),8.44)</f>
        <v>8.44</v>
      </c>
      <c r="BF34" s="23">
        <f>IFERROR(__xludf.DUMMYFUNCTION("IFERROR(if(ISBLANK(BC34),"" "",GOOGLEFINANCE(BB34,""changepct"")), """")"),-1.17)</f>
        <v>-1.17</v>
      </c>
      <c r="BG34" s="12"/>
      <c r="BH34" s="35" t="s">
        <v>735</v>
      </c>
      <c r="BI34" s="38" t="s">
        <v>724</v>
      </c>
      <c r="BJ34" s="39" t="str">
        <f>IFERROR(__xludf.DUMMYFUNCTION("IFERROR(if(ISBLANK(BI34),"" "",GOOGLEFINANCE(BH34,""Name"")), """")"),"Lux Industries Ltd")</f>
        <v>Lux Industries Ltd</v>
      </c>
      <c r="BK34" s="21">
        <f>IFERROR(__xludf.DUMMYFUNCTION("IFERROR(if(ISBLANK(BI34),"" "",GOOGLEFINANCE(BH34,""price"")), """")"),1214.9)</f>
        <v>1214.9</v>
      </c>
      <c r="BL34" s="23">
        <f>IFERROR(__xludf.DUMMYFUNCTION("IFERROR(if(ISBLANK(BI34),"" "",GOOGLEFINANCE(BH34,""changepct"")), """")"),-2.71)</f>
        <v>-2.71</v>
      </c>
      <c r="BM34" s="12"/>
      <c r="BN34" s="33" t="s">
        <v>736</v>
      </c>
      <c r="BO34" s="38" t="s">
        <v>724</v>
      </c>
      <c r="BP34" s="39" t="str">
        <f>IFERROR(__xludf.DUMMYFUNCTION("IFERROR(if(ISBLANK(BO34),"" "",GOOGLEFINANCE(BN34,""Name"")), """")"),"Orient Cement Ltd")</f>
        <v>Orient Cement Ltd</v>
      </c>
      <c r="BQ34" s="21">
        <f>IFERROR(__xludf.DUMMYFUNCTION("IFERROR(if(ISBLANK(BO34),"" "",GOOGLEFINANCE(BN34,""price"")), """")"),134.0)</f>
        <v>134</v>
      </c>
      <c r="BR34" s="23">
        <f>IFERROR(__xludf.DUMMYFUNCTION("IFERROR(if(ISBLANK(BO34),"" "",GOOGLEFINANCE(BN34,""changepct"")), """")"),-0.1)</f>
        <v>-0.1</v>
      </c>
      <c r="BS34" s="22">
        <f>IFERROR(__xludf.DUMMYFUNCTION("IFERROR(if(ISBLANK($C34),"" "",GOOGLEFINANCE($B34,""change"")), """")"),1.05)</f>
        <v>1.05</v>
      </c>
      <c r="BT34" s="36"/>
      <c r="BU34" s="27" t="s">
        <v>737</v>
      </c>
      <c r="BV34" s="38" t="s">
        <v>724</v>
      </c>
      <c r="BW34" s="39" t="str">
        <f>IFERROR(__xludf.DUMMYFUNCTION("IFERROR(if(ISBLANK(BV34),"" "",GOOGLEFINANCE(BU34,""Name"")), """")"),"Saksoft Ltd")</f>
        <v>Saksoft Ltd</v>
      </c>
      <c r="BX34" s="21">
        <f>IFERROR(__xludf.DUMMYFUNCTION("IFERROR(if(ISBLANK(BV34),"" "",GOOGLEFINANCE(BU34,""price"")), """")"),162.5)</f>
        <v>162.5</v>
      </c>
      <c r="BY34" s="23">
        <f>IFERROR(__xludf.DUMMYFUNCTION("IFERROR(if(ISBLANK(BV34),"" "",GOOGLEFINANCE(BU34,""changepct"")), """")"),-1.28)</f>
        <v>-1.28</v>
      </c>
      <c r="BZ34" s="22">
        <f>IFERROR(__xludf.DUMMYFUNCTION("IFERROR(if(ISBLANK($C34),"" "",GOOGLEFINANCE($B34,""change"")), """")"),1.05)</f>
        <v>1.05</v>
      </c>
      <c r="CA34" s="37"/>
      <c r="CB34" s="27" t="s">
        <v>739</v>
      </c>
      <c r="CC34" s="38" t="s">
        <v>724</v>
      </c>
      <c r="CD34" s="39" t="str">
        <f>IFERROR(__xludf.DUMMYFUNCTION("IFERROR(if(ISBLANK(CC34),"" "",GOOGLEFINANCE(CB34,""Name"")), """")"),"BF Investment Ltd")</f>
        <v>BF Investment Ltd</v>
      </c>
      <c r="CE34" s="21">
        <f>IFERROR(__xludf.DUMMYFUNCTION("IFERROR(if(ISBLANK(CC34),"" "",GOOGLEFINANCE(CB34,""price"")), """")"),456.55)</f>
        <v>456.55</v>
      </c>
      <c r="CF34" s="23">
        <f>IFERROR(__xludf.DUMMYFUNCTION("IFERROR(if(ISBLANK(CC34),"" "",GOOGLEFINANCE(CB34,""changepct"")), """")"),-2.51)</f>
        <v>-2.51</v>
      </c>
      <c r="CG34" s="12"/>
      <c r="CH34" s="18" t="s">
        <v>740</v>
      </c>
      <c r="CI34" s="38" t="s">
        <v>724</v>
      </c>
      <c r="CJ34" s="39" t="str">
        <f>IFERROR(__xludf.DUMMYFUNCTION("IFERROR(if(ISBLANK(CI34),"" "",GOOGLEFINANCE(CH34,""Name"")), """")"),"SKM Egg Products Export India Ltd")</f>
        <v>SKM Egg Products Export India Ltd</v>
      </c>
      <c r="CK34" s="21">
        <f>IFERROR(__xludf.DUMMYFUNCTION("IFERROR(if(ISBLANK(CI34),"" "",GOOGLEFINANCE(CH34,""price"")), """")"),256.0)</f>
        <v>256</v>
      </c>
      <c r="CL34" s="23">
        <f>IFERROR(__xludf.DUMMYFUNCTION("IFERROR(if(ISBLANK(CI34),"" "",GOOGLEFINANCE(CH34,""changepct"")), """")"),-2.5)</f>
        <v>-2.5</v>
      </c>
      <c r="CM34" s="12"/>
      <c r="CN34" s="33" t="s">
        <v>741</v>
      </c>
      <c r="CO34" s="38" t="s">
        <v>724</v>
      </c>
      <c r="CP34" s="39" t="str">
        <f>IFERROR(__xludf.DUMMYFUNCTION("IFERROR(if(ISBLANK(CO34),"" "",GOOGLEFINANCE(CN34,""Name"")), """")"),"Suyog Telematics Ltd")</f>
        <v>Suyog Telematics Ltd</v>
      </c>
      <c r="CQ34" s="21">
        <f>IFERROR(__xludf.DUMMYFUNCTION("IFERROR(if(ISBLANK(CO34),"" "",GOOGLEFINANCE(CN34,""price"")), """")"),849.0)</f>
        <v>849</v>
      </c>
      <c r="CR34" s="23">
        <f>IFERROR(__xludf.DUMMYFUNCTION("IFERROR(if(ISBLANK(CO34),"" "",GOOGLEFINANCE(CN34,""changepct"")), """")"),-0.74)</f>
        <v>-0.74</v>
      </c>
      <c r="CS34" s="45"/>
      <c r="CT34" s="33" t="s">
        <v>742</v>
      </c>
      <c r="CU34" s="38" t="s">
        <v>724</v>
      </c>
      <c r="CV34" s="39" t="str">
        <f>IFERROR(__xludf.DUMMYFUNCTION("IFERROR(if(ISBLANK(CU34),"" "",GOOGLEFINANCE(CT34,""Name"")), """")"),"Supreme Infrastructure India Ltd")</f>
        <v>Supreme Infrastructure India Ltd</v>
      </c>
      <c r="CW34" s="21">
        <f>IFERROR(__xludf.DUMMYFUNCTION("IFERROR(if(ISBLANK(CU34),"" "",GOOGLEFINANCE(CT34,""price"")), """")"),82.31)</f>
        <v>82.31</v>
      </c>
      <c r="CX34" s="23">
        <f>IFERROR(__xludf.DUMMYFUNCTION("IFERROR(if(ISBLANK(CU34),"" "",GOOGLEFINANCE(CT34,""changepct"")), """")"),-3.69)</f>
        <v>-3.69</v>
      </c>
      <c r="CY34" s="17"/>
      <c r="CZ34" s="33" t="s">
        <v>743</v>
      </c>
      <c r="DA34" s="38" t="s">
        <v>724</v>
      </c>
      <c r="DB34" s="39" t="str">
        <f>IFERROR(__xludf.DUMMYFUNCTION("IFERROR(if(ISBLANK(DA34),"" "",GOOGLEFINANCE(CZ34,""Name"")), """")"),"Snowman Logistics Ltd")</f>
        <v>Snowman Logistics Ltd</v>
      </c>
      <c r="DC34" s="21">
        <f>IFERROR(__xludf.DUMMYFUNCTION("IFERROR(if(ISBLANK(DA34),"" "",GOOGLEFINANCE(CZ34,""price"")), """")"),39.25)</f>
        <v>39.25</v>
      </c>
      <c r="DD34" s="23">
        <f>IFERROR(__xludf.DUMMYFUNCTION("IFERROR(if(ISBLANK(DA34),"" "",GOOGLEFINANCE(CZ34,""changepct"")), """")"),1.63)</f>
        <v>1.63</v>
      </c>
      <c r="DE34" s="45"/>
      <c r="DF34" s="12"/>
    </row>
    <row r="35" ht="11.25" customHeight="1">
      <c r="A35" s="17"/>
      <c r="B35" s="18" t="s">
        <v>744</v>
      </c>
      <c r="C35" s="38" t="s">
        <v>746</v>
      </c>
      <c r="D35" s="39" t="str">
        <f>IFERROR(__xludf.DUMMYFUNCTION("IFERROR(if(ISBLANK(C35),"" "",GOOGLEFINANCE(B35,""Name"")), """")"),"Asian Paints Ltd")</f>
        <v>Asian Paints Ltd</v>
      </c>
      <c r="E35" s="21">
        <f>IFERROR(__xludf.DUMMYFUNCTION("IFERROR(if(ISBLANK(C35),"" "",GOOGLEFINANCE(B35,""price"")), """")"),2725.0)</f>
        <v>2725</v>
      </c>
      <c r="F35" s="22">
        <f>IFERROR(__xludf.DUMMYFUNCTION("IFERROR(if(ISBLANK(C35),"" "",GOOGLEFINANCE(B35,""changepct"")), """")"),-0.38)</f>
        <v>-0.38</v>
      </c>
      <c r="G35" s="23">
        <f>IFERROR(__xludf.DUMMYFUNCTION("IFERROR(if(ISBLANK($C35),"" "",GOOGLEFINANCE($B35,""change"")), """")"),-10.5)</f>
        <v>-10.5</v>
      </c>
      <c r="H35" s="24"/>
      <c r="I35" s="25" t="s">
        <v>747</v>
      </c>
      <c r="J35" s="38" t="s">
        <v>746</v>
      </c>
      <c r="K35" s="39" t="str">
        <f>IFERROR(__xludf.DUMMYFUNCTION("IFERROR(if(ISBLANK(J35),"" "",GOOGLEFINANCE(I35,""Name"")), """")"),"Dixon Technologies (India) Ltd")</f>
        <v>Dixon Technologies (India) Ltd</v>
      </c>
      <c r="L35" s="21">
        <f>IFERROR(__xludf.DUMMYFUNCTION("IFERROR(if(ISBLANK(J35),"" "",GOOGLEFINANCE(I35,""price"")), """")"),13730.0)</f>
        <v>13730</v>
      </c>
      <c r="M35" s="22">
        <f>IFERROR(__xludf.DUMMYFUNCTION("IFERROR(if(ISBLANK(J35),"" "",GOOGLEFINANCE(I35,""changepct"")), """")"),-2.09)</f>
        <v>-2.09</v>
      </c>
      <c r="N35" s="23">
        <f>IFERROR(__xludf.DUMMYFUNCTION("IFERROR(if(ISBLANK($C35),"" "",GOOGLEFINANCE($B35,""change"")), """")"),-10.5)</f>
        <v>-10.5</v>
      </c>
      <c r="O35" s="26"/>
      <c r="P35" s="27" t="s">
        <v>748</v>
      </c>
      <c r="Q35" s="38" t="s">
        <v>746</v>
      </c>
      <c r="R35" s="39" t="str">
        <f>IFERROR(__xludf.DUMMYFUNCTION("IFERROR(if(ISBLANK(Q35),"" "",GOOGLEFINANCE(P35,""Name"")), """")"),"Gland Pharma Ltd")</f>
        <v>Gland Pharma Ltd</v>
      </c>
      <c r="S35" s="21">
        <f>IFERROR(__xludf.DUMMYFUNCTION("IFERROR(if(ISBLANK(Q35),"" "",GOOGLEFINANCE(P35,""price"")), """")"),2875.0)</f>
        <v>2875</v>
      </c>
      <c r="T35" s="22">
        <f>IFERROR(__xludf.DUMMYFUNCTION("IFERROR(if(ISBLANK(Q35),"" "",GOOGLEFINANCE(P35,""changepct"")), """")"),-1.69)</f>
        <v>-1.69</v>
      </c>
      <c r="U35" s="28"/>
      <c r="V35" s="18" t="s">
        <v>749</v>
      </c>
      <c r="W35" s="38" t="s">
        <v>746</v>
      </c>
      <c r="X35" s="39" t="str">
        <f>IFERROR(__xludf.DUMMYFUNCTION("IFERROR(if(ISBLANK(W35),"" "",GOOGLEFINANCE(V35,""Name"")), """")"),"Belrise Industries Ltd")</f>
        <v>Belrise Industries Ltd</v>
      </c>
      <c r="Y35" s="21">
        <f>IFERROR(__xludf.DUMMYFUNCTION("IFERROR(if(ISBLANK(W35),"" "",GOOGLEFINANCE(V35,""price"")), """")"),262.2)</f>
        <v>262.2</v>
      </c>
      <c r="Z35" s="23">
        <f>IFERROR(__xludf.DUMMYFUNCTION("IFERROR(if(ISBLANK(W35),"" "",GOOGLEFINANCE(V35,""changepct"")), """")"),3.24)</f>
        <v>3.24</v>
      </c>
      <c r="AA35" s="12"/>
      <c r="AB35" s="18" t="s">
        <v>750</v>
      </c>
      <c r="AC35" s="38" t="s">
        <v>746</v>
      </c>
      <c r="AD35" s="39" t="str">
        <f>IFERROR(__xludf.DUMMYFUNCTION("IFERROR(if(ISBLANK(AC35),"" "",GOOGLEFINANCE(AB35,""Name"")), """")"),"Alembic Pharmaceuticals Ltd")</f>
        <v>Alembic Pharmaceuticals Ltd</v>
      </c>
      <c r="AE35" s="21">
        <f>IFERROR(__xludf.DUMMYFUNCTION("IFERROR(if(ISBLANK(AC35),"" "",GOOGLEFINANCE(AB35,""price"")), """")"),844.1)</f>
        <v>844.1</v>
      </c>
      <c r="AF35" s="23">
        <f>IFERROR(__xludf.DUMMYFUNCTION("IFERROR(if(ISBLANK(AC35),"" "",GOOGLEFINANCE(AB35,""changepct"")), """")"),0.63)</f>
        <v>0.63</v>
      </c>
      <c r="AG35" s="45"/>
      <c r="AH35" s="27" t="s">
        <v>751</v>
      </c>
      <c r="AI35" s="38" t="s">
        <v>746</v>
      </c>
      <c r="AJ35" s="39" t="str">
        <f>IFERROR(__xludf.DUMMYFUNCTION("IFERROR(if(ISBLANK(AI35),"" "",GOOGLEFINANCE(AH35,""Name"")), """")"),"Fujiyama Power Systems Ltd")</f>
        <v>Fujiyama Power Systems Ltd</v>
      </c>
      <c r="AK35" s="21">
        <f>IFERROR(__xludf.DUMMYFUNCTION("IFERROR(if(ISBLANK(AI35),"" "",GOOGLEFINANCE(AH35,""price"")), """")"),392.0)</f>
        <v>392</v>
      </c>
      <c r="AL35" s="23">
        <f>IFERROR(__xludf.DUMMYFUNCTION("IFERROR(if(ISBLANK(AI35),"" "",GOOGLEFINANCE(AH35,""changepct"")), """")"),-0.67)</f>
        <v>-0.67</v>
      </c>
      <c r="AM35" s="30"/>
      <c r="AN35" s="31" t="s">
        <v>200</v>
      </c>
      <c r="AO35" s="32" t="str">
        <f>IFERROR(__xludf.DUMMYFUNCTION("IFERROR(if(ISBLANK(AN35),"" "",GOOGLEFINANCE(AM35,""Name"")), """")"),"")</f>
        <v/>
      </c>
      <c r="AP35" s="33" t="s">
        <v>753</v>
      </c>
      <c r="AQ35" s="38" t="s">
        <v>746</v>
      </c>
      <c r="AR35" s="39" t="str">
        <f>IFERROR(__xludf.DUMMYFUNCTION("IFERROR(if(ISBLANK(AQ35),"" "",GOOGLEFINANCE(AP35,""Name"")), """")"),"SML Mahindra Ltd")</f>
        <v>SML Mahindra Ltd</v>
      </c>
      <c r="AS35" s="21">
        <f>IFERROR(__xludf.DUMMYFUNCTION("IFERROR(if(ISBLANK(AQ35),"" "",GOOGLEFINANCE(AP35,""price"")), """")"),5162.0)</f>
        <v>5162</v>
      </c>
      <c r="AT35" s="23">
        <f>IFERROR(__xludf.DUMMYFUNCTION("IFERROR(if(ISBLANK(AQ35),"" "",GOOGLEFINANCE(AP35,""changepct"")), """")"),-0.89)</f>
        <v>-0.89</v>
      </c>
      <c r="AU35" s="45"/>
      <c r="AV35" s="34" t="s">
        <v>754</v>
      </c>
      <c r="AW35" s="38" t="s">
        <v>746</v>
      </c>
      <c r="AX35" s="39" t="str">
        <f>IFERROR(__xludf.DUMMYFUNCTION("IFERROR(if(ISBLANK(AW35),"" "",GOOGLEFINANCE(AV35,""Name"")), """")"),"Kalpataru Limited")</f>
        <v>Kalpataru Limited</v>
      </c>
      <c r="AY35" s="21">
        <f>IFERROR(__xludf.DUMMYFUNCTION("IFERROR(if(ISBLANK(AW35),"" "",GOOGLEFINANCE(AV35,""price"")), """")"),285.3)</f>
        <v>285.3</v>
      </c>
      <c r="AZ35" s="23">
        <f>IFERROR(__xludf.DUMMYFUNCTION("IFERROR(if(ISBLANK(AW35),"" "",GOOGLEFINANCE(AV35,""changepct"")), """")"),-0.59)</f>
        <v>-0.59</v>
      </c>
      <c r="BA35" s="12"/>
      <c r="BB35" s="33" t="s">
        <v>755</v>
      </c>
      <c r="BC35" s="38" t="s">
        <v>746</v>
      </c>
      <c r="BD35" s="39" t="str">
        <f>IFERROR(__xludf.DUMMYFUNCTION("IFERROR(if(ISBLANK(BC35),"" "",GOOGLEFINANCE(BB35,""Name"")), """")"),"Shree Renuka Sugars Ltd")</f>
        <v>Shree Renuka Sugars Ltd</v>
      </c>
      <c r="BE35" s="21">
        <f>IFERROR(__xludf.DUMMYFUNCTION("IFERROR(if(ISBLANK(BC35),"" "",GOOGLEFINANCE(BB35,""price"")), """")"),21.97)</f>
        <v>21.97</v>
      </c>
      <c r="BF35" s="23">
        <f>IFERROR(__xludf.DUMMYFUNCTION("IFERROR(if(ISBLANK(BC35),"" "",GOOGLEFINANCE(BB35,""changepct"")), """")"),-0.99)</f>
        <v>-0.99</v>
      </c>
      <c r="BG35" s="12"/>
      <c r="BH35" s="35" t="s">
        <v>756</v>
      </c>
      <c r="BI35" s="38" t="s">
        <v>746</v>
      </c>
      <c r="BJ35" s="39" t="str">
        <f>IFERROR(__xludf.DUMMYFUNCTION("IFERROR(if(ISBLANK(BI35),"" "",GOOGLEFINANCE(BH35,""Name"")), """")"),"Rolex Rings Ltd")</f>
        <v>Rolex Rings Ltd</v>
      </c>
      <c r="BK35" s="21">
        <f>IFERROR(__xludf.DUMMYFUNCTION("IFERROR(if(ISBLANK(BI35),"" "",GOOGLEFINANCE(BH35,""price"")), """")"),173.0)</f>
        <v>173</v>
      </c>
      <c r="BL35" s="23">
        <f>IFERROR(__xludf.DUMMYFUNCTION("IFERROR(if(ISBLANK(BI35),"" "",GOOGLEFINANCE(BH35,""changepct"")), """")"),-2.42)</f>
        <v>-2.42</v>
      </c>
      <c r="BM35" s="12"/>
      <c r="BN35" s="33" t="s">
        <v>758</v>
      </c>
      <c r="BO35" s="38" t="s">
        <v>746</v>
      </c>
      <c r="BP35" s="39" t="str">
        <f>IFERROR(__xludf.DUMMYFUNCTION("IFERROR(if(ISBLANK(BO35),"" "",GOOGLEFINANCE(BN35,""Name"")), """")"),"Technvision Ventures Ltd")</f>
        <v>Technvision Ventures Ltd</v>
      </c>
      <c r="BQ35" s="21">
        <f>IFERROR(__xludf.DUMMYFUNCTION("IFERROR(if(ISBLANK(BO35),"" "",GOOGLEFINANCE(BN35,""price"")), """")"),5190.0)</f>
        <v>5190</v>
      </c>
      <c r="BR35" s="23">
        <f>IFERROR(__xludf.DUMMYFUNCTION("IFERROR(if(ISBLANK(BO35),"" "",GOOGLEFINANCE(BN35,""changepct"")), """")"),-2.94)</f>
        <v>-2.94</v>
      </c>
      <c r="BS35" s="22">
        <f>IFERROR(__xludf.DUMMYFUNCTION("IFERROR(if(ISBLANK($C35),"" "",GOOGLEFINANCE($B35,""change"")), """")"),-10.5)</f>
        <v>-10.5</v>
      </c>
      <c r="BT35" s="36"/>
      <c r="BU35" s="27" t="s">
        <v>759</v>
      </c>
      <c r="BV35" s="38" t="s">
        <v>746</v>
      </c>
      <c r="BW35" s="39" t="str">
        <f>IFERROR(__xludf.DUMMYFUNCTION("IFERROR(if(ISBLANK(BV35),"" "",GOOGLEFINANCE(BU35,""Name"")), """")"),"Landmark Cars Ltd")</f>
        <v>Landmark Cars Ltd</v>
      </c>
      <c r="BX35" s="21">
        <f>IFERROR(__xludf.DUMMYFUNCTION("IFERROR(if(ISBLANK(BV35),"" "",GOOGLEFINANCE(BU35,""price"")), """")"),550.0)</f>
        <v>550</v>
      </c>
      <c r="BY35" s="23">
        <f>IFERROR(__xludf.DUMMYFUNCTION("IFERROR(if(ISBLANK(BV35),"" "",GOOGLEFINANCE(BU35,""changepct"")), """")"),-3.8)</f>
        <v>-3.8</v>
      </c>
      <c r="BZ35" s="22">
        <f>IFERROR(__xludf.DUMMYFUNCTION("IFERROR(if(ISBLANK($C35),"" "",GOOGLEFINANCE($B35,""change"")), """")"),-10.5)</f>
        <v>-10.5</v>
      </c>
      <c r="CA35" s="37"/>
      <c r="CB35" s="27" t="s">
        <v>760</v>
      </c>
      <c r="CC35" s="38" t="s">
        <v>746</v>
      </c>
      <c r="CD35" s="39" t="str">
        <f>IFERROR(__xludf.DUMMYFUNCTION("IFERROR(if(ISBLANK(CC35),"" "",GOOGLEFINANCE(CB35,""Name"")), """")"),"Krsnaa Diagnostics Ltd")</f>
        <v>Krsnaa Diagnostics Ltd</v>
      </c>
      <c r="CE35" s="21">
        <f>IFERROR(__xludf.DUMMYFUNCTION("IFERROR(if(ISBLANK(CC35),"" "",GOOGLEFINANCE(CB35,""price"")), """")"),570.8)</f>
        <v>570.8</v>
      </c>
      <c r="CF35" s="23">
        <f>IFERROR(__xludf.DUMMYFUNCTION("IFERROR(if(ISBLANK(CC35),"" "",GOOGLEFINANCE(CB35,""changepct"")), """")"),-0.7)</f>
        <v>-0.7</v>
      </c>
      <c r="CG35" s="12"/>
      <c r="CH35" s="18" t="s">
        <v>762</v>
      </c>
      <c r="CI35" s="38" t="s">
        <v>746</v>
      </c>
      <c r="CJ35" s="39" t="str">
        <f>IFERROR(__xludf.DUMMYFUNCTION("IFERROR(if(ISBLANK(CI35),"" "",GOOGLEFINANCE(CH35,""Name"")), """")"),"Suraksha Diagnostic Ltd")</f>
        <v>Suraksha Diagnostic Ltd</v>
      </c>
      <c r="CK35" s="21">
        <f>IFERROR(__xludf.DUMMYFUNCTION("IFERROR(if(ISBLANK(CI35),"" "",GOOGLEFINANCE(CH35,""price"")), """")"),269.7)</f>
        <v>269.7</v>
      </c>
      <c r="CL35" s="23">
        <f>IFERROR(__xludf.DUMMYFUNCTION("IFERROR(if(ISBLANK(CI35),"" "",GOOGLEFINANCE(CH35,""changepct"")), """")"),4.43)</f>
        <v>4.43</v>
      </c>
      <c r="CM35" s="12"/>
      <c r="CN35" s="33" t="s">
        <v>763</v>
      </c>
      <c r="CO35" s="38" t="s">
        <v>746</v>
      </c>
      <c r="CP35" s="39" t="str">
        <f>IFERROR(__xludf.DUMMYFUNCTION("IFERROR(if(ISBLANK(CO35),"" "",GOOGLEFINANCE(CN35,""Name"")), """")"),"Nahar Spinning Mills Ltd")</f>
        <v>Nahar Spinning Mills Ltd</v>
      </c>
      <c r="CQ35" s="21">
        <f>IFERROR(__xludf.DUMMYFUNCTION("IFERROR(if(ISBLANK(CO35),"" "",GOOGLEFINANCE(CN35,""price"")), """")"),304.5)</f>
        <v>304.5</v>
      </c>
      <c r="CR35" s="23">
        <f>IFERROR(__xludf.DUMMYFUNCTION("IFERROR(if(ISBLANK(CO35),"" "",GOOGLEFINANCE(CN35,""changepct"")), """")"),-1.18)</f>
        <v>-1.18</v>
      </c>
      <c r="CS35" s="45"/>
      <c r="CT35" s="33" t="s">
        <v>764</v>
      </c>
      <c r="CU35" s="38" t="s">
        <v>746</v>
      </c>
      <c r="CV35" s="39" t="str">
        <f>IFERROR(__xludf.DUMMYFUNCTION("IFERROR(if(ISBLANK(CU35),"" "",GOOGLEFINANCE(CT35,""Name"")), """")"),"Capital India Finance Ltd")</f>
        <v>Capital India Finance Ltd</v>
      </c>
      <c r="CW35" s="21">
        <f>IFERROR(__xludf.DUMMYFUNCTION("IFERROR(if(ISBLANK(CU35),"" "",GOOGLEFINANCE(CT35,""price"")), """")"),22.0)</f>
        <v>22</v>
      </c>
      <c r="CX35" s="23">
        <f>IFERROR(__xludf.DUMMYFUNCTION("IFERROR(if(ISBLANK(CU35),"" "",GOOGLEFINANCE(CT35,""changepct"")), """")"),-0.54)</f>
        <v>-0.54</v>
      </c>
      <c r="CY35" s="17"/>
      <c r="CZ35" s="33" t="s">
        <v>765</v>
      </c>
      <c r="DA35" s="38" t="s">
        <v>746</v>
      </c>
      <c r="DB35" s="39" t="str">
        <f>IFERROR(__xludf.DUMMYFUNCTION("IFERROR(if(ISBLANK(DA35),"" "",GOOGLEFINANCE(CZ35,""Name"")), """")"),"Orbit Exports Ltd")</f>
        <v>Orbit Exports Ltd</v>
      </c>
      <c r="DC35" s="21">
        <f>IFERROR(__xludf.DUMMYFUNCTION("IFERROR(if(ISBLANK(DA35),"" "",GOOGLEFINANCE(CZ35,""price"")), """")"),260.98)</f>
        <v>260.98</v>
      </c>
      <c r="DD35" s="23">
        <f>IFERROR(__xludf.DUMMYFUNCTION("IFERROR(if(ISBLANK(DA35),"" "",GOOGLEFINANCE(CZ35,""changepct"")), """")"),-5.0)</f>
        <v>-5</v>
      </c>
      <c r="DE35" s="45"/>
      <c r="DF35" s="12"/>
    </row>
    <row r="36" ht="11.25" customHeight="1">
      <c r="A36" s="17"/>
      <c r="B36" s="18" t="s">
        <v>766</v>
      </c>
      <c r="C36" s="38" t="s">
        <v>767</v>
      </c>
      <c r="D36" s="39" t="str">
        <f>IFERROR(__xludf.DUMMYFUNCTION("IFERROR(if(ISBLANK(C36),"" "",GOOGLEFINANCE(B36,""Name"")), """")"),"Avenue Supermarts Ltd")</f>
        <v>Avenue Supermarts Ltd</v>
      </c>
      <c r="E36" s="21">
        <f>IFERROR(__xludf.DUMMYFUNCTION("IFERROR(if(ISBLANK(C36),"" "",GOOGLEFINANCE(B36,""price"")), """")"),4036.5)</f>
        <v>4036.5</v>
      </c>
      <c r="F36" s="22">
        <f>IFERROR(__xludf.DUMMYFUNCTION("IFERROR(if(ISBLANK(C36),"" "",GOOGLEFINANCE(B36,""changepct"")), """")"),-0.45)</f>
        <v>-0.45</v>
      </c>
      <c r="G36" s="23">
        <f>IFERROR(__xludf.DUMMYFUNCTION("IFERROR(if(ISBLANK($C36),"" "",GOOGLEFINANCE($B36,""change"")), """")"),-18.4)</f>
        <v>-18.4</v>
      </c>
      <c r="H36" s="24"/>
      <c r="I36" s="25" t="s">
        <v>768</v>
      </c>
      <c r="J36" s="38" t="s">
        <v>767</v>
      </c>
      <c r="K36" s="39" t="str">
        <f>IFERROR(__xludf.DUMMYFUNCTION("IFERROR(if(ISBLANK(J36),"" "",GOOGLEFINANCE(I36,""Name"")), """")"),"Meesho Ltd")</f>
        <v>Meesho Ltd</v>
      </c>
      <c r="L36" s="21">
        <f>IFERROR(__xludf.DUMMYFUNCTION("IFERROR(if(ISBLANK(J36),"" "",GOOGLEFINANCE(I36,""price"")), """")"),191.97)</f>
        <v>191.97</v>
      </c>
      <c r="M36" s="22">
        <f>IFERROR(__xludf.DUMMYFUNCTION("IFERROR(if(ISBLANK(J36),"" "",GOOGLEFINANCE(I36,""changepct"")), """")"),0.82)</f>
        <v>0.82</v>
      </c>
      <c r="N36" s="23">
        <f>IFERROR(__xludf.DUMMYFUNCTION("IFERROR(if(ISBLANK($C36),"" "",GOOGLEFINANCE($B36,""change"")), """")"),-18.4)</f>
        <v>-18.4</v>
      </c>
      <c r="O36" s="26"/>
      <c r="P36" s="27" t="s">
        <v>770</v>
      </c>
      <c r="Q36" s="38" t="s">
        <v>767</v>
      </c>
      <c r="R36" s="39" t="str">
        <f>IFERROR(__xludf.DUMMYFUNCTION("IFERROR(if(ISBLANK(Q36),"" "",GOOGLEFINANCE(P36,""Name"")), """")"),"Poonawalla Fincorp Ltd")</f>
        <v>Poonawalla Fincorp Ltd</v>
      </c>
      <c r="S36" s="21">
        <f>IFERROR(__xludf.DUMMYFUNCTION("IFERROR(if(ISBLANK(Q36),"" "",GOOGLEFINANCE(P36,""price"")), """")"),483.1)</f>
        <v>483.1</v>
      </c>
      <c r="T36" s="22">
        <f>IFERROR(__xludf.DUMMYFUNCTION("IFERROR(if(ISBLANK(Q36),"" "",GOOGLEFINANCE(P36,""changepct"")), """")"),-0.84)</f>
        <v>-0.84</v>
      </c>
      <c r="U36" s="28"/>
      <c r="V36" s="18" t="s">
        <v>771</v>
      </c>
      <c r="W36" s="38" t="s">
        <v>767</v>
      </c>
      <c r="X36" s="39" t="str">
        <f>IFERROR(__xludf.DUMMYFUNCTION("IFERROR(if(ISBLANK(W36),"" "",GOOGLEFINANCE(V36,""Name"")), """")"),"Tata Elxsi Ltd")</f>
        <v>Tata Elxsi Ltd</v>
      </c>
      <c r="Y36" s="21">
        <f>IFERROR(__xludf.DUMMYFUNCTION("IFERROR(if(ISBLANK(W36),"" "",GOOGLEFINANCE(V36,""price"")), """")"),3722.0)</f>
        <v>3722</v>
      </c>
      <c r="Z36" s="23">
        <f>IFERROR(__xludf.DUMMYFUNCTION("IFERROR(if(ISBLANK(W36),"" "",GOOGLEFINANCE(V36,""changepct"")), """")"),-1.92)</f>
        <v>-1.92</v>
      </c>
      <c r="AA36" s="12"/>
      <c r="AB36" s="18" t="s">
        <v>772</v>
      </c>
      <c r="AC36" s="38" t="s">
        <v>767</v>
      </c>
      <c r="AD36" s="39" t="str">
        <f>IFERROR(__xludf.DUMMYFUNCTION("IFERROR(if(ISBLANK(AC36),"" "",GOOGLEFINANCE(AB36,""Name"")), """")"),"Clean Max Enviro Energy Solutions Ord Shs")</f>
        <v>Clean Max Enviro Energy Solutions Ord Shs</v>
      </c>
      <c r="AE36" s="21">
        <f>IFERROR(__xludf.DUMMYFUNCTION("IFERROR(if(ISBLANK(AC36),"" "",GOOGLEFINANCE(AB36,""price"")), """")"),1266.4)</f>
        <v>1266.4</v>
      </c>
      <c r="AF36" s="23">
        <f>IFERROR(__xludf.DUMMYFUNCTION("IFERROR(if(ISBLANK(AC36),"" "",GOOGLEFINANCE(AB36,""changepct"")), """")"),-0.46)</f>
        <v>-0.46</v>
      </c>
      <c r="AG36" s="45"/>
      <c r="AH36" s="27" t="s">
        <v>773</v>
      </c>
      <c r="AI36" s="38" t="s">
        <v>767</v>
      </c>
      <c r="AJ36" s="39" t="str">
        <f>IFERROR(__xludf.DUMMYFUNCTION("IFERROR(if(ISBLANK(AI36),"" "",GOOGLEFINANCE(AH36,""Name"")), """")"),"UTI Asset Management Company Ltd")</f>
        <v>UTI Asset Management Company Ltd</v>
      </c>
      <c r="AK36" s="21">
        <f>IFERROR(__xludf.DUMMYFUNCTION("IFERROR(if(ISBLANK(AI36),"" "",GOOGLEFINANCE(AH36,""price"")), """")"),915.0)</f>
        <v>915</v>
      </c>
      <c r="AL36" s="23">
        <f>IFERROR(__xludf.DUMMYFUNCTION("IFERROR(if(ISBLANK(AI36),"" "",GOOGLEFINANCE(AH36,""changepct"")), """")"),1.02)</f>
        <v>1.02</v>
      </c>
      <c r="AM36" s="30"/>
      <c r="AN36" s="31" t="s">
        <v>200</v>
      </c>
      <c r="AO36" s="32" t="str">
        <f>IFERROR(__xludf.DUMMYFUNCTION("IFERROR(if(ISBLANK(AN36),"" "",GOOGLEFINANCE(AM36,""Name"")), """")"),"")</f>
        <v/>
      </c>
      <c r="AP36" s="33" t="s">
        <v>774</v>
      </c>
      <c r="AQ36" s="38" t="s">
        <v>767</v>
      </c>
      <c r="AR36" s="39" t="str">
        <f>IFERROR(__xludf.DUMMYFUNCTION("IFERROR(if(ISBLANK(AQ36),"" "",GOOGLEFINANCE(AP36,""Name"")), """")"),"Welspun Enterprises Limited")</f>
        <v>Welspun Enterprises Limited</v>
      </c>
      <c r="AS36" s="21">
        <f>IFERROR(__xludf.DUMMYFUNCTION("IFERROR(if(ISBLANK(AQ36),"" "",GOOGLEFINANCE(AP36,""price"")), """")"),570.35)</f>
        <v>570.35</v>
      </c>
      <c r="AT36" s="23">
        <f>IFERROR(__xludf.DUMMYFUNCTION("IFERROR(if(ISBLANK(AQ36),"" "",GOOGLEFINANCE(AP36,""changepct"")), """")"),-0.34)</f>
        <v>-0.34</v>
      </c>
      <c r="AU36" s="45"/>
      <c r="AV36" s="34" t="s">
        <v>775</v>
      </c>
      <c r="AW36" s="38" t="s">
        <v>767</v>
      </c>
      <c r="AX36" s="39" t="str">
        <f>IFERROR(__xludf.DUMMYFUNCTION("IFERROR(if(ISBLANK(AW36),"" "",GOOGLEFINANCE(AV36,""Name"")), """")"),"Kusumgar Ltd")</f>
        <v>Kusumgar Ltd</v>
      </c>
      <c r="AY36" s="21">
        <f>IFERROR(__xludf.DUMMYFUNCTION("IFERROR(if(ISBLANK(AW36),"" "",GOOGLEFINANCE(AV36,""price"")), """")"),619.0)</f>
        <v>619</v>
      </c>
      <c r="AZ36" s="23">
        <f>IFERROR(__xludf.DUMMYFUNCTION("IFERROR(if(ISBLANK(AW36),"" "",GOOGLEFINANCE(AV36,""changepct"")), """")"),-2.58)</f>
        <v>-2.58</v>
      </c>
      <c r="BA36" s="12"/>
      <c r="BB36" s="33" t="s">
        <v>777</v>
      </c>
      <c r="BC36" s="38" t="s">
        <v>767</v>
      </c>
      <c r="BD36" s="39" t="str">
        <f>IFERROR(__xludf.DUMMYFUNCTION("IFERROR(if(ISBLANK(BC36),"" "",GOOGLEFINANCE(BB36,""Name"")), """")"),"Yasho Industries Ltd")</f>
        <v>Yasho Industries Ltd</v>
      </c>
      <c r="BE36" s="21">
        <f>IFERROR(__xludf.DUMMYFUNCTION("IFERROR(if(ISBLANK(BC36),"" "",GOOGLEFINANCE(BB36,""price"")), """")"),4210.0)</f>
        <v>4210</v>
      </c>
      <c r="BF36" s="23">
        <f>IFERROR(__xludf.DUMMYFUNCTION("IFERROR(if(ISBLANK(BC36),"" "",GOOGLEFINANCE(BB36,""changepct"")), """")"),-2.24)</f>
        <v>-2.24</v>
      </c>
      <c r="BG36" s="12"/>
      <c r="BH36" s="35" t="s">
        <v>778</v>
      </c>
      <c r="BI36" s="38" t="s">
        <v>767</v>
      </c>
      <c r="BJ36" s="39" t="str">
        <f>IFERROR(__xludf.DUMMYFUNCTION("IFERROR(if(ISBLANK(BI36),"" "",GOOGLEFINANCE(BH36,""Name"")), """")"),"Orient Electric Ltd")</f>
        <v>Orient Electric Ltd</v>
      </c>
      <c r="BK36" s="21">
        <f>IFERROR(__xludf.DUMMYFUNCTION("IFERROR(if(ISBLANK(BI36),"" "",GOOGLEFINANCE(BH36,""price"")), """")"),189.0)</f>
        <v>189</v>
      </c>
      <c r="BL36" s="23">
        <f>IFERROR(__xludf.DUMMYFUNCTION("IFERROR(if(ISBLANK(BI36),"" "",GOOGLEFINANCE(BH36,""changepct"")), """")"),-0.88)</f>
        <v>-0.88</v>
      </c>
      <c r="BM36" s="12"/>
      <c r="BN36" s="33" t="s">
        <v>779</v>
      </c>
      <c r="BO36" s="38" t="s">
        <v>767</v>
      </c>
      <c r="BP36" s="39" t="str">
        <f>IFERROR(__xludf.DUMMYFUNCTION("IFERROR(if(ISBLANK(BO36),"" "",GOOGLEFINANCE(BN36,""Name"")), """")"),"Rossari Biotech Ltd")</f>
        <v>Rossari Biotech Ltd</v>
      </c>
      <c r="BQ36" s="21">
        <f>IFERROR(__xludf.DUMMYFUNCTION("IFERROR(if(ISBLANK(BO36),"" "",GOOGLEFINANCE(BN36,""price"")), """")"),501.5)</f>
        <v>501.5</v>
      </c>
      <c r="BR36" s="23">
        <f>IFERROR(__xludf.DUMMYFUNCTION("IFERROR(if(ISBLANK(BO36),"" "",GOOGLEFINANCE(BN36,""changepct"")), """")"),-0.67)</f>
        <v>-0.67</v>
      </c>
      <c r="BS36" s="22">
        <f>IFERROR(__xludf.DUMMYFUNCTION("IFERROR(if(ISBLANK($C36),"" "",GOOGLEFINANCE($B36,""change"")), """")"),-18.4)</f>
        <v>-18.4</v>
      </c>
      <c r="BT36" s="36"/>
      <c r="BU36" s="27" t="s">
        <v>780</v>
      </c>
      <c r="BV36" s="38" t="s">
        <v>767</v>
      </c>
      <c r="BW36" s="39" t="str">
        <f>IFERROR(__xludf.DUMMYFUNCTION("IFERROR(if(ISBLANK(BV36),"" "",GOOGLEFINANCE(BU36,""Name"")), """")"),"Mold-Tek Packaging Ltd")</f>
        <v>Mold-Tek Packaging Ltd</v>
      </c>
      <c r="BX36" s="21">
        <f>IFERROR(__xludf.DUMMYFUNCTION("IFERROR(if(ISBLANK(BV36),"" "",GOOGLEFINANCE(BU36,""price"")), """")"),685.85)</f>
        <v>685.85</v>
      </c>
      <c r="BY36" s="23">
        <f>IFERROR(__xludf.DUMMYFUNCTION("IFERROR(if(ISBLANK(BV36),"" "",GOOGLEFINANCE(BU36,""changepct"")), """")"),1.03)</f>
        <v>1.03</v>
      </c>
      <c r="BZ36" s="22">
        <f>IFERROR(__xludf.DUMMYFUNCTION("IFERROR(if(ISBLANK($C36),"" "",GOOGLEFINANCE($B36,""change"")), """")"),-18.4)</f>
        <v>-18.4</v>
      </c>
      <c r="CA36" s="37"/>
      <c r="CB36" s="27" t="s">
        <v>781</v>
      </c>
      <c r="CC36" s="38" t="s">
        <v>767</v>
      </c>
      <c r="CD36" s="39" t="str">
        <f>IFERROR(__xludf.DUMMYFUNCTION("IFERROR(if(ISBLANK(CC36),"" "",GOOGLEFINANCE(CB36,""Name"")), """")"),"Accelya Solutions India Ltd")</f>
        <v>Accelya Solutions India Ltd</v>
      </c>
      <c r="CE36" s="21">
        <f>IFERROR(__xludf.DUMMYFUNCTION("IFERROR(if(ISBLANK(CC36),"" "",GOOGLEFINANCE(CB36,""price"")), """")"),1144.0)</f>
        <v>1144</v>
      </c>
      <c r="CF36" s="23">
        <f>IFERROR(__xludf.DUMMYFUNCTION("IFERROR(if(ISBLANK(CC36),"" "",GOOGLEFINANCE(CB36,""changepct"")), """")"),-0.23)</f>
        <v>-0.23</v>
      </c>
      <c r="CG36" s="12"/>
      <c r="CH36" s="18" t="s">
        <v>783</v>
      </c>
      <c r="CI36" s="38" t="s">
        <v>767</v>
      </c>
      <c r="CJ36" s="39" t="str">
        <f>IFERROR(__xludf.DUMMYFUNCTION("IFERROR(if(ISBLANK(CI36),"" "",GOOGLEFINANCE(CH36,""Name"")), """")"),"Ice Make Refrigeration Ltd")</f>
        <v>Ice Make Refrigeration Ltd</v>
      </c>
      <c r="CK36" s="21">
        <f>IFERROR(__xludf.DUMMYFUNCTION("IFERROR(if(ISBLANK(CI36),"" "",GOOGLEFINANCE(CH36,""price"")), """")"),830.0)</f>
        <v>830</v>
      </c>
      <c r="CL36" s="23">
        <f>IFERROR(__xludf.DUMMYFUNCTION("IFERROR(if(ISBLANK(CI36),"" "",GOOGLEFINANCE(CH36,""changepct"")), """")"),2.29)</f>
        <v>2.29</v>
      </c>
      <c r="CM36" s="12"/>
      <c r="CN36" s="33" t="s">
        <v>784</v>
      </c>
      <c r="CO36" s="38" t="s">
        <v>767</v>
      </c>
      <c r="CP36" s="39" t="str">
        <f>IFERROR(__xludf.DUMMYFUNCTION("IFERROR(if(ISBLANK(CO36),"" "",GOOGLEFINANCE(CN36,""Name"")), """")"),"Munjal Auto Industries Ltd")</f>
        <v>Munjal Auto Industries Ltd</v>
      </c>
      <c r="CQ36" s="21">
        <f>IFERROR(__xludf.DUMMYFUNCTION("IFERROR(if(ISBLANK(CO36),"" "",GOOGLEFINANCE(CN36,""price"")), """")"),99.65)</f>
        <v>99.65</v>
      </c>
      <c r="CR36" s="23">
        <f>IFERROR(__xludf.DUMMYFUNCTION("IFERROR(if(ISBLANK(CO36),"" "",GOOGLEFINANCE(CN36,""changepct"")), """")"),-2.32)</f>
        <v>-2.32</v>
      </c>
      <c r="CS36" s="45"/>
      <c r="CT36" s="33" t="s">
        <v>785</v>
      </c>
      <c r="CU36" s="38" t="s">
        <v>767</v>
      </c>
      <c r="CV36" s="39" t="str">
        <f>IFERROR(__xludf.DUMMYFUNCTION("IFERROR(if(ISBLANK(CU36),"" "",GOOGLEFINANCE(CT36,""Name"")), """")"),"RM Drip &amp; Sprinklers Systems Ltd")</f>
        <v>RM Drip &amp; Sprinklers Systems Ltd</v>
      </c>
      <c r="CW36" s="21">
        <f>IFERROR(__xludf.DUMMYFUNCTION("IFERROR(if(ISBLANK(CU36),"" "",GOOGLEFINANCE(CT36,""price"")), """")"),18.01)</f>
        <v>18.01</v>
      </c>
      <c r="CX36" s="23">
        <f>IFERROR(__xludf.DUMMYFUNCTION("IFERROR(if(ISBLANK(CU36),"" "",GOOGLEFINANCE(CT36,""changepct"")), """")"),2.5)</f>
        <v>2.5</v>
      </c>
      <c r="CY36" s="17"/>
      <c r="CZ36" s="33" t="s">
        <v>786</v>
      </c>
      <c r="DA36" s="38" t="s">
        <v>767</v>
      </c>
      <c r="DB36" s="39" t="str">
        <f>IFERROR(__xludf.DUMMYFUNCTION("IFERROR(if(ISBLANK(DA36),"" "",GOOGLEFINANCE(CZ36,""Name"")), """")"),"DCM Shriram International Ltd")</f>
        <v>DCM Shriram International Ltd</v>
      </c>
      <c r="DC36" s="21">
        <f>IFERROR(__xludf.DUMMYFUNCTION("IFERROR(if(ISBLANK(DA36),"" "",GOOGLEFINANCE(CZ36,""price"")), """")"),81.7)</f>
        <v>81.7</v>
      </c>
      <c r="DD36" s="23">
        <f>IFERROR(__xludf.DUMMYFUNCTION("IFERROR(if(ISBLANK(DA36),"" "",GOOGLEFINANCE(CZ36,""changepct"")), """")"),-0.44)</f>
        <v>-0.44</v>
      </c>
      <c r="DE36" s="45"/>
      <c r="DF36" s="12"/>
    </row>
    <row r="37" ht="11.25" customHeight="1">
      <c r="A37" s="17"/>
      <c r="B37" s="18" t="s">
        <v>787</v>
      </c>
      <c r="C37" s="38" t="s">
        <v>788</v>
      </c>
      <c r="D37" s="39" t="str">
        <f>IFERROR(__xludf.DUMMYFUNCTION("IFERROR(if(ISBLANK(C37),"" "",GOOGLEFINANCE(B37,""Name"")), """")"),"Coal India Ltd")</f>
        <v>Coal India Ltd</v>
      </c>
      <c r="E37" s="21">
        <f>IFERROR(__xludf.DUMMYFUNCTION("IFERROR(if(ISBLANK(C37),"" "",GOOGLEFINANCE(B37,""price"")), """")"),408.75)</f>
        <v>408.75</v>
      </c>
      <c r="F37" s="22">
        <f>IFERROR(__xludf.DUMMYFUNCTION("IFERROR(if(ISBLANK(C37),"" "",GOOGLEFINANCE(B37,""changepct"")), """")"),-0.93)</f>
        <v>-0.93</v>
      </c>
      <c r="G37" s="23">
        <f>IFERROR(__xludf.DUMMYFUNCTION("IFERROR(if(ISBLANK($C37),"" "",GOOGLEFINANCE($B37,""change"")), """")"),-3.85)</f>
        <v>-3.85</v>
      </c>
      <c r="H37" s="24"/>
      <c r="I37" s="25" t="s">
        <v>789</v>
      </c>
      <c r="J37" s="38" t="s">
        <v>788</v>
      </c>
      <c r="K37" s="39" t="str">
        <f>IFERROR(__xludf.DUMMYFUNCTION("IFERROR(if(ISBLANK(J37),"" "",GOOGLEFINANCE(I37,""Name"")), """")"),"Hindustan Petroleum Corp Ltd")</f>
        <v>Hindustan Petroleum Corp Ltd</v>
      </c>
      <c r="L37" s="21">
        <f>IFERROR(__xludf.DUMMYFUNCTION("IFERROR(if(ISBLANK(J37),"" "",GOOGLEFINANCE(I37,""price"")), """")"),390.15)</f>
        <v>390.15</v>
      </c>
      <c r="M37" s="22">
        <f>IFERROR(__xludf.DUMMYFUNCTION("IFERROR(if(ISBLANK(J37),"" "",GOOGLEFINANCE(I37,""changepct"")), """")"),-0.18)</f>
        <v>-0.18</v>
      </c>
      <c r="N37" s="23">
        <f>IFERROR(__xludf.DUMMYFUNCTION("IFERROR(if(ISBLANK($C37),"" "",GOOGLEFINANCE($B37,""change"")), """")"),-3.85)</f>
        <v>-3.85</v>
      </c>
      <c r="O37" s="26"/>
      <c r="P37" s="27" t="s">
        <v>790</v>
      </c>
      <c r="Q37" s="38" t="s">
        <v>788</v>
      </c>
      <c r="R37" s="39" t="str">
        <f>IFERROR(__xludf.DUMMYFUNCTION("IFERROR(if(ISBLANK(Q37),"" "",GOOGLEFINANCE(P37,""Name"")), """")"),"Container Corporation of India Ltd")</f>
        <v>Container Corporation of India Ltd</v>
      </c>
      <c r="S37" s="21">
        <f>IFERROR(__xludf.DUMMYFUNCTION("IFERROR(if(ISBLANK(Q37),"" "",GOOGLEFINANCE(P37,""price"")), """")"),513.0)</f>
        <v>513</v>
      </c>
      <c r="T37" s="22">
        <f>IFERROR(__xludf.DUMMYFUNCTION("IFERROR(if(ISBLANK(Q37),"" "",GOOGLEFINANCE(P37,""changepct"")), """")"),0.2)</f>
        <v>0.2</v>
      </c>
      <c r="U37" s="28"/>
      <c r="V37" s="18" t="s">
        <v>791</v>
      </c>
      <c r="W37" s="38" t="s">
        <v>788</v>
      </c>
      <c r="X37" s="39" t="str">
        <f>IFERROR(__xludf.DUMMYFUNCTION("IFERROR(if(ISBLANK(W37),"" "",GOOGLEFINANCE(V37,""Name"")), """")"),"Deepak Nitrite Ltd")</f>
        <v>Deepak Nitrite Ltd</v>
      </c>
      <c r="Y37" s="21">
        <f>IFERROR(__xludf.DUMMYFUNCTION("IFERROR(if(ISBLANK(W37),"" "",GOOGLEFINANCE(V37,""price"")), """")"),1713.0)</f>
        <v>1713</v>
      </c>
      <c r="Z37" s="23">
        <f>IFERROR(__xludf.DUMMYFUNCTION("IFERROR(if(ISBLANK(W37),"" "",GOOGLEFINANCE(V37,""changepct"")), """")"),-4.02)</f>
        <v>-4.02</v>
      </c>
      <c r="AA37" s="12"/>
      <c r="AB37" s="18" t="s">
        <v>793</v>
      </c>
      <c r="AC37" s="38" t="s">
        <v>788</v>
      </c>
      <c r="AD37" s="39" t="str">
        <f>IFERROR(__xludf.DUMMYFUNCTION("IFERROR(if(ISBLANK(AC37),"" "",GOOGLEFINANCE(AB37,""Name"")), """")"),"Happy Forgings Ltd")</f>
        <v>Happy Forgings Ltd</v>
      </c>
      <c r="AE37" s="21">
        <f>IFERROR(__xludf.DUMMYFUNCTION("IFERROR(if(ISBLANK(AC37),"" "",GOOGLEFINANCE(AB37,""price"")), """")"),2030.0)</f>
        <v>2030</v>
      </c>
      <c r="AF37" s="23">
        <f>IFERROR(__xludf.DUMMYFUNCTION("IFERROR(if(ISBLANK(AC37),"" "",GOOGLEFINANCE(AB37,""changepct"")), """")"),6.41)</f>
        <v>6.41</v>
      </c>
      <c r="AG37" s="45"/>
      <c r="AH37" s="27" t="s">
        <v>794</v>
      </c>
      <c r="AI37" s="38" t="s">
        <v>788</v>
      </c>
      <c r="AJ37" s="39" t="str">
        <f>IFERROR(__xludf.DUMMYFUNCTION("IFERROR(if(ISBLANK(AI37),"" "",GOOGLEFINANCE(AH37,""Name"")), """")"),"Zensar Technologies Ltd")</f>
        <v>Zensar Technologies Ltd</v>
      </c>
      <c r="AK37" s="21">
        <f>IFERROR(__xludf.DUMMYFUNCTION("IFERROR(if(ISBLANK(AI37),"" "",GOOGLEFINANCE(AH37,""price"")), """")"),494.5)</f>
        <v>494.5</v>
      </c>
      <c r="AL37" s="23">
        <f>IFERROR(__xludf.DUMMYFUNCTION("IFERROR(if(ISBLANK(AI37),"" "",GOOGLEFINANCE(AH37,""changepct"")), """")"),-1.22)</f>
        <v>-1.22</v>
      </c>
      <c r="AM37" s="44"/>
      <c r="AN37" s="31" t="s">
        <v>200</v>
      </c>
      <c r="AO37" s="32" t="str">
        <f>IFERROR(__xludf.DUMMYFUNCTION("IFERROR(if(ISBLANK(AN37),"" "",GOOGLEFINANCE(AM37,""Name"")), """")"),"")</f>
        <v/>
      </c>
      <c r="AP37" s="33" t="s">
        <v>795</v>
      </c>
      <c r="AQ37" s="38" t="s">
        <v>788</v>
      </c>
      <c r="AR37" s="39" t="str">
        <f>IFERROR(__xludf.DUMMYFUNCTION("IFERROR(if(ISBLANK(AQ37),"" "",GOOGLEFINANCE(AP37,""Name"")), """")"),"Star Cement Ltd")</f>
        <v>Star Cement Ltd</v>
      </c>
      <c r="AS37" s="21">
        <f>IFERROR(__xludf.DUMMYFUNCTION("IFERROR(if(ISBLANK(AQ37),"" "",GOOGLEFINANCE(AP37,""price"")), """")"),199.98)</f>
        <v>199.98</v>
      </c>
      <c r="AT37" s="23">
        <f>IFERROR(__xludf.DUMMYFUNCTION("IFERROR(if(ISBLANK(AQ37),"" "",GOOGLEFINANCE(AP37,""changepct"")), """")"),1.01)</f>
        <v>1.01</v>
      </c>
      <c r="AU37" s="45"/>
      <c r="AV37" s="34" t="s">
        <v>796</v>
      </c>
      <c r="AW37" s="38" t="s">
        <v>788</v>
      </c>
      <c r="AX37" s="39" t="str">
        <f>IFERROR(__xludf.DUMMYFUNCTION("IFERROR(if(ISBLANK(AW37),"" "",GOOGLEFINANCE(AV37,""Name"")), """")"),"Valor Estate Ltd")</f>
        <v>Valor Estate Ltd</v>
      </c>
      <c r="AY37" s="21">
        <f>IFERROR(__xludf.DUMMYFUNCTION("IFERROR(if(ISBLANK(AW37),"" "",GOOGLEFINANCE(AV37,""price"")), """")"),113.45)</f>
        <v>113.45</v>
      </c>
      <c r="AZ37" s="23">
        <f>IFERROR(__xludf.DUMMYFUNCTION("IFERROR(if(ISBLANK(AW37),"" "",GOOGLEFINANCE(AV37,""changepct"")), """")"),-0.63)</f>
        <v>-0.63</v>
      </c>
      <c r="BA37" s="12"/>
      <c r="BB37" s="33" t="s">
        <v>797</v>
      </c>
      <c r="BC37" s="38" t="s">
        <v>788</v>
      </c>
      <c r="BD37" s="39" t="str">
        <f>IFERROR(__xludf.DUMMYFUNCTION("IFERROR(if(ISBLANK(BC37),"" "",GOOGLEFINANCE(BB37,""Name"")), """")"),"VRL Logistics Ltd")</f>
        <v>VRL Logistics Ltd</v>
      </c>
      <c r="BE37" s="21">
        <f>IFERROR(__xludf.DUMMYFUNCTION("IFERROR(if(ISBLANK(BC37),"" "",GOOGLEFINANCE(BB37,""price"")), """")"),300.15)</f>
        <v>300.15</v>
      </c>
      <c r="BF37" s="23">
        <f>IFERROR(__xludf.DUMMYFUNCTION("IFERROR(if(ISBLANK(BC37),"" "",GOOGLEFINANCE(BB37,""changepct"")), """")"),-1.67)</f>
        <v>-1.67</v>
      </c>
      <c r="BG37" s="12"/>
      <c r="BH37" s="35" t="s">
        <v>798</v>
      </c>
      <c r="BI37" s="38" t="s">
        <v>788</v>
      </c>
      <c r="BJ37" s="39" t="str">
        <f>IFERROR(__xludf.DUMMYFUNCTION("IFERROR(if(ISBLANK(BI37),"" "",GOOGLEFINANCE(BH37,""Name"")), """")"),"DB Corp Ltd")</f>
        <v>DB Corp Ltd</v>
      </c>
      <c r="BK37" s="21">
        <f>IFERROR(__xludf.DUMMYFUNCTION("IFERROR(if(ISBLANK(BI37),"" "",GOOGLEFINANCE(BH37,""price"")), """")"),211.5)</f>
        <v>211.5</v>
      </c>
      <c r="BL37" s="23">
        <f>IFERROR(__xludf.DUMMYFUNCTION("IFERROR(if(ISBLANK(BI37),"" "",GOOGLEFINANCE(BH37,""changepct"")), """")"),-0.17)</f>
        <v>-0.17</v>
      </c>
      <c r="BM37" s="12"/>
      <c r="BN37" s="33" t="s">
        <v>800</v>
      </c>
      <c r="BO37" s="38" t="s">
        <v>788</v>
      </c>
      <c r="BP37" s="39" t="str">
        <f>IFERROR(__xludf.DUMMYFUNCTION("IFERROR(if(ISBLANK(BO37),"" "",GOOGLEFINANCE(BN37,""Name"")), """")"),"Ddev Plastiks Industries Ltd")</f>
        <v>Ddev Plastiks Industries Ltd</v>
      </c>
      <c r="BQ37" s="21">
        <f>IFERROR(__xludf.DUMMYFUNCTION("IFERROR(if(ISBLANK(BO37),"" "",GOOGLEFINANCE(BN37,""price"")), """")"),290.95)</f>
        <v>290.95</v>
      </c>
      <c r="BR37" s="23">
        <f>IFERROR(__xludf.DUMMYFUNCTION("IFERROR(if(ISBLANK(BO37),"" "",GOOGLEFINANCE(BN37,""changepct"")), """")"),0.22)</f>
        <v>0.22</v>
      </c>
      <c r="BS37" s="22">
        <f>IFERROR(__xludf.DUMMYFUNCTION("IFERROR(if(ISBLANK($C37),"" "",GOOGLEFINANCE($B37,""change"")), """")"),-3.85)</f>
        <v>-3.85</v>
      </c>
      <c r="BT37" s="36"/>
      <c r="BU37" s="27" t="s">
        <v>801</v>
      </c>
      <c r="BV37" s="38" t="s">
        <v>788</v>
      </c>
      <c r="BW37" s="39" t="str">
        <f>IFERROR(__xludf.DUMMYFUNCTION("IFERROR(if(ISBLANK(BV37),"" "",GOOGLEFINANCE(BU37,""Name"")), """")"),"Pennar Industries Ltd")</f>
        <v>Pennar Industries Ltd</v>
      </c>
      <c r="BX37" s="21">
        <f>IFERROR(__xludf.DUMMYFUNCTION("IFERROR(if(ISBLANK(BV37),"" "",GOOGLEFINANCE(BU37,""price"")), """")"),159.8)</f>
        <v>159.8</v>
      </c>
      <c r="BY37" s="23">
        <f>IFERROR(__xludf.DUMMYFUNCTION("IFERROR(if(ISBLANK(BV37),"" "",GOOGLEFINANCE(BU37,""changepct"")), """")"),0.31)</f>
        <v>0.31</v>
      </c>
      <c r="BZ37" s="22">
        <f>IFERROR(__xludf.DUMMYFUNCTION("IFERROR(if(ISBLANK($C37),"" "",GOOGLEFINANCE($B37,""change"")), """")"),-3.85)</f>
        <v>-3.85</v>
      </c>
      <c r="CA37" s="37"/>
      <c r="CB37" s="27" t="s">
        <v>802</v>
      </c>
      <c r="CC37" s="38" t="s">
        <v>788</v>
      </c>
      <c r="CD37" s="39" t="str">
        <f>IFERROR(__xludf.DUMMYFUNCTION("IFERROR(if(ISBLANK(CC37),"" "",GOOGLEFINANCE(CB37,""Name"")), """")"),"Mahanagar Telephone Nigam Ltd")</f>
        <v>Mahanagar Telephone Nigam Ltd</v>
      </c>
      <c r="CE37" s="21">
        <f>IFERROR(__xludf.DUMMYFUNCTION("IFERROR(if(ISBLANK(CC37),"" "",GOOGLEFINANCE(CB37,""price"")), """")"),26.98)</f>
        <v>26.98</v>
      </c>
      <c r="CF37" s="23">
        <f>IFERROR(__xludf.DUMMYFUNCTION("IFERROR(if(ISBLANK(CC37),"" "",GOOGLEFINANCE(CB37,""changepct"")), """")"),-1.42)</f>
        <v>-1.42</v>
      </c>
      <c r="CG37" s="12"/>
      <c r="CH37" s="18" t="s">
        <v>803</v>
      </c>
      <c r="CI37" s="38" t="s">
        <v>788</v>
      </c>
      <c r="CJ37" s="39" t="str">
        <f>IFERROR(__xludf.DUMMYFUNCTION("IFERROR(if(ISBLANK(CI37),"" "",GOOGLEFINANCE(CH37,""Name"")), """")"),"NIIT Ltd")</f>
        <v>NIIT Ltd</v>
      </c>
      <c r="CK37" s="21">
        <f>IFERROR(__xludf.DUMMYFUNCTION("IFERROR(if(ISBLANK(CI37),"" "",GOOGLEFINANCE(CH37,""price"")), """")"),93.67)</f>
        <v>93.67</v>
      </c>
      <c r="CL37" s="23">
        <f>IFERROR(__xludf.DUMMYFUNCTION("IFERROR(if(ISBLANK(CI37),"" "",GOOGLEFINANCE(CH37,""changepct"")), """")"),-1.85)</f>
        <v>-1.85</v>
      </c>
      <c r="CM37" s="12"/>
      <c r="CN37" s="33" t="s">
        <v>804</v>
      </c>
      <c r="CO37" s="38" t="s">
        <v>788</v>
      </c>
      <c r="CP37" s="39" t="str">
        <f>IFERROR(__xludf.DUMMYFUNCTION("IFERROR(if(ISBLANK(CO37),"" "",GOOGLEFINANCE(CN37,""Name"")), """")"),"RSWM Ltd")</f>
        <v>RSWM Ltd</v>
      </c>
      <c r="CQ37" s="21">
        <f>IFERROR(__xludf.DUMMYFUNCTION("IFERROR(if(ISBLANK(CO37),"" "",GOOGLEFINANCE(CN37,""price"")), """")"),203.05)</f>
        <v>203.05</v>
      </c>
      <c r="CR37" s="23">
        <f>IFERROR(__xludf.DUMMYFUNCTION("IFERROR(if(ISBLANK(CO37),"" "",GOOGLEFINANCE(CN37,""changepct"")), """")"),-2.3)</f>
        <v>-2.3</v>
      </c>
      <c r="CS37" s="45"/>
      <c r="CT37" s="33" t="s">
        <v>805</v>
      </c>
      <c r="CU37" s="38" t="s">
        <v>788</v>
      </c>
      <c r="CV37" s="39" t="str">
        <f>IFERROR(__xludf.DUMMYFUNCTION("IFERROR(if(ISBLANK(CU37),"" "",GOOGLEFINANCE(CT37,""Name"")), """")"),"ECOS (India) Mobility &amp; Hospitality Ltd")</f>
        <v>ECOS (India) Mobility &amp; Hospitality Ltd</v>
      </c>
      <c r="CW37" s="21">
        <f>IFERROR(__xludf.DUMMYFUNCTION("IFERROR(if(ISBLANK(CU37),"" "",GOOGLEFINANCE(CT37,""price"")), """")"),125.76)</f>
        <v>125.76</v>
      </c>
      <c r="CX37" s="23">
        <f>IFERROR(__xludf.DUMMYFUNCTION("IFERROR(if(ISBLANK(CU37),"" "",GOOGLEFINANCE(CT37,""changepct"")), """")"),-4.99)</f>
        <v>-4.99</v>
      </c>
      <c r="CY37" s="17"/>
      <c r="CZ37" s="33" t="s">
        <v>806</v>
      </c>
      <c r="DA37" s="38" t="s">
        <v>788</v>
      </c>
      <c r="DB37" s="39" t="str">
        <f>IFERROR(__xludf.DUMMYFUNCTION("IFERROR(if(ISBLANK(DA37),"" "",GOOGLEFINANCE(CZ37,""Name"")), """")"),"Prakash Pipes Ltd")</f>
        <v>Prakash Pipes Ltd</v>
      </c>
      <c r="DC37" s="21">
        <f>IFERROR(__xludf.DUMMYFUNCTION("IFERROR(if(ISBLANK(DA37),"" "",GOOGLEFINANCE(CZ37,""price"")), """")"),266.0)</f>
        <v>266</v>
      </c>
      <c r="DD37" s="23">
        <f>IFERROR(__xludf.DUMMYFUNCTION("IFERROR(if(ISBLANK(DA37),"" "",GOOGLEFINANCE(CZ37,""changepct"")), """")"),-0.04)</f>
        <v>-0.04</v>
      </c>
      <c r="DE37" s="45"/>
      <c r="DF37" s="12"/>
    </row>
    <row r="38" ht="11.25" customHeight="1">
      <c r="A38" s="17"/>
      <c r="B38" s="18" t="s">
        <v>807</v>
      </c>
      <c r="C38" s="38" t="s">
        <v>808</v>
      </c>
      <c r="D38" s="39" t="str">
        <f>IFERROR(__xludf.DUMMYFUNCTION("IFERROR(if(ISBLANK(C38),"" "",GOOGLEFINANCE(B38,""Name"")), """")"),"Shriram Finance Ltd")</f>
        <v>Shriram Finance Ltd</v>
      </c>
      <c r="E38" s="21">
        <f>IFERROR(__xludf.DUMMYFUNCTION("IFERROR(if(ISBLANK(C38),"" "",GOOGLEFINANCE(B38,""price"")), """")"),1120.0)</f>
        <v>1120</v>
      </c>
      <c r="F38" s="22">
        <f>IFERROR(__xludf.DUMMYFUNCTION("IFERROR(if(ISBLANK(C38),"" "",GOOGLEFINANCE(B38,""changepct"")), """")"),-0.88)</f>
        <v>-0.88</v>
      </c>
      <c r="G38" s="23">
        <f>IFERROR(__xludf.DUMMYFUNCTION("IFERROR(if(ISBLANK($C38),"" "",GOOGLEFINANCE($B38,""change"")), """")"),-9.9)</f>
        <v>-9.9</v>
      </c>
      <c r="H38" s="24"/>
      <c r="I38" s="25" t="s">
        <v>809</v>
      </c>
      <c r="J38" s="38" t="s">
        <v>808</v>
      </c>
      <c r="K38" s="39" t="str">
        <f>IFERROR(__xludf.DUMMYFUNCTION("IFERROR(if(ISBLANK(J38),"" "",GOOGLEFINANCE(I38,""Name"")), """")"),"ICICI Lombard General Insurance Co Ltd")</f>
        <v>ICICI Lombard General Insurance Co Ltd</v>
      </c>
      <c r="L38" s="21">
        <f>IFERROR(__xludf.DUMMYFUNCTION("IFERROR(if(ISBLANK(J38),"" "",GOOGLEFINANCE(I38,""price"")), """")"),1627.6)</f>
        <v>1627.6</v>
      </c>
      <c r="M38" s="22">
        <f>IFERROR(__xludf.DUMMYFUNCTION("IFERROR(if(ISBLANK(J38),"" "",GOOGLEFINANCE(I38,""changepct"")), """")"),-0.97)</f>
        <v>-0.97</v>
      </c>
      <c r="N38" s="23">
        <f>IFERROR(__xludf.DUMMYFUNCTION("IFERROR(if(ISBLANK($C38),"" "",GOOGLEFINANCE($B38,""change"")), """")"),-9.9)</f>
        <v>-9.9</v>
      </c>
      <c r="O38" s="26"/>
      <c r="P38" s="27" t="s">
        <v>811</v>
      </c>
      <c r="Q38" s="38" t="s">
        <v>808</v>
      </c>
      <c r="R38" s="39" t="str">
        <f>IFERROR(__xludf.DUMMYFUNCTION("IFERROR(if(ISBLANK(Q38),"" "",GOOGLEFINANCE(P38,""Name"")), """")"),"Aditya Infotech Ltd")</f>
        <v>Aditya Infotech Ltd</v>
      </c>
      <c r="S38" s="21">
        <f>IFERROR(__xludf.DUMMYFUNCTION("IFERROR(if(ISBLANK(Q38),"" "",GOOGLEFINANCE(P38,""price"")), """")"),3900.0)</f>
        <v>3900</v>
      </c>
      <c r="T38" s="22">
        <f>IFERROR(__xludf.DUMMYFUNCTION("IFERROR(if(ISBLANK(Q38),"" "",GOOGLEFINANCE(P38,""changepct"")), """")"),2.48)</f>
        <v>2.48</v>
      </c>
      <c r="U38" s="28"/>
      <c r="V38" s="18" t="s">
        <v>812</v>
      </c>
      <c r="W38" s="38" t="s">
        <v>808</v>
      </c>
      <c r="X38" s="39" t="str">
        <f>IFERROR(__xludf.DUMMYFUNCTION("IFERROR(if(ISBLANK(W38),"" "",GOOGLEFINANCE(V38,""Name"")), """")"),"Anant Raj Ltd")</f>
        <v>Anant Raj Ltd</v>
      </c>
      <c r="Y38" s="21">
        <f>IFERROR(__xludf.DUMMYFUNCTION("IFERROR(if(ISBLANK(W38),"" "",GOOGLEFINANCE(V38,""price"")), """")"),613.25)</f>
        <v>613.25</v>
      </c>
      <c r="Z38" s="23">
        <f>IFERROR(__xludf.DUMMYFUNCTION("IFERROR(if(ISBLANK(W38),"" "",GOOGLEFINANCE(V38,""changepct"")), """")"),1.15)</f>
        <v>1.15</v>
      </c>
      <c r="AA38" s="12"/>
      <c r="AB38" s="18" t="s">
        <v>813</v>
      </c>
      <c r="AC38" s="38" t="s">
        <v>808</v>
      </c>
      <c r="AD38" s="39" t="str">
        <f>IFERROR(__xludf.DUMMYFUNCTION("IFERROR(if(ISBLANK(AC38),"" "",GOOGLEFINANCE(AB38,""Name"")), """")"),"Syngene International Ltd")</f>
        <v>Syngene International Ltd</v>
      </c>
      <c r="AE38" s="21">
        <f>IFERROR(__xludf.DUMMYFUNCTION("IFERROR(if(ISBLANK(AC38),"" "",GOOGLEFINANCE(AB38,""price"")), """")"),409.2)</f>
        <v>409.2</v>
      </c>
      <c r="AF38" s="23">
        <f>IFERROR(__xludf.DUMMYFUNCTION("IFERROR(if(ISBLANK(AC38),"" "",GOOGLEFINANCE(AB38,""changepct"")), """")"),0.48)</f>
        <v>0.48</v>
      </c>
      <c r="AG38" s="45"/>
      <c r="AH38" s="27" t="s">
        <v>814</v>
      </c>
      <c r="AI38" s="38" t="s">
        <v>808</v>
      </c>
      <c r="AJ38" s="39" t="str">
        <f>IFERROR(__xludf.DUMMYFUNCTION("IFERROR(if(ISBLANK(AI38),"" "",GOOGLEFINANCE(AH38,""Name"")), """")"),"Aditya Birla Lifestyle Brands Ltd")</f>
        <v>Aditya Birla Lifestyle Brands Ltd</v>
      </c>
      <c r="AK38" s="21">
        <f>IFERROR(__xludf.DUMMYFUNCTION("IFERROR(if(ISBLANK(AI38),"" "",GOOGLEFINANCE(AH38,""price"")), """")"),90.5)</f>
        <v>90.5</v>
      </c>
      <c r="AL38" s="23">
        <f>IFERROR(__xludf.DUMMYFUNCTION("IFERROR(if(ISBLANK(AI38),"" "",GOOGLEFINANCE(AH38,""changepct"")), """")"),-1.07)</f>
        <v>-1.07</v>
      </c>
      <c r="AM38" s="44"/>
      <c r="AN38" s="31" t="s">
        <v>200</v>
      </c>
      <c r="AO38" s="32" t="str">
        <f>IFERROR(__xludf.DUMMYFUNCTION("IFERROR(if(ISBLANK(AN38),"" "",GOOGLEFINANCE(AM38,""Name"")), """")"),"")</f>
        <v/>
      </c>
      <c r="AP38" s="33" t="s">
        <v>815</v>
      </c>
      <c r="AQ38" s="38" t="s">
        <v>808</v>
      </c>
      <c r="AR38" s="39" t="str">
        <f>IFERROR(__xludf.DUMMYFUNCTION("IFERROR(if(ISBLANK(AQ38),"" "",GOOGLEFINANCE(AP38,""Name"")), """")"),"Power Mech Projects Ltd")</f>
        <v>Power Mech Projects Ltd</v>
      </c>
      <c r="AS38" s="21">
        <f>IFERROR(__xludf.DUMMYFUNCTION("IFERROR(if(ISBLANK(AQ38),"" "",GOOGLEFINANCE(AP38,""price"")), """")"),2405.0)</f>
        <v>2405</v>
      </c>
      <c r="AT38" s="23">
        <f>IFERROR(__xludf.DUMMYFUNCTION("IFERROR(if(ISBLANK(AQ38),"" "",GOOGLEFINANCE(AP38,""changepct"")), """")"),-1.53)</f>
        <v>-1.53</v>
      </c>
      <c r="AU38" s="45"/>
      <c r="AV38" s="34" t="s">
        <v>816</v>
      </c>
      <c r="AW38" s="38" t="s">
        <v>808</v>
      </c>
      <c r="AX38" s="39" t="str">
        <f>IFERROR(__xludf.DUMMYFUNCTION("IFERROR(if(ISBLANK(AW38),"" "",GOOGLEFINANCE(AV38,""Name"")), """")"),"Fiem Industries Ltd")</f>
        <v>Fiem Industries Ltd</v>
      </c>
      <c r="AY38" s="21">
        <f>IFERROR(__xludf.DUMMYFUNCTION("IFERROR(if(ISBLANK(AW38),"" "",GOOGLEFINANCE(AV38,""price"")), """")"),2645.0)</f>
        <v>2645</v>
      </c>
      <c r="AZ38" s="23">
        <f>IFERROR(__xludf.DUMMYFUNCTION("IFERROR(if(ISBLANK(AW38),"" "",GOOGLEFINANCE(AV38,""changepct"")), """")"),2.04)</f>
        <v>2.04</v>
      </c>
      <c r="BA38" s="12"/>
      <c r="BB38" s="33" t="s">
        <v>818</v>
      </c>
      <c r="BC38" s="38" t="s">
        <v>808</v>
      </c>
      <c r="BD38" s="39" t="str">
        <f>IFERROR(__xludf.DUMMYFUNCTION("IFERROR(if(ISBLANK(BC38),"" "",GOOGLEFINANCE(BB38,""Name"")), """")"),"Northern ARC Capital Ltd")</f>
        <v>Northern ARC Capital Ltd</v>
      </c>
      <c r="BE38" s="21">
        <f>IFERROR(__xludf.DUMMYFUNCTION("IFERROR(if(ISBLANK(BC38),"" "",GOOGLEFINANCE(BB38,""price"")), """")"),286.0)</f>
        <v>286</v>
      </c>
      <c r="BF38" s="23">
        <f>IFERROR(__xludf.DUMMYFUNCTION("IFERROR(if(ISBLANK(BC38),"" "",GOOGLEFINANCE(BB38,""changepct"")), """")"),1.31)</f>
        <v>1.31</v>
      </c>
      <c r="BG38" s="12"/>
      <c r="BH38" s="35" t="s">
        <v>819</v>
      </c>
      <c r="BI38" s="38" t="s">
        <v>808</v>
      </c>
      <c r="BJ38" s="39" t="str">
        <f>IFERROR(__xludf.DUMMYFUNCTION("IFERROR(if(ISBLANK(BI38),"" "",GOOGLEFINANCE(BH38,""Name"")), """")"),"Seamec Ltd")</f>
        <v>Seamec Ltd</v>
      </c>
      <c r="BK38" s="21">
        <f>IFERROR(__xludf.DUMMYFUNCTION("IFERROR(if(ISBLANK(BI38),"" "",GOOGLEFINANCE(BH38,""price"")), """")"),1520.1)</f>
        <v>1520.1</v>
      </c>
      <c r="BL38" s="23">
        <f>IFERROR(__xludf.DUMMYFUNCTION("IFERROR(if(ISBLANK(BI38),"" "",GOOGLEFINANCE(BH38,""changepct"")), """")"),-1.75)</f>
        <v>-1.75</v>
      </c>
      <c r="BM38" s="12"/>
      <c r="BN38" s="33" t="s">
        <v>820</v>
      </c>
      <c r="BO38" s="38" t="s">
        <v>808</v>
      </c>
      <c r="BP38" s="39" t="str">
        <f>IFERROR(__xludf.DUMMYFUNCTION("IFERROR(if(ISBLANK(BO38),"" "",GOOGLEFINANCE(BN38,""Name"")), """")"),"Jindal Poly Films Ltd")</f>
        <v>Jindal Poly Films Ltd</v>
      </c>
      <c r="BQ38" s="21">
        <f>IFERROR(__xludf.DUMMYFUNCTION("IFERROR(if(ISBLANK(BO38),"" "",GOOGLEFINANCE(BN38,""price"")), """")"),661.0)</f>
        <v>661</v>
      </c>
      <c r="BR38" s="23">
        <f>IFERROR(__xludf.DUMMYFUNCTION("IFERROR(if(ISBLANK(BO38),"" "",GOOGLEFINANCE(BN38,""changepct"")), """")"),5.0)</f>
        <v>5</v>
      </c>
      <c r="BS38" s="22">
        <f>IFERROR(__xludf.DUMMYFUNCTION("IFERROR(if(ISBLANK($C38),"" "",GOOGLEFINANCE($B38,""change"")), """")"),-9.9)</f>
        <v>-9.9</v>
      </c>
      <c r="BT38" s="36"/>
      <c r="BU38" s="27" t="s">
        <v>821</v>
      </c>
      <c r="BV38" s="38" t="s">
        <v>808</v>
      </c>
      <c r="BW38" s="39" t="str">
        <f>IFERROR(__xludf.DUMMYFUNCTION("IFERROR(if(ISBLANK(BV38),"" "",GOOGLEFINANCE(BU38,""Name"")), """")"),"Elcid Investments Ltd")</f>
        <v>Elcid Investments Ltd</v>
      </c>
      <c r="BX38" s="21">
        <f>IFERROR(__xludf.DUMMYFUNCTION("IFERROR(if(ISBLANK(BV38),"" "",GOOGLEFINANCE(BU38,""price"")), """")"),112750.0)</f>
        <v>112750</v>
      </c>
      <c r="BY38" s="23">
        <f>IFERROR(__xludf.DUMMYFUNCTION("IFERROR(if(ISBLANK(BV38),"" "",GOOGLEFINANCE(BU38,""changepct"")), """")"),0.53)</f>
        <v>0.53</v>
      </c>
      <c r="BZ38" s="22">
        <f>IFERROR(__xludf.DUMMYFUNCTION("IFERROR(if(ISBLANK($C38),"" "",GOOGLEFINANCE($B38,""change"")), """")"),-9.9)</f>
        <v>-9.9</v>
      </c>
      <c r="CA38" s="37"/>
      <c r="CB38" s="27" t="s">
        <v>822</v>
      </c>
      <c r="CC38" s="38" t="s">
        <v>808</v>
      </c>
      <c r="CD38" s="39" t="str">
        <f>IFERROR(__xludf.DUMMYFUNCTION("IFERROR(if(ISBLANK(CC38),"" "",GOOGLEFINANCE(CB38,""Name"")), """")"),"SMC Global Securities Ltd")</f>
        <v>SMC Global Securities Ltd</v>
      </c>
      <c r="CE38" s="21">
        <f>IFERROR(__xludf.DUMMYFUNCTION("IFERROR(if(ISBLANK(CC38),"" "",GOOGLEFINANCE(CB38,""price"")), """")"),79.45)</f>
        <v>79.45</v>
      </c>
      <c r="CF38" s="23">
        <f>IFERROR(__xludf.DUMMYFUNCTION("IFERROR(if(ISBLANK(CC38),"" "",GOOGLEFINANCE(CB38,""changepct"")), """")"),0.04)</f>
        <v>0.04</v>
      </c>
      <c r="CG38" s="12"/>
      <c r="CH38" s="18" t="s">
        <v>823</v>
      </c>
      <c r="CI38" s="38" t="s">
        <v>808</v>
      </c>
      <c r="CJ38" s="39" t="str">
        <f>IFERROR(__xludf.DUMMYFUNCTION("IFERROR(if(ISBLANK(CI38),"" "",GOOGLEFINANCE(CH38,""Name"")), """")"),"DEN Networks Ltd")</f>
        <v>DEN Networks Ltd</v>
      </c>
      <c r="CK38" s="21">
        <f>IFERROR(__xludf.DUMMYFUNCTION("IFERROR(if(ISBLANK(CI38),"" "",GOOGLEFINANCE(CH38,""price"")), """")"),26.96)</f>
        <v>26.96</v>
      </c>
      <c r="CL38" s="23">
        <f>IFERROR(__xludf.DUMMYFUNCTION("IFERROR(if(ISBLANK(CI38),"" "",GOOGLEFINANCE(CH38,""changepct"")), """")"),-0.92)</f>
        <v>-0.92</v>
      </c>
      <c r="CM38" s="12"/>
      <c r="CN38" s="33" t="s">
        <v>825</v>
      </c>
      <c r="CO38" s="38" t="s">
        <v>808</v>
      </c>
      <c r="CP38" s="39" t="str">
        <f>IFERROR(__xludf.DUMMYFUNCTION("IFERROR(if(ISBLANK(CO38),"" "",GOOGLEFINANCE(CN38,""Name"")), """")"),"Master Trust Ltd")</f>
        <v>Master Trust Ltd</v>
      </c>
      <c r="CQ38" s="21">
        <f>IFERROR(__xludf.DUMMYFUNCTION("IFERROR(if(ISBLANK(CO38),"" "",GOOGLEFINANCE(CN38,""price"")), """")"),78.51)</f>
        <v>78.51</v>
      </c>
      <c r="CR38" s="23">
        <f>IFERROR(__xludf.DUMMYFUNCTION("IFERROR(if(ISBLANK(CO38),"" "",GOOGLEFINANCE(CN38,""changepct"")), """")"),0.49)</f>
        <v>0.49</v>
      </c>
      <c r="CS38" s="45"/>
      <c r="CT38" s="33" t="s">
        <v>826</v>
      </c>
      <c r="CU38" s="38" t="s">
        <v>808</v>
      </c>
      <c r="CV38" s="39" t="str">
        <f>IFERROR(__xludf.DUMMYFUNCTION("IFERROR(if(ISBLANK(CU38),"" "",GOOGLEFINANCE(CT38,""Name"")), """")"),"N R Agarwal Industries Ltd")</f>
        <v>N R Agarwal Industries Ltd</v>
      </c>
      <c r="CW38" s="21">
        <f>IFERROR(__xludf.DUMMYFUNCTION("IFERROR(if(ISBLANK(CU38),"" "",GOOGLEFINANCE(CT38,""price"")), """")"),523.0)</f>
        <v>523</v>
      </c>
      <c r="CX38" s="23">
        <f>IFERROR(__xludf.DUMMYFUNCTION("IFERROR(if(ISBLANK(CU38),"" "",GOOGLEFINANCE(CT38,""changepct"")), """")"),0.6)</f>
        <v>0.6</v>
      </c>
      <c r="CY38" s="17"/>
      <c r="CZ38" s="33" t="s">
        <v>827</v>
      </c>
      <c r="DA38" s="38" t="s">
        <v>808</v>
      </c>
      <c r="DB38" s="39" t="str">
        <f>IFERROR(__xludf.DUMMYFUNCTION("IFERROR(if(ISBLANK(DA38),"" "",GOOGLEFINANCE(CZ38,""Name"")), """")"),"Sharat Industries Ltd")</f>
        <v>Sharat Industries Ltd</v>
      </c>
      <c r="DC38" s="21">
        <f>IFERROR(__xludf.DUMMYFUNCTION("IFERROR(if(ISBLANK(DA38),"" "",GOOGLEFINANCE(CZ38,""price"")), """")"),161.98)</f>
        <v>161.98</v>
      </c>
      <c r="DD38" s="23">
        <f>IFERROR(__xludf.DUMMYFUNCTION("IFERROR(if(ISBLANK(DA38),"" "",GOOGLEFINANCE(CZ38,""changepct"")), """")"),-1.63)</f>
        <v>-1.63</v>
      </c>
      <c r="DE38" s="45"/>
      <c r="DF38" s="12"/>
    </row>
    <row r="39" ht="11.25" customHeight="1">
      <c r="A39" s="17"/>
      <c r="B39" s="18" t="s">
        <v>828</v>
      </c>
      <c r="C39" s="38" t="s">
        <v>829</v>
      </c>
      <c r="D39" s="39" t="str">
        <f>IFERROR(__xludf.DUMMYFUNCTION("IFERROR(if(ISBLANK(C39),"" "",GOOGLEFINANCE(B39,""Name"")), """")"),"Tata Steel Ltd")</f>
        <v>Tata Steel Ltd</v>
      </c>
      <c r="E39" s="21">
        <f>IFERROR(__xludf.DUMMYFUNCTION("IFERROR(if(ISBLANK(C39),"" "",GOOGLEFINANCE(B39,""price"")), """")"),185.0)</f>
        <v>185</v>
      </c>
      <c r="F39" s="22">
        <f>IFERROR(__xludf.DUMMYFUNCTION("IFERROR(if(ISBLANK(C39),"" "",GOOGLEFINANCE(B39,""changepct"")), """")"),-1.73)</f>
        <v>-1.73</v>
      </c>
      <c r="G39" s="23">
        <f>IFERROR(__xludf.DUMMYFUNCTION("IFERROR(if(ISBLANK($C39),"" "",GOOGLEFINANCE($B39,""change"")), """")"),-3.25)</f>
        <v>-3.25</v>
      </c>
      <c r="H39" s="24"/>
      <c r="I39" s="25" t="s">
        <v>830</v>
      </c>
      <c r="J39" s="38" t="s">
        <v>829</v>
      </c>
      <c r="K39" s="39" t="str">
        <f>IFERROR(__xludf.DUMMYFUNCTION("IFERROR(if(ISBLANK(J39),"" "",GOOGLEFINANCE(I39,""Name"")), """")"),"Bharti Hexacom Ltd")</f>
        <v>Bharti Hexacom Ltd</v>
      </c>
      <c r="L39" s="21">
        <f>IFERROR(__xludf.DUMMYFUNCTION("IFERROR(if(ISBLANK(J39),"" "",GOOGLEFINANCE(I39,""price"")), """")"),1499.0)</f>
        <v>1499</v>
      </c>
      <c r="M39" s="22">
        <f>IFERROR(__xludf.DUMMYFUNCTION("IFERROR(if(ISBLANK(J39),"" "",GOOGLEFINANCE(I39,""changepct"")), """")"),-1.06)</f>
        <v>-1.06</v>
      </c>
      <c r="N39" s="23">
        <f>IFERROR(__xludf.DUMMYFUNCTION("IFERROR(if(ISBLANK($C39),"" "",GOOGLEFINANCE($B39,""change"")), """")"),-3.25)</f>
        <v>-3.25</v>
      </c>
      <c r="O39" s="26"/>
      <c r="P39" s="27" t="s">
        <v>832</v>
      </c>
      <c r="Q39" s="38" t="s">
        <v>829</v>
      </c>
      <c r="R39" s="39" t="str">
        <f>IFERROR(__xludf.DUMMYFUNCTION("IFERROR(if(ISBLANK(Q39),"" "",GOOGLEFINANCE(P39,""Name"")), """")"),"Indian Railway Ctrng nd Trsm Corp Ltd")</f>
        <v>Indian Railway Ctrng nd Trsm Corp Ltd</v>
      </c>
      <c r="S39" s="21">
        <f>IFERROR(__xludf.DUMMYFUNCTION("IFERROR(if(ISBLANK(Q39),"" "",GOOGLEFINANCE(P39,""price"")), """")"),510.75)</f>
        <v>510.75</v>
      </c>
      <c r="T39" s="22">
        <f>IFERROR(__xludf.DUMMYFUNCTION("IFERROR(if(ISBLANK(Q39),"" "",GOOGLEFINANCE(P39,""changepct"")), """")"),-0.83)</f>
        <v>-0.83</v>
      </c>
      <c r="U39" s="28"/>
      <c r="V39" s="18" t="s">
        <v>833</v>
      </c>
      <c r="W39" s="38" t="s">
        <v>829</v>
      </c>
      <c r="X39" s="39" t="str">
        <f>IFERROR(__xludf.DUMMYFUNCTION("IFERROR(if(ISBLANK(W39),"" "",GOOGLEFINANCE(V39,""Name"")), """")"),"Capri Global Capital Ltd")</f>
        <v>Capri Global Capital Ltd</v>
      </c>
      <c r="Y39" s="21">
        <f>IFERROR(__xludf.DUMMYFUNCTION("IFERROR(if(ISBLANK(W39),"" "",GOOGLEFINANCE(V39,""price"")), """")"),229.0)</f>
        <v>229</v>
      </c>
      <c r="Z39" s="23">
        <f>IFERROR(__xludf.DUMMYFUNCTION("IFERROR(if(ISBLANK(W39),"" "",GOOGLEFINANCE(V39,""changepct"")), """")"),-2.74)</f>
        <v>-2.74</v>
      </c>
      <c r="AA39" s="12"/>
      <c r="AB39" s="18" t="s">
        <v>834</v>
      </c>
      <c r="AC39" s="38" t="s">
        <v>829</v>
      </c>
      <c r="AD39" s="39" t="str">
        <f>IFERROR(__xludf.DUMMYFUNCTION("IFERROR(if(ISBLANK(AC39),"" "",GOOGLEFINANCE(AB39,""Name"")), """")"),"Jbm Auto Ltd")</f>
        <v>Jbm Auto Ltd</v>
      </c>
      <c r="AE39" s="21">
        <f>IFERROR(__xludf.DUMMYFUNCTION("IFERROR(if(ISBLANK(AC39),"" "",GOOGLEFINANCE(AB39,""price"")), """")"),629.0)</f>
        <v>629</v>
      </c>
      <c r="AF39" s="23">
        <f>IFERROR(__xludf.DUMMYFUNCTION("IFERROR(if(ISBLANK(AC39),"" "",GOOGLEFINANCE(AB39,""changepct"")), """")"),-2.31)</f>
        <v>-2.31</v>
      </c>
      <c r="AG39" s="45"/>
      <c r="AH39" s="27" t="s">
        <v>835</v>
      </c>
      <c r="AI39" s="38" t="s">
        <v>829</v>
      </c>
      <c r="AJ39" s="39" t="str">
        <f>IFERROR(__xludf.DUMMYFUNCTION("IFERROR(if(ISBLANK(AI39),"" "",GOOGLEFINANCE(AH39,""Name"")), """")"),"Signatureglobal (India) Ltd")</f>
        <v>Signatureglobal (India) Ltd</v>
      </c>
      <c r="AK39" s="21">
        <f>IFERROR(__xludf.DUMMYFUNCTION("IFERROR(if(ISBLANK(AI39),"" "",GOOGLEFINANCE(AH39,""price"")), """")"),805.0)</f>
        <v>805</v>
      </c>
      <c r="AL39" s="23">
        <f>IFERROR(__xludf.DUMMYFUNCTION("IFERROR(if(ISBLANK(AI39),"" "",GOOGLEFINANCE(AH39,""changepct"")), """")"),-1.21)</f>
        <v>-1.21</v>
      </c>
      <c r="AM39" s="44"/>
      <c r="AN39" s="31" t="s">
        <v>200</v>
      </c>
      <c r="AO39" s="32" t="str">
        <f>IFERROR(__xludf.DUMMYFUNCTION("IFERROR(if(ISBLANK(AN39),"" "",GOOGLEFINANCE(AM39,""Name"")), """")"),"")</f>
        <v/>
      </c>
      <c r="AP39" s="33" t="s">
        <v>836</v>
      </c>
      <c r="AQ39" s="38" t="s">
        <v>829</v>
      </c>
      <c r="AR39" s="39" t="str">
        <f>IFERROR(__xludf.DUMMYFUNCTION("IFERROR(if(ISBLANK(AQ39),"" "",GOOGLEFINANCE(AP39,""Name"")), """")"),"Sudarshan Chemical Industries Ltd")</f>
        <v>Sudarshan Chemical Industries Ltd</v>
      </c>
      <c r="AS39" s="21">
        <f>IFERROR(__xludf.DUMMYFUNCTION("IFERROR(if(ISBLANK(AQ39),"" "",GOOGLEFINANCE(AP39,""price"")), """")"),1052.0)</f>
        <v>1052</v>
      </c>
      <c r="AT39" s="23">
        <f>IFERROR(__xludf.DUMMYFUNCTION("IFERROR(if(ISBLANK(AQ39),"" "",GOOGLEFINANCE(AP39,""changepct"")), """")"),-5.23)</f>
        <v>-5.23</v>
      </c>
      <c r="AU39" s="45"/>
      <c r="AV39" s="34" t="s">
        <v>838</v>
      </c>
      <c r="AW39" s="38" t="s">
        <v>829</v>
      </c>
      <c r="AX39" s="39" t="str">
        <f>IFERROR(__xludf.DUMMYFUNCTION("IFERROR(if(ISBLANK(AW39),"" "",GOOGLEFINANCE(AV39,""Name"")), """")"),"Just Dial Ltd")</f>
        <v>Just Dial Ltd</v>
      </c>
      <c r="AY39" s="21">
        <f>IFERROR(__xludf.DUMMYFUNCTION("IFERROR(if(ISBLANK(AW39),"" "",GOOGLEFINANCE(AV39,""price"")), """")"),683.5)</f>
        <v>683.5</v>
      </c>
      <c r="AZ39" s="23">
        <f>IFERROR(__xludf.DUMMYFUNCTION("IFERROR(if(ISBLANK(AW39),"" "",GOOGLEFINANCE(AV39,""changepct"")), """")"),-1.65)</f>
        <v>-1.65</v>
      </c>
      <c r="BA39" s="12"/>
      <c r="BB39" s="33" t="s">
        <v>839</v>
      </c>
      <c r="BC39" s="38" t="s">
        <v>829</v>
      </c>
      <c r="BD39" s="39" t="str">
        <f>IFERROR(__xludf.DUMMYFUNCTION("IFERROR(if(ISBLANK(BC39),"" "",GOOGLEFINANCE(BB39,""Name"")), """")"),"Mps Ltd")</f>
        <v>Mps Ltd</v>
      </c>
      <c r="BE39" s="21">
        <f>IFERROR(__xludf.DUMMYFUNCTION("IFERROR(if(ISBLANK(BC39),"" "",GOOGLEFINANCE(BB39,""price"")), """")"),2843.0)</f>
        <v>2843</v>
      </c>
      <c r="BF39" s="23">
        <f>IFERROR(__xludf.DUMMYFUNCTION("IFERROR(if(ISBLANK(BC39),"" "",GOOGLEFINANCE(BB39,""changepct"")), """")"),-0.22)</f>
        <v>-0.22</v>
      </c>
      <c r="BG39" s="12"/>
      <c r="BH39" s="35" t="s">
        <v>840</v>
      </c>
      <c r="BI39" s="38" t="s">
        <v>829</v>
      </c>
      <c r="BJ39" s="39" t="str">
        <f>IFERROR(__xludf.DUMMYFUNCTION("IFERROR(if(ISBLANK(BI39),"" "",GOOGLEFINANCE(BH39,""Name"")), """")"),"Spectrum Electrical Industries Ltd")</f>
        <v>Spectrum Electrical Industries Ltd</v>
      </c>
      <c r="BK39" s="21">
        <f>IFERROR(__xludf.DUMMYFUNCTION("IFERROR(if(ISBLANK(BI39),"" "",GOOGLEFINANCE(BH39,""price"")), """")"),2283.6)</f>
        <v>2283.6</v>
      </c>
      <c r="BL39" s="23">
        <f>IFERROR(__xludf.DUMMYFUNCTION("IFERROR(if(ISBLANK(BI39),"" "",GOOGLEFINANCE(BH39,""changepct"")), """")"),-5.0)</f>
        <v>-5</v>
      </c>
      <c r="BM39" s="12"/>
      <c r="BN39" s="33" t="s">
        <v>841</v>
      </c>
      <c r="BO39" s="38" t="s">
        <v>829</v>
      </c>
      <c r="BP39" s="39" t="str">
        <f>IFERROR(__xludf.DUMMYFUNCTION("IFERROR(if(ISBLANK(BO39),"" "",GOOGLEFINANCE(BN39,""Name"")), """")"),"Prataap Snacks Ltd")</f>
        <v>Prataap Snacks Ltd</v>
      </c>
      <c r="BQ39" s="21">
        <f>IFERROR(__xludf.DUMMYFUNCTION("IFERROR(if(ISBLANK(BO39),"" "",GOOGLEFINANCE(BN39,""price"")), """")"),1199.8)</f>
        <v>1199.8</v>
      </c>
      <c r="BR39" s="23">
        <f>IFERROR(__xludf.DUMMYFUNCTION("IFERROR(if(ISBLANK(BO39),"" "",GOOGLEFINANCE(BN39,""changepct"")), """")"),-0.64)</f>
        <v>-0.64</v>
      </c>
      <c r="BS39" s="22">
        <f>IFERROR(__xludf.DUMMYFUNCTION("IFERROR(if(ISBLANK($C39),"" "",GOOGLEFINANCE($B39,""change"")), """")"),-3.25)</f>
        <v>-3.25</v>
      </c>
      <c r="BT39" s="36"/>
      <c r="BU39" s="27" t="s">
        <v>842</v>
      </c>
      <c r="BV39" s="38" t="s">
        <v>829</v>
      </c>
      <c r="BW39" s="39" t="str">
        <f>IFERROR(__xludf.DUMMYFUNCTION("IFERROR(if(ISBLANK(BV39),"" "",GOOGLEFINANCE(BU39,""Name"")), """")"),"Prakash Industries Ltd")</f>
        <v>Prakash Industries Ltd</v>
      </c>
      <c r="BX39" s="21">
        <f>IFERROR(__xludf.DUMMYFUNCTION("IFERROR(if(ISBLANK(BV39),"" "",GOOGLEFINANCE(BU39,""price"")), """")"),121.16)</f>
        <v>121.16</v>
      </c>
      <c r="BY39" s="23">
        <f>IFERROR(__xludf.DUMMYFUNCTION("IFERROR(if(ISBLANK(BV39),"" "",GOOGLEFINANCE(BU39,""changepct"")), """")"),-0.52)</f>
        <v>-0.52</v>
      </c>
      <c r="BZ39" s="22">
        <f>IFERROR(__xludf.DUMMYFUNCTION("IFERROR(if(ISBLANK($C39),"" "",GOOGLEFINANCE($B39,""change"")), """")"),-3.25)</f>
        <v>-3.25</v>
      </c>
      <c r="CA39" s="37"/>
      <c r="CB39" s="27" t="s">
        <v>843</v>
      </c>
      <c r="CC39" s="38" t="s">
        <v>829</v>
      </c>
      <c r="CD39" s="39" t="str">
        <f>IFERROR(__xludf.DUMMYFUNCTION("IFERROR(if(ISBLANK(CC39),"" "",GOOGLEFINANCE(CB39,""Name"")), """")"),"Aurum Proptech Ltd")</f>
        <v>Aurum Proptech Ltd</v>
      </c>
      <c r="CE39" s="21">
        <f>IFERROR(__xludf.DUMMYFUNCTION("IFERROR(if(ISBLANK(CC39),"" "",GOOGLEFINANCE(CB39,""price"")), """")"),224.97)</f>
        <v>224.97</v>
      </c>
      <c r="CF39" s="23">
        <f>IFERROR(__xludf.DUMMYFUNCTION("IFERROR(if(ISBLANK(CC39),"" "",GOOGLEFINANCE(CB39,""changepct"")), """")"),-1.57)</f>
        <v>-1.57</v>
      </c>
      <c r="CG39" s="12"/>
      <c r="CH39" s="18" t="s">
        <v>844</v>
      </c>
      <c r="CI39" s="38" t="s">
        <v>829</v>
      </c>
      <c r="CJ39" s="39" t="str">
        <f>IFERROR(__xludf.DUMMYFUNCTION("IFERROR(if(ISBLANK(CI39),"" "",GOOGLEFINANCE(CH39,""Name"")), """")"),"Faze Three Ltd")</f>
        <v>Faze Three Ltd</v>
      </c>
      <c r="CK39" s="21">
        <f>IFERROR(__xludf.DUMMYFUNCTION("IFERROR(if(ISBLANK(CI39),"" "",GOOGLEFINANCE(CH39,""price"")), """")"),543.05)</f>
        <v>543.05</v>
      </c>
      <c r="CL39" s="23">
        <f>IFERROR(__xludf.DUMMYFUNCTION("IFERROR(if(ISBLANK(CI39),"" "",GOOGLEFINANCE(CH39,""changepct"")), """")"),-9.99)</f>
        <v>-9.99</v>
      </c>
      <c r="CM39" s="12"/>
      <c r="CN39" s="33" t="s">
        <v>845</v>
      </c>
      <c r="CO39" s="38" t="s">
        <v>829</v>
      </c>
      <c r="CP39" s="39" t="str">
        <f>IFERROR(__xludf.DUMMYFUNCTION("IFERROR(if(ISBLANK(CO39),"" "",GOOGLEFINANCE(CN39,""Name"")), """")"),"Avadh Sugar &amp; Energy Ltd")</f>
        <v>Avadh Sugar &amp; Energy Ltd</v>
      </c>
      <c r="CQ39" s="21">
        <f>IFERROR(__xludf.DUMMYFUNCTION("IFERROR(if(ISBLANK(CO39),"" "",GOOGLEFINANCE(CN39,""price"")), """")"),622.0)</f>
        <v>622</v>
      </c>
      <c r="CR39" s="23">
        <f>IFERROR(__xludf.DUMMYFUNCTION("IFERROR(if(ISBLANK(CO39),"" "",GOOGLEFINANCE(CN39,""changepct"")), """")"),-2.02)</f>
        <v>-2.02</v>
      </c>
      <c r="CS39" s="45"/>
      <c r="CT39" s="33" t="s">
        <v>847</v>
      </c>
      <c r="CU39" s="38" t="s">
        <v>829</v>
      </c>
      <c r="CV39" s="39" t="str">
        <f>IFERROR(__xludf.DUMMYFUNCTION("IFERROR(if(ISBLANK(CU39),"" "",GOOGLEFINANCE(CT39,""Name"")), """")"),"Advance Agrolife Ltd")</f>
        <v>Advance Agrolife Ltd</v>
      </c>
      <c r="CW39" s="21">
        <f>IFERROR(__xludf.DUMMYFUNCTION("IFERROR(if(ISBLANK(CU39),"" "",GOOGLEFINANCE(CT39,""price"")), """")"),117.7)</f>
        <v>117.7</v>
      </c>
      <c r="CX39" s="23">
        <f>IFERROR(__xludf.DUMMYFUNCTION("IFERROR(if(ISBLANK(CU39),"" "",GOOGLEFINANCE(CT39,""changepct"")), """")"),-3.69)</f>
        <v>-3.69</v>
      </c>
      <c r="CY39" s="17"/>
      <c r="CZ39" s="33" t="s">
        <v>848</v>
      </c>
      <c r="DA39" s="38" t="s">
        <v>829</v>
      </c>
      <c r="DB39" s="39" t="str">
        <f>IFERROR(__xludf.DUMMYFUNCTION("IFERROR(if(ISBLANK(DA39),"" "",GOOGLEFINANCE(CZ39,""Name"")), """")"),"Prozone Realty Ltd")</f>
        <v>Prozone Realty Ltd</v>
      </c>
      <c r="DC39" s="21">
        <f>IFERROR(__xludf.DUMMYFUNCTION("IFERROR(if(ISBLANK(DA39),"" "",GOOGLEFINANCE(CZ39,""price"")), """")"),41.7)</f>
        <v>41.7</v>
      </c>
      <c r="DD39" s="23">
        <f>IFERROR(__xludf.DUMMYFUNCTION("IFERROR(if(ISBLANK(DA39),"" "",GOOGLEFINANCE(CZ39,""changepct"")), """")"),-2.07)</f>
        <v>-2.07</v>
      </c>
      <c r="DE39" s="45"/>
      <c r="DF39" s="12"/>
    </row>
    <row r="40" ht="11.25" customHeight="1">
      <c r="A40" s="17"/>
      <c r="B40" s="18" t="s">
        <v>849</v>
      </c>
      <c r="C40" s="38" t="s">
        <v>850</v>
      </c>
      <c r="D40" s="39" t="str">
        <f>IFERROR(__xludf.DUMMYFUNCTION("IFERROR(if(ISBLANK(C40),"" "",GOOGLEFINANCE(B40,""Name"")), """")"),"Hindustan Zinc Ltd")</f>
        <v>Hindustan Zinc Ltd</v>
      </c>
      <c r="E40" s="21">
        <f>IFERROR(__xludf.DUMMYFUNCTION("IFERROR(if(ISBLANK(C40),"" "",GOOGLEFINANCE(B40,""price"")), """")"),584.6)</f>
        <v>584.6</v>
      </c>
      <c r="F40" s="22">
        <f>IFERROR(__xludf.DUMMYFUNCTION("IFERROR(if(ISBLANK(C40),"" "",GOOGLEFINANCE(B40,""changepct"")), """")"),-0.35)</f>
        <v>-0.35</v>
      </c>
      <c r="G40" s="23">
        <f>IFERROR(__xludf.DUMMYFUNCTION("IFERROR(if(ISBLANK($C40),"" "",GOOGLEFINANCE($B40,""change"")), """")"),-2.05)</f>
        <v>-2.05</v>
      </c>
      <c r="H40" s="24"/>
      <c r="I40" s="25" t="s">
        <v>851</v>
      </c>
      <c r="J40" s="38" t="s">
        <v>850</v>
      </c>
      <c r="K40" s="39" t="str">
        <f>IFERROR(__xludf.DUMMYFUNCTION("IFERROR(if(ISBLANK(J40),"" "",GOOGLEFINANCE(I40,""Name"")), """")"),"Info Edge (India) Ltd")</f>
        <v>Info Edge (India) Ltd</v>
      </c>
      <c r="L40" s="21">
        <f>IFERROR(__xludf.DUMMYFUNCTION("IFERROR(if(ISBLANK(J40),"" "",GOOGLEFINANCE(I40,""price"")), """")"),1336.0)</f>
        <v>1336</v>
      </c>
      <c r="M40" s="22">
        <f>IFERROR(__xludf.DUMMYFUNCTION("IFERROR(if(ISBLANK(J40),"" "",GOOGLEFINANCE(I40,""changepct"")), """")"),-1.76)</f>
        <v>-1.76</v>
      </c>
      <c r="N40" s="23">
        <f>IFERROR(__xludf.DUMMYFUNCTION("IFERROR(if(ISBLANK($C40),"" "",GOOGLEFINANCE($B40,""change"")), """")"),-2.05)</f>
        <v>-2.05</v>
      </c>
      <c r="O40" s="26"/>
      <c r="P40" s="27" t="s">
        <v>852</v>
      </c>
      <c r="Q40" s="38" t="s">
        <v>850</v>
      </c>
      <c r="R40" s="39" t="str">
        <f>IFERROR(__xludf.DUMMYFUNCTION("IFERROR(if(ISBLANK(Q40),"" "",GOOGLEFINANCE(P40,""Name"")), """")"),"Housing And Urban Development Corp Ltd")</f>
        <v>Housing And Urban Development Corp Ltd</v>
      </c>
      <c r="S40" s="21">
        <f>IFERROR(__xludf.DUMMYFUNCTION("IFERROR(if(ISBLANK(Q40),"" "",GOOGLEFINANCE(P40,""price"")), """")"),191.95)</f>
        <v>191.95</v>
      </c>
      <c r="T40" s="22">
        <f>IFERROR(__xludf.DUMMYFUNCTION("IFERROR(if(ISBLANK(Q40),"" "",GOOGLEFINANCE(P40,""changepct"")), """")"),-1.95)</f>
        <v>-1.95</v>
      </c>
      <c r="U40" s="28"/>
      <c r="V40" s="18" t="s">
        <v>853</v>
      </c>
      <c r="W40" s="38" t="s">
        <v>850</v>
      </c>
      <c r="X40" s="39" t="str">
        <f>IFERROR(__xludf.DUMMYFUNCTION("IFERROR(if(ISBLANK(W40),"" "",GOOGLEFINANCE(V40,""Name"")), """")"),"Asahi India Glass Ltd")</f>
        <v>Asahi India Glass Ltd</v>
      </c>
      <c r="Y40" s="21">
        <f>IFERROR(__xludf.DUMMYFUNCTION("IFERROR(if(ISBLANK(W40),"" "",GOOGLEFINANCE(V40,""price"")), """")"),890.0)</f>
        <v>890</v>
      </c>
      <c r="Z40" s="23">
        <f>IFERROR(__xludf.DUMMYFUNCTION("IFERROR(if(ISBLANK(W40),"" "",GOOGLEFINANCE(V40,""changepct"")), """")"),-1.29)</f>
        <v>-1.29</v>
      </c>
      <c r="AA40" s="12"/>
      <c r="AB40" s="18" t="s">
        <v>855</v>
      </c>
      <c r="AC40" s="38" t="s">
        <v>850</v>
      </c>
      <c r="AD40" s="39" t="str">
        <f>IFERROR(__xludf.DUMMYFUNCTION("IFERROR(if(ISBLANK(AC40),"" "",GOOGLEFINANCE(AB40,""Name"")), """")"),"CIE Automotive India Ltd")</f>
        <v>CIE Automotive India Ltd</v>
      </c>
      <c r="AE40" s="21">
        <f>IFERROR(__xludf.DUMMYFUNCTION("IFERROR(if(ISBLANK(AC40),"" "",GOOGLEFINANCE(AB40,""price"")), """")"),412.45)</f>
        <v>412.45</v>
      </c>
      <c r="AF40" s="23">
        <f>IFERROR(__xludf.DUMMYFUNCTION("IFERROR(if(ISBLANK(AC40),"" "",GOOGLEFINANCE(AB40,""changepct"")), """")"),-0.13)</f>
        <v>-0.13</v>
      </c>
      <c r="AG40" s="45"/>
      <c r="AH40" s="27" t="s">
        <v>856</v>
      </c>
      <c r="AI40" s="38" t="s">
        <v>850</v>
      </c>
      <c r="AJ40" s="39" t="str">
        <f>IFERROR(__xludf.DUMMYFUNCTION("IFERROR(if(ISBLANK(AI40),"" "",GOOGLEFINANCE(AH40,""Name"")), """")"),"JK Tyre &amp; Industries Ltd")</f>
        <v>JK Tyre &amp; Industries Ltd</v>
      </c>
      <c r="AK40" s="21">
        <f>IFERROR(__xludf.DUMMYFUNCTION("IFERROR(if(ISBLANK(AI40),"" "",GOOGLEFINANCE(AH40,""price"")), """")"),386.0)</f>
        <v>386</v>
      </c>
      <c r="AL40" s="23">
        <f>IFERROR(__xludf.DUMMYFUNCTION("IFERROR(if(ISBLANK(AI40),"" "",GOOGLEFINANCE(AH40,""changepct"")), """")"),-1.24)</f>
        <v>-1.24</v>
      </c>
      <c r="AM40" s="44"/>
      <c r="AN40" s="31" t="s">
        <v>200</v>
      </c>
      <c r="AO40" s="32" t="str">
        <f>IFERROR(__xludf.DUMMYFUNCTION("IFERROR(if(ISBLANK(AN40),"" "",GOOGLEFINANCE(AM40,""Name"")), """")"),"")</f>
        <v/>
      </c>
      <c r="AP40" s="33" t="s">
        <v>857</v>
      </c>
      <c r="AQ40" s="38" t="s">
        <v>850</v>
      </c>
      <c r="AR40" s="39" t="str">
        <f>IFERROR(__xludf.DUMMYFUNCTION("IFERROR(if(ISBLANK(AQ40),"" "",GOOGLEFINANCE(AP40,""Name"")), """")"),"Kama Holdings Ltd")</f>
        <v>Kama Holdings Ltd</v>
      </c>
      <c r="AS40" s="21">
        <f>IFERROR(__xludf.DUMMYFUNCTION("IFERROR(if(ISBLANK(AQ40),"" "",GOOGLEFINANCE(AP40,""price"")), """")"),2500.0)</f>
        <v>2500</v>
      </c>
      <c r="AT40" s="23">
        <f>IFERROR(__xludf.DUMMYFUNCTION("IFERROR(if(ISBLANK(AQ40),"" "",GOOGLEFINANCE(AP40,""changepct"")), """")"),0.85)</f>
        <v>0.85</v>
      </c>
      <c r="AU40" s="45"/>
      <c r="AV40" s="34" t="s">
        <v>858</v>
      </c>
      <c r="AW40" s="38" t="s">
        <v>850</v>
      </c>
      <c r="AX40" s="39" t="str">
        <f>IFERROR(__xludf.DUMMYFUNCTION("IFERROR(if(ISBLANK(AW40),"" "",GOOGLEFINANCE(AV40,""Name"")), """")"),"Jana Small Finance Bank Ltd")</f>
        <v>Jana Small Finance Bank Ltd</v>
      </c>
      <c r="AY40" s="21">
        <f>IFERROR(__xludf.DUMMYFUNCTION("IFERROR(if(ISBLANK(AW40),"" "",GOOGLEFINANCE(AV40,""price"")), """")"),548.75)</f>
        <v>548.75</v>
      </c>
      <c r="AZ40" s="23">
        <f>IFERROR(__xludf.DUMMYFUNCTION("IFERROR(if(ISBLANK(AW40),"" "",GOOGLEFINANCE(AV40,""changepct"")), """")"),4.21)</f>
        <v>4.21</v>
      </c>
      <c r="BA40" s="12"/>
      <c r="BB40" s="33" t="s">
        <v>859</v>
      </c>
      <c r="BC40" s="38" t="s">
        <v>850</v>
      </c>
      <c r="BD40" s="39" t="str">
        <f>IFERROR(__xludf.DUMMYFUNCTION("IFERROR(if(ISBLANK(BC40),"" "",GOOGLEFINANCE(BB40,""Name"")), """")"),"Dhanuka Agritech Ltd")</f>
        <v>Dhanuka Agritech Ltd</v>
      </c>
      <c r="BE40" s="21">
        <f>IFERROR(__xludf.DUMMYFUNCTION("IFERROR(if(ISBLANK(BC40),"" "",GOOGLEFINANCE(BB40,""price"")), """")"),1028.8)</f>
        <v>1028.8</v>
      </c>
      <c r="BF40" s="23">
        <f>IFERROR(__xludf.DUMMYFUNCTION("IFERROR(if(ISBLANK(BC40),"" "",GOOGLEFINANCE(BB40,""changepct"")), """")"),-1.11)</f>
        <v>-1.11</v>
      </c>
      <c r="BG40" s="12"/>
      <c r="BH40" s="35" t="s">
        <v>860</v>
      </c>
      <c r="BI40" s="38" t="s">
        <v>850</v>
      </c>
      <c r="BJ40" s="39" t="str">
        <f>IFERROR(__xludf.DUMMYFUNCTION("IFERROR(if(ISBLANK(BI40),"" "",GOOGLEFINANCE(BH40,""Name"")), """")"),"Ellenbarrie Industrial Gases Ltd")</f>
        <v>Ellenbarrie Industrial Gases Ltd</v>
      </c>
      <c r="BK40" s="21">
        <f>IFERROR(__xludf.DUMMYFUNCTION("IFERROR(if(ISBLANK(BI40),"" "",GOOGLEFINANCE(BH40,""price"")), """")"),323.8)</f>
        <v>323.8</v>
      </c>
      <c r="BL40" s="23">
        <f>IFERROR(__xludf.DUMMYFUNCTION("IFERROR(if(ISBLANK(BI40),"" "",GOOGLEFINANCE(BH40,""changepct"")), """")"),9.99)</f>
        <v>9.99</v>
      </c>
      <c r="BM40" s="12"/>
      <c r="BN40" s="33" t="s">
        <v>862</v>
      </c>
      <c r="BO40" s="38" t="s">
        <v>850</v>
      </c>
      <c r="BP40" s="39" t="str">
        <f>IFERROR(__xludf.DUMMYFUNCTION("IFERROR(if(ISBLANK(BO40),"" "",GOOGLEFINANCE(BN40,""Name"")), """")"),"Sundaram Clayton Ltd")</f>
        <v>Sundaram Clayton Ltd</v>
      </c>
      <c r="BQ40" s="21">
        <f>IFERROR(__xludf.DUMMYFUNCTION("IFERROR(if(ISBLANK(BO40),"" "",GOOGLEFINANCE(BN40,""price"")), """")"),1187.3)</f>
        <v>1187.3</v>
      </c>
      <c r="BR40" s="23">
        <f>IFERROR(__xludf.DUMMYFUNCTION("IFERROR(if(ISBLANK(BO40),"" "",GOOGLEFINANCE(BN40,""changepct"")), """")"),-2.79)</f>
        <v>-2.79</v>
      </c>
      <c r="BS40" s="22">
        <f>IFERROR(__xludf.DUMMYFUNCTION("IFERROR(if(ISBLANK($C40),"" "",GOOGLEFINANCE($B40,""change"")), """")"),-2.05)</f>
        <v>-2.05</v>
      </c>
      <c r="BT40" s="36"/>
      <c r="BU40" s="27" t="s">
        <v>863</v>
      </c>
      <c r="BV40" s="38" t="s">
        <v>850</v>
      </c>
      <c r="BW40" s="39" t="str">
        <f>IFERROR(__xludf.DUMMYFUNCTION("IFERROR(if(ISBLANK(BV40),"" "",GOOGLEFINANCE(BU40,""Name"")), """")"),"Epack Durable Ltd")</f>
        <v>Epack Durable Ltd</v>
      </c>
      <c r="BX40" s="21">
        <f>IFERROR(__xludf.DUMMYFUNCTION("IFERROR(if(ISBLANK(BV40),"" "",GOOGLEFINANCE(BU40,""price"")), """")"),213.0)</f>
        <v>213</v>
      </c>
      <c r="BY40" s="23">
        <f>IFERROR(__xludf.DUMMYFUNCTION("IFERROR(if(ISBLANK(BV40),"" "",GOOGLEFINANCE(BU40,""changepct"")), """")"),-6.28)</f>
        <v>-6.28</v>
      </c>
      <c r="BZ40" s="22">
        <f>IFERROR(__xludf.DUMMYFUNCTION("IFERROR(if(ISBLANK($C40),"" "",GOOGLEFINANCE($B40,""change"")), """")"),-2.05)</f>
        <v>-2.05</v>
      </c>
      <c r="CA40" s="37"/>
      <c r="CB40" s="27" t="s">
        <v>864</v>
      </c>
      <c r="CC40" s="38" t="s">
        <v>850</v>
      </c>
      <c r="CD40" s="39" t="str">
        <f>IFERROR(__xludf.DUMMYFUNCTION("IFERROR(if(ISBLANK(CC40),"" "",GOOGLEFINANCE(CB40,""Name"")), """")"),"Delta Corp Ltd")</f>
        <v>Delta Corp Ltd</v>
      </c>
      <c r="CE40" s="21">
        <f>IFERROR(__xludf.DUMMYFUNCTION("IFERROR(if(ISBLANK(CC40),"" "",GOOGLEFINANCE(CB40,""price"")), """")"),60.5)</f>
        <v>60.5</v>
      </c>
      <c r="CF40" s="23">
        <f>IFERROR(__xludf.DUMMYFUNCTION("IFERROR(if(ISBLANK(CC40),"" "",GOOGLEFINANCE(CB40,""changepct"")), """")"),-4.38)</f>
        <v>-4.38</v>
      </c>
      <c r="CG40" s="12"/>
      <c r="CH40" s="18" t="s">
        <v>865</v>
      </c>
      <c r="CI40" s="38" t="s">
        <v>850</v>
      </c>
      <c r="CJ40" s="39" t="str">
        <f>IFERROR(__xludf.DUMMYFUNCTION("IFERROR(if(ISBLANK(CI40),"" "",GOOGLEFINANCE(CH40,""Name"")), """")"),"Ratnaveer Precision Engineering Ltd")</f>
        <v>Ratnaveer Precision Engineering Ltd</v>
      </c>
      <c r="CK40" s="21">
        <f>IFERROR(__xludf.DUMMYFUNCTION("IFERROR(if(ISBLANK(CI40),"" "",GOOGLEFINANCE(CH40,""price"")), """")"),210.35)</f>
        <v>210.35</v>
      </c>
      <c r="CL40" s="23">
        <f>IFERROR(__xludf.DUMMYFUNCTION("IFERROR(if(ISBLANK(CI40),"" "",GOOGLEFINANCE(CH40,""changepct"")), """")"),2.03)</f>
        <v>2.03</v>
      </c>
      <c r="CM40" s="12"/>
      <c r="CN40" s="33" t="s">
        <v>866</v>
      </c>
      <c r="CO40" s="38" t="s">
        <v>850</v>
      </c>
      <c r="CP40" s="39" t="str">
        <f>IFERROR(__xludf.DUMMYFUNCTION("IFERROR(if(ISBLANK(CO40),"" "",GOOGLEFINANCE(CN40,""Name"")), """")"),"Iris Clothings Ltd")</f>
        <v>Iris Clothings Ltd</v>
      </c>
      <c r="CQ40" s="21">
        <f>IFERROR(__xludf.DUMMYFUNCTION("IFERROR(if(ISBLANK(CO40),"" "",GOOGLEFINANCE(CN40,""price"")), """")"),57.09)</f>
        <v>57.09</v>
      </c>
      <c r="CR40" s="23">
        <f>IFERROR(__xludf.DUMMYFUNCTION("IFERROR(if(ISBLANK(CO40),"" "",GOOGLEFINANCE(CN40,""changepct"")), """")"),1.37)</f>
        <v>1.37</v>
      </c>
      <c r="CS40" s="45"/>
      <c r="CT40" s="33" t="s">
        <v>867</v>
      </c>
      <c r="CU40" s="38" t="s">
        <v>850</v>
      </c>
      <c r="CV40" s="39" t="str">
        <f>IFERROR(__xludf.DUMMYFUNCTION("IFERROR(if(ISBLANK(CU40),"" "",GOOGLEFINANCE(CT40,""Name"")), """")"),"Anuh Pharma Ltd")</f>
        <v>Anuh Pharma Ltd</v>
      </c>
      <c r="CW40" s="21">
        <f>IFERROR(__xludf.DUMMYFUNCTION("IFERROR(if(ISBLANK(CU40),"" "",GOOGLEFINANCE(CT40,""price"")), """")"),77.55)</f>
        <v>77.55</v>
      </c>
      <c r="CX40" s="23">
        <f>IFERROR(__xludf.DUMMYFUNCTION("IFERROR(if(ISBLANK(CU40),"" "",GOOGLEFINANCE(CT40,""changepct"")), """")"),-0.27)</f>
        <v>-0.27</v>
      </c>
      <c r="CY40" s="17"/>
      <c r="CZ40" s="33" t="s">
        <v>868</v>
      </c>
      <c r="DA40" s="38" t="s">
        <v>850</v>
      </c>
      <c r="DB40" s="39" t="str">
        <f>IFERROR(__xludf.DUMMYFUNCTION("IFERROR(if(ISBLANK(DA40),"" "",GOOGLEFINANCE(CZ40,""Name"")), """")"),"Asian Hotels (West) Ltd")</f>
        <v>Asian Hotels (West) Ltd</v>
      </c>
      <c r="DC40" s="21">
        <f>IFERROR(__xludf.DUMMYFUNCTION("IFERROR(if(ISBLANK(DA40),"" "",GOOGLEFINANCE(CZ40,""price"")), """")"),547.9)</f>
        <v>547.9</v>
      </c>
      <c r="DD40" s="23">
        <f>IFERROR(__xludf.DUMMYFUNCTION("IFERROR(if(ISBLANK(DA40),"" "",GOOGLEFINANCE(CZ40,""changepct"")), """")"),2.41)</f>
        <v>2.41</v>
      </c>
      <c r="DE40" s="45"/>
      <c r="DF40" s="12"/>
    </row>
    <row r="41" ht="11.25" customHeight="1">
      <c r="A41" s="17"/>
      <c r="B41" s="18" t="s">
        <v>869</v>
      </c>
      <c r="C41" s="46" t="s">
        <v>870</v>
      </c>
      <c r="D41" s="39" t="str">
        <f>IFERROR(__xludf.DUMMYFUNCTION("IFERROR(if(ISBLANK(C41),"" "",GOOGLEFINANCE(B41,""Name"")), """")"),"Adani Green Energy Ltd")</f>
        <v>Adani Green Energy Ltd</v>
      </c>
      <c r="E41" s="21">
        <f>IFERROR(__xludf.DUMMYFUNCTION("IFERROR(if(ISBLANK(C41),"" "",GOOGLEFINANCE(B41,""price"")), """")"),1333.0)</f>
        <v>1333</v>
      </c>
      <c r="F41" s="22">
        <f>IFERROR(__xludf.DUMMYFUNCTION("IFERROR(if(ISBLANK(C41),"" "",GOOGLEFINANCE(B41,""changepct"")), """")"),-2.42)</f>
        <v>-2.42</v>
      </c>
      <c r="G41" s="23">
        <f>IFERROR(__xludf.DUMMYFUNCTION("IFERROR(if(ISBLANK($C41),"" "",GOOGLEFINANCE($B41,""change"")), """")"),-33.0)</f>
        <v>-33</v>
      </c>
      <c r="H41" s="24"/>
      <c r="I41" s="25" t="s">
        <v>872</v>
      </c>
      <c r="J41" s="46" t="s">
        <v>870</v>
      </c>
      <c r="K41" s="39" t="str">
        <f>IFERROR(__xludf.DUMMYFUNCTION("IFERROR(if(ISBLANK(J41),"" "",GOOGLEFINANCE(I41,""Name"")), """")"),"NHPC Ltd")</f>
        <v>NHPC Ltd</v>
      </c>
      <c r="L41" s="21">
        <f>IFERROR(__xludf.DUMMYFUNCTION("IFERROR(if(ISBLANK(J41),"" "",GOOGLEFINANCE(I41,""price"")), """")"),76.5)</f>
        <v>76.5</v>
      </c>
      <c r="M41" s="22">
        <f>IFERROR(__xludf.DUMMYFUNCTION("IFERROR(if(ISBLANK(J41),"" "",GOOGLEFINANCE(I41,""changepct"")), """")"),-0.58)</f>
        <v>-0.58</v>
      </c>
      <c r="N41" s="23">
        <f>IFERROR(__xludf.DUMMYFUNCTION("IFERROR(if(ISBLANK($C41),"" "",GOOGLEFINANCE($B41,""change"")), """")"),-33.0)</f>
        <v>-33</v>
      </c>
      <c r="O41" s="26"/>
      <c r="P41" s="27" t="s">
        <v>873</v>
      </c>
      <c r="Q41" s="46" t="s">
        <v>870</v>
      </c>
      <c r="R41" s="39" t="str">
        <f>IFERROR(__xludf.DUMMYFUNCTION("IFERROR(if(ISBLANK(Q41),"" "",GOOGLEFINANCE(P41,""Name"")), """")"),"3M India Ltd")</f>
        <v>3M India Ltd</v>
      </c>
      <c r="S41" s="21">
        <f>IFERROR(__xludf.DUMMYFUNCTION("IFERROR(if(ISBLANK(Q41),"" "",GOOGLEFINANCE(P41,""price"")), """")"),35865.0)</f>
        <v>35865</v>
      </c>
      <c r="T41" s="22">
        <f>IFERROR(__xludf.DUMMYFUNCTION("IFERROR(if(ISBLANK(Q41),"" "",GOOGLEFINANCE(P41,""changepct"")), """")"),-0.69)</f>
        <v>-0.69</v>
      </c>
      <c r="U41" s="28"/>
      <c r="V41" s="18" t="s">
        <v>874</v>
      </c>
      <c r="W41" s="46" t="s">
        <v>870</v>
      </c>
      <c r="X41" s="39" t="str">
        <f>IFERROR(__xludf.DUMMYFUNCTION("IFERROR(if(ISBLANK(W41),"" "",GOOGLEFINANCE(V41,""Name"")), """")"),"Affle 3i Ltd")</f>
        <v>Affle 3i Ltd</v>
      </c>
      <c r="Y41" s="21">
        <f>IFERROR(__xludf.DUMMYFUNCTION("IFERROR(if(ISBLANK(W41),"" "",GOOGLEFINANCE(V41,""price"")), """")"),1666.1)</f>
        <v>1666.1</v>
      </c>
      <c r="Z41" s="23">
        <f>IFERROR(__xludf.DUMMYFUNCTION("IFERROR(if(ISBLANK(W41),"" "",GOOGLEFINANCE(V41,""changepct"")), """")"),-0.67)</f>
        <v>-0.67</v>
      </c>
      <c r="AA41" s="12"/>
      <c r="AB41" s="18" t="s">
        <v>875</v>
      </c>
      <c r="AC41" s="46" t="s">
        <v>870</v>
      </c>
      <c r="AD41" s="39" t="str">
        <f>IFERROR(__xludf.DUMMYFUNCTION("IFERROR(if(ISBLANK(AC41),"" "",GOOGLEFINANCE(AB41,""Name"")), """")"),"Rainbow Children's Medicare Ltd")</f>
        <v>Rainbow Children's Medicare Ltd</v>
      </c>
      <c r="AE41" s="21">
        <f>IFERROR(__xludf.DUMMYFUNCTION("IFERROR(if(ISBLANK(AC41),"" "",GOOGLEFINANCE(AB41,""price"")), """")"),1478.8)</f>
        <v>1478.8</v>
      </c>
      <c r="AF41" s="23">
        <f>IFERROR(__xludf.DUMMYFUNCTION("IFERROR(if(ISBLANK(AC41),"" "",GOOGLEFINANCE(AB41,""changepct"")), """")"),-1.68)</f>
        <v>-1.68</v>
      </c>
      <c r="AG41" s="45"/>
      <c r="AH41" s="27" t="s">
        <v>876</v>
      </c>
      <c r="AI41" s="46" t="s">
        <v>870</v>
      </c>
      <c r="AJ41" s="39" t="str">
        <f>IFERROR(__xludf.DUMMYFUNCTION("IFERROR(if(ISBLANK(AI41),"" "",GOOGLEFINANCE(AH41,""Name"")), """")"),"Tilaknagar Industries Ltd")</f>
        <v>Tilaknagar Industries Ltd</v>
      </c>
      <c r="AK41" s="21">
        <f>IFERROR(__xludf.DUMMYFUNCTION("IFERROR(if(ISBLANK(AI41),"" "",GOOGLEFINANCE(AH41,""price"")), """")"),530.0)</f>
        <v>530</v>
      </c>
      <c r="AL41" s="23">
        <f>IFERROR(__xludf.DUMMYFUNCTION("IFERROR(if(ISBLANK(AI41),"" "",GOOGLEFINANCE(AH41,""changepct"")), """")"),1.78)</f>
        <v>1.78</v>
      </c>
      <c r="AM41" s="30"/>
      <c r="AN41" s="31" t="s">
        <v>200</v>
      </c>
      <c r="AO41" s="32" t="str">
        <f>IFERROR(__xludf.DUMMYFUNCTION("IFERROR(if(ISBLANK(AN41),"" "",GOOGLEFINANCE(AM41,""Name"")), """")"),"")</f>
        <v/>
      </c>
      <c r="AP41" s="33" t="s">
        <v>878</v>
      </c>
      <c r="AQ41" s="46" t="s">
        <v>870</v>
      </c>
      <c r="AR41" s="39" t="str">
        <f>IFERROR(__xludf.DUMMYFUNCTION("IFERROR(if(ISBLANK(AQ41),"" "",GOOGLEFINANCE(AP41,""Name"")), """")"),"KRBL Ltd")</f>
        <v>KRBL Ltd</v>
      </c>
      <c r="AS41" s="21">
        <f>IFERROR(__xludf.DUMMYFUNCTION("IFERROR(if(ISBLANK(AQ41),"" "",GOOGLEFINANCE(AP41,""price"")), """")"),375.0)</f>
        <v>375</v>
      </c>
      <c r="AT41" s="23">
        <f>IFERROR(__xludf.DUMMYFUNCTION("IFERROR(if(ISBLANK(AQ41),"" "",GOOGLEFINANCE(AP41,""changepct"")), """")"),1.2)</f>
        <v>1.2</v>
      </c>
      <c r="AU41" s="45"/>
      <c r="AV41" s="34" t="s">
        <v>879</v>
      </c>
      <c r="AW41" s="46" t="s">
        <v>870</v>
      </c>
      <c r="AX41" s="39" t="str">
        <f>IFERROR(__xludf.DUMMYFUNCTION("IFERROR(if(ISBLANK(AW41),"" "",GOOGLEFINANCE(AV41,""Name"")), """")"),"Isgec Heavy Engineering Ltd")</f>
        <v>Isgec Heavy Engineering Ltd</v>
      </c>
      <c r="AY41" s="21">
        <f>IFERROR(__xludf.DUMMYFUNCTION("IFERROR(if(ISBLANK(AW41),"" "",GOOGLEFINANCE(AV41,""price"")), """")"),746.0)</f>
        <v>746</v>
      </c>
      <c r="AZ41" s="23">
        <f>IFERROR(__xludf.DUMMYFUNCTION("IFERROR(if(ISBLANK(AW41),"" "",GOOGLEFINANCE(AV41,""changepct"")), """")"),-7.55)</f>
        <v>-7.55</v>
      </c>
      <c r="BA41" s="12"/>
      <c r="BB41" s="33" t="s">
        <v>880</v>
      </c>
      <c r="BC41" s="46" t="s">
        <v>870</v>
      </c>
      <c r="BD41" s="39" t="str">
        <f>IFERROR(__xludf.DUMMYFUNCTION("IFERROR(if(ISBLANK(BC41),"" "",GOOGLEFINANCE(BB41,""Name"")), """")"),"Hirect Ltd")</f>
        <v>Hirect Ltd</v>
      </c>
      <c r="BE41" s="21">
        <f>IFERROR(__xludf.DUMMYFUNCTION("IFERROR(if(ISBLANK(BC41),"" "",GOOGLEFINANCE(BB41,""price"")), """")"),1258.0)</f>
        <v>1258</v>
      </c>
      <c r="BF41" s="23">
        <f>IFERROR(__xludf.DUMMYFUNCTION("IFERROR(if(ISBLANK(BC41),"" "",GOOGLEFINANCE(BB41,""changepct"")), """")"),2.92)</f>
        <v>2.92</v>
      </c>
      <c r="BG41" s="12"/>
      <c r="BH41" s="35" t="s">
        <v>881</v>
      </c>
      <c r="BI41" s="46" t="s">
        <v>870</v>
      </c>
      <c r="BJ41" s="39" t="str">
        <f>IFERROR(__xludf.DUMMYFUNCTION("IFERROR(if(ISBLANK(BI41),"" "",GOOGLEFINANCE(BH41,""Name"")), """")"),"Indiqube Spaces Ltd")</f>
        <v>Indiqube Spaces Ltd</v>
      </c>
      <c r="BK41" s="21">
        <f>IFERROR(__xludf.DUMMYFUNCTION("IFERROR(if(ISBLANK(BI41),"" "",GOOGLEFINANCE(BH41,""price"")), """")"),185.2)</f>
        <v>185.2</v>
      </c>
      <c r="BL41" s="23">
        <f>IFERROR(__xludf.DUMMYFUNCTION("IFERROR(if(ISBLANK(BI41),"" "",GOOGLEFINANCE(BH41,""changepct"")), """")"),0.62)</f>
        <v>0.62</v>
      </c>
      <c r="BM41" s="12"/>
      <c r="BN41" s="33" t="s">
        <v>882</v>
      </c>
      <c r="BO41" s="46" t="s">
        <v>870</v>
      </c>
      <c r="BP41" s="39" t="str">
        <f>IFERROR(__xludf.DUMMYFUNCTION("IFERROR(if(ISBLANK(BO41),"" "",GOOGLEFINANCE(BN41,""Name"")), """")"),"Sasken Technologies Ltd")</f>
        <v>Sasken Technologies Ltd</v>
      </c>
      <c r="BQ41" s="21">
        <f>IFERROR(__xludf.DUMMYFUNCTION("IFERROR(if(ISBLANK(BO41),"" "",GOOGLEFINANCE(BN41,""price"")), """")"),1920.0)</f>
        <v>1920</v>
      </c>
      <c r="BR41" s="23">
        <f>IFERROR(__xludf.DUMMYFUNCTION("IFERROR(if(ISBLANK(BO41),"" "",GOOGLEFINANCE(BN41,""changepct"")), """")"),-3.16)</f>
        <v>-3.16</v>
      </c>
      <c r="BS41" s="22">
        <f>IFERROR(__xludf.DUMMYFUNCTION("IFERROR(if(ISBLANK($C41),"" "",GOOGLEFINANCE($B41,""change"")), """")"),-33.0)</f>
        <v>-33</v>
      </c>
      <c r="BT41" s="36"/>
      <c r="BU41" s="27" t="s">
        <v>883</v>
      </c>
      <c r="BV41" s="46" t="s">
        <v>870</v>
      </c>
      <c r="BW41" s="39" t="str">
        <f>IFERROR(__xludf.DUMMYFUNCTION("IFERROR(if(ISBLANK(BV41),"" "",GOOGLEFINANCE(BU41,""Name"")), """")"),"Exicom Tele-Systems Ltd")</f>
        <v>Exicom Tele-Systems Ltd</v>
      </c>
      <c r="BX41" s="21">
        <f>IFERROR(__xludf.DUMMYFUNCTION("IFERROR(if(ISBLANK(BV41),"" "",GOOGLEFINANCE(BU41,""price"")), """")"),141.7)</f>
        <v>141.7</v>
      </c>
      <c r="BY41" s="23">
        <f>IFERROR(__xludf.DUMMYFUNCTION("IFERROR(if(ISBLANK(BV41),"" "",GOOGLEFINANCE(BU41,""changepct"")), """")"),-1.56)</f>
        <v>-1.56</v>
      </c>
      <c r="BZ41" s="22">
        <f>IFERROR(__xludf.DUMMYFUNCTION("IFERROR(if(ISBLANK($C41),"" "",GOOGLEFINANCE($B41,""change"")), """")"),-33.0)</f>
        <v>-33</v>
      </c>
      <c r="CA41" s="37"/>
      <c r="CB41" s="27" t="s">
        <v>885</v>
      </c>
      <c r="CC41" s="46" t="s">
        <v>870</v>
      </c>
      <c r="CD41" s="39" t="str">
        <f>IFERROR(__xludf.DUMMYFUNCTION("IFERROR(if(ISBLANK(CC41),"" "",GOOGLEFINANCE(CB41,""Name"")), """")"),"M &amp; B Engineering Ltd")</f>
        <v>M &amp; B Engineering Ltd</v>
      </c>
      <c r="CE41" s="21">
        <f>IFERROR(__xludf.DUMMYFUNCTION("IFERROR(if(ISBLANK(CC41),"" "",GOOGLEFINANCE(CB41,""price"")), """")"),267.3)</f>
        <v>267.3</v>
      </c>
      <c r="CF41" s="23">
        <f>IFERROR(__xludf.DUMMYFUNCTION("IFERROR(if(ISBLANK(CC41),"" "",GOOGLEFINANCE(CB41,""changepct"")), """")"),0.07)</f>
        <v>0.07</v>
      </c>
      <c r="CG41" s="12"/>
      <c r="CH41" s="18" t="s">
        <v>886</v>
      </c>
      <c r="CI41" s="46" t="s">
        <v>870</v>
      </c>
      <c r="CJ41" s="39" t="str">
        <f>IFERROR(__xludf.DUMMYFUNCTION("IFERROR(if(ISBLANK(CI41),"" "",GOOGLEFINANCE(CH41,""Name"")), """")"),"Butterfly Gandhimathi Appliances Ltd")</f>
        <v>Butterfly Gandhimathi Appliances Ltd</v>
      </c>
      <c r="CK41" s="21">
        <f>IFERROR(__xludf.DUMMYFUNCTION("IFERROR(if(ISBLANK(CI41),"" "",GOOGLEFINANCE(CH41,""price"")), """")"),680.0)</f>
        <v>680</v>
      </c>
      <c r="CL41" s="23">
        <f>IFERROR(__xludf.DUMMYFUNCTION("IFERROR(if(ISBLANK(CI41),"" "",GOOGLEFINANCE(CH41,""changepct"")), """")"),1.52)</f>
        <v>1.52</v>
      </c>
      <c r="CM41" s="12"/>
      <c r="CN41" s="33" t="s">
        <v>887</v>
      </c>
      <c r="CO41" s="46" t="s">
        <v>870</v>
      </c>
      <c r="CP41" s="39" t="str">
        <f>IFERROR(__xludf.DUMMYFUNCTION("IFERROR(if(ISBLANK(CO41),"" "",GOOGLEFINANCE(CN41,""Name"")), """")"),"Birlanu Ltd")</f>
        <v>Birlanu Ltd</v>
      </c>
      <c r="CQ41" s="21">
        <f>IFERROR(__xludf.DUMMYFUNCTION("IFERROR(if(ISBLANK(CO41),"" "",GOOGLEFINANCE(CN41,""price"")), """")"),1665.0)</f>
        <v>1665</v>
      </c>
      <c r="CR41" s="23">
        <f>IFERROR(__xludf.DUMMYFUNCTION("IFERROR(if(ISBLANK(CO41),"" "",GOOGLEFINANCE(CN41,""changepct"")), """")"),-1.18)</f>
        <v>-1.18</v>
      </c>
      <c r="CS41" s="45"/>
      <c r="CT41" s="33" t="s">
        <v>888</v>
      </c>
      <c r="CU41" s="46" t="s">
        <v>870</v>
      </c>
      <c r="CV41" s="39" t="str">
        <f>IFERROR(__xludf.DUMMYFUNCTION("IFERROR(if(ISBLANK(CU41),"" "",GOOGLEFINANCE(CT41,""Name"")), """")"),"Advent Hotels International Ltd")</f>
        <v>Advent Hotels International Ltd</v>
      </c>
      <c r="CW41" s="21">
        <f>IFERROR(__xludf.DUMMYFUNCTION("IFERROR(if(ISBLANK(CU41),"" "",GOOGLEFINANCE(CT41,""price"")), """")"),143.66)</f>
        <v>143.66</v>
      </c>
      <c r="CX41" s="23">
        <f>IFERROR(__xludf.DUMMYFUNCTION("IFERROR(if(ISBLANK(CU41),"" "",GOOGLEFINANCE(CT41,""changepct"")), """")"),0.0)</f>
        <v>0</v>
      </c>
      <c r="CY41" s="17"/>
      <c r="CZ41" s="33" t="s">
        <v>889</v>
      </c>
      <c r="DA41" s="46" t="s">
        <v>870</v>
      </c>
      <c r="DB41" s="39" t="str">
        <f>IFERROR(__xludf.DUMMYFUNCTION("IFERROR(if(ISBLANK(DA41),"" "",GOOGLEFINANCE(CZ41,""Name"")), """")"),"Hindustan Composites Ltd")</f>
        <v>Hindustan Composites Ltd</v>
      </c>
      <c r="DC41" s="21">
        <f>IFERROR(__xludf.DUMMYFUNCTION("IFERROR(if(ISBLANK(DA41),"" "",GOOGLEFINANCE(CZ41,""price"")), """")"),419.65)</f>
        <v>419.65</v>
      </c>
      <c r="DD41" s="23">
        <f>IFERROR(__xludf.DUMMYFUNCTION("IFERROR(if(ISBLANK(DA41),"" "",GOOGLEFINANCE(CZ41,""changepct"")), """")"),1.12)</f>
        <v>1.12</v>
      </c>
      <c r="DE41" s="45"/>
      <c r="DF41" s="12"/>
    </row>
    <row r="42" ht="11.25" customHeight="1">
      <c r="A42" s="17"/>
      <c r="B42" s="18" t="s">
        <v>890</v>
      </c>
      <c r="C42" s="38" t="s">
        <v>891</v>
      </c>
      <c r="D42" s="39" t="str">
        <f>IFERROR(__xludf.DUMMYFUNCTION("IFERROR(if(ISBLANK(C42),"" "",GOOGLEFINANCE(B42,""Name"")), """")"),"Hindalco Industries Ltd")</f>
        <v>Hindalco Industries Ltd</v>
      </c>
      <c r="E42" s="21">
        <f>IFERROR(__xludf.DUMMYFUNCTION("IFERROR(if(ISBLANK(C42),"" "",GOOGLEFINANCE(B42,""price"")), """")"),1072.0)</f>
        <v>1072</v>
      </c>
      <c r="F42" s="22">
        <f>IFERROR(__xludf.DUMMYFUNCTION("IFERROR(if(ISBLANK(C42),"" "",GOOGLEFINANCE(B42,""changepct"")), """")"),2.18)</f>
        <v>2.18</v>
      </c>
      <c r="G42" s="23">
        <f>IFERROR(__xludf.DUMMYFUNCTION("IFERROR(if(ISBLANK($C42),"" "",GOOGLEFINANCE($B42,""change"")), """")"),22.9)</f>
        <v>22.9</v>
      </c>
      <c r="H42" s="24"/>
      <c r="I42" s="25" t="s">
        <v>892</v>
      </c>
      <c r="J42" s="38" t="s">
        <v>891</v>
      </c>
      <c r="K42" s="39" t="str">
        <f>IFERROR(__xludf.DUMMYFUNCTION("IFERROR(if(ISBLANK(J42),"" "",GOOGLEFINANCE(I42,""Name"")), """")"),"Havells India Ltd")</f>
        <v>Havells India Ltd</v>
      </c>
      <c r="L42" s="21">
        <f>IFERROR(__xludf.DUMMYFUNCTION("IFERROR(if(ISBLANK(J42),"" "",GOOGLEFINANCE(I42,""price"")), """")"),1262.2)</f>
        <v>1262.2</v>
      </c>
      <c r="M42" s="22">
        <f>IFERROR(__xludf.DUMMYFUNCTION("IFERROR(if(ISBLANK(J42),"" "",GOOGLEFINANCE(I42,""changepct"")), """")"),-0.96)</f>
        <v>-0.96</v>
      </c>
      <c r="N42" s="23">
        <f>IFERROR(__xludf.DUMMYFUNCTION("IFERROR(if(ISBLANK($C42),"" "",GOOGLEFINANCE($B42,""change"")), """")"),22.9)</f>
        <v>22.9</v>
      </c>
      <c r="O42" s="26"/>
      <c r="P42" s="27" t="s">
        <v>894</v>
      </c>
      <c r="Q42" s="38" t="s">
        <v>891</v>
      </c>
      <c r="R42" s="39" t="str">
        <f>IFERROR(__xludf.DUMMYFUNCTION("IFERROR(if(ISBLANK(Q42),"" "",GOOGLEFINANCE(P42,""Name"")), """")"),"Astral Ltd")</f>
        <v>Astral Ltd</v>
      </c>
      <c r="S42" s="21">
        <f>IFERROR(__xludf.DUMMYFUNCTION("IFERROR(if(ISBLANK(Q42),"" "",GOOGLEFINANCE(P42,""price"")), """")"),1453.1)</f>
        <v>1453.1</v>
      </c>
      <c r="T42" s="22">
        <f>IFERROR(__xludf.DUMMYFUNCTION("IFERROR(if(ISBLANK(Q42),"" "",GOOGLEFINANCE(P42,""changepct"")), """")"),1.98)</f>
        <v>1.98</v>
      </c>
      <c r="U42" s="28"/>
      <c r="V42" s="18" t="s">
        <v>895</v>
      </c>
      <c r="W42" s="38" t="s">
        <v>891</v>
      </c>
      <c r="X42" s="39" t="str">
        <f>IFERROR(__xludf.DUMMYFUNCTION("IFERROR(if(ISBLANK(W42),"" "",GOOGLEFINANCE(V42,""Name"")), """")"),"Prime Focus Limited")</f>
        <v>Prime Focus Limited</v>
      </c>
      <c r="Y42" s="21">
        <f>IFERROR(__xludf.DUMMYFUNCTION("IFERROR(if(ISBLANK(W42),"" "",GOOGLEFINANCE(V42,""price"")), """")"),269.4)</f>
        <v>269.4</v>
      </c>
      <c r="Z42" s="23">
        <f>IFERROR(__xludf.DUMMYFUNCTION("IFERROR(if(ISBLANK(W42),"" "",GOOGLEFINANCE(V42,""changepct"")), """")"),-4.32)</f>
        <v>-4.32</v>
      </c>
      <c r="AA42" s="12"/>
      <c r="AB42" s="18" t="s">
        <v>896</v>
      </c>
      <c r="AC42" s="38" t="s">
        <v>891</v>
      </c>
      <c r="AD42" s="39" t="str">
        <f>IFERROR(__xludf.DUMMYFUNCTION("IFERROR(if(ISBLANK(AC42),"" "",GOOGLEFINANCE(AB42,""Name"")), """")"),"CCL Products (India) Ltd")</f>
        <v>CCL Products (India) Ltd</v>
      </c>
      <c r="AE42" s="21">
        <f>IFERROR(__xludf.DUMMYFUNCTION("IFERROR(if(ISBLANK(AC42),"" "",GOOGLEFINANCE(AB42,""price"")), """")"),1130.1)</f>
        <v>1130.1</v>
      </c>
      <c r="AF42" s="23">
        <f>IFERROR(__xludf.DUMMYFUNCTION("IFERROR(if(ISBLANK(AC42),"" "",GOOGLEFINANCE(AB42,""changepct"")), """")"),0.58)</f>
        <v>0.58</v>
      </c>
      <c r="AG42" s="45"/>
      <c r="AH42" s="27" t="s">
        <v>897</v>
      </c>
      <c r="AI42" s="38" t="s">
        <v>891</v>
      </c>
      <c r="AJ42" s="39" t="str">
        <f>IFERROR(__xludf.DUMMYFUNCTION("IFERROR(if(ISBLANK(AI42),"" "",GOOGLEFINANCE(AH42,""Name"")), """")"),"Techno Electric &amp; Engineering Cmpany Ltd")</f>
        <v>Techno Electric &amp; Engineering Cmpany Ltd</v>
      </c>
      <c r="AK42" s="21">
        <f>IFERROR(__xludf.DUMMYFUNCTION("IFERROR(if(ISBLANK(AI42),"" "",GOOGLEFINANCE(AH42,""price"")), """")"),984.0)</f>
        <v>984</v>
      </c>
      <c r="AL42" s="23">
        <f>IFERROR(__xludf.DUMMYFUNCTION("IFERROR(if(ISBLANK(AI42),"" "",GOOGLEFINANCE(AH42,""changepct"")), """")"),-7.0)</f>
        <v>-7</v>
      </c>
      <c r="AM42" s="44"/>
      <c r="AN42" s="31" t="s">
        <v>200</v>
      </c>
      <c r="AO42" s="32" t="str">
        <f>IFERROR(__xludf.DUMMYFUNCTION("IFERROR(if(ISBLANK(AN42),"" "",GOOGLEFINANCE(AM42,""Name"")), """")"),"")</f>
        <v/>
      </c>
      <c r="AP42" s="33" t="s">
        <v>898</v>
      </c>
      <c r="AQ42" s="38" t="s">
        <v>891</v>
      </c>
      <c r="AR42" s="39" t="str">
        <f>IFERROR(__xludf.DUMMYFUNCTION("IFERROR(if(ISBLANK(AQ42),"" "",GOOGLEFINANCE(AP42,""Name"")), """")"),"RHI Magnesita India Ltd")</f>
        <v>RHI Magnesita India Ltd</v>
      </c>
      <c r="AS42" s="21">
        <f>IFERROR(__xludf.DUMMYFUNCTION("IFERROR(if(ISBLANK(AQ42),"" "",GOOGLEFINANCE(AP42,""price"")), """")"),385.65)</f>
        <v>385.65</v>
      </c>
      <c r="AT42" s="23">
        <f>IFERROR(__xludf.DUMMYFUNCTION("IFERROR(if(ISBLANK(AQ42),"" "",GOOGLEFINANCE(AP42,""changepct"")), """")"),-7.2)</f>
        <v>-7.2</v>
      </c>
      <c r="AU42" s="45"/>
      <c r="AV42" s="34" t="s">
        <v>900</v>
      </c>
      <c r="AW42" s="38" t="s">
        <v>891</v>
      </c>
      <c r="AX42" s="39" t="str">
        <f>IFERROR(__xludf.DUMMYFUNCTION("IFERROR(if(ISBLANK(AW42),"" "",GOOGLEFINANCE(AV42,""Name"")), """")"),"Knowledge Marine &amp; Engineering Works Ltd")</f>
        <v>Knowledge Marine &amp; Engineering Works Ltd</v>
      </c>
      <c r="AY42" s="21">
        <f>IFERROR(__xludf.DUMMYFUNCTION("IFERROR(if(ISBLANK(AW42),"" "",GOOGLEFINANCE(AV42,""price"")), """")"),2593.0)</f>
        <v>2593</v>
      </c>
      <c r="AZ42" s="23">
        <f>IFERROR(__xludf.DUMMYFUNCTION("IFERROR(if(ISBLANK(AW42),"" "",GOOGLEFINANCE(AV42,""changepct"")), """")"),-1.07)</f>
        <v>-1.07</v>
      </c>
      <c r="BA42" s="12"/>
      <c r="BB42" s="33" t="s">
        <v>901</v>
      </c>
      <c r="BC42" s="38" t="s">
        <v>891</v>
      </c>
      <c r="BD42" s="39" t="str">
        <f>IFERROR(__xludf.DUMMYFUNCTION("IFERROR(if(ISBLANK(BC42),"" "",GOOGLEFINANCE(BB42,""Name"")), """")"),"AGI Greenpac Ltd")</f>
        <v>AGI Greenpac Ltd</v>
      </c>
      <c r="BE42" s="21">
        <f>IFERROR(__xludf.DUMMYFUNCTION("IFERROR(if(ISBLANK(BC42),"" "",GOOGLEFINANCE(BB42,""price"")), """")"),708.0)</f>
        <v>708</v>
      </c>
      <c r="BF42" s="23">
        <f>IFERROR(__xludf.DUMMYFUNCTION("IFERROR(if(ISBLANK(BC42),"" "",GOOGLEFINANCE(BB42,""changepct"")), """")"),-1.28)</f>
        <v>-1.28</v>
      </c>
      <c r="BG42" s="12"/>
      <c r="BH42" s="35" t="s">
        <v>902</v>
      </c>
      <c r="BI42" s="38" t="s">
        <v>891</v>
      </c>
      <c r="BJ42" s="39" t="str">
        <f>IFERROR(__xludf.DUMMYFUNCTION("IFERROR(if(ISBLANK(BI42),"" "",GOOGLEFINANCE(BH42,""Name"")), """")"),"Marine Electricals (India) Ltd")</f>
        <v>Marine Electricals (India) Ltd</v>
      </c>
      <c r="BK42" s="21">
        <f>IFERROR(__xludf.DUMMYFUNCTION("IFERROR(if(ISBLANK(BI42),"" "",GOOGLEFINANCE(BH42,""price"")), """")"),347.0)</f>
        <v>347</v>
      </c>
      <c r="BL42" s="23">
        <f>IFERROR(__xludf.DUMMYFUNCTION("IFERROR(if(ISBLANK(BI42),"" "",GOOGLEFINANCE(BH42,""changepct"")), """")"),-0.77)</f>
        <v>-0.77</v>
      </c>
      <c r="BM42" s="12"/>
      <c r="BN42" s="33" t="s">
        <v>903</v>
      </c>
      <c r="BO42" s="38" t="s">
        <v>891</v>
      </c>
      <c r="BP42" s="39" t="str">
        <f>IFERROR(__xludf.DUMMYFUNCTION("IFERROR(if(ISBLANK(BO42),"" "",GOOGLEFINANCE(BN42,""Name"")), """")"),"Zaggle Prepaid Ocean Services Ltd")</f>
        <v>Zaggle Prepaid Ocean Services Ltd</v>
      </c>
      <c r="BQ42" s="21">
        <f>IFERROR(__xludf.DUMMYFUNCTION("IFERROR(if(ISBLANK(BO42),"" "",GOOGLEFINANCE(BN42,""price"")), """")"),202.0)</f>
        <v>202</v>
      </c>
      <c r="BR42" s="23">
        <f>IFERROR(__xludf.DUMMYFUNCTION("IFERROR(if(ISBLANK(BO42),"" "",GOOGLEFINANCE(BN42,""changepct"")), """")"),-0.81)</f>
        <v>-0.81</v>
      </c>
      <c r="BS42" s="22">
        <f>IFERROR(__xludf.DUMMYFUNCTION("IFERROR(if(ISBLANK($C42),"" "",GOOGLEFINANCE($B42,""change"")), """")"),22.9)</f>
        <v>22.9</v>
      </c>
      <c r="BT42" s="36"/>
      <c r="BU42" s="27" t="s">
        <v>904</v>
      </c>
      <c r="BV42" s="38" t="s">
        <v>891</v>
      </c>
      <c r="BW42" s="39" t="str">
        <f>IFERROR(__xludf.DUMMYFUNCTION("IFERROR(if(ISBLANK(BV42),"" "",GOOGLEFINANCE(BU42,""Name"")), """")"),"Gandhar Oil Refinery India Ltd")</f>
        <v>Gandhar Oil Refinery India Ltd</v>
      </c>
      <c r="BX42" s="21">
        <f>IFERROR(__xludf.DUMMYFUNCTION("IFERROR(if(ISBLANK(BV42),"" "",GOOGLEFINANCE(BU42,""price"")), """")"),236.5)</f>
        <v>236.5</v>
      </c>
      <c r="BY42" s="23">
        <f>IFERROR(__xludf.DUMMYFUNCTION("IFERROR(if(ISBLANK(BV42),"" "",GOOGLEFINANCE(BU42,""changepct"")), """")"),-2.84)</f>
        <v>-2.84</v>
      </c>
      <c r="BZ42" s="22">
        <f>IFERROR(__xludf.DUMMYFUNCTION("IFERROR(if(ISBLANK($C42),"" "",GOOGLEFINANCE($B42,""change"")), """")"),22.9)</f>
        <v>22.9</v>
      </c>
      <c r="CA42" s="37"/>
      <c r="CB42" s="27" t="s">
        <v>906</v>
      </c>
      <c r="CC42" s="38" t="s">
        <v>891</v>
      </c>
      <c r="CD42" s="39" t="str">
        <f>IFERROR(__xludf.DUMMYFUNCTION("IFERROR(if(ISBLANK(CC42),"" "",GOOGLEFINANCE(CB42,""Name"")), """")"),"Tarsons Products Ltd")</f>
        <v>Tarsons Products Ltd</v>
      </c>
      <c r="CE42" s="21">
        <f>IFERROR(__xludf.DUMMYFUNCTION("IFERROR(if(ISBLANK(CC42),"" "",GOOGLEFINANCE(CB42,""price"")), """")"),311.0)</f>
        <v>311</v>
      </c>
      <c r="CF42" s="23">
        <f>IFERROR(__xludf.DUMMYFUNCTION("IFERROR(if(ISBLANK(CC42),"" "",GOOGLEFINANCE(CB42,""changepct"")), """")"),4.64)</f>
        <v>4.64</v>
      </c>
      <c r="CG42" s="12"/>
      <c r="CH42" s="18" t="s">
        <v>907</v>
      </c>
      <c r="CI42" s="38" t="s">
        <v>891</v>
      </c>
      <c r="CJ42" s="39" t="str">
        <f>IFERROR(__xludf.DUMMYFUNCTION("IFERROR(if(ISBLANK(CI42),"" "",GOOGLEFINANCE(CH42,""Name"")), """")"),"Electrotherm (India) Ltd")</f>
        <v>Electrotherm (India) Ltd</v>
      </c>
      <c r="CK42" s="21">
        <f>IFERROR(__xludf.DUMMYFUNCTION("IFERROR(if(ISBLANK(CI42),"" "",GOOGLEFINANCE(CH42,""price"")), """")"),1014.9)</f>
        <v>1014.9</v>
      </c>
      <c r="CL42" s="23">
        <f>IFERROR(__xludf.DUMMYFUNCTION("IFERROR(if(ISBLANK(CI42),"" "",GOOGLEFINANCE(CH42,""changepct"")), """")"),-0.35)</f>
        <v>-0.35</v>
      </c>
      <c r="CM42" s="12"/>
      <c r="CN42" s="33" t="s">
        <v>908</v>
      </c>
      <c r="CO42" s="38" t="s">
        <v>891</v>
      </c>
      <c r="CP42" s="39" t="str">
        <f>IFERROR(__xludf.DUMMYFUNCTION("IFERROR(if(ISBLANK(CO42),"" "",GOOGLEFINANCE(CN42,""Name"")), """")"),"Gujarat Kidney and Super Speciality Ltd")</f>
        <v>Gujarat Kidney and Super Speciality Ltd</v>
      </c>
      <c r="CQ42" s="21">
        <f>IFERROR(__xludf.DUMMYFUNCTION("IFERROR(if(ISBLANK(CO42),"" "",GOOGLEFINANCE(CN42,""price"")), """")"),133.36)</f>
        <v>133.36</v>
      </c>
      <c r="CR42" s="23">
        <f>IFERROR(__xludf.DUMMYFUNCTION("IFERROR(if(ISBLANK(CO42),"" "",GOOGLEFINANCE(CN42,""changepct"")), """")"),-0.33)</f>
        <v>-0.33</v>
      </c>
      <c r="CS42" s="45"/>
      <c r="CT42" s="33" t="s">
        <v>909</v>
      </c>
      <c r="CU42" s="38" t="s">
        <v>891</v>
      </c>
      <c r="CV42" s="39" t="str">
        <f>IFERROR(__xludf.DUMMYFUNCTION("IFERROR(if(ISBLANK(CU42),"" "",GOOGLEFINANCE(CT42,""Name"")), """")"),"GIC Housing Finance Ltd")</f>
        <v>GIC Housing Finance Ltd</v>
      </c>
      <c r="CW42" s="21">
        <f>IFERROR(__xludf.DUMMYFUNCTION("IFERROR(if(ISBLANK(CU42),"" "",GOOGLEFINANCE(CT42,""price"")), """")"),149.31)</f>
        <v>149.31</v>
      </c>
      <c r="CX42" s="23">
        <f>IFERROR(__xludf.DUMMYFUNCTION("IFERROR(if(ISBLANK(CU42),"" "",GOOGLEFINANCE(CT42,""changepct"")), """")"),-0.74)</f>
        <v>-0.74</v>
      </c>
      <c r="CY42" s="17"/>
      <c r="CZ42" s="33" t="s">
        <v>910</v>
      </c>
      <c r="DA42" s="38" t="s">
        <v>891</v>
      </c>
      <c r="DB42" s="39" t="str">
        <f>IFERROR(__xludf.DUMMYFUNCTION("IFERROR(if(ISBLANK(DA42),"" "",GOOGLEFINANCE(CZ42,""Name"")), """")"),"Sutlej Textiles And Industries Ltd")</f>
        <v>Sutlej Textiles And Industries Ltd</v>
      </c>
      <c r="DC42" s="21">
        <f>IFERROR(__xludf.DUMMYFUNCTION("IFERROR(if(ISBLANK(DA42),"" "",GOOGLEFINANCE(CZ42,""price"")), """")"),38.28)</f>
        <v>38.28</v>
      </c>
      <c r="DD42" s="23">
        <f>IFERROR(__xludf.DUMMYFUNCTION("IFERROR(if(ISBLANK(DA42),"" "",GOOGLEFINANCE(CZ42,""changepct"")), """")"),0.47)</f>
        <v>0.47</v>
      </c>
      <c r="DE42" s="45"/>
      <c r="DF42" s="12"/>
    </row>
    <row r="43" ht="11.25" customHeight="1">
      <c r="A43" s="17"/>
      <c r="B43" s="18" t="s">
        <v>912</v>
      </c>
      <c r="C43" s="38" t="s">
        <v>913</v>
      </c>
      <c r="D43" s="39" t="str">
        <f>IFERROR(__xludf.DUMMYFUNCTION("IFERROR(if(ISBLANK(C43),"" "",GOOGLEFINANCE(B43,""Name"")), """")"),"Eicher Motors Ltd")</f>
        <v>Eicher Motors Ltd</v>
      </c>
      <c r="E43" s="21">
        <f>IFERROR(__xludf.DUMMYFUNCTION("IFERROR(if(ISBLANK(C43),"" "",GOOGLEFINANCE(B43,""price"")), """")"),8022.0)</f>
        <v>8022</v>
      </c>
      <c r="F43" s="22">
        <f>IFERROR(__xludf.DUMMYFUNCTION("IFERROR(if(ISBLANK(C43),"" "",GOOGLEFINANCE(B43,""changepct"")), """")"),0.28)</f>
        <v>0.28</v>
      </c>
      <c r="G43" s="23">
        <f>IFERROR(__xludf.DUMMYFUNCTION("IFERROR(if(ISBLANK($C43),"" "",GOOGLEFINANCE($B43,""change"")), """")"),22.0)</f>
        <v>22</v>
      </c>
      <c r="H43" s="24"/>
      <c r="I43" s="25" t="s">
        <v>914</v>
      </c>
      <c r="J43" s="38" t="s">
        <v>913</v>
      </c>
      <c r="K43" s="39" t="str">
        <f>IFERROR(__xludf.DUMMYFUNCTION("IFERROR(if(ISBLANK(J43),"" "",GOOGLEFINANCE(I43,""Name"")), """")"),"Indusind Bank Ltd")</f>
        <v>Indusind Bank Ltd</v>
      </c>
      <c r="L43" s="21">
        <f>IFERROR(__xludf.DUMMYFUNCTION("IFERROR(if(ISBLANK(J43),"" "",GOOGLEFINANCE(I43,""price"")), """")"),1022.6)</f>
        <v>1022.6</v>
      </c>
      <c r="M43" s="22">
        <f>IFERROR(__xludf.DUMMYFUNCTION("IFERROR(if(ISBLANK(J43),"" "",GOOGLEFINANCE(I43,""changepct"")), """")"),1.36)</f>
        <v>1.36</v>
      </c>
      <c r="N43" s="23">
        <f>IFERROR(__xludf.DUMMYFUNCTION("IFERROR(if(ISBLANK($C43),"" "",GOOGLEFINANCE($B43,""change"")), """")"),22.0)</f>
        <v>22</v>
      </c>
      <c r="O43" s="26"/>
      <c r="P43" s="27" t="s">
        <v>915</v>
      </c>
      <c r="Q43" s="38" t="s">
        <v>913</v>
      </c>
      <c r="R43" s="39" t="str">
        <f>IFERROR(__xludf.DUMMYFUNCTION("IFERROR(if(ISBLANK(Q43),"" "",GOOGLEFINANCE(P43,""Name"")), """")"),"Navin Fluorine International Limited")</f>
        <v>Navin Fluorine International Limited</v>
      </c>
      <c r="S43" s="21">
        <f>IFERROR(__xludf.DUMMYFUNCTION("IFERROR(if(ISBLANK(Q43),"" "",GOOGLEFINANCE(P43,""price"")), """")"),8352.5)</f>
        <v>8352.5</v>
      </c>
      <c r="T43" s="22">
        <f>IFERROR(__xludf.DUMMYFUNCTION("IFERROR(if(ISBLANK(Q43),"" "",GOOGLEFINANCE(P43,""changepct"")), """")"),2.41)</f>
        <v>2.41</v>
      </c>
      <c r="U43" s="28"/>
      <c r="V43" s="18" t="s">
        <v>916</v>
      </c>
      <c r="W43" s="38" t="s">
        <v>913</v>
      </c>
      <c r="X43" s="39" t="str">
        <f>IFERROR(__xludf.DUMMYFUNCTION("IFERROR(if(ISBLANK(W43),"" "",GOOGLEFINANCE(V43,""Name"")), """")"),"KIOCL Ltd")</f>
        <v>KIOCL Ltd</v>
      </c>
      <c r="Y43" s="21">
        <f>IFERROR(__xludf.DUMMYFUNCTION("IFERROR(if(ISBLANK(W43),"" "",GOOGLEFINANCE(V43,""price"")), """")"),393.5)</f>
        <v>393.5</v>
      </c>
      <c r="Z43" s="23">
        <f>IFERROR(__xludf.DUMMYFUNCTION("IFERROR(if(ISBLANK(W43),"" "",GOOGLEFINANCE(V43,""changepct"")), """")"),0.67)</f>
        <v>0.67</v>
      </c>
      <c r="AA43" s="12"/>
      <c r="AB43" s="18" t="s">
        <v>917</v>
      </c>
      <c r="AC43" s="38" t="s">
        <v>913</v>
      </c>
      <c r="AD43" s="39" t="str">
        <f>IFERROR(__xludf.DUMMYFUNCTION("IFERROR(if(ISBLANK(AC43),"" "",GOOGLEFINANCE(AB43,""Name"")), """")"),"Aequs Ltd")</f>
        <v>Aequs Ltd</v>
      </c>
      <c r="AE43" s="21">
        <f>IFERROR(__xludf.DUMMYFUNCTION("IFERROR(if(ISBLANK(AC43),"" "",GOOGLEFINANCE(AB43,""price"")), """")"),237.41)</f>
        <v>237.41</v>
      </c>
      <c r="AF43" s="23">
        <f>IFERROR(__xludf.DUMMYFUNCTION("IFERROR(if(ISBLANK(AC43),"" "",GOOGLEFINANCE(AB43,""changepct"")), """")"),-1.38)</f>
        <v>-1.38</v>
      </c>
      <c r="AG43" s="45"/>
      <c r="AH43" s="27" t="s">
        <v>918</v>
      </c>
      <c r="AI43" s="38" t="s">
        <v>913</v>
      </c>
      <c r="AJ43" s="39" t="str">
        <f>IFERROR(__xludf.DUMMYFUNCTION("IFERROR(if(ISBLANK(AI43),"" "",GOOGLEFINANCE(AH43,""Name"")), """")"),"Tega Industries Ltd")</f>
        <v>Tega Industries Ltd</v>
      </c>
      <c r="AK43" s="21">
        <f>IFERROR(__xludf.DUMMYFUNCTION("IFERROR(if(ISBLANK(AI43),"" "",GOOGLEFINANCE(AH43,""price"")), """")"),1634.0)</f>
        <v>1634</v>
      </c>
      <c r="AL43" s="23">
        <f>IFERROR(__xludf.DUMMYFUNCTION("IFERROR(if(ISBLANK(AI43),"" "",GOOGLEFINANCE(AH43,""changepct"")), """")"),-0.8)</f>
        <v>-0.8</v>
      </c>
      <c r="AM43" s="44"/>
      <c r="AN43" s="31" t="s">
        <v>200</v>
      </c>
      <c r="AO43" s="32" t="str">
        <f>IFERROR(__xludf.DUMMYFUNCTION("IFERROR(if(ISBLANK(AN43),"" "",GOOGLEFINANCE(AM43,""Name"")), """")"),"")</f>
        <v/>
      </c>
      <c r="AP43" s="33" t="s">
        <v>919</v>
      </c>
      <c r="AQ43" s="38" t="s">
        <v>913</v>
      </c>
      <c r="AR43" s="39" t="str">
        <f>IFERROR(__xludf.DUMMYFUNCTION("IFERROR(if(ISBLANK(AQ43),"" "",GOOGLEFINANCE(AP43,""Name"")), """")"),"V2 Retail Ltd")</f>
        <v>V2 Retail Ltd</v>
      </c>
      <c r="AS43" s="21">
        <f>IFERROR(__xludf.DUMMYFUNCTION("IFERROR(if(ISBLANK(AQ43),"" "",GOOGLEFINANCE(AP43,""price"")), """")"),219.4)</f>
        <v>219.4</v>
      </c>
      <c r="AT43" s="23">
        <f>IFERROR(__xludf.DUMMYFUNCTION("IFERROR(if(ISBLANK(AQ43),"" "",GOOGLEFINANCE(AP43,""changepct"")), """")"),-2.19)</f>
        <v>-2.19</v>
      </c>
      <c r="AU43" s="45"/>
      <c r="AV43" s="34" t="s">
        <v>920</v>
      </c>
      <c r="AW43" s="38" t="s">
        <v>913</v>
      </c>
      <c r="AX43" s="39" t="str">
        <f>IFERROR(__xludf.DUMMYFUNCTION("IFERROR(if(ISBLANK(AW43),"" "",GOOGLEFINANCE(AV43,""Name"")), """")"),"Aarti Pharmalabs Ltd")</f>
        <v>Aarti Pharmalabs Ltd</v>
      </c>
      <c r="AY43" s="21">
        <f>IFERROR(__xludf.DUMMYFUNCTION("IFERROR(if(ISBLANK(AW43),"" "",GOOGLEFINANCE(AV43,""price"")), """")"),894.0)</f>
        <v>894</v>
      </c>
      <c r="AZ43" s="23">
        <f>IFERROR(__xludf.DUMMYFUNCTION("IFERROR(if(ISBLANK(AW43),"" "",GOOGLEFINANCE(AV43,""changepct"")), """")"),1.17)</f>
        <v>1.17</v>
      </c>
      <c r="BA43" s="12"/>
      <c r="BB43" s="33" t="s">
        <v>921</v>
      </c>
      <c r="BC43" s="38" t="s">
        <v>913</v>
      </c>
      <c r="BD43" s="39" t="str">
        <f>IFERROR(__xludf.DUMMYFUNCTION("IFERROR(if(ISBLANK(BC43),"" "",GOOGLEFINANCE(BB43,""Name"")), """")"),"Fineotex Chemical Ltd")</f>
        <v>Fineotex Chemical Ltd</v>
      </c>
      <c r="BE43" s="21">
        <f>IFERROR(__xludf.DUMMYFUNCTION("IFERROR(if(ISBLANK(BC43),"" "",GOOGLEFINANCE(BB43,""price"")), """")"),43.1)</f>
        <v>43.1</v>
      </c>
      <c r="BF43" s="23">
        <f>IFERROR(__xludf.DUMMYFUNCTION("IFERROR(if(ISBLANK(BC43),"" "",GOOGLEFINANCE(BB43,""changepct"")), """")"),0.26)</f>
        <v>0.26</v>
      </c>
      <c r="BG43" s="12"/>
      <c r="BH43" s="35" t="s">
        <v>922</v>
      </c>
      <c r="BI43" s="38" t="s">
        <v>913</v>
      </c>
      <c r="BJ43" s="39" t="str">
        <f>IFERROR(__xludf.DUMMYFUNCTION("IFERROR(if(ISBLANK(BI43),"" "",GOOGLEFINANCE(BH43,""Name"")), """")"),"Ashika Global Securities Ltd")</f>
        <v>Ashika Global Securities Ltd</v>
      </c>
      <c r="BK43" s="21">
        <f>IFERROR(__xludf.DUMMYFUNCTION("IFERROR(if(ISBLANK(BI43),"" "",GOOGLEFINANCE(BH43,""price"")), """")"),400.0)</f>
        <v>400</v>
      </c>
      <c r="BL43" s="23">
        <f>IFERROR(__xludf.DUMMYFUNCTION("IFERROR(if(ISBLANK(BI43),"" "",GOOGLEFINANCE(BH43,""changepct"")), """")"),0.19)</f>
        <v>0.19</v>
      </c>
      <c r="BM43" s="12"/>
      <c r="BN43" s="33" t="s">
        <v>924</v>
      </c>
      <c r="BO43" s="38" t="s">
        <v>913</v>
      </c>
      <c r="BP43" s="39" t="str">
        <f>IFERROR(__xludf.DUMMYFUNCTION("IFERROR(if(ISBLANK(BO43),"" "",GOOGLEFINANCE(BN43,""Name"")), """")"),"Panama Petrochem Ltd")</f>
        <v>Panama Petrochem Ltd</v>
      </c>
      <c r="BQ43" s="21">
        <f>IFERROR(__xludf.DUMMYFUNCTION("IFERROR(if(ISBLANK(BO43),"" "",GOOGLEFINANCE(BN43,""price"")), """")"),478.1)</f>
        <v>478.1</v>
      </c>
      <c r="BR43" s="23">
        <f>IFERROR(__xludf.DUMMYFUNCTION("IFERROR(if(ISBLANK(BO43),"" "",GOOGLEFINANCE(BN43,""changepct"")), """")"),-12.36)</f>
        <v>-12.36</v>
      </c>
      <c r="BS43" s="22">
        <f>IFERROR(__xludf.DUMMYFUNCTION("IFERROR(if(ISBLANK($C43),"" "",GOOGLEFINANCE($B43,""change"")), """")"),22.0)</f>
        <v>22</v>
      </c>
      <c r="BT43" s="36"/>
      <c r="BU43" s="27" t="s">
        <v>925</v>
      </c>
      <c r="BV43" s="38" t="s">
        <v>913</v>
      </c>
      <c r="BW43" s="39" t="str">
        <f>IFERROR(__xludf.DUMMYFUNCTION("IFERROR(if(ISBLANK(BV43),"" "",GOOGLEFINANCE(BU43,""Name"")), """")"),"Ramco Systems Ltd")</f>
        <v>Ramco Systems Ltd</v>
      </c>
      <c r="BX43" s="21">
        <f>IFERROR(__xludf.DUMMYFUNCTION("IFERROR(if(ISBLANK(BV43),"" "",GOOGLEFINANCE(BU43,""price"")), """")"),619.9)</f>
        <v>619.9</v>
      </c>
      <c r="BY43" s="23">
        <f>IFERROR(__xludf.DUMMYFUNCTION("IFERROR(if(ISBLANK(BV43),"" "",GOOGLEFINANCE(BU43,""changepct"")), """")"),-5.0)</f>
        <v>-5</v>
      </c>
      <c r="BZ43" s="22">
        <f>IFERROR(__xludf.DUMMYFUNCTION("IFERROR(if(ISBLANK($C43),"" "",GOOGLEFINANCE($B43,""change"")), """")"),22.0)</f>
        <v>22</v>
      </c>
      <c r="CA43" s="37"/>
      <c r="CB43" s="27" t="s">
        <v>926</v>
      </c>
      <c r="CC43" s="38" t="s">
        <v>913</v>
      </c>
      <c r="CD43" s="39" t="str">
        <f>IFERROR(__xludf.DUMMYFUNCTION("IFERROR(if(ISBLANK(CC43),"" "",GOOGLEFINANCE(CB43,""Name"")), """")"),"Yatra Online Ltd")</f>
        <v>Yatra Online Ltd</v>
      </c>
      <c r="CE43" s="21">
        <f>IFERROR(__xludf.DUMMYFUNCTION("IFERROR(if(ISBLANK(CC43),"" "",GOOGLEFINANCE(CB43,""price"")), """")"),117.35)</f>
        <v>117.35</v>
      </c>
      <c r="CF43" s="23">
        <f>IFERROR(__xludf.DUMMYFUNCTION("IFERROR(if(ISBLANK(CC43),"" "",GOOGLEFINANCE(CB43,""changepct"")), """")"),2.66)</f>
        <v>2.66</v>
      </c>
      <c r="CG43" s="12"/>
      <c r="CH43" s="18" t="s">
        <v>927</v>
      </c>
      <c r="CI43" s="38" t="s">
        <v>913</v>
      </c>
      <c r="CJ43" s="39" t="str">
        <f>IFERROR(__xludf.DUMMYFUNCTION("IFERROR(if(ISBLANK(CI43),"" "",GOOGLEFINANCE(CH43,""Name"")), """")"),"Jyoti Structures Ltd")</f>
        <v>Jyoti Structures Ltd</v>
      </c>
      <c r="CK43" s="21">
        <f>IFERROR(__xludf.DUMMYFUNCTION("IFERROR(if(ISBLANK(CI43),"" "",GOOGLEFINANCE(CH43,""price"")), """")"),11.1)</f>
        <v>11.1</v>
      </c>
      <c r="CL43" s="23">
        <f>IFERROR(__xludf.DUMMYFUNCTION("IFERROR(if(ISBLANK(CI43),"" "",GOOGLEFINANCE(CH43,""changepct"")), """")"),-1.51)</f>
        <v>-1.51</v>
      </c>
      <c r="CM43" s="12"/>
      <c r="CN43" s="33" t="s">
        <v>928</v>
      </c>
      <c r="CO43" s="38" t="s">
        <v>913</v>
      </c>
      <c r="CP43" s="39" t="str">
        <f>IFERROR(__xludf.DUMMYFUNCTION("IFERROR(if(ISBLANK(CO43),"" "",GOOGLEFINANCE(CN43,""Name"")), """")"),"Gem Aromatics Ltd")</f>
        <v>Gem Aromatics Ltd</v>
      </c>
      <c r="CQ43" s="21">
        <f>IFERROR(__xludf.DUMMYFUNCTION("IFERROR(if(ISBLANK(CO43),"" "",GOOGLEFINANCE(CN43,""price"")), """")"),172.48)</f>
        <v>172.48</v>
      </c>
      <c r="CR43" s="23">
        <f>IFERROR(__xludf.DUMMYFUNCTION("IFERROR(if(ISBLANK(CO43),"" "",GOOGLEFINANCE(CN43,""changepct"")), """")"),-4.94)</f>
        <v>-4.94</v>
      </c>
      <c r="CS43" s="45"/>
      <c r="CT43" s="33" t="s">
        <v>929</v>
      </c>
      <c r="CU43" s="38" t="s">
        <v>913</v>
      </c>
      <c r="CV43" s="39" t="str">
        <f>IFERROR(__xludf.DUMMYFUNCTION("IFERROR(if(ISBLANK(CU43),"" "",GOOGLEFINANCE(CT43,""Name"")), """")"),"Automotive Stampings and Assemblies Ltd")</f>
        <v>Automotive Stampings and Assemblies Ltd</v>
      </c>
      <c r="CW43" s="21">
        <f>IFERROR(__xludf.DUMMYFUNCTION("IFERROR(if(ISBLANK(CU43),"" "",GOOGLEFINANCE(CT43,""price"")), """")"),499.85)</f>
        <v>499.85</v>
      </c>
      <c r="CX43" s="23">
        <f>IFERROR(__xludf.DUMMYFUNCTION("IFERROR(if(ISBLANK(CU43),"" "",GOOGLEFINANCE(CT43,""changepct"")), """")"),-1.7)</f>
        <v>-1.7</v>
      </c>
      <c r="CY43" s="17"/>
      <c r="CZ43" s="33" t="s">
        <v>930</v>
      </c>
      <c r="DA43" s="38" t="s">
        <v>913</v>
      </c>
      <c r="DB43" s="39" t="str">
        <f>IFERROR(__xludf.DUMMYFUNCTION("IFERROR(if(ISBLANK(DA43),"" "",GOOGLEFINANCE(CZ43,""Name"")), """")"),"Kanoria Chemicals and Industries Ltd")</f>
        <v>Kanoria Chemicals and Industries Ltd</v>
      </c>
      <c r="DC43" s="21">
        <f>IFERROR(__xludf.DUMMYFUNCTION("IFERROR(if(ISBLANK(DA43),"" "",GOOGLEFINANCE(CZ43,""price"")), """")"),158.79)</f>
        <v>158.79</v>
      </c>
      <c r="DD43" s="23">
        <f>IFERROR(__xludf.DUMMYFUNCTION("IFERROR(if(ISBLANK(DA43),"" "",GOOGLEFINANCE(CZ43,""changepct"")), """")"),-1.14)</f>
        <v>-1.14</v>
      </c>
      <c r="DE43" s="45"/>
      <c r="DF43" s="12"/>
    </row>
    <row r="44" ht="11.25" customHeight="1">
      <c r="A44" s="17"/>
      <c r="B44" s="18" t="s">
        <v>931</v>
      </c>
      <c r="C44" s="38" t="s">
        <v>932</v>
      </c>
      <c r="D44" s="39" t="str">
        <f>IFERROR(__xludf.DUMMYFUNCTION("IFERROR(if(ISBLANK(C44),"" "",GOOGLEFINANCE(B44,""Name"")), """")"),"Divi's Laboratories Ltd")</f>
        <v>Divi's Laboratories Ltd</v>
      </c>
      <c r="E44" s="21">
        <f>IFERROR(__xludf.DUMMYFUNCTION("IFERROR(if(ISBLANK(C44),"" "",GOOGLEFINANCE(B44,""price"")), """")"),8474.5)</f>
        <v>8474.5</v>
      </c>
      <c r="F44" s="22">
        <f>IFERROR(__xludf.DUMMYFUNCTION("IFERROR(if(ISBLANK(C44),"" "",GOOGLEFINANCE(B44,""changepct"")), """")"),-1.21)</f>
        <v>-1.21</v>
      </c>
      <c r="G44" s="23">
        <f>IFERROR(__xludf.DUMMYFUNCTION("IFERROR(if(ISBLANK($C44),"" "",GOOGLEFINANCE($B44,""change"")), """")"),-104.0)</f>
        <v>-104</v>
      </c>
      <c r="H44" s="24"/>
      <c r="I44" s="25" t="s">
        <v>933</v>
      </c>
      <c r="J44" s="38" t="s">
        <v>932</v>
      </c>
      <c r="K44" s="39" t="str">
        <f>IFERROR(__xludf.DUMMYFUNCTION("IFERROR(if(ISBLANK(J44),"" "",GOOGLEFINANCE(I44,""Name"")), """")"),"Swiggy Ltd")</f>
        <v>Swiggy Ltd</v>
      </c>
      <c r="L44" s="21">
        <f>IFERROR(__xludf.DUMMYFUNCTION("IFERROR(if(ISBLANK(J44),"" "",GOOGLEFINANCE(I44,""price"")), """")"),278.85)</f>
        <v>278.85</v>
      </c>
      <c r="M44" s="22">
        <f>IFERROR(__xludf.DUMMYFUNCTION("IFERROR(if(ISBLANK(J44),"" "",GOOGLEFINANCE(I44,""changepct"")), """")"),-0.59)</f>
        <v>-0.59</v>
      </c>
      <c r="N44" s="23">
        <f>IFERROR(__xludf.DUMMYFUNCTION("IFERROR(if(ISBLANK($C44),"" "",GOOGLEFINANCE($B44,""change"")), """")"),-104.0)</f>
        <v>-104</v>
      </c>
      <c r="O44" s="26"/>
      <c r="P44" s="27" t="s">
        <v>934</v>
      </c>
      <c r="Q44" s="38" t="s">
        <v>932</v>
      </c>
      <c r="R44" s="39" t="str">
        <f>IFERROR(__xludf.DUMMYFUNCTION("IFERROR(if(ISBLANK(Q44),"" "",GOOGLEFINANCE(P44,""Name"")), """")"),"Endurance Technologies Ltd")</f>
        <v>Endurance Technologies Ltd</v>
      </c>
      <c r="S44" s="21">
        <f>IFERROR(__xludf.DUMMYFUNCTION("IFERROR(if(ISBLANK(Q44),"" "",GOOGLEFINANCE(P44,""price"")), """")"),3028.0)</f>
        <v>3028</v>
      </c>
      <c r="T44" s="22">
        <f>IFERROR(__xludf.DUMMYFUNCTION("IFERROR(if(ISBLANK(Q44),"" "",GOOGLEFINANCE(P44,""changepct"")), """")"),1.35)</f>
        <v>1.35</v>
      </c>
      <c r="U44" s="28"/>
      <c r="V44" s="18" t="s">
        <v>936</v>
      </c>
      <c r="W44" s="38" t="s">
        <v>932</v>
      </c>
      <c r="X44" s="39" t="str">
        <f>IFERROR(__xludf.DUMMYFUNCTION("IFERROR(if(ISBLANK(W44),"" "",GOOGLEFINANCE(V44,""Name"")), """")"),"Pfizer Ltd")</f>
        <v>Pfizer Ltd</v>
      </c>
      <c r="Y44" s="21">
        <f>IFERROR(__xludf.DUMMYFUNCTION("IFERROR(if(ISBLANK(W44),"" "",GOOGLEFINANCE(V44,""price"")), """")"),5010.0)</f>
        <v>5010</v>
      </c>
      <c r="Z44" s="23">
        <f>IFERROR(__xludf.DUMMYFUNCTION("IFERROR(if(ISBLANK(W44),"" "",GOOGLEFINANCE(V44,""changepct"")), """")"),2.28)</f>
        <v>2.28</v>
      </c>
      <c r="AA44" s="12"/>
      <c r="AB44" s="18" t="s">
        <v>937</v>
      </c>
      <c r="AC44" s="38" t="s">
        <v>932</v>
      </c>
      <c r="AD44" s="39" t="str">
        <f>IFERROR(__xludf.DUMMYFUNCTION("IFERROR(if(ISBLANK(AC44),"" "",GOOGLEFINANCE(AB44,""Name"")), """")"),"Paradeep Phosphates Ltd")</f>
        <v>Paradeep Phosphates Ltd</v>
      </c>
      <c r="AE44" s="21">
        <f>IFERROR(__xludf.DUMMYFUNCTION("IFERROR(if(ISBLANK(AC44),"" "",GOOGLEFINANCE(AB44,""price"")), """")"),147.48)</f>
        <v>147.48</v>
      </c>
      <c r="AF44" s="23">
        <f>IFERROR(__xludf.DUMMYFUNCTION("IFERROR(if(ISBLANK(AC44),"" "",GOOGLEFINANCE(AB44,""changepct"")), """")"),-2.85)</f>
        <v>-2.85</v>
      </c>
      <c r="AG44" s="45"/>
      <c r="AH44" s="27" t="s">
        <v>938</v>
      </c>
      <c r="AI44" s="38" t="s">
        <v>932</v>
      </c>
      <c r="AJ44" s="39" t="str">
        <f>IFERROR(__xludf.DUMMYFUNCTION("IFERROR(if(ISBLANK(AI44),"" "",GOOGLEFINANCE(AH44,""Name"")), """")"),"Titagarh Rail Systems Ltd")</f>
        <v>Titagarh Rail Systems Ltd</v>
      </c>
      <c r="AK44" s="21">
        <f>IFERROR(__xludf.DUMMYFUNCTION("IFERROR(if(ISBLANK(AI44),"" "",GOOGLEFINANCE(AH44,""price"")), """")"),828.0)</f>
        <v>828</v>
      </c>
      <c r="AL44" s="23">
        <f>IFERROR(__xludf.DUMMYFUNCTION("IFERROR(if(ISBLANK(AI44),"" "",GOOGLEFINANCE(AH44,""changepct"")), """")"),-1.99)</f>
        <v>-1.99</v>
      </c>
      <c r="AM44" s="44"/>
      <c r="AN44" s="31" t="s">
        <v>200</v>
      </c>
      <c r="AO44" s="32" t="str">
        <f>IFERROR(__xludf.DUMMYFUNCTION("IFERROR(if(ISBLANK(AN44),"" "",GOOGLEFINANCE(AM44,""Name"")), """")"),"")</f>
        <v/>
      </c>
      <c r="AP44" s="33" t="s">
        <v>939</v>
      </c>
      <c r="AQ44" s="38" t="s">
        <v>932</v>
      </c>
      <c r="AR44" s="39" t="str">
        <f>IFERROR(__xludf.DUMMYFUNCTION("IFERROR(if(ISBLANK(AQ44),"" "",GOOGLEFINANCE(AP44,""Name"")), """")"),"Indo Count Industries Ltd")</f>
        <v>Indo Count Industries Ltd</v>
      </c>
      <c r="AS44" s="21">
        <f>IFERROR(__xludf.DUMMYFUNCTION("IFERROR(if(ISBLANK(AQ44),"" "",GOOGLEFINANCE(AP44,""price"")), """")"),405.8)</f>
        <v>405.8</v>
      </c>
      <c r="AT44" s="23">
        <f>IFERROR(__xludf.DUMMYFUNCTION("IFERROR(if(ISBLANK(AQ44),"" "",GOOGLEFINANCE(AP44,""changepct"")), """")"),-4.11)</f>
        <v>-4.11</v>
      </c>
      <c r="AU44" s="45"/>
      <c r="AV44" s="34" t="s">
        <v>940</v>
      </c>
      <c r="AW44" s="38" t="s">
        <v>932</v>
      </c>
      <c r="AX44" s="39" t="str">
        <f>IFERROR(__xludf.DUMMYFUNCTION("IFERROR(if(ISBLANK(AW44),"" "",GOOGLEFINANCE(AV44,""Name"")), """")"),"GNG Electronics Ltd")</f>
        <v>GNG Electronics Ltd</v>
      </c>
      <c r="AY44" s="21">
        <f>IFERROR(__xludf.DUMMYFUNCTION("IFERROR(if(ISBLANK(AW44),"" "",GOOGLEFINANCE(AV44,""price"")), """")"),578.0)</f>
        <v>578</v>
      </c>
      <c r="AZ44" s="23">
        <f>IFERROR(__xludf.DUMMYFUNCTION("IFERROR(if(ISBLANK(AW44),"" "",GOOGLEFINANCE(AV44,""changepct"")), """")"),0.95)</f>
        <v>0.95</v>
      </c>
      <c r="BA44" s="12"/>
      <c r="BB44" s="33" t="s">
        <v>942</v>
      </c>
      <c r="BC44" s="38" t="s">
        <v>932</v>
      </c>
      <c r="BD44" s="39" t="str">
        <f>IFERROR(__xludf.DUMMYFUNCTION("IFERROR(if(ISBLANK(BC44),"" "",GOOGLEFINANCE(BB44,""Name"")), """")"),"RPG Life Sciences Ltd")</f>
        <v>RPG Life Sciences Ltd</v>
      </c>
      <c r="BE44" s="21">
        <f>IFERROR(__xludf.DUMMYFUNCTION("IFERROR(if(ISBLANK(BC44),"" "",GOOGLEFINANCE(BB44,""price"")), """")"),2605.5)</f>
        <v>2605.5</v>
      </c>
      <c r="BF44" s="23">
        <f>IFERROR(__xludf.DUMMYFUNCTION("IFERROR(if(ISBLANK(BC44),"" "",GOOGLEFINANCE(BB44,""changepct"")), """")"),-1.06)</f>
        <v>-1.06</v>
      </c>
      <c r="BG44" s="12"/>
      <c r="BH44" s="35" t="s">
        <v>943</v>
      </c>
      <c r="BI44" s="38" t="s">
        <v>932</v>
      </c>
      <c r="BJ44" s="39" t="str">
        <f>IFERROR(__xludf.DUMMYFUNCTION("IFERROR(if(ISBLANK(BI44),"" "",GOOGLEFINANCE(BH44,""Name"")), """")"),"Indo Tech Transformers Limited")</f>
        <v>Indo Tech Transformers Limited</v>
      </c>
      <c r="BK44" s="21">
        <f>IFERROR(__xludf.DUMMYFUNCTION("IFERROR(if(ISBLANK(BI44),"" "",GOOGLEFINANCE(BH44,""price"")), """")"),3539.0)</f>
        <v>3539</v>
      </c>
      <c r="BL44" s="23">
        <f>IFERROR(__xludf.DUMMYFUNCTION("IFERROR(if(ISBLANK(BI44),"" "",GOOGLEFINANCE(BH44,""changepct"")), """")"),-5.0)</f>
        <v>-5</v>
      </c>
      <c r="BM44" s="12"/>
      <c r="BN44" s="33" t="s">
        <v>944</v>
      </c>
      <c r="BO44" s="38" t="s">
        <v>932</v>
      </c>
      <c r="BP44" s="39" t="str">
        <f>IFERROR(__xludf.DUMMYFUNCTION("IFERROR(if(ISBLANK(BO44),"" "",GOOGLEFINANCE(BN44,""Name"")), """")"),"United Foodbrands Ltd")</f>
        <v>United Foodbrands Ltd</v>
      </c>
      <c r="BQ44" s="21">
        <f>IFERROR(__xludf.DUMMYFUNCTION("IFERROR(if(ISBLANK(BO44),"" "",GOOGLEFINANCE(BN44,""price"")), """")"),790.0)</f>
        <v>790</v>
      </c>
      <c r="BR44" s="23">
        <f>IFERROR(__xludf.DUMMYFUNCTION("IFERROR(if(ISBLANK(BO44),"" "",GOOGLEFINANCE(BN44,""changepct"")), """")"),-2.6)</f>
        <v>-2.6</v>
      </c>
      <c r="BS44" s="22">
        <f>IFERROR(__xludf.DUMMYFUNCTION("IFERROR(if(ISBLANK($C44),"" "",GOOGLEFINANCE($B44,""change"")), """")"),-104.0)</f>
        <v>-104</v>
      </c>
      <c r="BT44" s="36"/>
      <c r="BU44" s="27" t="s">
        <v>945</v>
      </c>
      <c r="BV44" s="38" t="s">
        <v>932</v>
      </c>
      <c r="BW44" s="39" t="str">
        <f>IFERROR(__xludf.DUMMYFUNCTION("IFERROR(if(ISBLANK(BV44),"" "",GOOGLEFINANCE(BU44,""Name"")), """")"),"ESAF Small Finance Bank Limited")</f>
        <v>ESAF Small Finance Bank Limited</v>
      </c>
      <c r="BX44" s="21">
        <f>IFERROR(__xludf.DUMMYFUNCTION("IFERROR(if(ISBLANK(BV44),"" "",GOOGLEFINANCE(BU44,""price"")), """")"),39.65)</f>
        <v>39.65</v>
      </c>
      <c r="BY44" s="23">
        <f>IFERROR(__xludf.DUMMYFUNCTION("IFERROR(if(ISBLANK(BV44),"" "",GOOGLEFINANCE(BU44,""changepct"")), """")"),3.01)</f>
        <v>3.01</v>
      </c>
      <c r="BZ44" s="22">
        <f>IFERROR(__xludf.DUMMYFUNCTION("IFERROR(if(ISBLANK($C44),"" "",GOOGLEFINANCE($B44,""change"")), """")"),-104.0)</f>
        <v>-104</v>
      </c>
      <c r="CA44" s="37"/>
      <c r="CB44" s="27" t="s">
        <v>946</v>
      </c>
      <c r="CC44" s="38" t="s">
        <v>932</v>
      </c>
      <c r="CD44" s="39" t="str">
        <f>IFERROR(__xludf.DUMMYFUNCTION("IFERROR(if(ISBLANK(CC44),"" "",GOOGLEFINANCE(CB44,""Name"")), """")"),"Mahamaya Steel Industries Ltd")</f>
        <v>Mahamaya Steel Industries Ltd</v>
      </c>
      <c r="CE44" s="21">
        <f>IFERROR(__xludf.DUMMYFUNCTION("IFERROR(if(ISBLANK(CC44),"" "",GOOGLEFINANCE(CB44,""price"")), """")"),991.0)</f>
        <v>991</v>
      </c>
      <c r="CF44" s="23">
        <f>IFERROR(__xludf.DUMMYFUNCTION("IFERROR(if(ISBLANK(CC44),"" "",GOOGLEFINANCE(CB44,""changepct"")), """")"),-4.66)</f>
        <v>-4.66</v>
      </c>
      <c r="CG44" s="12"/>
      <c r="CH44" s="18" t="s">
        <v>947</v>
      </c>
      <c r="CI44" s="38" t="s">
        <v>932</v>
      </c>
      <c r="CJ44" s="39" t="str">
        <f>IFERROR(__xludf.DUMMYFUNCTION("IFERROR(if(ISBLANK(CI44),"" "",GOOGLEFINANCE(CH44,""Name"")), """")"),"Shree Pushkar Chemicals &amp; Fertilisrs Ltd")</f>
        <v>Shree Pushkar Chemicals &amp; Fertilisrs Ltd</v>
      </c>
      <c r="CK44" s="21">
        <f>IFERROR(__xludf.DUMMYFUNCTION("IFERROR(if(ISBLANK(CI44),"" "",GOOGLEFINANCE(CH44,""price"")), """")"),403.0)</f>
        <v>403</v>
      </c>
      <c r="CL44" s="23">
        <f>IFERROR(__xludf.DUMMYFUNCTION("IFERROR(if(ISBLANK(CI44),"" "",GOOGLEFINANCE(CH44,""changepct"")), """")"),-2.56)</f>
        <v>-2.56</v>
      </c>
      <c r="CM44" s="12"/>
      <c r="CN44" s="33" t="s">
        <v>949</v>
      </c>
      <c r="CO44" s="38" t="s">
        <v>932</v>
      </c>
      <c r="CP44" s="39" t="str">
        <f>IFERROR(__xludf.DUMMYFUNCTION("IFERROR(if(ISBLANK(CO44),"" "",GOOGLEFINANCE(CN44,""Name"")), """")"),"Gaudium IVF and Women Health Ltd")</f>
        <v>Gaudium IVF and Women Health Ltd</v>
      </c>
      <c r="CQ44" s="21">
        <f>IFERROR(__xludf.DUMMYFUNCTION("IFERROR(if(ISBLANK(CO44),"" "",GOOGLEFINANCE(CN44,""price"")), """")"),123.28)</f>
        <v>123.28</v>
      </c>
      <c r="CR44" s="23">
        <f>IFERROR(__xludf.DUMMYFUNCTION("IFERROR(if(ISBLANK(CO44),"" "",GOOGLEFINANCE(CN44,""changepct"")), """")"),-2.0)</f>
        <v>-2</v>
      </c>
      <c r="CS44" s="45"/>
      <c r="CT44" s="33" t="s">
        <v>950</v>
      </c>
      <c r="CU44" s="38" t="s">
        <v>932</v>
      </c>
      <c r="CV44" s="39" t="str">
        <f>IFERROR(__xludf.DUMMYFUNCTION("IFERROR(if(ISBLANK(CU44),"" "",GOOGLEFINANCE(CT44,""Name"")), """")"),"Veljan Denison Limited")</f>
        <v>Veljan Denison Limited</v>
      </c>
      <c r="CW44" s="21">
        <f>IFERROR(__xludf.DUMMYFUNCTION("IFERROR(if(ISBLANK(CU44),"" "",GOOGLEFINANCE(CT44,""price"")), """")"),1703.2)</f>
        <v>1703.2</v>
      </c>
      <c r="CX44" s="23">
        <f>IFERROR(__xludf.DUMMYFUNCTION("IFERROR(if(ISBLANK(CU44),"" "",GOOGLEFINANCE(CT44,""changepct"")), """")"),0.18)</f>
        <v>0.18</v>
      </c>
      <c r="CY44" s="17"/>
      <c r="CZ44" s="33" t="s">
        <v>951</v>
      </c>
      <c r="DA44" s="38" t="s">
        <v>932</v>
      </c>
      <c r="DB44" s="39" t="str">
        <f>IFERROR(__xludf.DUMMYFUNCTION("IFERROR(if(ISBLANK(DA44),"" "",GOOGLEFINANCE(CZ44,""Name"")), """")"),"Bafna Pharmaceuticals Ltd")</f>
        <v>Bafna Pharmaceuticals Ltd</v>
      </c>
      <c r="DC44" s="21">
        <f>IFERROR(__xludf.DUMMYFUNCTION("IFERROR(if(ISBLANK(DA44),"" "",GOOGLEFINANCE(CZ44,""price"")), """")"),268.3)</f>
        <v>268.3</v>
      </c>
      <c r="DD44" s="23">
        <f>IFERROR(__xludf.DUMMYFUNCTION("IFERROR(if(ISBLANK(DA44),"" "",GOOGLEFINANCE(CZ44,""changepct"")), """")"),-1.99)</f>
        <v>-1.99</v>
      </c>
      <c r="DE44" s="45"/>
      <c r="DF44" s="12"/>
    </row>
    <row r="45" ht="11.25" customHeight="1">
      <c r="A45" s="17"/>
      <c r="B45" s="18" t="s">
        <v>952</v>
      </c>
      <c r="C45" s="38" t="s">
        <v>953</v>
      </c>
      <c r="D45" s="39" t="str">
        <f>IFERROR(__xludf.DUMMYFUNCTION("IFERROR(if(ISBLANK(C45),"" "",GOOGLEFINANCE(B45,""Name"")), """")"),"Grasim Industries Ltd")</f>
        <v>Grasim Industries Ltd</v>
      </c>
      <c r="E45" s="21">
        <f>IFERROR(__xludf.DUMMYFUNCTION("IFERROR(if(ISBLANK(C45),"" "",GOOGLEFINANCE(B45,""price"")), """")"),3300.0)</f>
        <v>3300</v>
      </c>
      <c r="F45" s="22">
        <f>IFERROR(__xludf.DUMMYFUNCTION("IFERROR(if(ISBLANK(C45),"" "",GOOGLEFINANCE(B45,""changepct"")), """")"),-0.67)</f>
        <v>-0.67</v>
      </c>
      <c r="G45" s="23">
        <f>IFERROR(__xludf.DUMMYFUNCTION("IFERROR(if(ISBLANK($C45),"" "",GOOGLEFINANCE($B45,""change"")), """")"),-22.2)</f>
        <v>-22.2</v>
      </c>
      <c r="H45" s="24"/>
      <c r="I45" s="25" t="s">
        <v>954</v>
      </c>
      <c r="J45" s="38" t="s">
        <v>953</v>
      </c>
      <c r="K45" s="39" t="str">
        <f>IFERROR(__xludf.DUMMYFUNCTION("IFERROR(if(ISBLANK(J45),"" "",GOOGLEFINANCE(I45,""Name"")), """")"),"AU Small Finance Bank Ltd")</f>
        <v>AU Small Finance Bank Ltd</v>
      </c>
      <c r="L45" s="21">
        <f>IFERROR(__xludf.DUMMYFUNCTION("IFERROR(if(ISBLANK(J45),"" "",GOOGLEFINANCE(I45,""price"")), """")"),1085.0)</f>
        <v>1085</v>
      </c>
      <c r="M45" s="22">
        <f>IFERROR(__xludf.DUMMYFUNCTION("IFERROR(if(ISBLANK(J45),"" "",GOOGLEFINANCE(I45,""changepct"")), """")"),1.32)</f>
        <v>1.32</v>
      </c>
      <c r="N45" s="23">
        <f>IFERROR(__xludf.DUMMYFUNCTION("IFERROR(if(ISBLANK($C45),"" "",GOOGLEFINANCE($B45,""change"")), """")"),-22.2)</f>
        <v>-22.2</v>
      </c>
      <c r="O45" s="26"/>
      <c r="P45" s="27" t="s">
        <v>956</v>
      </c>
      <c r="Q45" s="38" t="s">
        <v>953</v>
      </c>
      <c r="R45" s="39" t="str">
        <f>IFERROR(__xludf.DUMMYFUNCTION("IFERROR(if(ISBLANK(Q45),"" "",GOOGLEFINANCE(P45,""Name"")), """")"),"Patanjali Foods Ltd")</f>
        <v>Patanjali Foods Ltd</v>
      </c>
      <c r="S45" s="21">
        <f>IFERROR(__xludf.DUMMYFUNCTION("IFERROR(if(ISBLANK(Q45),"" "",GOOGLEFINANCE(P45,""price"")), """")"),350.8)</f>
        <v>350.8</v>
      </c>
      <c r="T45" s="22">
        <f>IFERROR(__xludf.DUMMYFUNCTION("IFERROR(if(ISBLANK(Q45),"" "",GOOGLEFINANCE(P45,""changepct"")), """")"),-0.62)</f>
        <v>-0.62</v>
      </c>
      <c r="U45" s="28"/>
      <c r="V45" s="18" t="s">
        <v>957</v>
      </c>
      <c r="W45" s="38" t="s">
        <v>953</v>
      </c>
      <c r="X45" s="39" t="str">
        <f>IFERROR(__xludf.DUMMYFUNCTION("IFERROR(if(ISBLANK(W45),"" "",GOOGLEFINANCE(V45,""Name"")), """")"),"Kalpataru Projects International Ltd")</f>
        <v>Kalpataru Projects International Ltd</v>
      </c>
      <c r="Y45" s="21">
        <f>IFERROR(__xludf.DUMMYFUNCTION("IFERROR(if(ISBLANK(W45),"" "",GOOGLEFINANCE(V45,""price"")), """")"),1399.0)</f>
        <v>1399</v>
      </c>
      <c r="Z45" s="23">
        <f>IFERROR(__xludf.DUMMYFUNCTION("IFERROR(if(ISBLANK(W45),"" "",GOOGLEFINANCE(V45,""changepct"")), """")"),3.81)</f>
        <v>3.81</v>
      </c>
      <c r="AA45" s="12"/>
      <c r="AB45" s="18" t="s">
        <v>958</v>
      </c>
      <c r="AC45" s="38" t="s">
        <v>953</v>
      </c>
      <c r="AD45" s="39" t="str">
        <f>IFERROR(__xludf.DUMMYFUNCTION("IFERROR(if(ISBLANK(AC45),"" "",GOOGLEFINANCE(AB45,""Name"")), """")"),"International Gemological Institute Ltd")</f>
        <v>International Gemological Institute Ltd</v>
      </c>
      <c r="AE45" s="21">
        <f>IFERROR(__xludf.DUMMYFUNCTION("IFERROR(if(ISBLANK(AC45),"" "",GOOGLEFINANCE(AB45,""price"")), """")"),345.0)</f>
        <v>345</v>
      </c>
      <c r="AF45" s="23">
        <f>IFERROR(__xludf.DUMMYFUNCTION("IFERROR(if(ISBLANK(AC45),"" "",GOOGLEFINANCE(AB45,""changepct"")), """")"),-0.63)</f>
        <v>-0.63</v>
      </c>
      <c r="AG45" s="45"/>
      <c r="AH45" s="27" t="s">
        <v>959</v>
      </c>
      <c r="AI45" s="38" t="s">
        <v>953</v>
      </c>
      <c r="AJ45" s="39" t="str">
        <f>IFERROR(__xludf.DUMMYFUNCTION("IFERROR(if(ISBLANK(AI45),"" "",GOOGLEFINANCE(AH45,""Name"")), """")"),"PVR INOX Ltd")</f>
        <v>PVR INOX Ltd</v>
      </c>
      <c r="AK45" s="21">
        <f>IFERROR(__xludf.DUMMYFUNCTION("IFERROR(if(ISBLANK(AI45),"" "",GOOGLEFINANCE(AH45,""price"")), """")"),1195.0)</f>
        <v>1195</v>
      </c>
      <c r="AL45" s="23">
        <f>IFERROR(__xludf.DUMMYFUNCTION("IFERROR(if(ISBLANK(AI45),"" "",GOOGLEFINANCE(AH45,""changepct"")), """")"),3.0)</f>
        <v>3</v>
      </c>
      <c r="AM45" s="44"/>
      <c r="AN45" s="31" t="s">
        <v>200</v>
      </c>
      <c r="AO45" s="32" t="str">
        <f>IFERROR(__xludf.DUMMYFUNCTION("IFERROR(if(ISBLANK(AN45),"" "",GOOGLEFINANCE(AM45,""Name"")), """")"),"")</f>
        <v/>
      </c>
      <c r="AP45" s="33" t="s">
        <v>960</v>
      </c>
      <c r="AQ45" s="38" t="s">
        <v>953</v>
      </c>
      <c r="AR45" s="39" t="str">
        <f>IFERROR(__xludf.DUMMYFUNCTION("IFERROR(if(ISBLANK(AQ45),"" "",GOOGLEFINANCE(AP45,""Name"")), """")"),"Newgen Software Technologies Ltd")</f>
        <v>Newgen Software Technologies Ltd</v>
      </c>
      <c r="AS45" s="21">
        <f>IFERROR(__xludf.DUMMYFUNCTION("IFERROR(if(ISBLANK(AQ45),"" "",GOOGLEFINANCE(AP45,""price"")), """")"),534.35)</f>
        <v>534.35</v>
      </c>
      <c r="AT45" s="23">
        <f>IFERROR(__xludf.DUMMYFUNCTION("IFERROR(if(ISBLANK(AQ45),"" "",GOOGLEFINANCE(AP45,""changepct"")), """")"),-3.74)</f>
        <v>-3.74</v>
      </c>
      <c r="AU45" s="45"/>
      <c r="AV45" s="34" t="s">
        <v>961</v>
      </c>
      <c r="AW45" s="38" t="s">
        <v>953</v>
      </c>
      <c r="AX45" s="39" t="str">
        <f>IFERROR(__xludf.DUMMYFUNCTION("IFERROR(if(ISBLANK(AW45),"" "",GOOGLEFINANCE(AV45,""Name"")), """")"),"ARVIND FASHIONS LTD")</f>
        <v>ARVIND FASHIONS LTD</v>
      </c>
      <c r="AY45" s="21">
        <f>IFERROR(__xludf.DUMMYFUNCTION("IFERROR(if(ISBLANK(AW45),"" "",GOOGLEFINANCE(AV45,""price"")), """")"),443.9)</f>
        <v>443.9</v>
      </c>
      <c r="AZ45" s="23">
        <f>IFERROR(__xludf.DUMMYFUNCTION("IFERROR(if(ISBLANK(AW45),"" "",GOOGLEFINANCE(AV45,""changepct"")), """")"),-0.8)</f>
        <v>-0.8</v>
      </c>
      <c r="BA45" s="12"/>
      <c r="BB45" s="33" t="s">
        <v>963</v>
      </c>
      <c r="BC45" s="38" t="s">
        <v>953</v>
      </c>
      <c r="BD45" s="39" t="str">
        <f>IFERROR(__xludf.DUMMYFUNCTION("IFERROR(if(ISBLANK(BC45),"" "",GOOGLEFINANCE(BB45,""Name"")), """")"),"Responsive Industries Ltd")</f>
        <v>Responsive Industries Ltd</v>
      </c>
      <c r="BE45" s="21">
        <f>IFERROR(__xludf.DUMMYFUNCTION("IFERROR(if(ISBLANK(BC45),"" "",GOOGLEFINANCE(BB45,""price"")), """")"),166.55)</f>
        <v>166.55</v>
      </c>
      <c r="BF45" s="23">
        <f>IFERROR(__xludf.DUMMYFUNCTION("IFERROR(if(ISBLANK(BC45),"" "",GOOGLEFINANCE(BB45,""changepct"")), """")"),-0.23)</f>
        <v>-0.23</v>
      </c>
      <c r="BG45" s="12"/>
      <c r="BH45" s="35" t="s">
        <v>964</v>
      </c>
      <c r="BI45" s="38" t="s">
        <v>953</v>
      </c>
      <c r="BJ45" s="39" t="str">
        <f>IFERROR(__xludf.DUMMYFUNCTION("IFERROR(if(ISBLANK(BI45),"" "",GOOGLEFINANCE(BH45,""Name"")), """")"),"Harsha Engineers International Ltd")</f>
        <v>Harsha Engineers International Ltd</v>
      </c>
      <c r="BK45" s="21">
        <f>IFERROR(__xludf.DUMMYFUNCTION("IFERROR(if(ISBLANK(BI45),"" "",GOOGLEFINANCE(BH45,""price"")), """")"),401.9)</f>
        <v>401.9</v>
      </c>
      <c r="BL45" s="23">
        <f>IFERROR(__xludf.DUMMYFUNCTION("IFERROR(if(ISBLANK(BI45),"" "",GOOGLEFINANCE(BH45,""changepct"")), """")"),-2.08)</f>
        <v>-2.08</v>
      </c>
      <c r="BM45" s="12"/>
      <c r="BN45" s="33" t="s">
        <v>965</v>
      </c>
      <c r="BO45" s="38" t="s">
        <v>953</v>
      </c>
      <c r="BP45" s="39" t="str">
        <f>IFERROR(__xludf.DUMMYFUNCTION("IFERROR(if(ISBLANK(BO45),"" "",GOOGLEFINANCE(BN45,""Name"")), """")"),"Nocil Ltd")</f>
        <v>Nocil Ltd</v>
      </c>
      <c r="BQ45" s="21">
        <f>IFERROR(__xludf.DUMMYFUNCTION("IFERROR(if(ISBLANK(BO45),"" "",GOOGLEFINANCE(BN45,""price"")), """")"),163.63)</f>
        <v>163.63</v>
      </c>
      <c r="BR45" s="23">
        <f>IFERROR(__xludf.DUMMYFUNCTION("IFERROR(if(ISBLANK(BO45),"" "",GOOGLEFINANCE(BN45,""changepct"")), """")"),-1.4)</f>
        <v>-1.4</v>
      </c>
      <c r="BS45" s="22">
        <f>IFERROR(__xludf.DUMMYFUNCTION("IFERROR(if(ISBLANK($C45),"" "",GOOGLEFINANCE($B45,""change"")), """")"),-22.2)</f>
        <v>-22.2</v>
      </c>
      <c r="BT45" s="36"/>
      <c r="BU45" s="27" t="s">
        <v>966</v>
      </c>
      <c r="BV45" s="38" t="s">
        <v>953</v>
      </c>
      <c r="BW45" s="39" t="str">
        <f>IFERROR(__xludf.DUMMYFUNCTION("IFERROR(if(ISBLANK(BV45),"" "",GOOGLEFINANCE(BU45,""Name"")), """")"),"Vintage Coffee and Beverages Ltd")</f>
        <v>Vintage Coffee and Beverages Ltd</v>
      </c>
      <c r="BX45" s="21">
        <f>IFERROR(__xludf.DUMMYFUNCTION("IFERROR(if(ISBLANK(BV45),"" "",GOOGLEFINANCE(BU45,""price"")), """")"),146.79)</f>
        <v>146.79</v>
      </c>
      <c r="BY45" s="23">
        <f>IFERROR(__xludf.DUMMYFUNCTION("IFERROR(if(ISBLANK(BV45),"" "",GOOGLEFINANCE(BU45,""changepct"")), """")"),-1.48)</f>
        <v>-1.48</v>
      </c>
      <c r="BZ45" s="22">
        <f>IFERROR(__xludf.DUMMYFUNCTION("IFERROR(if(ISBLANK($C45),"" "",GOOGLEFINANCE($B45,""change"")), """")"),-22.2)</f>
        <v>-22.2</v>
      </c>
      <c r="CA45" s="37"/>
      <c r="CB45" s="27" t="s">
        <v>967</v>
      </c>
      <c r="CC45" s="38" t="s">
        <v>953</v>
      </c>
      <c r="CD45" s="39" t="str">
        <f>IFERROR(__xludf.DUMMYFUNCTION("IFERROR(if(ISBLANK(CC45),"" "",GOOGLEFINANCE(CB45,""Name"")), """")"),"Vidhi Specialty Food Ingredients Ltd")</f>
        <v>Vidhi Specialty Food Ingredients Ltd</v>
      </c>
      <c r="CE45" s="21">
        <f>IFERROR(__xludf.DUMMYFUNCTION("IFERROR(if(ISBLANK(CC45),"" "",GOOGLEFINANCE(CB45,""price"")), """")"),317.5)</f>
        <v>317.5</v>
      </c>
      <c r="CF45" s="23">
        <f>IFERROR(__xludf.DUMMYFUNCTION("IFERROR(if(ISBLANK(CC45),"" "",GOOGLEFINANCE(CB45,""changepct"")), """")"),0.57)</f>
        <v>0.57</v>
      </c>
      <c r="CG45" s="12"/>
      <c r="CH45" s="18" t="s">
        <v>968</v>
      </c>
      <c r="CI45" s="38" t="s">
        <v>953</v>
      </c>
      <c r="CJ45" s="39" t="str">
        <f>IFERROR(__xludf.DUMMYFUNCTION("IFERROR(if(ISBLANK(CI45),"" "",GOOGLEFINANCE(CH45,""Name"")), """")"),"Rupa &amp; Company Ltd")</f>
        <v>Rupa &amp; Company Ltd</v>
      </c>
      <c r="CK45" s="21">
        <f>IFERROR(__xludf.DUMMYFUNCTION("IFERROR(if(ISBLANK(CI45),"" "",GOOGLEFINANCE(CH45,""price"")), """")"),155.89)</f>
        <v>155.89</v>
      </c>
      <c r="CL45" s="23">
        <f>IFERROR(__xludf.DUMMYFUNCTION("IFERROR(if(ISBLANK(CI45),"" "",GOOGLEFINANCE(CH45,""changepct"")), """")"),-1.81)</f>
        <v>-1.81</v>
      </c>
      <c r="CM45" s="12"/>
      <c r="CN45" s="33" t="s">
        <v>969</v>
      </c>
      <c r="CO45" s="38" t="s">
        <v>953</v>
      </c>
      <c r="CP45" s="39" t="str">
        <f>IFERROR(__xludf.DUMMYFUNCTION("IFERROR(if(ISBLANK(CO45),"" "",GOOGLEFINANCE(CN45,""Name"")), """")"),"Mamata Machinery Ltd")</f>
        <v>Mamata Machinery Ltd</v>
      </c>
      <c r="CQ45" s="21">
        <f>IFERROR(__xludf.DUMMYFUNCTION("IFERROR(if(ISBLANK(CO45),"" "",GOOGLEFINANCE(CN45,""price"")), """")"),425.2)</f>
        <v>425.2</v>
      </c>
      <c r="CR45" s="23">
        <f>IFERROR(__xludf.DUMMYFUNCTION("IFERROR(if(ISBLANK(CO45),"" "",GOOGLEFINANCE(CN45,""changepct"")), """")"),0.0)</f>
        <v>0</v>
      </c>
      <c r="CS45" s="45"/>
      <c r="CT45" s="33" t="s">
        <v>970</v>
      </c>
      <c r="CU45" s="38" t="s">
        <v>953</v>
      </c>
      <c r="CV45" s="39" t="str">
        <f>IFERROR(__xludf.DUMMYFUNCTION("IFERROR(if(ISBLANK(CU45),"" "",GOOGLEFINANCE(CT45,""Name"")), """")"),"Hexagon Nutrition Ltd")</f>
        <v>Hexagon Nutrition Ltd</v>
      </c>
      <c r="CW45" s="21">
        <f>IFERROR(__xludf.DUMMYFUNCTION("IFERROR(if(ISBLANK(CU45),"" "",GOOGLEFINANCE(CT45,""price"")), """")"),67.0)</f>
        <v>67</v>
      </c>
      <c r="CX45" s="23">
        <f>IFERROR(__xludf.DUMMYFUNCTION("IFERROR(if(ISBLANK(CU45),"" "",GOOGLEFINANCE(CT45,""changepct"")), """")"),4.95)</f>
        <v>4.95</v>
      </c>
      <c r="CY45" s="17"/>
      <c r="CZ45" s="33" t="s">
        <v>972</v>
      </c>
      <c r="DA45" s="38" t="s">
        <v>953</v>
      </c>
      <c r="DB45" s="39" t="str">
        <f>IFERROR(__xludf.DUMMYFUNCTION("IFERROR(if(ISBLANK(DA45),"" "",GOOGLEFINANCE(CZ45,""Name"")), """")"),"Mindteck (India) Ltd")</f>
        <v>Mindteck (India) Ltd</v>
      </c>
      <c r="DC45" s="21">
        <f>IFERROR(__xludf.DUMMYFUNCTION("IFERROR(if(ISBLANK(DA45),"" "",GOOGLEFINANCE(CZ45,""price"")), """")"),179.89)</f>
        <v>179.89</v>
      </c>
      <c r="DD45" s="23">
        <f>IFERROR(__xludf.DUMMYFUNCTION("IFERROR(if(ISBLANK(DA45),"" "",GOOGLEFINANCE(CZ45,""changepct"")), """")"),-6.67)</f>
        <v>-6.67</v>
      </c>
      <c r="DE45" s="45"/>
      <c r="DF45" s="12"/>
    </row>
    <row r="46" ht="11.25" customHeight="1">
      <c r="A46" s="17"/>
      <c r="B46" s="18" t="s">
        <v>973</v>
      </c>
      <c r="C46" s="38" t="s">
        <v>974</v>
      </c>
      <c r="D46" s="39" t="str">
        <f>IFERROR(__xludf.DUMMYFUNCTION("IFERROR(if(ISBLANK(C46),"" "",GOOGLEFINANCE(B46,""Name"")), """")"),"TVS Motor Company Ltd")</f>
        <v>TVS Motor Company Ltd</v>
      </c>
      <c r="E46" s="21">
        <f>IFERROR(__xludf.DUMMYFUNCTION("IFERROR(if(ISBLANK(C46),"" "",GOOGLEFINANCE(B46,""price"")), """")"),4351.0)</f>
        <v>4351</v>
      </c>
      <c r="F46" s="22">
        <f>IFERROR(__xludf.DUMMYFUNCTION("IFERROR(if(ISBLANK(C46),"" "",GOOGLEFINANCE(B46,""changepct"")), """")"),-1.11)</f>
        <v>-1.11</v>
      </c>
      <c r="G46" s="23">
        <f>IFERROR(__xludf.DUMMYFUNCTION("IFERROR(if(ISBLANK($C46),"" "",GOOGLEFINANCE($B46,""change"")), """")"),-49.0)</f>
        <v>-49</v>
      </c>
      <c r="H46" s="24"/>
      <c r="I46" s="25" t="s">
        <v>975</v>
      </c>
      <c r="J46" s="38" t="s">
        <v>974</v>
      </c>
      <c r="K46" s="39" t="str">
        <f>IFERROR(__xludf.DUMMYFUNCTION("IFERROR(if(ISBLANK(J46),"" "",GOOGLEFINANCE(I46,""Name"")), """")"),"L&amp;T Finance Ltd")</f>
        <v>L&amp;T Finance Ltd</v>
      </c>
      <c r="L46" s="21">
        <f>IFERROR(__xludf.DUMMYFUNCTION("IFERROR(if(ISBLANK(J46),"" "",GOOGLEFINANCE(I46,""price"")), """")"),314.55)</f>
        <v>314.55</v>
      </c>
      <c r="M46" s="22">
        <f>IFERROR(__xludf.DUMMYFUNCTION("IFERROR(if(ISBLANK(J46),"" "",GOOGLEFINANCE(I46,""changepct"")), """")"),-0.27)</f>
        <v>-0.27</v>
      </c>
      <c r="N46" s="23">
        <f>IFERROR(__xludf.DUMMYFUNCTION("IFERROR(if(ISBLANK($C46),"" "",GOOGLEFINANCE($B46,""change"")), """")"),-49.0)</f>
        <v>-49</v>
      </c>
      <c r="O46" s="26"/>
      <c r="P46" s="27" t="s">
        <v>976</v>
      </c>
      <c r="Q46" s="38" t="s">
        <v>974</v>
      </c>
      <c r="R46" s="39" t="str">
        <f>IFERROR(__xludf.DUMMYFUNCTION("IFERROR(if(ISBLANK(Q46),"" "",GOOGLEFINANCE(P46,""Name"")), """")"),"INDO-MIM Ltd")</f>
        <v>INDO-MIM Ltd</v>
      </c>
      <c r="S46" s="21">
        <f>IFERROR(__xludf.DUMMYFUNCTION("IFERROR(if(ISBLANK(Q46),"" "",GOOGLEFINANCE(P46,""price"")), """")"),827.9)</f>
        <v>827.9</v>
      </c>
      <c r="T46" s="22">
        <f>IFERROR(__xludf.DUMMYFUNCTION("IFERROR(if(ISBLANK(Q46),"" "",GOOGLEFINANCE(P46,""changepct"")), """")"),0.74)</f>
        <v>0.74</v>
      </c>
      <c r="U46" s="28"/>
      <c r="V46" s="18" t="s">
        <v>977</v>
      </c>
      <c r="W46" s="38" t="s">
        <v>974</v>
      </c>
      <c r="X46" s="39" t="str">
        <f>IFERROR(__xludf.DUMMYFUNCTION("IFERROR(if(ISBLANK(W46),"" "",GOOGLEFINANCE(V46,""Name"")), """")"),"Emmvee Photovoltaic Power Ltd")</f>
        <v>Emmvee Photovoltaic Power Ltd</v>
      </c>
      <c r="Y46" s="21">
        <f>IFERROR(__xludf.DUMMYFUNCTION("IFERROR(if(ISBLANK(W46),"" "",GOOGLEFINANCE(V46,""price"")), """")"),318.05)</f>
        <v>318.05</v>
      </c>
      <c r="Z46" s="23">
        <f>IFERROR(__xludf.DUMMYFUNCTION("IFERROR(if(ISBLANK(W46),"" "",GOOGLEFINANCE(V46,""changepct"")), """")"),-0.11)</f>
        <v>-0.11</v>
      </c>
      <c r="AA46" s="12"/>
      <c r="AB46" s="18" t="s">
        <v>978</v>
      </c>
      <c r="AC46" s="38" t="s">
        <v>974</v>
      </c>
      <c r="AD46" s="39" t="str">
        <f>IFERROR(__xludf.DUMMYFUNCTION("IFERROR(if(ISBLANK(AC46),"" "",GOOGLEFINANCE(AB46,""Name"")), """")"),"Dr. Agarwal's Health Care Ltd")</f>
        <v>Dr. Agarwal's Health Care Ltd</v>
      </c>
      <c r="AE46" s="21">
        <f>IFERROR(__xludf.DUMMYFUNCTION("IFERROR(if(ISBLANK(AC46),"" "",GOOGLEFINANCE(AB46,""price"")), """")"),511.0)</f>
        <v>511</v>
      </c>
      <c r="AF46" s="23">
        <f>IFERROR(__xludf.DUMMYFUNCTION("IFERROR(if(ISBLANK(AC46),"" "",GOOGLEFINANCE(AB46,""changepct"")), """")"),-5.72)</f>
        <v>-5.72</v>
      </c>
      <c r="AG46" s="45"/>
      <c r="AH46" s="27" t="s">
        <v>980</v>
      </c>
      <c r="AI46" s="38" t="s">
        <v>974</v>
      </c>
      <c r="AJ46" s="39" t="str">
        <f>IFERROR(__xludf.DUMMYFUNCTION("IFERROR(if(ISBLANK(AI46),"" "",GOOGLEFINANCE(AH46,""Name"")), """")"),"Brainbees Solutions Ltd")</f>
        <v>Brainbees Solutions Ltd</v>
      </c>
      <c r="AK46" s="21">
        <f>IFERROR(__xludf.DUMMYFUNCTION("IFERROR(if(ISBLANK(AI46),"" "",GOOGLEFINANCE(AH46,""price"")), """")"),214.8)</f>
        <v>214.8</v>
      </c>
      <c r="AL46" s="23">
        <f>IFERROR(__xludf.DUMMYFUNCTION("IFERROR(if(ISBLANK(AI46),"" "",GOOGLEFINANCE(AH46,""changepct"")), """")"),0.34)</f>
        <v>0.34</v>
      </c>
      <c r="AM46" s="30"/>
      <c r="AN46" s="31" t="s">
        <v>200</v>
      </c>
      <c r="AO46" s="32" t="str">
        <f>IFERROR(__xludf.DUMMYFUNCTION("IFERROR(if(ISBLANK(AN46),"" "",GOOGLEFINANCE(AM46,""Name"")), """")"),"")</f>
        <v/>
      </c>
      <c r="AP46" s="33" t="s">
        <v>981</v>
      </c>
      <c r="AQ46" s="38" t="s">
        <v>974</v>
      </c>
      <c r="AR46" s="39" t="str">
        <f>IFERROR(__xludf.DUMMYFUNCTION("IFERROR(if(ISBLANK(AQ46),"" "",GOOGLEFINANCE(AP46,""Name"")), """")"),"India Shelter Finance Corporation Ltd")</f>
        <v>India Shelter Finance Corporation Ltd</v>
      </c>
      <c r="AS46" s="21">
        <f>IFERROR(__xludf.DUMMYFUNCTION("IFERROR(if(ISBLANK(AQ46),"" "",GOOGLEFINANCE(AP46,""price"")), """")"),679.0)</f>
        <v>679</v>
      </c>
      <c r="AT46" s="23">
        <f>IFERROR(__xludf.DUMMYFUNCTION("IFERROR(if(ISBLANK(AQ46),"" "",GOOGLEFINANCE(AP46,""changepct"")), """")"),4.97)</f>
        <v>4.97</v>
      </c>
      <c r="AU46" s="45"/>
      <c r="AV46" s="34" t="s">
        <v>982</v>
      </c>
      <c r="AW46" s="38" t="s">
        <v>974</v>
      </c>
      <c r="AX46" s="39" t="str">
        <f>IFERROR(__xludf.DUMMYFUNCTION("IFERROR(if(ISBLANK(AW46),"" "",GOOGLEFINANCE(AV46,""Name"")), """")"),"Senores Pharmaceuticals Ltd")</f>
        <v>Senores Pharmaceuticals Ltd</v>
      </c>
      <c r="AY46" s="21">
        <f>IFERROR(__xludf.DUMMYFUNCTION("IFERROR(if(ISBLANK(AW46),"" "",GOOGLEFINANCE(AV46,""price"")), """")"),1495.0)</f>
        <v>1495</v>
      </c>
      <c r="AZ46" s="23">
        <f>IFERROR(__xludf.DUMMYFUNCTION("IFERROR(if(ISBLANK(AW46),"" "",GOOGLEFINANCE(AV46,""changepct"")), """")"),1.31)</f>
        <v>1.31</v>
      </c>
      <c r="BA46" s="12"/>
      <c r="BB46" s="33" t="s">
        <v>983</v>
      </c>
      <c r="BC46" s="38" t="s">
        <v>974</v>
      </c>
      <c r="BD46" s="39" t="str">
        <f>IFERROR(__xludf.DUMMYFUNCTION("IFERROR(if(ISBLANK(BC46),"" "",GOOGLEFINANCE(BB46,""Name"")), """")"),"Sg Finserve Ltd")</f>
        <v>Sg Finserve Ltd</v>
      </c>
      <c r="BE46" s="21">
        <f>IFERROR(__xludf.DUMMYFUNCTION("IFERROR(if(ISBLANK(BC46),"" "",GOOGLEFINANCE(BB46,""price"")), """")"),651.05)</f>
        <v>651.05</v>
      </c>
      <c r="BF46" s="23">
        <f>IFERROR(__xludf.DUMMYFUNCTION("IFERROR(if(ISBLANK(BC46),"" "",GOOGLEFINANCE(BB46,""changepct"")), """")"),-1.39)</f>
        <v>-1.39</v>
      </c>
      <c r="BG46" s="12"/>
      <c r="BH46" s="35" t="s">
        <v>984</v>
      </c>
      <c r="BI46" s="38" t="s">
        <v>974</v>
      </c>
      <c r="BJ46" s="39" t="str">
        <f>IFERROR(__xludf.DUMMYFUNCTION("IFERROR(if(ISBLANK(BI46),"" "",GOOGLEFINANCE(BH46,""Name"")), """")"),"J Kumar Infraprojects Ltd")</f>
        <v>J Kumar Infraprojects Ltd</v>
      </c>
      <c r="BK46" s="21">
        <f>IFERROR(__xludf.DUMMYFUNCTION("IFERROR(if(ISBLANK(BI46),"" "",GOOGLEFINANCE(BH46,""price"")), """")"),490.4)</f>
        <v>490.4</v>
      </c>
      <c r="BL46" s="23">
        <f>IFERROR(__xludf.DUMMYFUNCTION("IFERROR(if(ISBLANK(BI46),"" "",GOOGLEFINANCE(BH46,""changepct"")), """")"),-1.45)</f>
        <v>-1.45</v>
      </c>
      <c r="BM46" s="12"/>
      <c r="BN46" s="33" t="s">
        <v>986</v>
      </c>
      <c r="BO46" s="38" t="s">
        <v>974</v>
      </c>
      <c r="BP46" s="39" t="str">
        <f>IFERROR(__xludf.DUMMYFUNCTION("IFERROR(if(ISBLANK(BO46),"" "",GOOGLEFINANCE(BN46,""Name"")), """")"),"Siyaram Silk Mills Ltd")</f>
        <v>Siyaram Silk Mills Ltd</v>
      </c>
      <c r="BQ46" s="21">
        <f>IFERROR(__xludf.DUMMYFUNCTION("IFERROR(if(ISBLANK(BO46),"" "",GOOGLEFINANCE(BN46,""price"")), """")"),630.0)</f>
        <v>630</v>
      </c>
      <c r="BR46" s="23">
        <f>IFERROR(__xludf.DUMMYFUNCTION("IFERROR(if(ISBLANK(BO46),"" "",GOOGLEFINANCE(BN46,""changepct"")), """")"),-0.36)</f>
        <v>-0.36</v>
      </c>
      <c r="BS46" s="22">
        <f>IFERROR(__xludf.DUMMYFUNCTION("IFERROR(if(ISBLANK($C46),"" "",GOOGLEFINANCE($B46,""change"")), """")"),-49.0)</f>
        <v>-49</v>
      </c>
      <c r="BT46" s="36"/>
      <c r="BU46" s="27" t="s">
        <v>987</v>
      </c>
      <c r="BV46" s="38" t="s">
        <v>974</v>
      </c>
      <c r="BW46" s="39" t="str">
        <f>IFERROR(__xludf.DUMMYFUNCTION("IFERROR(if(ISBLANK(BV46),"" "",GOOGLEFINANCE(BU46,""Name"")), """")"),"Shringar House of Mangalsutra Ltd")</f>
        <v>Shringar House of Mangalsutra Ltd</v>
      </c>
      <c r="BX46" s="21">
        <f>IFERROR(__xludf.DUMMYFUNCTION("IFERROR(if(ISBLANK(BV46),"" "",GOOGLEFINANCE(BU46,""price"")), """")"),230.0)</f>
        <v>230</v>
      </c>
      <c r="BY46" s="23">
        <f>IFERROR(__xludf.DUMMYFUNCTION("IFERROR(if(ISBLANK(BV46),"" "",GOOGLEFINANCE(BU46,""changepct"")), """")"),-1.44)</f>
        <v>-1.44</v>
      </c>
      <c r="BZ46" s="22">
        <f>IFERROR(__xludf.DUMMYFUNCTION("IFERROR(if(ISBLANK($C46),"" "",GOOGLEFINANCE($B46,""change"")), """")"),-49.0)</f>
        <v>-49</v>
      </c>
      <c r="CA46" s="37"/>
      <c r="CB46" s="27" t="s">
        <v>988</v>
      </c>
      <c r="CC46" s="38" t="s">
        <v>974</v>
      </c>
      <c r="CD46" s="39" t="str">
        <f>IFERROR(__xludf.DUMMYFUNCTION("IFERROR(if(ISBLANK(CC46),"" "",GOOGLEFINANCE(CB46,""Name"")), """")"),"Wendt (India) Ltd")</f>
        <v>Wendt (India) Ltd</v>
      </c>
      <c r="CE46" s="21">
        <f>IFERROR(__xludf.DUMMYFUNCTION("IFERROR(if(ISBLANK(CC46),"" "",GOOGLEFINANCE(CB46,""price"")), """")"),8030.0)</f>
        <v>8030</v>
      </c>
      <c r="CF46" s="23">
        <f>IFERROR(__xludf.DUMMYFUNCTION("IFERROR(if(ISBLANK(CC46),"" "",GOOGLEFINANCE(CB46,""changepct"")), """")"),0.16)</f>
        <v>0.16</v>
      </c>
      <c r="CG46" s="12"/>
      <c r="CH46" s="18" t="s">
        <v>989</v>
      </c>
      <c r="CI46" s="38" t="s">
        <v>974</v>
      </c>
      <c r="CJ46" s="39" t="str">
        <f>IFERROR(__xludf.DUMMYFUNCTION("IFERROR(if(ISBLANK(CI46),"" "",GOOGLEFINANCE(CH46,""Name"")), """")"),"Asian Hotels (North) Ltd")</f>
        <v>Asian Hotels (North) Ltd</v>
      </c>
      <c r="CK46" s="21">
        <f>IFERROR(__xludf.DUMMYFUNCTION("IFERROR(if(ISBLANK(CI46),"" "",GOOGLEFINANCE(CH46,""price"")), """")"),302.15)</f>
        <v>302.15</v>
      </c>
      <c r="CL46" s="23">
        <f>IFERROR(__xludf.DUMMYFUNCTION("IFERROR(if(ISBLANK(CI46),"" "",GOOGLEFINANCE(CH46,""changepct"")), """")"),-3.34)</f>
        <v>-3.34</v>
      </c>
      <c r="CM46" s="12"/>
      <c r="CN46" s="33" t="s">
        <v>991</v>
      </c>
      <c r="CO46" s="38" t="s">
        <v>974</v>
      </c>
      <c r="CP46" s="39" t="str">
        <f>IFERROR(__xludf.DUMMYFUNCTION("IFERROR(if(ISBLANK(CO46),"" "",GOOGLEFINANCE(CN46,""Name"")), """")"),"Himatsingka Seide Ltd")</f>
        <v>Himatsingka Seide Ltd</v>
      </c>
      <c r="CQ46" s="21">
        <f>IFERROR(__xludf.DUMMYFUNCTION("IFERROR(if(ISBLANK(CO46),"" "",GOOGLEFINANCE(CN46,""price"")), """")"),76.2)</f>
        <v>76.2</v>
      </c>
      <c r="CR46" s="23">
        <f>IFERROR(__xludf.DUMMYFUNCTION("IFERROR(if(ISBLANK(CO46),"" "",GOOGLEFINANCE(CN46,""changepct"")), """")"),-0.14)</f>
        <v>-0.14</v>
      </c>
      <c r="CS46" s="45"/>
      <c r="CT46" s="33" t="s">
        <v>992</v>
      </c>
      <c r="CU46" s="38" t="s">
        <v>974</v>
      </c>
      <c r="CV46" s="39" t="str">
        <f>IFERROR(__xludf.DUMMYFUNCTION("IFERROR(if(ISBLANK(CU46),"" "",GOOGLEFINANCE(CT46,""Name"")), """")"),"Sadhana Nitro Chem Ltd")</f>
        <v>Sadhana Nitro Chem Ltd</v>
      </c>
      <c r="CW46" s="21">
        <f>IFERROR(__xludf.DUMMYFUNCTION("IFERROR(if(ISBLANK(CU46),"" "",GOOGLEFINANCE(CT46,""price"")), """")"),3.26)</f>
        <v>3.26</v>
      </c>
      <c r="CX46" s="23">
        <f>IFERROR(__xludf.DUMMYFUNCTION("IFERROR(if(ISBLANK(CU46),"" "",GOOGLEFINANCE(CT46,""changepct"")), """")"),-1.81)</f>
        <v>-1.81</v>
      </c>
      <c r="CY46" s="17"/>
      <c r="CZ46" s="33" t="s">
        <v>993</v>
      </c>
      <c r="DA46" s="38" t="s">
        <v>974</v>
      </c>
      <c r="DB46" s="39" t="str">
        <f>IFERROR(__xludf.DUMMYFUNCTION("IFERROR(if(ISBLANK(DA46),"" "",GOOGLEFINANCE(CZ46,""Name"")), """")"),"Glottis Ltd")</f>
        <v>Glottis Ltd</v>
      </c>
      <c r="DC46" s="21">
        <f>IFERROR(__xludf.DUMMYFUNCTION("IFERROR(if(ISBLANK(DA46),"" "",GOOGLEFINANCE(CZ46,""price"")), """")"),65.1)</f>
        <v>65.1</v>
      </c>
      <c r="DD46" s="23">
        <f>IFERROR(__xludf.DUMMYFUNCTION("IFERROR(if(ISBLANK(DA46),"" "",GOOGLEFINANCE(CZ46,""changepct"")), """")"),-2.84)</f>
        <v>-2.84</v>
      </c>
      <c r="DE46" s="45"/>
      <c r="DF46" s="12"/>
    </row>
    <row r="47" ht="11.25" customHeight="1">
      <c r="A47" s="17"/>
      <c r="B47" s="18" t="s">
        <v>994</v>
      </c>
      <c r="C47" s="38" t="s">
        <v>995</v>
      </c>
      <c r="D47" s="39" t="str">
        <f>IFERROR(__xludf.DUMMYFUNCTION("IFERROR(if(ISBLANK(C47),"" "",GOOGLEFINANCE(B47,""Name"")), """")"),"Interglobe Aviation Ltd")</f>
        <v>Interglobe Aviation Ltd</v>
      </c>
      <c r="E47" s="21">
        <f>IFERROR(__xludf.DUMMYFUNCTION("IFERROR(if(ISBLANK(C47),"" "",GOOGLEFINANCE(B47,""price"")), """")"),5310.0)</f>
        <v>5310</v>
      </c>
      <c r="F47" s="22">
        <f>IFERROR(__xludf.DUMMYFUNCTION("IFERROR(if(ISBLANK(C47),"" "",GOOGLEFINANCE(B47,""changepct"")), """")"),0.49)</f>
        <v>0.49</v>
      </c>
      <c r="G47" s="23">
        <f>IFERROR(__xludf.DUMMYFUNCTION("IFERROR(if(ISBLANK($C47),"" "",GOOGLEFINANCE($B47,""change"")), """")"),26.0)</f>
        <v>26</v>
      </c>
      <c r="H47" s="24"/>
      <c r="I47" s="25" t="s">
        <v>996</v>
      </c>
      <c r="J47" s="38" t="s">
        <v>995</v>
      </c>
      <c r="K47" s="39" t="str">
        <f>IFERROR(__xludf.DUMMYFUNCTION("IFERROR(if(ISBLANK(J47),"" "",GOOGLEFINANCE(I47,""Name"")), """")"),"SRF Ltd")</f>
        <v>SRF Ltd</v>
      </c>
      <c r="L47" s="21">
        <f>IFERROR(__xludf.DUMMYFUNCTION("IFERROR(if(ISBLANK(J47),"" "",GOOGLEFINANCE(I47,""price"")), """")"),2572.9)</f>
        <v>2572.9</v>
      </c>
      <c r="M47" s="22">
        <f>IFERROR(__xludf.DUMMYFUNCTION("IFERROR(if(ISBLANK(J47),"" "",GOOGLEFINANCE(I47,""changepct"")), """")"),0.11)</f>
        <v>0.11</v>
      </c>
      <c r="N47" s="23">
        <f>IFERROR(__xludf.DUMMYFUNCTION("IFERROR(if(ISBLANK($C47),"" "",GOOGLEFINANCE($B47,""change"")), """")"),26.0)</f>
        <v>26</v>
      </c>
      <c r="O47" s="26"/>
      <c r="P47" s="27" t="s">
        <v>998</v>
      </c>
      <c r="Q47" s="38" t="s">
        <v>995</v>
      </c>
      <c r="R47" s="39" t="str">
        <f>IFERROR(__xludf.DUMMYFUNCTION("IFERROR(if(ISBLANK(Q47),"" "",GOOGLEFINANCE(P47,""Name"")), """")"),"Exide Industries Ltd")</f>
        <v>Exide Industries Ltd</v>
      </c>
      <c r="S47" s="21">
        <f>IFERROR(__xludf.DUMMYFUNCTION("IFERROR(if(ISBLANK(Q47),"" "",GOOGLEFINANCE(P47,""price"")), """")"),491.8)</f>
        <v>491.8</v>
      </c>
      <c r="T47" s="22">
        <f>IFERROR(__xludf.DUMMYFUNCTION("IFERROR(if(ISBLANK(Q47),"" "",GOOGLEFINANCE(P47,""changepct"")), """")"),1.75)</f>
        <v>1.75</v>
      </c>
      <c r="U47" s="28"/>
      <c r="V47" s="18" t="s">
        <v>999</v>
      </c>
      <c r="W47" s="38" t="s">
        <v>995</v>
      </c>
      <c r="X47" s="39" t="str">
        <f>IFERROR(__xludf.DUMMYFUNCTION("IFERROR(if(ISBLANK(W47),"" "",GOOGLEFINANCE(V47,""Name"")), """")"),"CESC Ltd")</f>
        <v>CESC Ltd</v>
      </c>
      <c r="Y47" s="21">
        <f>IFERROR(__xludf.DUMMYFUNCTION("IFERROR(if(ISBLANK(W47),"" "",GOOGLEFINANCE(V47,""price"")), """")"),162.21)</f>
        <v>162.21</v>
      </c>
      <c r="Z47" s="23">
        <f>IFERROR(__xludf.DUMMYFUNCTION("IFERROR(if(ISBLANK(W47),"" "",GOOGLEFINANCE(V47,""changepct"")), """")"),0.75)</f>
        <v>0.75</v>
      </c>
      <c r="AA47" s="12"/>
      <c r="AB47" s="18" t="s">
        <v>1000</v>
      </c>
      <c r="AC47" s="38" t="s">
        <v>995</v>
      </c>
      <c r="AD47" s="39" t="str">
        <f>IFERROR(__xludf.DUMMYFUNCTION("IFERROR(if(ISBLANK(AC47),"" "",GOOGLEFINANCE(AB47,""Name"")), """")"),"Usha Martin Ltd")</f>
        <v>Usha Martin Ltd</v>
      </c>
      <c r="AE47" s="21">
        <f>IFERROR(__xludf.DUMMYFUNCTION("IFERROR(if(ISBLANK(AC47),"" "",GOOGLEFINANCE(AB47,""price"")), """")"),501.4)</f>
        <v>501.4</v>
      </c>
      <c r="AF47" s="23">
        <f>IFERROR(__xludf.DUMMYFUNCTION("IFERROR(if(ISBLANK(AC47),"" "",GOOGLEFINANCE(AB47,""changepct"")), """")"),-1.67)</f>
        <v>-1.67</v>
      </c>
      <c r="AG47" s="45"/>
      <c r="AH47" s="27" t="s">
        <v>1001</v>
      </c>
      <c r="AI47" s="38" t="s">
        <v>995</v>
      </c>
      <c r="AJ47" s="39" t="str">
        <f>IFERROR(__xludf.DUMMYFUNCTION("IFERROR(if(ISBLANK(AI47),"" "",GOOGLEFINANCE(AH47,""Name"")), """")"),"Jupiter Wagons Ltd")</f>
        <v>Jupiter Wagons Ltd</v>
      </c>
      <c r="AK47" s="21">
        <f>IFERROR(__xludf.DUMMYFUNCTION("IFERROR(if(ISBLANK(AI47),"" "",GOOGLEFINANCE(AH47,""price"")), """")"),258.55)</f>
        <v>258.55</v>
      </c>
      <c r="AL47" s="23">
        <f>IFERROR(__xludf.DUMMYFUNCTION("IFERROR(if(ISBLANK(AI47),"" "",GOOGLEFINANCE(AH47,""changepct"")), """")"),-1.47)</f>
        <v>-1.47</v>
      </c>
      <c r="AM47" s="44"/>
      <c r="AN47" s="31" t="s">
        <v>200</v>
      </c>
      <c r="AO47" s="32" t="str">
        <f>IFERROR(__xludf.DUMMYFUNCTION("IFERROR(if(ISBLANK(AN47),"" "",GOOGLEFINANCE(AM47,""Name"")), """")"),"")</f>
        <v/>
      </c>
      <c r="AP47" s="33" t="s">
        <v>1002</v>
      </c>
      <c r="AQ47" s="38" t="s">
        <v>995</v>
      </c>
      <c r="AR47" s="39" t="str">
        <f>IFERROR(__xludf.DUMMYFUNCTION("IFERROR(if(ISBLANK(AQ47),"" "",GOOGLEFINANCE(AP47,""Name"")), """")"),"Westlife Foodworld Ltd")</f>
        <v>Westlife Foodworld Ltd</v>
      </c>
      <c r="AS47" s="21">
        <f>IFERROR(__xludf.DUMMYFUNCTION("IFERROR(if(ISBLANK(AQ47),"" "",GOOGLEFINANCE(AP47,""price"")), """")"),595.0)</f>
        <v>595</v>
      </c>
      <c r="AT47" s="23">
        <f>IFERROR(__xludf.DUMMYFUNCTION("IFERROR(if(ISBLANK(AQ47),"" "",GOOGLEFINANCE(AP47,""changepct"")), """")"),1.98)</f>
        <v>1.98</v>
      </c>
      <c r="AU47" s="45"/>
      <c r="AV47" s="34" t="s">
        <v>1004</v>
      </c>
      <c r="AW47" s="38" t="s">
        <v>995</v>
      </c>
      <c r="AX47" s="39" t="str">
        <f>IFERROR(__xludf.DUMMYFUNCTION("IFERROR(if(ISBLANK(AW47),"" "",GOOGLEFINANCE(AV47,""Name"")), """")"),"India Tourism Development Corp Ltd")</f>
        <v>India Tourism Development Corp Ltd</v>
      </c>
      <c r="AY47" s="21">
        <f>IFERROR(__xludf.DUMMYFUNCTION("IFERROR(if(ISBLANK(AW47),"" "",GOOGLEFINANCE(AV47,""price"")), """")"),718.5)</f>
        <v>718.5</v>
      </c>
      <c r="AZ47" s="23">
        <f>IFERROR(__xludf.DUMMYFUNCTION("IFERROR(if(ISBLANK(AW47),"" "",GOOGLEFINANCE(AV47,""changepct"")), """")"),6.18)</f>
        <v>6.18</v>
      </c>
      <c r="BA47" s="12"/>
      <c r="BB47" s="33" t="s">
        <v>1005</v>
      </c>
      <c r="BC47" s="38" t="s">
        <v>995</v>
      </c>
      <c r="BD47" s="39" t="str">
        <f>IFERROR(__xludf.DUMMYFUNCTION("IFERROR(if(ISBLANK(BC47),"" "",GOOGLEFINANCE(BB47,""Name"")), """")"),"Network18 Media &amp; Investments Ltd")</f>
        <v>Network18 Media &amp; Investments Ltd</v>
      </c>
      <c r="BE47" s="21">
        <f>IFERROR(__xludf.DUMMYFUNCTION("IFERROR(if(ISBLANK(BC47),"" "",GOOGLEFINANCE(BB47,""price"")), """")"),28.73)</f>
        <v>28.73</v>
      </c>
      <c r="BF47" s="23">
        <f>IFERROR(__xludf.DUMMYFUNCTION("IFERROR(if(ISBLANK(BC47),"" "",GOOGLEFINANCE(BB47,""changepct"")), """")"),-1.41)</f>
        <v>-1.41</v>
      </c>
      <c r="BG47" s="12"/>
      <c r="BH47" s="35" t="s">
        <v>1006</v>
      </c>
      <c r="BI47" s="38" t="s">
        <v>995</v>
      </c>
      <c r="BJ47" s="39" t="str">
        <f>IFERROR(__xludf.DUMMYFUNCTION("IFERROR(if(ISBLANK(BI47),"" "",GOOGLEFINANCE(BH47,""Name"")), """")"),"Caliber Mining and Logistics Ltd")</f>
        <v>Caliber Mining and Logistics Ltd</v>
      </c>
      <c r="BK47" s="21">
        <f>IFERROR(__xludf.DUMMYFUNCTION("IFERROR(if(ISBLANK(BI47),"" "",GOOGLEFINANCE(BH47,""price"")), """")"),534.75)</f>
        <v>534.75</v>
      </c>
      <c r="BL47" s="23">
        <f>IFERROR(__xludf.DUMMYFUNCTION("IFERROR(if(ISBLANK(BI47),"" "",GOOGLEFINANCE(BH47,""changepct"")), """")"),-7.29)</f>
        <v>-7.29</v>
      </c>
      <c r="BM47" s="12"/>
      <c r="BN47" s="33" t="s">
        <v>1007</v>
      </c>
      <c r="BO47" s="38" t="s">
        <v>995</v>
      </c>
      <c r="BP47" s="39" t="str">
        <f>IFERROR(__xludf.DUMMYFUNCTION("IFERROR(if(ISBLANK(BO47),"" "",GOOGLEFINANCE(BN47,""Name"")), """")"),"BLS E-Services Ltd")</f>
        <v>BLS E-Services Ltd</v>
      </c>
      <c r="BQ47" s="21">
        <f>IFERROR(__xludf.DUMMYFUNCTION("IFERROR(if(ISBLANK(BO47),"" "",GOOGLEFINANCE(BN47,""price"")), """")"),315.1)</f>
        <v>315.1</v>
      </c>
      <c r="BR47" s="23">
        <f>IFERROR(__xludf.DUMMYFUNCTION("IFERROR(if(ISBLANK(BO47),"" "",GOOGLEFINANCE(BN47,""changepct"")), """")"),-0.8)</f>
        <v>-0.8</v>
      </c>
      <c r="BS47" s="22">
        <f>IFERROR(__xludf.DUMMYFUNCTION("IFERROR(if(ISBLANK($C47),"" "",GOOGLEFINANCE($B47,""change"")), """")"),26.0)</f>
        <v>26</v>
      </c>
      <c r="BT47" s="36"/>
      <c r="BU47" s="27" t="s">
        <v>1008</v>
      </c>
      <c r="BV47" s="38" t="s">
        <v>995</v>
      </c>
      <c r="BW47" s="39" t="str">
        <f>IFERROR(__xludf.DUMMYFUNCTION("IFERROR(if(ISBLANK(BV47),"" "",GOOGLEFINANCE(BU47,""Name"")), """")"),"BF Utilities Ltd")</f>
        <v>BF Utilities Ltd</v>
      </c>
      <c r="BX47" s="21">
        <f>IFERROR(__xludf.DUMMYFUNCTION("IFERROR(if(ISBLANK(BV47),"" "",GOOGLEFINANCE(BU47,""price"")), """")"),561.95)</f>
        <v>561.95</v>
      </c>
      <c r="BY47" s="23">
        <f>IFERROR(__xludf.DUMMYFUNCTION("IFERROR(if(ISBLANK(BV47),"" "",GOOGLEFINANCE(BU47,""changepct"")), """")"),0.07)</f>
        <v>0.07</v>
      </c>
      <c r="BZ47" s="22">
        <f>IFERROR(__xludf.DUMMYFUNCTION("IFERROR(if(ISBLANK($C47),"" "",GOOGLEFINANCE($B47,""change"")), """")"),26.0)</f>
        <v>26</v>
      </c>
      <c r="CA47" s="37"/>
      <c r="CB47" s="27" t="s">
        <v>1010</v>
      </c>
      <c r="CC47" s="38" t="s">
        <v>995</v>
      </c>
      <c r="CD47" s="39" t="str">
        <f>IFERROR(__xludf.DUMMYFUNCTION("IFERROR(if(ISBLANK(CC47),"" "",GOOGLEFINANCE(CB47,""Name"")), """")"),"Summit Securities Ltd")</f>
        <v>Summit Securities Ltd</v>
      </c>
      <c r="CE47" s="21">
        <f>IFERROR(__xludf.DUMMYFUNCTION("IFERROR(if(ISBLANK(CC47),"" "",GOOGLEFINANCE(CB47,""price"")), """")"),1431.1)</f>
        <v>1431.1</v>
      </c>
      <c r="CF47" s="23">
        <f>IFERROR(__xludf.DUMMYFUNCTION("IFERROR(if(ISBLANK(CC47),"" "",GOOGLEFINANCE(CB47,""changepct"")), """")"),-2.24)</f>
        <v>-2.24</v>
      </c>
      <c r="CG47" s="12"/>
      <c r="CH47" s="18" t="s">
        <v>1011</v>
      </c>
      <c r="CI47" s="38" t="s">
        <v>995</v>
      </c>
      <c r="CJ47" s="39" t="str">
        <f>IFERROR(__xludf.DUMMYFUNCTION("IFERROR(if(ISBLANK(CI47),"" "",GOOGLEFINANCE(CH47,""Name"")), """")"),"Manaksia Coated Metals &amp; Industries Ltd")</f>
        <v>Manaksia Coated Metals &amp; Industries Ltd</v>
      </c>
      <c r="CK47" s="21">
        <f>IFERROR(__xludf.DUMMYFUNCTION("IFERROR(if(ISBLANK(CI47),"" "",GOOGLEFINANCE(CH47,""price"")), """")"),118.2)</f>
        <v>118.2</v>
      </c>
      <c r="CL47" s="23">
        <f>IFERROR(__xludf.DUMMYFUNCTION("IFERROR(if(ISBLANK(CI47),"" "",GOOGLEFINANCE(CH47,""changepct"")), """")"),0.59)</f>
        <v>0.59</v>
      </c>
      <c r="CM47" s="12"/>
      <c r="CN47" s="33" t="s">
        <v>1012</v>
      </c>
      <c r="CO47" s="38" t="s">
        <v>995</v>
      </c>
      <c r="CP47" s="39" t="str">
        <f>IFERROR(__xludf.DUMMYFUNCTION("IFERROR(if(ISBLANK(CO47),"" "",GOOGLEFINANCE(CN47,""Name"")), """")"),"Bhartiya International Ltd")</f>
        <v>Bhartiya International Ltd</v>
      </c>
      <c r="CQ47" s="21">
        <f>IFERROR(__xludf.DUMMYFUNCTION("IFERROR(if(ISBLANK(CO47),"" "",GOOGLEFINANCE(CN47,""price"")), """")"),819.5)</f>
        <v>819.5</v>
      </c>
      <c r="CR47" s="23">
        <f>IFERROR(__xludf.DUMMYFUNCTION("IFERROR(if(ISBLANK(CO47),"" "",GOOGLEFINANCE(CN47,""changepct"")), """")"),-1.63)</f>
        <v>-1.63</v>
      </c>
      <c r="CS47" s="45"/>
      <c r="CT47" s="33" t="s">
        <v>1013</v>
      </c>
      <c r="CU47" s="38" t="s">
        <v>995</v>
      </c>
      <c r="CV47" s="39" t="str">
        <f>IFERROR(__xludf.DUMMYFUNCTION("IFERROR(if(ISBLANK(CU47),"" "",GOOGLEFINANCE(CT47,""Name"")), """")"),"Mangal Electrical Industries Ltd")</f>
        <v>Mangal Electrical Industries Ltd</v>
      </c>
      <c r="CW47" s="21">
        <f>IFERROR(__xludf.DUMMYFUNCTION("IFERROR(if(ISBLANK(CU47),"" "",GOOGLEFINANCE(CT47,""price"")), """")"),276.9)</f>
        <v>276.9</v>
      </c>
      <c r="CX47" s="23">
        <f>IFERROR(__xludf.DUMMYFUNCTION("IFERROR(if(ISBLANK(CU47),"" "",GOOGLEFINANCE(CT47,""changepct"")), """")"),2.5)</f>
        <v>2.5</v>
      </c>
      <c r="CY47" s="17"/>
      <c r="CZ47" s="33" t="s">
        <v>1015</v>
      </c>
      <c r="DA47" s="38" t="s">
        <v>995</v>
      </c>
      <c r="DB47" s="39" t="str">
        <f>IFERROR(__xludf.DUMMYFUNCTION("IFERROR(if(ISBLANK(DA47),"" "",GOOGLEFINANCE(CZ47,""Name"")), """")"),"TPL Plastech Ltd")</f>
        <v>TPL Plastech Ltd</v>
      </c>
      <c r="DC47" s="21">
        <f>IFERROR(__xludf.DUMMYFUNCTION("IFERROR(if(ISBLANK(DA47),"" "",GOOGLEFINANCE(CZ47,""price"")), """")"),77.5)</f>
        <v>77.5</v>
      </c>
      <c r="DD47" s="23">
        <f>IFERROR(__xludf.DUMMYFUNCTION("IFERROR(if(ISBLANK(DA47),"" "",GOOGLEFINANCE(CZ47,""changepct"")), """")"),2.12)</f>
        <v>2.12</v>
      </c>
      <c r="DE47" s="45"/>
      <c r="DF47" s="12"/>
    </row>
    <row r="48" ht="11.25" customHeight="1">
      <c r="A48" s="47"/>
      <c r="B48" s="18" t="s">
        <v>1016</v>
      </c>
      <c r="C48" s="38" t="s">
        <v>1017</v>
      </c>
      <c r="D48" s="39" t="str">
        <f>IFERROR(__xludf.DUMMYFUNCTION("IFERROR(if(ISBLANK(C48),"" "",GOOGLEFINANCE(B48,""Name"")), """")"),"Indian Oil Corporation Ltd")</f>
        <v>Indian Oil Corporation Ltd</v>
      </c>
      <c r="E48" s="21">
        <f>IFERROR(__xludf.DUMMYFUNCTION("IFERROR(if(ISBLANK(C48),"" "",GOOGLEFINANCE(B48,""price"")), """")"),140.6)</f>
        <v>140.6</v>
      </c>
      <c r="F48" s="22">
        <f>IFERROR(__xludf.DUMMYFUNCTION("IFERROR(if(ISBLANK(C48),"" "",GOOGLEFINANCE(B48,""changepct"")), """")"),0.43)</f>
        <v>0.43</v>
      </c>
      <c r="G48" s="23">
        <f>IFERROR(__xludf.DUMMYFUNCTION("IFERROR(if(ISBLANK($C48),"" "",GOOGLEFINANCE($B48,""change"")), """")"),0.6)</f>
        <v>0.6</v>
      </c>
      <c r="H48" s="24"/>
      <c r="I48" s="25" t="s">
        <v>1018</v>
      </c>
      <c r="J48" s="38" t="s">
        <v>1017</v>
      </c>
      <c r="K48" s="39" t="str">
        <f>IFERROR(__xludf.DUMMYFUNCTION("IFERROR(if(ISBLANK(J48),"" "",GOOGLEFINANCE(I48,""Name"")), """")"),"Waaree Energies Ltd")</f>
        <v>Waaree Energies Ltd</v>
      </c>
      <c r="L48" s="21">
        <f>IFERROR(__xludf.DUMMYFUNCTION("IFERROR(if(ISBLANK(J48),"" "",GOOGLEFINANCE(I48,""price"")), """")"),2657.0)</f>
        <v>2657</v>
      </c>
      <c r="M48" s="22">
        <f>IFERROR(__xludf.DUMMYFUNCTION("IFERROR(if(ISBLANK(J48),"" "",GOOGLEFINANCE(I48,""changepct"")), """")"),-1.74)</f>
        <v>-1.74</v>
      </c>
      <c r="N48" s="23">
        <f>IFERROR(__xludf.DUMMYFUNCTION("IFERROR(if(ISBLANK($C48),"" "",GOOGLEFINANCE($B48,""change"")), """")"),0.6)</f>
        <v>0.6</v>
      </c>
      <c r="O48" s="26"/>
      <c r="P48" s="27" t="s">
        <v>1020</v>
      </c>
      <c r="Q48" s="38" t="s">
        <v>1017</v>
      </c>
      <c r="R48" s="39" t="str">
        <f>IFERROR(__xludf.DUMMYFUNCTION("IFERROR(if(ISBLANK(Q48),"" "",GOOGLEFINANCE(P48,""Name"")), """")"),"Himadri Speciality Chemical Ltd")</f>
        <v>Himadri Speciality Chemical Ltd</v>
      </c>
      <c r="S48" s="21">
        <f>IFERROR(__xludf.DUMMYFUNCTION("IFERROR(if(ISBLANK(Q48),"" "",GOOGLEFINANCE(P48,""price"")), """")"),762.3)</f>
        <v>762.3</v>
      </c>
      <c r="T48" s="22">
        <f>IFERROR(__xludf.DUMMYFUNCTION("IFERROR(if(ISBLANK(Q48),"" "",GOOGLEFINANCE(P48,""changepct"")), """")"),0.9)</f>
        <v>0.9</v>
      </c>
      <c r="U48" s="28"/>
      <c r="V48" s="18" t="s">
        <v>1021</v>
      </c>
      <c r="W48" s="38" t="s">
        <v>1017</v>
      </c>
      <c r="X48" s="39" t="str">
        <f>IFERROR(__xludf.DUMMYFUNCTION("IFERROR(if(ISBLANK(W48),"" "",GOOGLEFINANCE(V48,""Name"")), """")"),"Aadhar Housing Finance Ltd")</f>
        <v>Aadhar Housing Finance Ltd</v>
      </c>
      <c r="Y48" s="21">
        <f>IFERROR(__xludf.DUMMYFUNCTION("IFERROR(if(ISBLANK(W48),"" "",GOOGLEFINANCE(V48,""price"")), """")"),497.0)</f>
        <v>497</v>
      </c>
      <c r="Z48" s="23">
        <f>IFERROR(__xludf.DUMMYFUNCTION("IFERROR(if(ISBLANK(W48),"" "",GOOGLEFINANCE(V48,""changepct"")), """")"),-0.91)</f>
        <v>-0.91</v>
      </c>
      <c r="AA48" s="12"/>
      <c r="AB48" s="18" t="s">
        <v>1023</v>
      </c>
      <c r="AC48" s="38" t="s">
        <v>1017</v>
      </c>
      <c r="AD48" s="39" t="str">
        <f>IFERROR(__xludf.DUMMYFUNCTION("IFERROR(if(ISBLANK(AC48),"" "",GOOGLEFINANCE(AB48,""Name"")), """")"),"Finolex Cables Ltd")</f>
        <v>Finolex Cables Ltd</v>
      </c>
      <c r="AE48" s="21">
        <f>IFERROR(__xludf.DUMMYFUNCTION("IFERROR(if(ISBLANK(AC48),"" "",GOOGLEFINANCE(AB48,""price"")), """")"),1269.0)</f>
        <v>1269</v>
      </c>
      <c r="AF48" s="23">
        <f>IFERROR(__xludf.DUMMYFUNCTION("IFERROR(if(ISBLANK(AC48),"" "",GOOGLEFINANCE(AB48,""changepct"")), """")"),5.06)</f>
        <v>5.06</v>
      </c>
      <c r="AG48" s="45"/>
      <c r="AH48" s="27" t="s">
        <v>1024</v>
      </c>
      <c r="AI48" s="38" t="s">
        <v>1017</v>
      </c>
      <c r="AJ48" s="39" t="str">
        <f>IFERROR(__xludf.DUMMYFUNCTION("IFERROR(if(ISBLANK(AI48),"" "",GOOGLEFINANCE(AH48,""Name"")), """")"),"Mahanagar Gas Ltd")</f>
        <v>Mahanagar Gas Ltd</v>
      </c>
      <c r="AK48" s="21">
        <f>IFERROR(__xludf.DUMMYFUNCTION("IFERROR(if(ISBLANK(AI48),"" "",GOOGLEFINANCE(AH48,""price"")), """")"),1115.0)</f>
        <v>1115</v>
      </c>
      <c r="AL48" s="23">
        <f>IFERROR(__xludf.DUMMYFUNCTION("IFERROR(if(ISBLANK(AI48),"" "",GOOGLEFINANCE(AH48,""changepct"")), """")"),-1.7)</f>
        <v>-1.7</v>
      </c>
      <c r="AM48" s="44"/>
      <c r="AN48" s="31" t="s">
        <v>200</v>
      </c>
      <c r="AO48" s="32" t="str">
        <f>IFERROR(__xludf.DUMMYFUNCTION("IFERROR(if(ISBLANK(AN48),"" "",GOOGLEFINANCE(AM48,""Name"")), """")"),"")</f>
        <v/>
      </c>
      <c r="AP48" s="33" t="s">
        <v>1025</v>
      </c>
      <c r="AQ48" s="38" t="s">
        <v>1017</v>
      </c>
      <c r="AR48" s="39" t="str">
        <f>IFERROR(__xludf.DUMMYFUNCTION("IFERROR(if(ISBLANK(AQ48),"" "",GOOGLEFINANCE(AP48,""Name"")), """")"),"Cera Sanitaryware Ltd")</f>
        <v>Cera Sanitaryware Ltd</v>
      </c>
      <c r="AS48" s="21">
        <f>IFERROR(__xludf.DUMMYFUNCTION("IFERROR(if(ISBLANK(AQ48),"" "",GOOGLEFINANCE(AP48,""price"")), """")"),5890.0)</f>
        <v>5890</v>
      </c>
      <c r="AT48" s="23">
        <f>IFERROR(__xludf.DUMMYFUNCTION("IFERROR(if(ISBLANK(AQ48),"" "",GOOGLEFINANCE(AP48,""changepct"")), """")"),-1.58)</f>
        <v>-1.58</v>
      </c>
      <c r="AU48" s="45"/>
      <c r="AV48" s="34" t="s">
        <v>1027</v>
      </c>
      <c r="AW48" s="38" t="s">
        <v>1017</v>
      </c>
      <c r="AX48" s="39" t="str">
        <f>IFERROR(__xludf.DUMMYFUNCTION("IFERROR(if(ISBLANK(AW48),"" "",GOOGLEFINANCE(AV48,""Name"")), """")"),"DCB Bank Ltd")</f>
        <v>DCB Bank Ltd</v>
      </c>
      <c r="AY48" s="21">
        <f>IFERROR(__xludf.DUMMYFUNCTION("IFERROR(if(ISBLANK(AW48),"" "",GOOGLEFINANCE(AV48,""price"")), """")"),187.7)</f>
        <v>187.7</v>
      </c>
      <c r="AZ48" s="23">
        <f>IFERROR(__xludf.DUMMYFUNCTION("IFERROR(if(ISBLANK(AW48),"" "",GOOGLEFINANCE(AV48,""changepct"")), """")"),1.45)</f>
        <v>1.45</v>
      </c>
      <c r="BA48" s="12"/>
      <c r="BB48" s="33" t="s">
        <v>1028</v>
      </c>
      <c r="BC48" s="38" t="s">
        <v>1017</v>
      </c>
      <c r="BD48" s="39" t="str">
        <f>IFERROR(__xludf.DUMMYFUNCTION("IFERROR(if(ISBLANK(BC48),"" "",GOOGLEFINANCE(BB48,""Name"")), """")"),"WPIL Ltd")</f>
        <v>WPIL Ltd</v>
      </c>
      <c r="BE48" s="21">
        <f>IFERROR(__xludf.DUMMYFUNCTION("IFERROR(if(ISBLANK(BC48),"" "",GOOGLEFINANCE(BB48,""price"")), """")"),428.0)</f>
        <v>428</v>
      </c>
      <c r="BF48" s="23">
        <f>IFERROR(__xludf.DUMMYFUNCTION("IFERROR(if(ISBLANK(BC48),"" "",GOOGLEFINANCE(BB48,""changepct"")), """")"),-0.52)</f>
        <v>-0.52</v>
      </c>
      <c r="BG48" s="12"/>
      <c r="BH48" s="35" t="s">
        <v>1029</v>
      </c>
      <c r="BI48" s="38" t="s">
        <v>1017</v>
      </c>
      <c r="BJ48" s="39" t="str">
        <f>IFERROR(__xludf.DUMMYFUNCTION("IFERROR(if(ISBLANK(BI48),"" "",GOOGLEFINANCE(BH48,""Name"")), """")"),"TruAlt Bioenergy Ltd")</f>
        <v>TruAlt Bioenergy Ltd</v>
      </c>
      <c r="BK48" s="21">
        <f>IFERROR(__xludf.DUMMYFUNCTION("IFERROR(if(ISBLANK(BI48),"" "",GOOGLEFINANCE(BH48,""price"")), """")"),459.9)</f>
        <v>459.9</v>
      </c>
      <c r="BL48" s="23">
        <f>IFERROR(__xludf.DUMMYFUNCTION("IFERROR(if(ISBLANK(BI48),"" "",GOOGLEFINANCE(BH48,""changepct"")), """")"),-3.81)</f>
        <v>-3.81</v>
      </c>
      <c r="BM48" s="12"/>
      <c r="BN48" s="33" t="s">
        <v>1030</v>
      </c>
      <c r="BO48" s="38" t="s">
        <v>1017</v>
      </c>
      <c r="BP48" s="39" t="str">
        <f>IFERROR(__xludf.DUMMYFUNCTION("IFERROR(if(ISBLANK(BO48),"" "",GOOGLEFINANCE(BN48,""Name"")), """")"),"Flair Writing Industries Ltd")</f>
        <v>Flair Writing Industries Ltd</v>
      </c>
      <c r="BQ48" s="21">
        <f>IFERROR(__xludf.DUMMYFUNCTION("IFERROR(if(ISBLANK(BO48),"" "",GOOGLEFINANCE(BN48,""price"")), """")"),248.1)</f>
        <v>248.1</v>
      </c>
      <c r="BR48" s="23">
        <f>IFERROR(__xludf.DUMMYFUNCTION("IFERROR(if(ISBLANK(BO48),"" "",GOOGLEFINANCE(BN48,""changepct"")), """")"),-0.08)</f>
        <v>-0.08</v>
      </c>
      <c r="BS48" s="22">
        <f>IFERROR(__xludf.DUMMYFUNCTION("IFERROR(if(ISBLANK($C48),"" "",GOOGLEFINANCE($B48,""change"")), """")"),0.6)</f>
        <v>0.6</v>
      </c>
      <c r="BT48" s="36"/>
      <c r="BU48" s="27" t="s">
        <v>1032</v>
      </c>
      <c r="BV48" s="38" t="s">
        <v>1017</v>
      </c>
      <c r="BW48" s="39" t="str">
        <f>IFERROR(__xludf.DUMMYFUNCTION("IFERROR(if(ISBLANK(BV48),"" "",GOOGLEFINANCE(BU48,""Name"")), """")"),"Jain Irrigation Systems Ltd")</f>
        <v>Jain Irrigation Systems Ltd</v>
      </c>
      <c r="BX48" s="21">
        <f>IFERROR(__xludf.DUMMYFUNCTION("IFERROR(if(ISBLANK(BV48),"" "",GOOGLEFINANCE(BU48,""price"")), """")"),27.1)</f>
        <v>27.1</v>
      </c>
      <c r="BY48" s="23">
        <f>IFERROR(__xludf.DUMMYFUNCTION("IFERROR(if(ISBLANK(BV48),"" "",GOOGLEFINANCE(BU48,""changepct"")), """")"),-2.8)</f>
        <v>-2.8</v>
      </c>
      <c r="BZ48" s="22">
        <f>IFERROR(__xludf.DUMMYFUNCTION("IFERROR(if(ISBLANK($C48),"" "",GOOGLEFINANCE($B48,""change"")), """")"),0.6)</f>
        <v>0.6</v>
      </c>
      <c r="CA48" s="37"/>
      <c r="CB48" s="27" t="s">
        <v>1033</v>
      </c>
      <c r="CC48" s="38" t="s">
        <v>1017</v>
      </c>
      <c r="CD48" s="39" t="str">
        <f>IFERROR(__xludf.DUMMYFUNCTION("IFERROR(if(ISBLANK(CC48),"" "",GOOGLEFINANCE(CB48,""Name"")), """")"),"5Paisa Capital Ltd")</f>
        <v>5Paisa Capital Ltd</v>
      </c>
      <c r="CE48" s="21">
        <f>IFERROR(__xludf.DUMMYFUNCTION("IFERROR(if(ISBLANK(CC48),"" "",GOOGLEFINANCE(CB48,""price"")), """")"),388.5)</f>
        <v>388.5</v>
      </c>
      <c r="CF48" s="23">
        <f>IFERROR(__xludf.DUMMYFUNCTION("IFERROR(if(ISBLANK(CC48),"" "",GOOGLEFINANCE(CB48,""changepct"")), """")"),2.95)</f>
        <v>2.95</v>
      </c>
      <c r="CG48" s="12"/>
      <c r="CH48" s="18" t="s">
        <v>1034</v>
      </c>
      <c r="CI48" s="38" t="s">
        <v>1017</v>
      </c>
      <c r="CJ48" s="39" t="str">
        <f>IFERROR(__xludf.DUMMYFUNCTION("IFERROR(if(ISBLANK(CI48),"" "",GOOGLEFINANCE(CH48,""Name"")), """")"),"Indosolar Limited")</f>
        <v>Indosolar Limited</v>
      </c>
      <c r="CK48" s="21">
        <f>IFERROR(__xludf.DUMMYFUNCTION("IFERROR(if(ISBLANK(CI48),"" "",GOOGLEFINANCE(CH48,""price"")), """")"),299.0)</f>
        <v>299</v>
      </c>
      <c r="CL48" s="23">
        <f>IFERROR(__xludf.DUMMYFUNCTION("IFERROR(if(ISBLANK(CI48),"" "",GOOGLEFINANCE(CH48,""changepct"")), """")"),-2.53)</f>
        <v>-2.53</v>
      </c>
      <c r="CM48" s="12"/>
      <c r="CN48" s="33" t="s">
        <v>1035</v>
      </c>
      <c r="CO48" s="38" t="s">
        <v>1017</v>
      </c>
      <c r="CP48" s="39" t="str">
        <f>IFERROR(__xludf.DUMMYFUNCTION("IFERROR(if(ISBLANK(CO48),"" "",GOOGLEFINANCE(CN48,""Name"")), """")"),"Wealth First Portfolio Managers Ltd")</f>
        <v>Wealth First Portfolio Managers Ltd</v>
      </c>
      <c r="CQ48" s="21">
        <f>IFERROR(__xludf.DUMMYFUNCTION("IFERROR(if(ISBLANK(CO48),"" "",GOOGLEFINANCE(CN48,""price"")), """")"),935.0)</f>
        <v>935</v>
      </c>
      <c r="CR48" s="23">
        <f>IFERROR(__xludf.DUMMYFUNCTION("IFERROR(if(ISBLANK(CO48),"" "",GOOGLEFINANCE(CN48,""changepct"")), """")"),0.3)</f>
        <v>0.3</v>
      </c>
      <c r="CS48" s="45"/>
      <c r="CT48" s="33" t="s">
        <v>1036</v>
      </c>
      <c r="CU48" s="38" t="s">
        <v>1017</v>
      </c>
      <c r="CV48" s="39" t="str">
        <f>IFERROR(__xludf.DUMMYFUNCTION("IFERROR(if(ISBLANK(CU48),"" "",GOOGLEFINANCE(CT48,""Name"")), """")"),"Euro India Fresh Foods Ltd")</f>
        <v>Euro India Fresh Foods Ltd</v>
      </c>
      <c r="CW48" s="21">
        <f>IFERROR(__xludf.DUMMYFUNCTION("IFERROR(if(ISBLANK(CU48),"" "",GOOGLEFINANCE(CT48,""price"")), """")"),297.0)</f>
        <v>297</v>
      </c>
      <c r="CX48" s="23">
        <f>IFERROR(__xludf.DUMMYFUNCTION("IFERROR(if(ISBLANK(CU48),"" "",GOOGLEFINANCE(CT48,""changepct"")), """")"),0.05)</f>
        <v>0.05</v>
      </c>
      <c r="CY48" s="17"/>
      <c r="CZ48" s="33" t="s">
        <v>1037</v>
      </c>
      <c r="DA48" s="38" t="s">
        <v>1017</v>
      </c>
      <c r="DB48" s="39" t="str">
        <f>IFERROR(__xludf.DUMMYFUNCTION("IFERROR(if(ISBLANK(DA48),"" "",GOOGLEFINANCE(CZ48,""Name"")), """")"),"Satia Industries Ltd")</f>
        <v>Satia Industries Ltd</v>
      </c>
      <c r="DC48" s="21">
        <f>IFERROR(__xludf.DUMMYFUNCTION("IFERROR(if(ISBLANK(DA48),"" "",GOOGLEFINANCE(CZ48,""price"")), """")"),61.5)</f>
        <v>61.5</v>
      </c>
      <c r="DD48" s="23">
        <f>IFERROR(__xludf.DUMMYFUNCTION("IFERROR(if(ISBLANK(DA48),"" "",GOOGLEFINANCE(CZ48,""changepct"")), """")"),0.84)</f>
        <v>0.84</v>
      </c>
      <c r="DE48" s="45"/>
      <c r="DF48" s="12"/>
    </row>
    <row r="49" ht="11.25" customHeight="1">
      <c r="A49" s="47"/>
      <c r="B49" s="18" t="s">
        <v>1039</v>
      </c>
      <c r="C49" s="38" t="s">
        <v>1040</v>
      </c>
      <c r="D49" s="39" t="str">
        <f>IFERROR(__xludf.DUMMYFUNCTION("IFERROR(if(ISBLANK(C49),"" "",GOOGLEFINANCE(B49,""Name"")), """")"),"Adani Energy Solutions Ltd")</f>
        <v>Adani Energy Solutions Ltd</v>
      </c>
      <c r="E49" s="21">
        <f>IFERROR(__xludf.DUMMYFUNCTION("IFERROR(if(ISBLANK(C49),"" "",GOOGLEFINANCE(B49,""price"")), """")"),1601.5)</f>
        <v>1601.5</v>
      </c>
      <c r="F49" s="22">
        <f>IFERROR(__xludf.DUMMYFUNCTION("IFERROR(if(ISBLANK(C49),"" "",GOOGLEFINANCE(B49,""changepct"")), """")"),-1.26)</f>
        <v>-1.26</v>
      </c>
      <c r="G49" s="23">
        <f>IFERROR(__xludf.DUMMYFUNCTION("IFERROR(if(ISBLANK($C49),"" "",GOOGLEFINANCE($B49,""change"")), """")"),-20.5)</f>
        <v>-20.5</v>
      </c>
      <c r="H49" s="24"/>
      <c r="I49" s="25" t="s">
        <v>1041</v>
      </c>
      <c r="J49" s="38" t="s">
        <v>1040</v>
      </c>
      <c r="K49" s="39" t="str">
        <f>IFERROR(__xludf.DUMMYFUNCTION("IFERROR(if(ISBLANK(J49),"" "",GOOGLEFINANCE(I49,""Name"")), """")"),"Coforge Ltd")</f>
        <v>Coforge Ltd</v>
      </c>
      <c r="L49" s="21">
        <f>IFERROR(__xludf.DUMMYFUNCTION("IFERROR(if(ISBLANK(J49),"" "",GOOGLEFINANCE(I49,""price"")), """")"),1798.0)</f>
        <v>1798</v>
      </c>
      <c r="M49" s="22">
        <f>IFERROR(__xludf.DUMMYFUNCTION("IFERROR(if(ISBLANK(J49),"" "",GOOGLEFINANCE(I49,""changepct"")), """")"),-1.15)</f>
        <v>-1.15</v>
      </c>
      <c r="N49" s="23">
        <f>IFERROR(__xludf.DUMMYFUNCTION("IFERROR(if(ISBLANK($C49),"" "",GOOGLEFINANCE($B49,""change"")), """")"),-20.5)</f>
        <v>-20.5</v>
      </c>
      <c r="O49" s="26"/>
      <c r="P49" s="27" t="s">
        <v>1042</v>
      </c>
      <c r="Q49" s="38" t="s">
        <v>1040</v>
      </c>
      <c r="R49" s="39" t="str">
        <f>IFERROR(__xludf.DUMMYFUNCTION("IFERROR(if(ISBLANK(Q49),"" "",GOOGLEFINANCE(P49,""Name"")), """")"),"Global Health Ltd")</f>
        <v>Global Health Ltd</v>
      </c>
      <c r="S49" s="21">
        <f>IFERROR(__xludf.DUMMYFUNCTION("IFERROR(if(ISBLANK(Q49),"" "",GOOGLEFINANCE(P49,""price"")), """")"),1391.0)</f>
        <v>1391</v>
      </c>
      <c r="T49" s="22">
        <f>IFERROR(__xludf.DUMMYFUNCTION("IFERROR(if(ISBLANK(Q49),"" "",GOOGLEFINANCE(P49,""changepct"")), """")"),-3.43)</f>
        <v>-3.43</v>
      </c>
      <c r="U49" s="28"/>
      <c r="V49" s="18" t="s">
        <v>1043</v>
      </c>
      <c r="W49" s="38" t="s">
        <v>1040</v>
      </c>
      <c r="X49" s="39" t="str">
        <f>IFERROR(__xludf.DUMMYFUNCTION("IFERROR(if(ISBLANK(W49),"" "",GOOGLEFINANCE(V49,""Name"")), """")"),"Tenneco Clean Air India Ltd")</f>
        <v>Tenneco Clean Air India Ltd</v>
      </c>
      <c r="Y49" s="21">
        <f>IFERROR(__xludf.DUMMYFUNCTION("IFERROR(if(ISBLANK(W49),"" "",GOOGLEFINANCE(V49,""price"")), """")"),539.0)</f>
        <v>539</v>
      </c>
      <c r="Z49" s="23">
        <f>IFERROR(__xludf.DUMMYFUNCTION("IFERROR(if(ISBLANK(W49),"" "",GOOGLEFINANCE(V49,""changepct"")), """")"),-2.11)</f>
        <v>-2.11</v>
      </c>
      <c r="AA49" s="12"/>
      <c r="AB49" s="18" t="s">
        <v>1044</v>
      </c>
      <c r="AC49" s="38" t="s">
        <v>1040</v>
      </c>
      <c r="AD49" s="39" t="str">
        <f>IFERROR(__xludf.DUMMYFUNCTION("IFERROR(if(ISBLANK(AC49),"" "",GOOGLEFINANCE(AB49,""Name"")), """")"),"Welspun Living Ltd")</f>
        <v>Welspun Living Ltd</v>
      </c>
      <c r="AE49" s="21">
        <f>IFERROR(__xludf.DUMMYFUNCTION("IFERROR(if(ISBLANK(AC49),"" "",GOOGLEFINANCE(AB49,""price"")), """")"),165.6)</f>
        <v>165.6</v>
      </c>
      <c r="AF49" s="23">
        <f>IFERROR(__xludf.DUMMYFUNCTION("IFERROR(if(ISBLANK(AC49),"" "",GOOGLEFINANCE(AB49,""changepct"")), """")"),3.72)</f>
        <v>3.72</v>
      </c>
      <c r="AG49" s="45"/>
      <c r="AH49" s="27" t="s">
        <v>1046</v>
      </c>
      <c r="AI49" s="38" t="s">
        <v>1040</v>
      </c>
      <c r="AJ49" s="39" t="str">
        <f>IFERROR(__xludf.DUMMYFUNCTION("IFERROR(if(ISBLANK(AI49),"" "",GOOGLEFINANCE(AH49,""Name"")), """")"),"Viyash Scientific Ltd")</f>
        <v>Viyash Scientific Ltd</v>
      </c>
      <c r="AK49" s="21">
        <f>IFERROR(__xludf.DUMMYFUNCTION("IFERROR(if(ISBLANK(AI49),"" "",GOOGLEFINANCE(AH49,""price"")), """")"),263.0)</f>
        <v>263</v>
      </c>
      <c r="AL49" s="23">
        <f>IFERROR(__xludf.DUMMYFUNCTION("IFERROR(if(ISBLANK(AI49),"" "",GOOGLEFINANCE(AH49,""changepct"")), """")"),0.59)</f>
        <v>0.59</v>
      </c>
      <c r="AM49" s="44"/>
      <c r="AN49" s="31" t="s">
        <v>200</v>
      </c>
      <c r="AO49" s="32" t="str">
        <f>IFERROR(__xludf.DUMMYFUNCTION("IFERROR(if(ISBLANK(AN49),"" "",GOOGLEFINANCE(AM49,""Name"")), """")"),"")</f>
        <v/>
      </c>
      <c r="AP49" s="33" t="s">
        <v>1047</v>
      </c>
      <c r="AQ49" s="38" t="s">
        <v>1040</v>
      </c>
      <c r="AR49" s="39" t="str">
        <f>IFERROR(__xludf.DUMMYFUNCTION("IFERROR(if(ISBLANK(AQ49),"" "",GOOGLEFINANCE(AP49,""Name"")), """")"),"Tanla Platforms Ltd")</f>
        <v>Tanla Platforms Ltd</v>
      </c>
      <c r="AS49" s="21">
        <f>IFERROR(__xludf.DUMMYFUNCTION("IFERROR(if(ISBLANK(AQ49),"" "",GOOGLEFINANCE(AP49,""price"")), """")"),596.6)</f>
        <v>596.6</v>
      </c>
      <c r="AT49" s="23">
        <f>IFERROR(__xludf.DUMMYFUNCTION("IFERROR(if(ISBLANK(AQ49),"" "",GOOGLEFINANCE(AP49,""changepct"")), """")"),-3.25)</f>
        <v>-3.25</v>
      </c>
      <c r="AU49" s="45"/>
      <c r="AV49" s="34" t="s">
        <v>1048</v>
      </c>
      <c r="AW49" s="38" t="s">
        <v>1040</v>
      </c>
      <c r="AX49" s="39" t="str">
        <f>IFERROR(__xludf.DUMMYFUNCTION("IFERROR(if(ISBLANK(AW49),"" "",GOOGLEFINANCE(AV49,""Name"")), """")"),"Gokaldas Exports Ltd")</f>
        <v>Gokaldas Exports Ltd</v>
      </c>
      <c r="AY49" s="21">
        <f>IFERROR(__xludf.DUMMYFUNCTION("IFERROR(if(ISBLANK(AW49),"" "",GOOGLEFINANCE(AV49,""price"")), """")"),761.0)</f>
        <v>761</v>
      </c>
      <c r="AZ49" s="23">
        <f>IFERROR(__xludf.DUMMYFUNCTION("IFERROR(if(ISBLANK(AW49),"" "",GOOGLEFINANCE(AV49,""changepct"")), """")"),-3.54)</f>
        <v>-3.54</v>
      </c>
      <c r="BA49" s="12"/>
      <c r="BB49" s="33" t="s">
        <v>1049</v>
      </c>
      <c r="BC49" s="38" t="s">
        <v>1040</v>
      </c>
      <c r="BD49" s="39" t="str">
        <f>IFERROR(__xludf.DUMMYFUNCTION("IFERROR(if(ISBLANK(BC49),"" "",GOOGLEFINANCE(BB49,""Name"")), """")"),"Texmaco Rail &amp; Engineering Ltd")</f>
        <v>Texmaco Rail &amp; Engineering Ltd</v>
      </c>
      <c r="BE49" s="21">
        <f>IFERROR(__xludf.DUMMYFUNCTION("IFERROR(if(ISBLANK(BC49),"" "",GOOGLEFINANCE(BB49,""price"")), """")"),108.25)</f>
        <v>108.25</v>
      </c>
      <c r="BF49" s="23">
        <f>IFERROR(__xludf.DUMMYFUNCTION("IFERROR(if(ISBLANK(BC49),"" "",GOOGLEFINANCE(BB49,""changepct"")), """")"),0.85)</f>
        <v>0.85</v>
      </c>
      <c r="BG49" s="12"/>
      <c r="BH49" s="35" t="s">
        <v>1050</v>
      </c>
      <c r="BI49" s="38" t="s">
        <v>1040</v>
      </c>
      <c r="BJ49" s="39" t="str">
        <f>IFERROR(__xludf.DUMMYFUNCTION("IFERROR(if(ISBLANK(BI49),"" "",GOOGLEFINANCE(BH49,""Name"")), """")"),"Unichem Laboratories Ltd")</f>
        <v>Unichem Laboratories Ltd</v>
      </c>
      <c r="BK49" s="21">
        <f>IFERROR(__xludf.DUMMYFUNCTION("IFERROR(if(ISBLANK(BI49),"" "",GOOGLEFINANCE(BH49,""price"")), """")"),543.0)</f>
        <v>543</v>
      </c>
      <c r="BL49" s="23">
        <f>IFERROR(__xludf.DUMMYFUNCTION("IFERROR(if(ISBLANK(BI49),"" "",GOOGLEFINANCE(BH49,""changepct"")), """")"),-5.37)</f>
        <v>-5.37</v>
      </c>
      <c r="BM49" s="12"/>
      <c r="BN49" s="33" t="s">
        <v>1052</v>
      </c>
      <c r="BO49" s="38" t="s">
        <v>1040</v>
      </c>
      <c r="BP49" s="39" t="str">
        <f>IFERROR(__xludf.DUMMYFUNCTION("IFERROR(if(ISBLANK(BO49),"" "",GOOGLEFINANCE(BN49,""Name"")), """")"),"Hikal Ltd")</f>
        <v>Hikal Ltd</v>
      </c>
      <c r="BQ49" s="21">
        <f>IFERROR(__xludf.DUMMYFUNCTION("IFERROR(if(ISBLANK(BO49),"" "",GOOGLEFINANCE(BN49,""price"")), """")"),211.95)</f>
        <v>211.95</v>
      </c>
      <c r="BR49" s="23">
        <f>IFERROR(__xludf.DUMMYFUNCTION("IFERROR(if(ISBLANK(BO49),"" "",GOOGLEFINANCE(BN49,""changepct"")), """")"),-2.77)</f>
        <v>-2.77</v>
      </c>
      <c r="BS49" s="22">
        <f>IFERROR(__xludf.DUMMYFUNCTION("IFERROR(if(ISBLANK($C49),"" "",GOOGLEFINANCE($B49,""change"")), """")"),-20.5)</f>
        <v>-20.5</v>
      </c>
      <c r="BT49" s="36"/>
      <c r="BU49" s="27" t="s">
        <v>1053</v>
      </c>
      <c r="BV49" s="38" t="s">
        <v>1040</v>
      </c>
      <c r="BW49" s="39" t="str">
        <f>IFERROR(__xludf.DUMMYFUNCTION("IFERROR(if(ISBLANK(BV49),"" "",GOOGLEFINANCE(BU49,""Name"")), """")"),"Nibe Ltd")</f>
        <v>Nibe Ltd</v>
      </c>
      <c r="BX49" s="21">
        <f>IFERROR(__xludf.DUMMYFUNCTION("IFERROR(if(ISBLANK(BV49),"" "",GOOGLEFINANCE(BU49,""price"")), """")"),1447.0)</f>
        <v>1447</v>
      </c>
      <c r="BY49" s="23">
        <f>IFERROR(__xludf.DUMMYFUNCTION("IFERROR(if(ISBLANK(BV49),"" "",GOOGLEFINANCE(BU49,""changepct"")), """")"),0.89)</f>
        <v>0.89</v>
      </c>
      <c r="BZ49" s="22">
        <f>IFERROR(__xludf.DUMMYFUNCTION("IFERROR(if(ISBLANK($C49),"" "",GOOGLEFINANCE($B49,""change"")), """")"),-20.5)</f>
        <v>-20.5</v>
      </c>
      <c r="CA49" s="37"/>
      <c r="CB49" s="27" t="s">
        <v>1054</v>
      </c>
      <c r="CC49" s="38" t="s">
        <v>1040</v>
      </c>
      <c r="CD49" s="39" t="str">
        <f>IFERROR(__xludf.DUMMYFUNCTION("IFERROR(if(ISBLANK(CC49),"" "",GOOGLEFINANCE(CB49,""Name"")), """")"),"Solarworld Energy Solutions Ltd")</f>
        <v>Solarworld Energy Solutions Ltd</v>
      </c>
      <c r="CE49" s="21">
        <f>IFERROR(__xludf.DUMMYFUNCTION("IFERROR(if(ISBLANK(CC49),"" "",GOOGLEFINANCE(CB49,""price"")), """")"),161.45)</f>
        <v>161.45</v>
      </c>
      <c r="CF49" s="23">
        <f>IFERROR(__xludf.DUMMYFUNCTION("IFERROR(if(ISBLANK(CC49),"" "",GOOGLEFINANCE(CB49,""changepct"")), """")"),-1.92)</f>
        <v>-1.92</v>
      </c>
      <c r="CG49" s="12"/>
      <c r="CH49" s="18" t="s">
        <v>1056</v>
      </c>
      <c r="CI49" s="38" t="s">
        <v>1040</v>
      </c>
      <c r="CJ49" s="39" t="str">
        <f>IFERROR(__xludf.DUMMYFUNCTION("IFERROR(if(ISBLANK(CI49),"" "",GOOGLEFINANCE(CH49,""Name"")), """")"),"Roto Pumps Ltd")</f>
        <v>Roto Pumps Ltd</v>
      </c>
      <c r="CK49" s="21">
        <f>IFERROR(__xludf.DUMMYFUNCTION("IFERROR(if(ISBLANK(CI49),"" "",GOOGLEFINANCE(CH49,""price"")), """")"),67.09)</f>
        <v>67.09</v>
      </c>
      <c r="CL49" s="23">
        <f>IFERROR(__xludf.DUMMYFUNCTION("IFERROR(if(ISBLANK(CI49),"" "",GOOGLEFINANCE(CH49,""changepct"")), """")"),-2.63)</f>
        <v>-2.63</v>
      </c>
      <c r="CM49" s="12"/>
      <c r="CN49" s="33" t="s">
        <v>1057</v>
      </c>
      <c r="CO49" s="38" t="s">
        <v>1040</v>
      </c>
      <c r="CP49" s="39" t="str">
        <f>IFERROR(__xludf.DUMMYFUNCTION("IFERROR(if(ISBLANK(CO49),"" "",GOOGLEFINANCE(CN49,""Name"")), """")"),"Sigachi Industries Ltd")</f>
        <v>Sigachi Industries Ltd</v>
      </c>
      <c r="CQ49" s="21">
        <f>IFERROR(__xludf.DUMMYFUNCTION("IFERROR(if(ISBLANK(CO49),"" "",GOOGLEFINANCE(CN49,""price"")), """")"),26.6)</f>
        <v>26.6</v>
      </c>
      <c r="CR49" s="23">
        <f>IFERROR(__xludf.DUMMYFUNCTION("IFERROR(if(ISBLANK(CO49),"" "",GOOGLEFINANCE(CN49,""changepct"")), """")"),3.06)</f>
        <v>3.06</v>
      </c>
      <c r="CS49" s="45"/>
      <c r="CT49" s="33" t="s">
        <v>1058</v>
      </c>
      <c r="CU49" s="38" t="s">
        <v>1040</v>
      </c>
      <c r="CV49" s="39" t="str">
        <f>IFERROR(__xludf.DUMMYFUNCTION("IFERROR(if(ISBLANK(CU49),"" "",GOOGLEFINANCE(CT49,""Name"")), """")"),"South West Pinnacle Exploration Ltd")</f>
        <v>South West Pinnacle Exploration Ltd</v>
      </c>
      <c r="CW49" s="21">
        <f>IFERROR(__xludf.DUMMYFUNCTION("IFERROR(if(ISBLANK(CU49),"" "",GOOGLEFINANCE(CT49,""price"")), """")"),221.34)</f>
        <v>221.34</v>
      </c>
      <c r="CX49" s="23">
        <f>IFERROR(__xludf.DUMMYFUNCTION("IFERROR(if(ISBLANK(CU49),"" "",GOOGLEFINANCE(CT49,""changepct"")), """")"),-3.02)</f>
        <v>-3.02</v>
      </c>
      <c r="CY49" s="17"/>
      <c r="CZ49" s="33" t="s">
        <v>1060</v>
      </c>
      <c r="DA49" s="38" t="s">
        <v>1040</v>
      </c>
      <c r="DB49" s="39" t="str">
        <f>IFERROR(__xludf.DUMMYFUNCTION("IFERROR(if(ISBLANK(DA49),"" "",GOOGLEFINANCE(CZ49,""Name"")), """")"),"Mallcom (India) Ltd")</f>
        <v>Mallcom (India) Ltd</v>
      </c>
      <c r="DC49" s="21">
        <f>IFERROR(__xludf.DUMMYFUNCTION("IFERROR(if(ISBLANK(DA49),"" "",GOOGLEFINANCE(CZ49,""price"")), """")"),977.0)</f>
        <v>977</v>
      </c>
      <c r="DD49" s="23">
        <f>IFERROR(__xludf.DUMMYFUNCTION("IFERROR(if(ISBLANK(DA49),"" "",GOOGLEFINANCE(CZ49,""changepct"")), """")"),-1.51)</f>
        <v>-1.51</v>
      </c>
      <c r="DE49" s="45"/>
      <c r="DF49" s="12"/>
    </row>
    <row r="50" ht="11.25" customHeight="1">
      <c r="A50" s="47"/>
      <c r="B50" s="18" t="s">
        <v>1061</v>
      </c>
      <c r="C50" s="38" t="s">
        <v>1062</v>
      </c>
      <c r="D50" s="39" t="str">
        <f>IFERROR(__xludf.DUMMYFUNCTION("IFERROR(if(ISBLANK(C50),"" "",GOOGLEFINANCE(B50,""Name"")), """")"),"Torrent Pharmaceuticals Ltd")</f>
        <v>Torrent Pharmaceuticals Ltd</v>
      </c>
      <c r="E50" s="21">
        <f>IFERROR(__xludf.DUMMYFUNCTION("IFERROR(if(ISBLANK(C50),"" "",GOOGLEFINANCE(B50,""price"")), """")"),4889.0)</f>
        <v>4889</v>
      </c>
      <c r="F50" s="22">
        <f>IFERROR(__xludf.DUMMYFUNCTION("IFERROR(if(ISBLANK(C50),"" "",GOOGLEFINANCE(B50,""changepct"")), """")"),0.06)</f>
        <v>0.06</v>
      </c>
      <c r="G50" s="23">
        <f>IFERROR(__xludf.DUMMYFUNCTION("IFERROR(if(ISBLANK($C50),"" "",GOOGLEFINANCE($B50,""change"")), """")"),3.0)</f>
        <v>3</v>
      </c>
      <c r="H50" s="24"/>
      <c r="I50" s="25" t="s">
        <v>1063</v>
      </c>
      <c r="J50" s="38" t="s">
        <v>1062</v>
      </c>
      <c r="K50" s="39" t="str">
        <f>IFERROR(__xludf.DUMMYFUNCTION("IFERROR(if(ISBLANK(J50),"" "",GOOGLEFINANCE(I50,""Name"")), """")"),"NTPC Green Energy Ltd")</f>
        <v>NTPC Green Energy Ltd</v>
      </c>
      <c r="L50" s="21">
        <f>IFERROR(__xludf.DUMMYFUNCTION("IFERROR(if(ISBLANK(J50),"" "",GOOGLEFINANCE(I50,""price"")), """")"),92.69)</f>
        <v>92.69</v>
      </c>
      <c r="M50" s="22">
        <f>IFERROR(__xludf.DUMMYFUNCTION("IFERROR(if(ISBLANK(J50),"" "",GOOGLEFINANCE(I50,""changepct"")), """")"),-0.34)</f>
        <v>-0.34</v>
      </c>
      <c r="N50" s="23">
        <f>IFERROR(__xludf.DUMMYFUNCTION("IFERROR(if(ISBLANK($C50),"" "",GOOGLEFINANCE($B50,""change"")), """")"),3.0)</f>
        <v>3</v>
      </c>
      <c r="O50" s="26"/>
      <c r="P50" s="27" t="s">
        <v>1064</v>
      </c>
      <c r="Q50" s="38" t="s">
        <v>1062</v>
      </c>
      <c r="R50" s="39" t="str">
        <f>IFERROR(__xludf.DUMMYFUNCTION("IFERROR(if(ISBLANK(Q50),"" "",GOOGLEFINANCE(P50,""Name"")), """")"),"L&amp;T Technology Services Ltd")</f>
        <v>L&amp;T Technology Services Ltd</v>
      </c>
      <c r="S50" s="21">
        <f>IFERROR(__xludf.DUMMYFUNCTION("IFERROR(if(ISBLANK(Q50),"" "",GOOGLEFINANCE(P50,""price"")), """")"),3580.0)</f>
        <v>3580</v>
      </c>
      <c r="T50" s="22">
        <f>IFERROR(__xludf.DUMMYFUNCTION("IFERROR(if(ISBLANK(Q50),"" "",GOOGLEFINANCE(P50,""changepct"")), """")"),-1.99)</f>
        <v>-1.99</v>
      </c>
      <c r="U50" s="28"/>
      <c r="V50" s="18" t="s">
        <v>1065</v>
      </c>
      <c r="W50" s="38" t="s">
        <v>1062</v>
      </c>
      <c r="X50" s="39" t="str">
        <f>IFERROR(__xludf.DUMMYFUNCTION("IFERROR(if(ISBLANK(W50),"" "",GOOGLEFINANCE(V50,""Name"")), """")"),"Ramco Cements Ltd")</f>
        <v>Ramco Cements Ltd</v>
      </c>
      <c r="Y50" s="21">
        <f>IFERROR(__xludf.DUMMYFUNCTION("IFERROR(if(ISBLANK(W50),"" "",GOOGLEFINANCE(V50,""price"")), """")"),919.0)</f>
        <v>919</v>
      </c>
      <c r="Z50" s="23">
        <f>IFERROR(__xludf.DUMMYFUNCTION("IFERROR(if(ISBLANK(W50),"" "",GOOGLEFINANCE(V50,""changepct"")), """")"),-1.61)</f>
        <v>-1.61</v>
      </c>
      <c r="AA50" s="12"/>
      <c r="AB50" s="18" t="s">
        <v>1066</v>
      </c>
      <c r="AC50" s="38" t="s">
        <v>1062</v>
      </c>
      <c r="AD50" s="39" t="str">
        <f>IFERROR(__xludf.DUMMYFUNCTION("IFERROR(if(ISBLANK(AC50),"" "",GOOGLEFINANCE(AB50,""Name"")), """")"),"KSB Ltd")</f>
        <v>KSB Ltd</v>
      </c>
      <c r="AE50" s="21">
        <f>IFERROR(__xludf.DUMMYFUNCTION("IFERROR(if(ISBLANK(AC50),"" "",GOOGLEFINANCE(AB50,""price"")), """")"),787.9)</f>
        <v>787.9</v>
      </c>
      <c r="AF50" s="23">
        <f>IFERROR(__xludf.DUMMYFUNCTION("IFERROR(if(ISBLANK(AC50),"" "",GOOGLEFINANCE(AB50,""changepct"")), """")"),-2.95)</f>
        <v>-2.95</v>
      </c>
      <c r="AG50" s="45"/>
      <c r="AH50" s="27" t="s">
        <v>1068</v>
      </c>
      <c r="AI50" s="38" t="s">
        <v>1062</v>
      </c>
      <c r="AJ50" s="39" t="str">
        <f>IFERROR(__xludf.DUMMYFUNCTION("IFERROR(if(ISBLANK(AI50),"" "",GOOGLEFINANCE(AH50,""Name"")), """")"),"Zee Entertainment Enterprises Ltd")</f>
        <v>Zee Entertainment Enterprises Ltd</v>
      </c>
      <c r="AK50" s="21">
        <f>IFERROR(__xludf.DUMMYFUNCTION("IFERROR(if(ISBLANK(AI50),"" "",GOOGLEFINANCE(AH50,""price"")), """")"),98.1)</f>
        <v>98.1</v>
      </c>
      <c r="AL50" s="23">
        <f>IFERROR(__xludf.DUMMYFUNCTION("IFERROR(if(ISBLANK(AI50),"" "",GOOGLEFINANCE(AH50,""changepct"")), """")"),7.14)</f>
        <v>7.14</v>
      </c>
      <c r="AM50" s="44"/>
      <c r="AN50" s="31" t="s">
        <v>200</v>
      </c>
      <c r="AO50" s="32" t="str">
        <f>IFERROR(__xludf.DUMMYFUNCTION("IFERROR(if(ISBLANK(AN50),"" "",GOOGLEFINANCE(AM50,""Name"")), """")"),"")</f>
        <v/>
      </c>
      <c r="AP50" s="33" t="s">
        <v>1069</v>
      </c>
      <c r="AQ50" s="38" t="s">
        <v>1062</v>
      </c>
      <c r="AR50" s="39" t="str">
        <f>IFERROR(__xludf.DUMMYFUNCTION("IFERROR(if(ISBLANK(AQ50),"" "",GOOGLEFINANCE(AP50,""Name"")), """")"),"Gujarat Ambuja Exports Ltd")</f>
        <v>Gujarat Ambuja Exports Ltd</v>
      </c>
      <c r="AS50" s="21">
        <f>IFERROR(__xludf.DUMMYFUNCTION("IFERROR(if(ISBLANK(AQ50),"" "",GOOGLEFINANCE(AP50,""price"")), """")"),165.0)</f>
        <v>165</v>
      </c>
      <c r="AT50" s="23">
        <f>IFERROR(__xludf.DUMMYFUNCTION("IFERROR(if(ISBLANK(AQ50),"" "",GOOGLEFINANCE(AP50,""changepct"")), """")"),-2.29)</f>
        <v>-2.29</v>
      </c>
      <c r="AU50" s="45"/>
      <c r="AV50" s="34" t="s">
        <v>1070</v>
      </c>
      <c r="AW50" s="38" t="s">
        <v>1062</v>
      </c>
      <c r="AX50" s="39" t="str">
        <f>IFERROR(__xludf.DUMMYFUNCTION("IFERROR(if(ISBLANK(AW50),"" "",GOOGLEFINANCE(AV50,""Name"")), """")"),"Ceigall India Ltd")</f>
        <v>Ceigall India Ltd</v>
      </c>
      <c r="AY50" s="21">
        <f>IFERROR(__xludf.DUMMYFUNCTION("IFERROR(if(ISBLANK(AW50),"" "",GOOGLEFINANCE(AV50,""price"")), """")"),319.3)</f>
        <v>319.3</v>
      </c>
      <c r="AZ50" s="23">
        <f>IFERROR(__xludf.DUMMYFUNCTION("IFERROR(if(ISBLANK(AW50),"" "",GOOGLEFINANCE(AV50,""changepct"")), """")"),-1.98)</f>
        <v>-1.98</v>
      </c>
      <c r="BA50" s="12"/>
      <c r="BB50" s="33" t="s">
        <v>1071</v>
      </c>
      <c r="BC50" s="38" t="s">
        <v>1062</v>
      </c>
      <c r="BD50" s="39" t="str">
        <f>IFERROR(__xludf.DUMMYFUNCTION("IFERROR(if(ISBLANK(BC50),"" "",GOOGLEFINANCE(BB50,""Name"")), """")"),"Hawkins Cookers Ltd")</f>
        <v>Hawkins Cookers Ltd</v>
      </c>
      <c r="BE50" s="21">
        <f>IFERROR(__xludf.DUMMYFUNCTION("IFERROR(if(ISBLANK(BC50),"" "",GOOGLEFINANCE(BB50,""price"")), """")"),8210.0)</f>
        <v>8210</v>
      </c>
      <c r="BF50" s="23">
        <f>IFERROR(__xludf.DUMMYFUNCTION("IFERROR(if(ISBLANK(BC50),"" "",GOOGLEFINANCE(BB50,""changepct"")), """")"),0.21)</f>
        <v>0.21</v>
      </c>
      <c r="BG50" s="12"/>
      <c r="BH50" s="35" t="s">
        <v>1072</v>
      </c>
      <c r="BI50" s="38" t="s">
        <v>1062</v>
      </c>
      <c r="BJ50" s="39" t="str">
        <f>IFERROR(__xludf.DUMMYFUNCTION("IFERROR(if(ISBLANK(BI50),"" "",GOOGLEFINANCE(BH50,""Name"")), """")"),"Rossell Techsys Ltd")</f>
        <v>Rossell Techsys Ltd</v>
      </c>
      <c r="BK50" s="21">
        <f>IFERROR(__xludf.DUMMYFUNCTION("IFERROR(if(ISBLANK(BI50),"" "",GOOGLEFINANCE(BH50,""price"")), """")"),1090.0)</f>
        <v>1090</v>
      </c>
      <c r="BL50" s="23">
        <f>IFERROR(__xludf.DUMMYFUNCTION("IFERROR(if(ISBLANK(BI50),"" "",GOOGLEFINANCE(BH50,""changepct"")), """")"),2.19)</f>
        <v>2.19</v>
      </c>
      <c r="BM50" s="12"/>
      <c r="BN50" s="33" t="s">
        <v>1073</v>
      </c>
      <c r="BO50" s="38" t="s">
        <v>1062</v>
      </c>
      <c r="BP50" s="39" t="str">
        <f>IFERROR(__xludf.DUMMYFUNCTION("IFERROR(if(ISBLANK(BO50),"" "",GOOGLEFINANCE(BN50,""Name"")), """")"),"BN Agrochem Ltd")</f>
        <v>BN Agrochem Ltd</v>
      </c>
      <c r="BQ50" s="21">
        <f>IFERROR(__xludf.DUMMYFUNCTION("IFERROR(if(ISBLANK(BO50),"" "",GOOGLEFINANCE(BN50,""price"")), """")"),255.0)</f>
        <v>255</v>
      </c>
      <c r="BR50" s="23">
        <f>IFERROR(__xludf.DUMMYFUNCTION("IFERROR(if(ISBLANK(BO50),"" "",GOOGLEFINANCE(BN50,""changepct"")), """")"),-0.1)</f>
        <v>-0.1</v>
      </c>
      <c r="BS50" s="22">
        <f>IFERROR(__xludf.DUMMYFUNCTION("IFERROR(if(ISBLANK($C50),"" "",GOOGLEFINANCE($B50,""change"")), """")"),3.0)</f>
        <v>3</v>
      </c>
      <c r="BT50" s="36"/>
      <c r="BU50" s="27" t="s">
        <v>1075</v>
      </c>
      <c r="BV50" s="38" t="s">
        <v>1062</v>
      </c>
      <c r="BW50" s="39" t="str">
        <f>IFERROR(__xludf.DUMMYFUNCTION("IFERROR(if(ISBLANK(BV50),"" "",GOOGLEFINANCE(BU50,""Name"")), """")"),"HPL Electric &amp; Power Ltd")</f>
        <v>HPL Electric &amp; Power Ltd</v>
      </c>
      <c r="BX50" s="21">
        <f>IFERROR(__xludf.DUMMYFUNCTION("IFERROR(if(ISBLANK(BV50),"" "",GOOGLEFINANCE(BU50,""price"")), """")"),321.0)</f>
        <v>321</v>
      </c>
      <c r="BY50" s="23">
        <f>IFERROR(__xludf.DUMMYFUNCTION("IFERROR(if(ISBLANK(BV50),"" "",GOOGLEFINANCE(BU50,""changepct"")), """")"),-1.58)</f>
        <v>-1.58</v>
      </c>
      <c r="BZ50" s="22">
        <f>IFERROR(__xludf.DUMMYFUNCTION("IFERROR(if(ISBLANK($C50),"" "",GOOGLEFINANCE($B50,""change"")), """")"),3.0)</f>
        <v>3</v>
      </c>
      <c r="CA50" s="37"/>
      <c r="CB50" s="27" t="s">
        <v>1076</v>
      </c>
      <c r="CC50" s="38" t="s">
        <v>1062</v>
      </c>
      <c r="CD50" s="39" t="str">
        <f>IFERROR(__xludf.DUMMYFUNCTION("IFERROR(if(ISBLANK(CC50),"" "",GOOGLEFINANCE(CB50,""Name"")), """")"),"Asian Granito India Ltd")</f>
        <v>Asian Granito India Ltd</v>
      </c>
      <c r="CE50" s="21">
        <f>IFERROR(__xludf.DUMMYFUNCTION("IFERROR(if(ISBLANK(CC50),"" "",GOOGLEFINANCE(CB50,""price"")), """")"),53.5)</f>
        <v>53.5</v>
      </c>
      <c r="CF50" s="23">
        <f>IFERROR(__xludf.DUMMYFUNCTION("IFERROR(if(ISBLANK(CC50),"" "",GOOGLEFINANCE(CB50,""changepct"")), """")"),1.23)</f>
        <v>1.23</v>
      </c>
      <c r="CG50" s="12"/>
      <c r="CH50" s="18" t="s">
        <v>1077</v>
      </c>
      <c r="CI50" s="38" t="s">
        <v>1062</v>
      </c>
      <c r="CJ50" s="39" t="str">
        <f>IFERROR(__xludf.DUMMYFUNCTION("IFERROR(if(ISBLANK(CI50),"" "",GOOGLEFINANCE(CH50,""Name"")), """")"),"Dhanlaxmi Bank Ltd")</f>
        <v>Dhanlaxmi Bank Ltd</v>
      </c>
      <c r="CK50" s="21">
        <f>IFERROR(__xludf.DUMMYFUNCTION("IFERROR(if(ISBLANK(CI50),"" "",GOOGLEFINANCE(CH50,""price"")), """")"),32.6)</f>
        <v>32.6</v>
      </c>
      <c r="CL50" s="23">
        <f>IFERROR(__xludf.DUMMYFUNCTION("IFERROR(if(ISBLANK(CI50),"" "",GOOGLEFINANCE(CH50,""changepct"")), """")"),-0.4)</f>
        <v>-0.4</v>
      </c>
      <c r="CM50" s="12"/>
      <c r="CN50" s="33" t="s">
        <v>1079</v>
      </c>
      <c r="CO50" s="38" t="s">
        <v>1062</v>
      </c>
      <c r="CP50" s="39" t="str">
        <f>IFERROR(__xludf.DUMMYFUNCTION("IFERROR(if(ISBLANK(CO50),"" "",GOOGLEFINANCE(CN50,""Name"")), """")"),"Zuari Agro Chemicals Ltd")</f>
        <v>Zuari Agro Chemicals Ltd</v>
      </c>
      <c r="CQ50" s="21">
        <f>IFERROR(__xludf.DUMMYFUNCTION("IFERROR(if(ISBLANK(CO50),"" "",GOOGLEFINANCE(CN50,""price"")), """")"),219.39)</f>
        <v>219.39</v>
      </c>
      <c r="CR50" s="23">
        <f>IFERROR(__xludf.DUMMYFUNCTION("IFERROR(if(ISBLANK(CO50),"" "",GOOGLEFINANCE(CN50,""changepct"")), """")"),-2.68)</f>
        <v>-2.68</v>
      </c>
      <c r="CS50" s="45"/>
      <c r="CT50" s="33" t="s">
        <v>1080</v>
      </c>
      <c r="CU50" s="38" t="s">
        <v>1062</v>
      </c>
      <c r="CV50" s="39" t="str">
        <f>IFERROR(__xludf.DUMMYFUNCTION("IFERROR(if(ISBLANK(CU50),"" "",GOOGLEFINANCE(CT50,""Name"")), """")"),"Deccan Cements Ltd")</f>
        <v>Deccan Cements Ltd</v>
      </c>
      <c r="CW50" s="21">
        <f>IFERROR(__xludf.DUMMYFUNCTION("IFERROR(if(ISBLANK(CU50),"" "",GOOGLEFINANCE(CT50,""price"")), """")"),554.9)</f>
        <v>554.9</v>
      </c>
      <c r="CX50" s="23">
        <f>IFERROR(__xludf.DUMMYFUNCTION("IFERROR(if(ISBLANK(CU50),"" "",GOOGLEFINANCE(CT50,""changepct"")), """")"),-0.64)</f>
        <v>-0.64</v>
      </c>
      <c r="CY50" s="17"/>
      <c r="CZ50" s="33" t="s">
        <v>1081</v>
      </c>
      <c r="DA50" s="38" t="s">
        <v>1062</v>
      </c>
      <c r="DB50" s="39" t="str">
        <f>IFERROR(__xludf.DUMMYFUNCTION("IFERROR(if(ISBLANK(DA50),"" "",GOOGLEFINANCE(CZ50,""Name"")), """")"),"Primo Chemicals Ltd")</f>
        <v>Primo Chemicals Ltd</v>
      </c>
      <c r="DC50" s="21">
        <f>IFERROR(__xludf.DUMMYFUNCTION("IFERROR(if(ISBLANK(DA50),"" "",GOOGLEFINANCE(CZ50,""price"")), """")"),24.29)</f>
        <v>24.29</v>
      </c>
      <c r="DD50" s="23">
        <f>IFERROR(__xludf.DUMMYFUNCTION("IFERROR(if(ISBLANK(DA50),"" "",GOOGLEFINANCE(CZ50,""changepct"")), """")"),-0.41)</f>
        <v>-0.41</v>
      </c>
      <c r="DE50" s="45"/>
      <c r="DF50" s="12"/>
    </row>
    <row r="51" ht="11.25" customHeight="1">
      <c r="A51" s="47"/>
      <c r="B51" s="18" t="s">
        <v>1082</v>
      </c>
      <c r="C51" s="38" t="s">
        <v>1040</v>
      </c>
      <c r="D51" s="39" t="str">
        <f>IFERROR(__xludf.DUMMYFUNCTION("IFERROR(if(ISBLANK(C51),"" "",GOOGLEFINANCE(B51,""Name"")), """")"),"Sbi Life Insurance Company Ltd")</f>
        <v>Sbi Life Insurance Company Ltd</v>
      </c>
      <c r="E51" s="21">
        <f>IFERROR(__xludf.DUMMYFUNCTION("IFERROR(if(ISBLANK(C51),"" "",GOOGLEFINANCE(B51,""price"")), """")"),1827.0)</f>
        <v>1827</v>
      </c>
      <c r="F51" s="22">
        <f>IFERROR(__xludf.DUMMYFUNCTION("IFERROR(if(ISBLANK(C51),"" "",GOOGLEFINANCE(B51,""changepct"")), """")"),-0.58)</f>
        <v>-0.58</v>
      </c>
      <c r="G51" s="48"/>
      <c r="H51" s="24"/>
      <c r="I51" s="25" t="s">
        <v>1084</v>
      </c>
      <c r="J51" s="38" t="s">
        <v>1040</v>
      </c>
      <c r="K51" s="39" t="str">
        <f>IFERROR(__xludf.DUMMYFUNCTION("IFERROR(if(ISBLANK(J51),"" "",GOOGLEFINANCE(I51,""Name"")), """")"),"Icici Prudential Life Insurance Comp Ltd")</f>
        <v>Icici Prudential Life Insurance Comp Ltd</v>
      </c>
      <c r="L51" s="21">
        <f>IFERROR(__xludf.DUMMYFUNCTION("IFERROR(if(ISBLANK(J51),"" "",GOOGLEFINANCE(I51,""price"")), """")"),503.85)</f>
        <v>503.85</v>
      </c>
      <c r="M51" s="22">
        <f>IFERROR(__xludf.DUMMYFUNCTION("IFERROR(if(ISBLANK(J51),"" "",GOOGLEFINANCE(I51,""changepct"")), """")"),0.47)</f>
        <v>0.47</v>
      </c>
      <c r="N51" s="48"/>
      <c r="O51" s="26"/>
      <c r="P51" s="27" t="s">
        <v>1085</v>
      </c>
      <c r="Q51" s="38" t="s">
        <v>1040</v>
      </c>
      <c r="R51" s="39" t="str">
        <f>IFERROR(__xludf.DUMMYFUNCTION("IFERROR(if(ISBLANK(Q51),"" "",GOOGLEFINANCE(P51,""Name"")), """")"),"United Breweries Ltd")</f>
        <v>United Breweries Ltd</v>
      </c>
      <c r="S51" s="21">
        <f>IFERROR(__xludf.DUMMYFUNCTION("IFERROR(if(ISBLANK(Q51),"" "",GOOGLEFINANCE(P51,""price"")), """")"),1384.9)</f>
        <v>1384.9</v>
      </c>
      <c r="T51" s="22">
        <f>IFERROR(__xludf.DUMMYFUNCTION("IFERROR(if(ISBLANK(Q51),"" "",GOOGLEFINANCE(P51,""changepct"")), """")"),-1.08)</f>
        <v>-1.08</v>
      </c>
      <c r="U51" s="28"/>
      <c r="V51" s="18" t="s">
        <v>1086</v>
      </c>
      <c r="W51" s="38" t="s">
        <v>1040</v>
      </c>
      <c r="X51" s="39" t="str">
        <f>IFERROR(__xludf.DUMMYFUNCTION("IFERROR(if(ISBLANK(W51),"" "",GOOGLEFINANCE(V51,""Name"")), """")"),"Indraprastha Gas Limited")</f>
        <v>Indraprastha Gas Limited</v>
      </c>
      <c r="Y51" s="21">
        <f>IFERROR(__xludf.DUMMYFUNCTION("IFERROR(if(ISBLANK(W51),"" "",GOOGLEFINANCE(V51,""price"")), """")"),154.85)</f>
        <v>154.85</v>
      </c>
      <c r="Z51" s="23">
        <f>IFERROR(__xludf.DUMMYFUNCTION("IFERROR(if(ISBLANK(W51),"" "",GOOGLEFINANCE(V51,""changepct"")), """")"),1.16)</f>
        <v>1.16</v>
      </c>
      <c r="AA51" s="12"/>
      <c r="AB51" s="18" t="s">
        <v>1087</v>
      </c>
      <c r="AC51" s="38" t="s">
        <v>1040</v>
      </c>
      <c r="AD51" s="39" t="str">
        <f>IFERROR(__xludf.DUMMYFUNCTION("IFERROR(if(ISBLANK(AC51),"" "",GOOGLEFINANCE(AB51,""Name"")), """")"),"Jubilant Pharmova Ltd")</f>
        <v>Jubilant Pharmova Ltd</v>
      </c>
      <c r="AE51" s="21">
        <f>IFERROR(__xludf.DUMMYFUNCTION("IFERROR(if(ISBLANK(AC51),"" "",GOOGLEFINANCE(AB51,""price"")), """")"),882.0)</f>
        <v>882</v>
      </c>
      <c r="AF51" s="23">
        <f>IFERROR(__xludf.DUMMYFUNCTION("IFERROR(if(ISBLANK(AC51),"" "",GOOGLEFINANCE(AB51,""changepct"")), """")"),-8.6)</f>
        <v>-8.6</v>
      </c>
      <c r="AG51" s="45"/>
      <c r="AH51" s="27" t="s">
        <v>1089</v>
      </c>
      <c r="AI51" s="38" t="s">
        <v>1040</v>
      </c>
      <c r="AJ51" s="39" t="str">
        <f>IFERROR(__xludf.DUMMYFUNCTION("IFERROR(if(ISBLANK(AI51),"" "",GOOGLEFINANCE(AH51,""Name"")), """")"),"Procter &amp; Gamble Health Ltd")</f>
        <v>Procter &amp; Gamble Health Ltd</v>
      </c>
      <c r="AK51" s="21">
        <f>IFERROR(__xludf.DUMMYFUNCTION("IFERROR(if(ISBLANK(AI51),"" "",GOOGLEFINANCE(AH51,""price"")), """")"),5985.0)</f>
        <v>5985</v>
      </c>
      <c r="AL51" s="23">
        <f>IFERROR(__xludf.DUMMYFUNCTION("IFERROR(if(ISBLANK(AI51),"" "",GOOGLEFINANCE(AH51,""changepct"")), """")"),-0.77)</f>
        <v>-0.77</v>
      </c>
      <c r="AM51" s="44"/>
      <c r="AN51" s="31" t="s">
        <v>200</v>
      </c>
      <c r="AO51" s="32" t="str">
        <f>IFERROR(__xludf.DUMMYFUNCTION("IFERROR(if(ISBLANK(AN51),"" "",GOOGLEFINANCE(AM51,""Name"")), """")"),"")</f>
        <v/>
      </c>
      <c r="AP51" s="33" t="s">
        <v>1090</v>
      </c>
      <c r="AQ51" s="38" t="s">
        <v>1040</v>
      </c>
      <c r="AR51" s="39" t="str">
        <f>IFERROR(__xludf.DUMMYFUNCTION("IFERROR(if(ISBLANK(AQ51),"" "",GOOGLEFINANCE(AP51,""Name"")), """")"),"Yatharth Hospital &amp; Trauma Cre Srvcs Ltd")</f>
        <v>Yatharth Hospital &amp; Trauma Cre Srvcs Ltd</v>
      </c>
      <c r="AS51" s="21">
        <f>IFERROR(__xludf.DUMMYFUNCTION("IFERROR(if(ISBLANK(AQ51),"" "",GOOGLEFINANCE(AP51,""price"")), """")"),863.0)</f>
        <v>863</v>
      </c>
      <c r="AT51" s="23">
        <f>IFERROR(__xludf.DUMMYFUNCTION("IFERROR(if(ISBLANK(AQ51),"" "",GOOGLEFINANCE(AP51,""changepct"")), """")"),-0.31)</f>
        <v>-0.31</v>
      </c>
      <c r="AU51" s="45"/>
      <c r="AV51" s="34" t="s">
        <v>1091</v>
      </c>
      <c r="AW51" s="38" t="s">
        <v>1040</v>
      </c>
      <c r="AX51" s="39" t="str">
        <f>IFERROR(__xludf.DUMMYFUNCTION("IFERROR(if(ISBLANK(AW51),"" "",GOOGLEFINANCE(AV51,""Name"")), """")"),"SIS Ltd")</f>
        <v>SIS Ltd</v>
      </c>
      <c r="AY51" s="21">
        <f>IFERROR(__xludf.DUMMYFUNCTION("IFERROR(if(ISBLANK(AW51),"" "",GOOGLEFINANCE(AV51,""price"")), """")"),437.25)</f>
        <v>437.25</v>
      </c>
      <c r="AZ51" s="23">
        <f>IFERROR(__xludf.DUMMYFUNCTION("IFERROR(if(ISBLANK(AW51),"" "",GOOGLEFINANCE(AV51,""changepct"")), """")"),-0.07)</f>
        <v>-0.07</v>
      </c>
      <c r="BA51" s="12"/>
      <c r="BB51" s="33" t="s">
        <v>1092</v>
      </c>
      <c r="BC51" s="38" t="s">
        <v>1040</v>
      </c>
      <c r="BD51" s="39" t="str">
        <f>IFERROR(__xludf.DUMMYFUNCTION("IFERROR(if(ISBLANK(BC51),"" "",GOOGLEFINANCE(BB51,""Name"")), """")"),"Vaibhav Global Ltd")</f>
        <v>Vaibhav Global Ltd</v>
      </c>
      <c r="BE51" s="21">
        <f>IFERROR(__xludf.DUMMYFUNCTION("IFERROR(if(ISBLANK(BC51),"" "",GOOGLEFINANCE(BB51,""price"")), """")"),232.95)</f>
        <v>232.95</v>
      </c>
      <c r="BF51" s="23">
        <f>IFERROR(__xludf.DUMMYFUNCTION("IFERROR(if(ISBLANK(BC51),"" "",GOOGLEFINANCE(BB51,""changepct"")), """")"),-1.98)</f>
        <v>-1.98</v>
      </c>
      <c r="BG51" s="12"/>
      <c r="BH51" s="35" t="s">
        <v>1094</v>
      </c>
      <c r="BI51" s="38" t="s">
        <v>1040</v>
      </c>
      <c r="BJ51" s="39" t="str">
        <f>IFERROR(__xludf.DUMMYFUNCTION("IFERROR(if(ISBLANK(BI51),"" "",GOOGLEFINANCE(BH51,""Name"")), """")"),"Premier Explosives Ltd")</f>
        <v>Premier Explosives Ltd</v>
      </c>
      <c r="BK51" s="21">
        <f>IFERROR(__xludf.DUMMYFUNCTION("IFERROR(if(ISBLANK(BI51),"" "",GOOGLEFINANCE(BH51,""price"")), """")"),651.0)</f>
        <v>651</v>
      </c>
      <c r="BL51" s="23">
        <f>IFERROR(__xludf.DUMMYFUNCTION("IFERROR(if(ISBLANK(BI51),"" "",GOOGLEFINANCE(BH51,""changepct"")), """")"),-0.05)</f>
        <v>-0.05</v>
      </c>
      <c r="BM51" s="12"/>
      <c r="BN51" s="33" t="s">
        <v>1095</v>
      </c>
      <c r="BO51" s="38" t="s">
        <v>1040</v>
      </c>
      <c r="BP51" s="39" t="str">
        <f>IFERROR(__xludf.DUMMYFUNCTION("IFERROR(if(ISBLANK(BO51),"" "",GOOGLEFINANCE(BN51,""Name"")), """")"),"Automotive Axles Ltd")</f>
        <v>Automotive Axles Ltd</v>
      </c>
      <c r="BQ51" s="21">
        <f>IFERROR(__xludf.DUMMYFUNCTION("IFERROR(if(ISBLANK(BO51),"" "",GOOGLEFINANCE(BN51,""price"")), """")"),1805.9)</f>
        <v>1805.9</v>
      </c>
      <c r="BR51" s="23">
        <f>IFERROR(__xludf.DUMMYFUNCTION("IFERROR(if(ISBLANK(BO51),"" "",GOOGLEFINANCE(BN51,""changepct"")), """")"),0.12)</f>
        <v>0.12</v>
      </c>
      <c r="BS51" s="49"/>
      <c r="BT51" s="36"/>
      <c r="BU51" s="27" t="s">
        <v>1096</v>
      </c>
      <c r="BV51" s="38" t="s">
        <v>1040</v>
      </c>
      <c r="BW51" s="39" t="str">
        <f>IFERROR(__xludf.DUMMYFUNCTION("IFERROR(if(ISBLANK(BV51),"" "",GOOGLEFINANCE(BU51,""Name"")), """")"),"Hindustan Oil Exploration Company Ltd")</f>
        <v>Hindustan Oil Exploration Company Ltd</v>
      </c>
      <c r="BX51" s="21">
        <f>IFERROR(__xludf.DUMMYFUNCTION("IFERROR(if(ISBLANK(BV51),"" "",GOOGLEFINANCE(BU51,""price"")), """")"),162.4)</f>
        <v>162.4</v>
      </c>
      <c r="BY51" s="23">
        <f>IFERROR(__xludf.DUMMYFUNCTION("IFERROR(if(ISBLANK(BV51),"" "",GOOGLEFINANCE(BU51,""changepct"")), """")"),-1.49)</f>
        <v>-1.49</v>
      </c>
      <c r="BZ51" s="49"/>
      <c r="CA51" s="37"/>
      <c r="CB51" s="27" t="s">
        <v>1097</v>
      </c>
      <c r="CC51" s="38" t="s">
        <v>1040</v>
      </c>
      <c r="CD51" s="39" t="str">
        <f>IFERROR(__xludf.DUMMYFUNCTION("IFERROR(if(ISBLANK(CC51),"" "",GOOGLEFINANCE(CB51,""Name"")), """")"),"InfoBeans Technologies Ltd")</f>
        <v>InfoBeans Technologies Ltd</v>
      </c>
      <c r="CE51" s="21">
        <f>IFERROR(__xludf.DUMMYFUNCTION("IFERROR(if(ISBLANK(CC51),"" "",GOOGLEFINANCE(CB51,""price"")), """")"),162.41)</f>
        <v>162.41</v>
      </c>
      <c r="CF51" s="23">
        <f>IFERROR(__xludf.DUMMYFUNCTION("IFERROR(if(ISBLANK(CC51),"" "",GOOGLEFINANCE(CB51,""changepct"")), """")"),-2.56)</f>
        <v>-2.56</v>
      </c>
      <c r="CG51" s="12"/>
      <c r="CH51" s="18" t="s">
        <v>1098</v>
      </c>
      <c r="CI51" s="38" t="s">
        <v>1040</v>
      </c>
      <c r="CJ51" s="39" t="str">
        <f>IFERROR(__xludf.DUMMYFUNCTION("IFERROR(if(ISBLANK(CI51),"" "",GOOGLEFINANCE(CH51,""Name"")), """")"),"Kross Ltd")</f>
        <v>Kross Ltd</v>
      </c>
      <c r="CK51" s="21">
        <f>IFERROR(__xludf.DUMMYFUNCTION("IFERROR(if(ISBLANK(CI51),"" "",GOOGLEFINANCE(CH51,""price"")), """")"),204.5)</f>
        <v>204.5</v>
      </c>
      <c r="CL51" s="23">
        <f>IFERROR(__xludf.DUMMYFUNCTION("IFERROR(if(ISBLANK(CI51),"" "",GOOGLEFINANCE(CH51,""changepct"")), """")"),1.15)</f>
        <v>1.15</v>
      </c>
      <c r="CM51" s="12"/>
      <c r="CN51" s="33" t="s">
        <v>1100</v>
      </c>
      <c r="CO51" s="38" t="s">
        <v>1040</v>
      </c>
      <c r="CP51" s="39" t="str">
        <f>IFERROR(__xludf.DUMMYFUNCTION("IFERROR(if(ISBLANK(CO51),"" "",GOOGLEFINANCE(CN51,""Name"")), """")"),"Solex Energy Ltd")</f>
        <v>Solex Energy Ltd</v>
      </c>
      <c r="CQ51" s="21">
        <f>IFERROR(__xludf.DUMMYFUNCTION("IFERROR(if(ISBLANK(CO51),"" "",GOOGLEFINANCE(CN51,""price"")), """")"),897.0)</f>
        <v>897</v>
      </c>
      <c r="CR51" s="23">
        <f>IFERROR(__xludf.DUMMYFUNCTION("IFERROR(if(ISBLANK(CO51),"" "",GOOGLEFINANCE(CN51,""changepct"")), """")"),-1.37)</f>
        <v>-1.37</v>
      </c>
      <c r="CS51" s="45"/>
      <c r="CT51" s="33" t="s">
        <v>1101</v>
      </c>
      <c r="CU51" s="38" t="s">
        <v>1040</v>
      </c>
      <c r="CV51" s="39" t="str">
        <f>IFERROR(__xludf.DUMMYFUNCTION("IFERROR(if(ISBLANK(CU51),"" "",GOOGLEFINANCE(CT51,""Name"")), """")"),"Indo Farm Equipment Ltd")</f>
        <v>Indo Farm Equipment Ltd</v>
      </c>
      <c r="CW51" s="21">
        <f>IFERROR(__xludf.DUMMYFUNCTION("IFERROR(if(ISBLANK(CU51),"" "",GOOGLEFINANCE(CT51,""price"")), """")"),148.8)</f>
        <v>148.8</v>
      </c>
      <c r="CX51" s="23">
        <f>IFERROR(__xludf.DUMMYFUNCTION("IFERROR(if(ISBLANK(CU51),"" "",GOOGLEFINANCE(CT51,""changepct"")), """")"),-1.0)</f>
        <v>-1</v>
      </c>
      <c r="CY51" s="17"/>
      <c r="CZ51" s="33" t="s">
        <v>1102</v>
      </c>
      <c r="DA51" s="38" t="s">
        <v>1040</v>
      </c>
      <c r="DB51" s="39" t="str">
        <f>IFERROR(__xludf.DUMMYFUNCTION("IFERROR(if(ISBLANK(DA51),"" "",GOOGLEFINANCE(CZ51,""Name"")), """")"),"Birla Cable Ltd")</f>
        <v>Birla Cable Ltd</v>
      </c>
      <c r="DC51" s="21">
        <f>IFERROR(__xludf.DUMMYFUNCTION("IFERROR(if(ISBLANK(DA51),"" "",GOOGLEFINANCE(CZ51,""price"")), """")"),294.27)</f>
        <v>294.27</v>
      </c>
      <c r="DD51" s="23">
        <f>IFERROR(__xludf.DUMMYFUNCTION("IFERROR(if(ISBLANK(DA51),"" "",GOOGLEFINANCE(CZ51,""changepct"")), """")"),5.0)</f>
        <v>5</v>
      </c>
      <c r="DE51" s="45"/>
      <c r="DF51" s="12"/>
    </row>
    <row r="52" ht="11.25" customHeight="1">
      <c r="A52" s="47"/>
      <c r="B52" s="18" t="s">
        <v>1103</v>
      </c>
      <c r="C52" s="38" t="s">
        <v>1062</v>
      </c>
      <c r="D52" s="39" t="str">
        <f>IFERROR(__xludf.DUMMYFUNCTION("IFERROR(if(ISBLANK(C52),"" "",GOOGLEFINANCE(B52,""Name"")), """")"),"Wipro Ltd")</f>
        <v>Wipro Ltd</v>
      </c>
      <c r="E52" s="21">
        <f>IFERROR(__xludf.DUMMYFUNCTION("IFERROR(if(ISBLANK(C52),"" "",GOOGLEFINANCE(B52,""price"")), """")"),183.17)</f>
        <v>183.17</v>
      </c>
      <c r="F52" s="22">
        <f>IFERROR(__xludf.DUMMYFUNCTION("IFERROR(if(ISBLANK(C52),"" "",GOOGLEFINANCE(B52,""changepct"")), """")"),-0.77)</f>
        <v>-0.77</v>
      </c>
      <c r="G52" s="48"/>
      <c r="H52" s="24"/>
      <c r="I52" s="25" t="s">
        <v>1104</v>
      </c>
      <c r="J52" s="38" t="s">
        <v>1062</v>
      </c>
      <c r="K52" s="39" t="str">
        <f>IFERROR(__xludf.DUMMYFUNCTION("IFERROR(if(ISBLANK(J52),"" "",GOOGLEFINANCE(I52,""Name"")), """")"),"NMDC Ltd")</f>
        <v>NMDC Ltd</v>
      </c>
      <c r="L52" s="21">
        <f>IFERROR(__xludf.DUMMYFUNCTION("IFERROR(if(ISBLANK(J52),"" "",GOOGLEFINANCE(I52,""price"")), """")"),85.62)</f>
        <v>85.62</v>
      </c>
      <c r="M52" s="22">
        <f>IFERROR(__xludf.DUMMYFUNCTION("IFERROR(if(ISBLANK(J52),"" "",GOOGLEFINANCE(I52,""changepct"")), """")"),0.2)</f>
        <v>0.2</v>
      </c>
      <c r="N52" s="48"/>
      <c r="O52" s="26"/>
      <c r="P52" s="27" t="s">
        <v>1106</v>
      </c>
      <c r="Q52" s="38" t="s">
        <v>1062</v>
      </c>
      <c r="R52" s="39" t="str">
        <f>IFERROR(__xludf.DUMMYFUNCTION("IFERROR(if(ISBLANK(Q52),"" "",GOOGLEFINANCE(P52,""Name"")), """")"),"Cochin Shipyard Ltd")</f>
        <v>Cochin Shipyard Ltd</v>
      </c>
      <c r="S52" s="21">
        <f>IFERROR(__xludf.DUMMYFUNCTION("IFERROR(if(ISBLANK(Q52),"" "",GOOGLEFINANCE(P52,""price"")), """")"),1508.8)</f>
        <v>1508.8</v>
      </c>
      <c r="T52" s="22">
        <f>IFERROR(__xludf.DUMMYFUNCTION("IFERROR(if(ISBLANK(Q52),"" "",GOOGLEFINANCE(P52,""changepct"")), """")"),0.86)</f>
        <v>0.86</v>
      </c>
      <c r="U52" s="28"/>
      <c r="V52" s="18" t="s">
        <v>1107</v>
      </c>
      <c r="W52" s="38" t="s">
        <v>1062</v>
      </c>
      <c r="X52" s="39" t="str">
        <f>IFERROR(__xludf.DUMMYFUNCTION("IFERROR(if(ISBLANK(W52),"" "",GOOGLEFINANCE(V52,""Name"")), """")"),"Firstsource Solutions Ltd")</f>
        <v>Firstsource Solutions Ltd</v>
      </c>
      <c r="Y52" s="21">
        <f>IFERROR(__xludf.DUMMYFUNCTION("IFERROR(if(ISBLANK(W52),"" "",GOOGLEFINANCE(V52,""price"")), """")"),274.4)</f>
        <v>274.4</v>
      </c>
      <c r="Z52" s="23">
        <f>IFERROR(__xludf.DUMMYFUNCTION("IFERROR(if(ISBLANK(W52),"" "",GOOGLEFINANCE(V52,""changepct"")), """")"),-1.86)</f>
        <v>-1.86</v>
      </c>
      <c r="AA52" s="12"/>
      <c r="AB52" s="18" t="s">
        <v>1108</v>
      </c>
      <c r="AC52" s="38" t="s">
        <v>1062</v>
      </c>
      <c r="AD52" s="39" t="str">
        <f>IFERROR(__xludf.DUMMYFUNCTION("IFERROR(if(ISBLANK(AC52),"" "",GOOGLEFINANCE(AB52,""Name"")), """")"),"Maharashtra Scooters Ltd")</f>
        <v>Maharashtra Scooters Ltd</v>
      </c>
      <c r="AE52" s="21">
        <f>IFERROR(__xludf.DUMMYFUNCTION("IFERROR(if(ISBLANK(AC52),"" "",GOOGLEFINANCE(AB52,""price"")), """")"),13559.0)</f>
        <v>13559</v>
      </c>
      <c r="AF52" s="23">
        <f>IFERROR(__xludf.DUMMYFUNCTION("IFERROR(if(ISBLANK(AC52),"" "",GOOGLEFINANCE(AB52,""changepct"")), """")"),-1.65)</f>
        <v>-1.65</v>
      </c>
      <c r="AG52" s="45"/>
      <c r="AH52" s="27" t="s">
        <v>1109</v>
      </c>
      <c r="AI52" s="38" t="s">
        <v>1062</v>
      </c>
      <c r="AJ52" s="39" t="str">
        <f>IFERROR(__xludf.DUMMYFUNCTION("IFERROR(if(ISBLANK(AI52),"" "",GOOGLEFINANCE(AH52,""Name"")), """")"),"Edelweiss Financial Services Ltd")</f>
        <v>Edelweiss Financial Services Ltd</v>
      </c>
      <c r="AK52" s="21">
        <f>IFERROR(__xludf.DUMMYFUNCTION("IFERROR(if(ISBLANK(AI52),"" "",GOOGLEFINANCE(AH52,""price"")), """")"),118.76)</f>
        <v>118.76</v>
      </c>
      <c r="AL52" s="23">
        <f>IFERROR(__xludf.DUMMYFUNCTION("IFERROR(if(ISBLANK(AI52),"" "",GOOGLEFINANCE(AH52,""changepct"")), """")"),-0.27)</f>
        <v>-0.27</v>
      </c>
      <c r="AM52" s="44"/>
      <c r="AN52" s="31" t="s">
        <v>200</v>
      </c>
      <c r="AO52" s="32" t="str">
        <f>IFERROR(__xludf.DUMMYFUNCTION("IFERROR(if(ISBLANK(AN52),"" "",GOOGLEFINANCE(AM52,""Name"")), """")"),"")</f>
        <v/>
      </c>
      <c r="AP52" s="33" t="s">
        <v>1110</v>
      </c>
      <c r="AQ52" s="38" t="s">
        <v>1062</v>
      </c>
      <c r="AR52" s="39" t="str">
        <f>IFERROR(__xludf.DUMMYFUNCTION("IFERROR(if(ISBLANK(AQ52),"" "",GOOGLEFINANCE(AP52,""Name"")), """")"),"Kirloskar Ferrous Industries Ltd")</f>
        <v>Kirloskar Ferrous Industries Ltd</v>
      </c>
      <c r="AS52" s="21">
        <f>IFERROR(__xludf.DUMMYFUNCTION("IFERROR(if(ISBLANK(AQ52),"" "",GOOGLEFINANCE(AP52,""price"")), """")"),435.0)</f>
        <v>435</v>
      </c>
      <c r="AT52" s="23">
        <f>IFERROR(__xludf.DUMMYFUNCTION("IFERROR(if(ISBLANK(AQ52),"" "",GOOGLEFINANCE(AP52,""changepct"")), """")"),-1.17)</f>
        <v>-1.17</v>
      </c>
      <c r="AU52" s="45"/>
      <c r="AV52" s="34" t="s">
        <v>1112</v>
      </c>
      <c r="AW52" s="38" t="s">
        <v>1062</v>
      </c>
      <c r="AX52" s="39" t="str">
        <f>IFERROR(__xludf.DUMMYFUNCTION("IFERROR(if(ISBLANK(AW52),"" "",GOOGLEFINANCE(AV52,""Name"")), """")"),"TVS Supply Chain Solutions Ltd")</f>
        <v>TVS Supply Chain Solutions Ltd</v>
      </c>
      <c r="AY52" s="21">
        <f>IFERROR(__xludf.DUMMYFUNCTION("IFERROR(if(ISBLANK(AW52),"" "",GOOGLEFINANCE(AV52,""price"")), """")"),129.41)</f>
        <v>129.41</v>
      </c>
      <c r="AZ52" s="23">
        <f>IFERROR(__xludf.DUMMYFUNCTION("IFERROR(if(ISBLANK(AW52),"" "",GOOGLEFINANCE(AV52,""changepct"")), """")"),2.62)</f>
        <v>2.62</v>
      </c>
      <c r="BA52" s="12"/>
      <c r="BB52" s="33" t="s">
        <v>1113</v>
      </c>
      <c r="BC52" s="38" t="s">
        <v>1062</v>
      </c>
      <c r="BD52" s="39" t="str">
        <f>IFERROR(__xludf.DUMMYFUNCTION("IFERROR(if(ISBLANK(BC52),"" "",GOOGLEFINANCE(BB52,""Name"")), """")"),"Sunteck Realty Ltd")</f>
        <v>Sunteck Realty Ltd</v>
      </c>
      <c r="BE52" s="21">
        <f>IFERROR(__xludf.DUMMYFUNCTION("IFERROR(if(ISBLANK(BC52),"" "",GOOGLEFINANCE(BB52,""price"")), """")"),292.0)</f>
        <v>292</v>
      </c>
      <c r="BF52" s="23">
        <f>IFERROR(__xludf.DUMMYFUNCTION("IFERROR(if(ISBLANK(BC52),"" "",GOOGLEFINANCE(BB52,""changepct"")), """")"),-1.53)</f>
        <v>-1.53</v>
      </c>
      <c r="BG52" s="12"/>
      <c r="BH52" s="35" t="s">
        <v>1114</v>
      </c>
      <c r="BI52" s="38" t="s">
        <v>1062</v>
      </c>
      <c r="BJ52" s="39" t="str">
        <f>IFERROR(__xludf.DUMMYFUNCTION("IFERROR(if(ISBLANK(BI52),"" "",GOOGLEFINANCE(BH52,""Name"")), """")"),"Greenply Industries Ltd")</f>
        <v>Greenply Industries Ltd</v>
      </c>
      <c r="BK52" s="21">
        <f>IFERROR(__xludf.DUMMYFUNCTION("IFERROR(if(ISBLANK(BI52),"" "",GOOGLEFINANCE(BH52,""price"")), """")"),275.55)</f>
        <v>275.55</v>
      </c>
      <c r="BL52" s="23">
        <f>IFERROR(__xludf.DUMMYFUNCTION("IFERROR(if(ISBLANK(BI52),"" "",GOOGLEFINANCE(BH52,""changepct"")), """")"),-1.18)</f>
        <v>-1.18</v>
      </c>
      <c r="BM52" s="12"/>
      <c r="BN52" s="33" t="s">
        <v>1115</v>
      </c>
      <c r="BO52" s="38" t="s">
        <v>1062</v>
      </c>
      <c r="BP52" s="39" t="str">
        <f>IFERROR(__xludf.DUMMYFUNCTION("IFERROR(if(ISBLANK(BO52),"" "",GOOGLEFINANCE(BN52,""Name"")), """")"),"Vimta Labs Ltd")</f>
        <v>Vimta Labs Ltd</v>
      </c>
      <c r="BQ52" s="21">
        <f>IFERROR(__xludf.DUMMYFUNCTION("IFERROR(if(ISBLANK(BO52),"" "",GOOGLEFINANCE(BN52,""price"")), """")"),627.9)</f>
        <v>627.9</v>
      </c>
      <c r="BR52" s="23">
        <f>IFERROR(__xludf.DUMMYFUNCTION("IFERROR(if(ISBLANK(BO52),"" "",GOOGLEFINANCE(BN52,""changepct"")), """")"),-2.39)</f>
        <v>-2.39</v>
      </c>
      <c r="BS52" s="49"/>
      <c r="BT52" s="36"/>
      <c r="BU52" s="27" t="s">
        <v>1116</v>
      </c>
      <c r="BV52" s="38" t="s">
        <v>1062</v>
      </c>
      <c r="BW52" s="39" t="str">
        <f>IFERROR(__xludf.DUMMYFUNCTION("IFERROR(if(ISBLANK(BV52),"" "",GOOGLEFINANCE(BU52,""Name"")), """")"),"Geojit Financial Services Ltd")</f>
        <v>Geojit Financial Services Ltd</v>
      </c>
      <c r="BX52" s="21">
        <f>IFERROR(__xludf.DUMMYFUNCTION("IFERROR(if(ISBLANK(BV52),"" "",GOOGLEFINANCE(BU52,""price"")), """")"),78.05)</f>
        <v>78.05</v>
      </c>
      <c r="BY52" s="23">
        <f>IFERROR(__xludf.DUMMYFUNCTION("IFERROR(if(ISBLANK(BV52),"" "",GOOGLEFINANCE(BU52,""changepct"")), """")"),1.65)</f>
        <v>1.65</v>
      </c>
      <c r="BZ52" s="49"/>
      <c r="CA52" s="37"/>
      <c r="CB52" s="27" t="s">
        <v>1117</v>
      </c>
      <c r="CC52" s="38" t="s">
        <v>1062</v>
      </c>
      <c r="CD52" s="39" t="str">
        <f>IFERROR(__xludf.DUMMYFUNCTION("IFERROR(if(ISBLANK(CC52),"" "",GOOGLEFINANCE(CB52,""Name"")), """")"),"One MobiKwik Systems Ltd")</f>
        <v>One MobiKwik Systems Ltd</v>
      </c>
      <c r="CE52" s="21">
        <f>IFERROR(__xludf.DUMMYFUNCTION("IFERROR(if(ISBLANK(CC52),"" "",GOOGLEFINANCE(CB52,""price"")), """")"),207.5)</f>
        <v>207.5</v>
      </c>
      <c r="CF52" s="23">
        <f>IFERROR(__xludf.DUMMYFUNCTION("IFERROR(if(ISBLANK(CC52),"" "",GOOGLEFINANCE(CB52,""changepct"")), """")"),-2.21)</f>
        <v>-2.21</v>
      </c>
      <c r="CG52" s="12"/>
      <c r="CH52" s="18" t="s">
        <v>1119</v>
      </c>
      <c r="CI52" s="38" t="s">
        <v>1062</v>
      </c>
      <c r="CJ52" s="39" t="str">
        <f>IFERROR(__xludf.DUMMYFUNCTION("IFERROR(if(ISBLANK(CI52),"" "",GOOGLEFINANCE(CH52,""Name"")), """")"),"Renaissance Global Ltd")</f>
        <v>Renaissance Global Ltd</v>
      </c>
      <c r="CK52" s="21">
        <f>IFERROR(__xludf.DUMMYFUNCTION("IFERROR(if(ISBLANK(CI52),"" "",GOOGLEFINANCE(CH52,""price"")), """")"),109.79)</f>
        <v>109.79</v>
      </c>
      <c r="CL52" s="23">
        <f>IFERROR(__xludf.DUMMYFUNCTION("IFERROR(if(ISBLANK(CI52),"" "",GOOGLEFINANCE(CH52,""changepct"")), """")"),-4.7)</f>
        <v>-4.7</v>
      </c>
      <c r="CM52" s="12"/>
      <c r="CN52" s="33" t="s">
        <v>1120</v>
      </c>
      <c r="CO52" s="38" t="s">
        <v>1062</v>
      </c>
      <c r="CP52" s="39" t="str">
        <f>IFERROR(__xludf.DUMMYFUNCTION("IFERROR(if(ISBLANK(CO52),"" "",GOOGLEFINANCE(CN52,""Name"")), """")"),"Ambika Cotton Mills Ltd")</f>
        <v>Ambika Cotton Mills Ltd</v>
      </c>
      <c r="CQ52" s="21">
        <f>IFERROR(__xludf.DUMMYFUNCTION("IFERROR(if(ISBLANK(CO52),"" "",GOOGLEFINANCE(CN52,""price"")), """")"),1590.1)</f>
        <v>1590.1</v>
      </c>
      <c r="CR52" s="23">
        <f>IFERROR(__xludf.DUMMYFUNCTION("IFERROR(if(ISBLANK(CO52),"" "",GOOGLEFINANCE(CN52,""changepct"")), """")"),-2.79)</f>
        <v>-2.79</v>
      </c>
      <c r="CS52" s="45"/>
      <c r="CT52" s="33" t="s">
        <v>1121</v>
      </c>
      <c r="CU52" s="38" t="s">
        <v>1062</v>
      </c>
      <c r="CV52" s="39" t="str">
        <f>IFERROR(__xludf.DUMMYFUNCTION("IFERROR(if(ISBLANK(CU52),"" "",GOOGLEFINANCE(CT52,""Name"")), """")"),"Praveg Ltd")</f>
        <v>Praveg Ltd</v>
      </c>
      <c r="CW52" s="21">
        <f>IFERROR(__xludf.DUMMYFUNCTION("IFERROR(if(ISBLANK(CU52),"" "",GOOGLEFINANCE(CT52,""price"")), """")"),274.0)</f>
        <v>274</v>
      </c>
      <c r="CX52" s="23">
        <f>IFERROR(__xludf.DUMMYFUNCTION("IFERROR(if(ISBLANK(CU52),"" "",GOOGLEFINANCE(CT52,""changepct"")), """")"),0.05)</f>
        <v>0.05</v>
      </c>
      <c r="CY52" s="17"/>
      <c r="CZ52" s="33" t="s">
        <v>1123</v>
      </c>
      <c r="DA52" s="38" t="s">
        <v>1062</v>
      </c>
      <c r="DB52" s="39" t="str">
        <f>IFERROR(__xludf.DUMMYFUNCTION("IFERROR(if(ISBLANK(DA52),"" "",GOOGLEFINANCE(CZ52,""Name"")), """")"),"Chembond Chemicals Ltd")</f>
        <v>Chembond Chemicals Ltd</v>
      </c>
      <c r="DC52" s="21">
        <f>IFERROR(__xludf.DUMMYFUNCTION("IFERROR(if(ISBLANK(DA52),"" "",GOOGLEFINANCE(CZ52,""price"")), """")"),274.83)</f>
        <v>274.83</v>
      </c>
      <c r="DD52" s="23">
        <f>IFERROR(__xludf.DUMMYFUNCTION("IFERROR(if(ISBLANK(DA52),"" "",GOOGLEFINANCE(CZ52,""changepct"")), """")"),5.0)</f>
        <v>5</v>
      </c>
      <c r="DE52" s="45"/>
      <c r="DF52" s="12"/>
    </row>
    <row r="53" ht="11.25" customHeight="1">
      <c r="A53" s="50"/>
      <c r="B53" s="18" t="s">
        <v>1124</v>
      </c>
      <c r="C53" s="31" t="s">
        <v>1040</v>
      </c>
      <c r="D53" s="32" t="str">
        <f>IFERROR(__xludf.DUMMYFUNCTION("IFERROR(if(ISBLANK(C53),"" "",GOOGLEFINANCE(B53,""Name"")), """")"),"Vedanta Aluminium Metal Ltd")</f>
        <v>Vedanta Aluminium Metal Ltd</v>
      </c>
      <c r="E53" s="51">
        <f>IFERROR(__xludf.DUMMYFUNCTION("IFERROR(if(ISBLANK(C53),"" "",GOOGLEFINANCE(B53,""price"")), """")"),461.5)</f>
        <v>461.5</v>
      </c>
      <c r="F53" s="22">
        <f>IFERROR(__xludf.DUMMYFUNCTION("IFERROR(if(ISBLANK(C53),"" "",GOOGLEFINANCE(B53,""changepct"")), """")"),-0.43)</f>
        <v>-0.43</v>
      </c>
      <c r="G53" s="49"/>
      <c r="H53" s="36"/>
      <c r="I53" s="25" t="s">
        <v>1125</v>
      </c>
      <c r="J53" s="31" t="s">
        <v>1040</v>
      </c>
      <c r="K53" s="32" t="str">
        <f>IFERROR(__xludf.DUMMYFUNCTION("IFERROR(if(ISBLANK(J53),"" "",GOOGLEFINANCE(I53,""Name"")), """")"),"Dabur India Ltd")</f>
        <v>Dabur India Ltd</v>
      </c>
      <c r="L53" s="51">
        <f>IFERROR(__xludf.DUMMYFUNCTION("IFERROR(if(ISBLANK(J53),"" "",GOOGLEFINANCE(I53,""price"")), """")"),407.95)</f>
        <v>407.95</v>
      </c>
      <c r="M53" s="22">
        <f>IFERROR(__xludf.DUMMYFUNCTION("IFERROR(if(ISBLANK(J53),"" "",GOOGLEFINANCE(I53,""changepct"")), """")"),-1.14)</f>
        <v>-1.14</v>
      </c>
      <c r="N53" s="49"/>
      <c r="O53" s="37"/>
      <c r="P53" s="27" t="s">
        <v>1127</v>
      </c>
      <c r="Q53" s="31" t="s">
        <v>1040</v>
      </c>
      <c r="R53" s="32" t="str">
        <f>IFERROR(__xludf.DUMMYFUNCTION("IFERROR(if(ISBLANK(Q53),"" "",GOOGLEFINANCE(P53,""Name"")), """")"),"Emcure Pharmaceuticals Ltd")</f>
        <v>Emcure Pharmaceuticals Ltd</v>
      </c>
      <c r="S53" s="51">
        <f>IFERROR(__xludf.DUMMYFUNCTION("IFERROR(if(ISBLANK(Q53),"" "",GOOGLEFINANCE(P53,""price"")), """")"),2001.0)</f>
        <v>2001</v>
      </c>
      <c r="T53" s="22">
        <f>IFERROR(__xludf.DUMMYFUNCTION("IFERROR(if(ISBLANK(Q53),"" "",GOOGLEFINANCE(P53,""changepct"")), """")"),0.12)</f>
        <v>0.12</v>
      </c>
      <c r="U53" s="12"/>
      <c r="V53" s="18" t="s">
        <v>1128</v>
      </c>
      <c r="W53" s="31" t="s">
        <v>1040</v>
      </c>
      <c r="X53" s="32" t="str">
        <f>IFERROR(__xludf.DUMMYFUNCTION("IFERROR(if(ISBLANK(W53),"" "",GOOGLEFINANCE(V53,""Name"")), """")"),"Sansera Engineering Ltd")</f>
        <v>Sansera Engineering Ltd</v>
      </c>
      <c r="Y53" s="51">
        <f>IFERROR(__xludf.DUMMYFUNCTION("IFERROR(if(ISBLANK(W53),"" "",GOOGLEFINANCE(V53,""price"")), """")"),3931.0)</f>
        <v>3931</v>
      </c>
      <c r="Z53" s="22">
        <f>IFERROR(__xludf.DUMMYFUNCTION("IFERROR(if(ISBLANK(W53),"" "",GOOGLEFINANCE(V53,""changepct"")), """")"),6.67)</f>
        <v>6.67</v>
      </c>
      <c r="AA53" s="12"/>
      <c r="AB53" s="18" t="s">
        <v>1129</v>
      </c>
      <c r="AC53" s="31" t="s">
        <v>1040</v>
      </c>
      <c r="AD53" s="32" t="str">
        <f>IFERROR(__xludf.DUMMYFUNCTION("IFERROR(if(ISBLANK(AC53),"" "",GOOGLEFINANCE(AB53,""Name"")), """")"),"Concord Biotech Ltd")</f>
        <v>Concord Biotech Ltd</v>
      </c>
      <c r="AE53" s="51">
        <f>IFERROR(__xludf.DUMMYFUNCTION("IFERROR(if(ISBLANK(AC53),"" "",GOOGLEFINANCE(AB53,""price"")), """")"),1445.0)</f>
        <v>1445</v>
      </c>
      <c r="AF53" s="22">
        <f>IFERROR(__xludf.DUMMYFUNCTION("IFERROR(if(ISBLANK(AC53),"" "",GOOGLEFINANCE(AB53,""changepct"")), """")"),1.13)</f>
        <v>1.13</v>
      </c>
      <c r="AG53" s="45"/>
      <c r="AH53" s="27" t="s">
        <v>1130</v>
      </c>
      <c r="AI53" s="31" t="s">
        <v>1040</v>
      </c>
      <c r="AJ53" s="32" t="str">
        <f>IFERROR(__xludf.DUMMYFUNCTION("IFERROR(if(ISBLANK(AI53),"" "",GOOGLEFINANCE(AH53,""Name"")), """")"),"Can Fin Homes Ltd")</f>
        <v>Can Fin Homes Ltd</v>
      </c>
      <c r="AK53" s="51">
        <f>IFERROR(__xludf.DUMMYFUNCTION("IFERROR(if(ISBLANK(AI53),"" "",GOOGLEFINANCE(AH53,""price"")), """")"),820.0)</f>
        <v>820</v>
      </c>
      <c r="AL53" s="22">
        <f>IFERROR(__xludf.DUMMYFUNCTION("IFERROR(if(ISBLANK(AI53),"" "",GOOGLEFINANCE(AH53,""changepct"")), """")"),-0.71)</f>
        <v>-0.71</v>
      </c>
      <c r="AM53" s="44"/>
      <c r="AN53" s="31" t="s">
        <v>200</v>
      </c>
      <c r="AO53" s="32" t="str">
        <f>IFERROR(__xludf.DUMMYFUNCTION("IFERROR(if(ISBLANK(AN53),"" "",GOOGLEFINANCE(AM53,""Name"")), """")"),"")</f>
        <v/>
      </c>
      <c r="AP53" s="33" t="s">
        <v>1132</v>
      </c>
      <c r="AQ53" s="31" t="s">
        <v>1040</v>
      </c>
      <c r="AR53" s="32" t="str">
        <f>IFERROR(__xludf.DUMMYFUNCTION("IFERROR(if(ISBLANK(AQ53),"" "",GOOGLEFINANCE(AP53,""Name"")), """")"),"Indian Metals and Ferro Alloys Ltd")</f>
        <v>Indian Metals and Ferro Alloys Ltd</v>
      </c>
      <c r="AS53" s="51">
        <f>IFERROR(__xludf.DUMMYFUNCTION("IFERROR(if(ISBLANK(AQ53),"" "",GOOGLEFINANCE(AP53,""price"")), """")"),1472.0)</f>
        <v>1472</v>
      </c>
      <c r="AT53" s="22">
        <f>IFERROR(__xludf.DUMMYFUNCTION("IFERROR(if(ISBLANK(AQ53),"" "",GOOGLEFINANCE(AP53,""changepct"")), """")"),-0.65)</f>
        <v>-0.65</v>
      </c>
      <c r="AU53" s="45"/>
      <c r="AV53" s="34" t="s">
        <v>1133</v>
      </c>
      <c r="AW53" s="31" t="s">
        <v>1040</v>
      </c>
      <c r="AX53" s="32" t="str">
        <f>IFERROR(__xludf.DUMMYFUNCTION("IFERROR(if(ISBLANK(AW53),"" "",GOOGLEFINANCE(AV53,""Name"")), """")"),"Skipper Ltd (India)")</f>
        <v>Skipper Ltd (India)</v>
      </c>
      <c r="AY53" s="51">
        <f>IFERROR(__xludf.DUMMYFUNCTION("IFERROR(if(ISBLANK(AW53),"" "",GOOGLEFINANCE(AV53,""price"")), """")"),543.8)</f>
        <v>543.8</v>
      </c>
      <c r="AZ53" s="22">
        <f>IFERROR(__xludf.DUMMYFUNCTION("IFERROR(if(ISBLANK(AW53),"" "",GOOGLEFINANCE(AV53,""changepct"")), """")"),3.33)</f>
        <v>3.33</v>
      </c>
      <c r="BA53" s="12"/>
      <c r="BB53" s="33" t="s">
        <v>1134</v>
      </c>
      <c r="BC53" s="31" t="s">
        <v>1040</v>
      </c>
      <c r="BD53" s="32" t="str">
        <f>IFERROR(__xludf.DUMMYFUNCTION("IFERROR(if(ISBLANK(BC53),"" "",GOOGLEFINANCE(BB53,""Name"")), """")"),"Pace Digitek Ltd")</f>
        <v>Pace Digitek Ltd</v>
      </c>
      <c r="BE53" s="51">
        <f>IFERROR(__xludf.DUMMYFUNCTION("IFERROR(if(ISBLANK(BC53),"" "",GOOGLEFINANCE(BB53,""price"")), """")"),183.5)</f>
        <v>183.5</v>
      </c>
      <c r="BF53" s="22">
        <f>IFERROR(__xludf.DUMMYFUNCTION("IFERROR(if(ISBLANK(BC53),"" "",GOOGLEFINANCE(BB53,""changepct"")), """")"),-0.03)</f>
        <v>-0.03</v>
      </c>
      <c r="BG53" s="12"/>
      <c r="BH53" s="35" t="s">
        <v>1135</v>
      </c>
      <c r="BI53" s="31" t="s">
        <v>1040</v>
      </c>
      <c r="BJ53" s="32" t="str">
        <f>IFERROR(__xludf.DUMMYFUNCTION("IFERROR(if(ISBLANK(BI53),"" "",GOOGLEFINANCE(BH53,""Name"")), """")"),"Sanghvi Movers Ltd")</f>
        <v>Sanghvi Movers Ltd</v>
      </c>
      <c r="BK53" s="51">
        <f>IFERROR(__xludf.DUMMYFUNCTION("IFERROR(if(ISBLANK(BI53),"" "",GOOGLEFINANCE(BH53,""price"")), """")"),498.05)</f>
        <v>498.05</v>
      </c>
      <c r="BL53" s="22">
        <f>IFERROR(__xludf.DUMMYFUNCTION("IFERROR(if(ISBLANK(BI53),"" "",GOOGLEFINANCE(BH53,""changepct"")), """")"),-3.66)</f>
        <v>-3.66</v>
      </c>
      <c r="BM53" s="12"/>
      <c r="BN53" s="33" t="s">
        <v>1136</v>
      </c>
      <c r="BO53" s="31" t="s">
        <v>1040</v>
      </c>
      <c r="BP53" s="32" t="str">
        <f>IFERROR(__xludf.DUMMYFUNCTION("IFERROR(if(ISBLANK(BO53),"" "",GOOGLEFINANCE(BN53,""Name"")), """")"),"Arvind Smartspaces Ltd")</f>
        <v>Arvind Smartspaces Ltd</v>
      </c>
      <c r="BQ53" s="51">
        <f>IFERROR(__xludf.DUMMYFUNCTION("IFERROR(if(ISBLANK(BO53),"" "",GOOGLEFINANCE(BN53,""price"")), """")"),663.0)</f>
        <v>663</v>
      </c>
      <c r="BR53" s="22">
        <f>IFERROR(__xludf.DUMMYFUNCTION("IFERROR(if(ISBLANK(BO53),"" "",GOOGLEFINANCE(BN53,""changepct"")), """")"),4.18)</f>
        <v>4.18</v>
      </c>
      <c r="BS53" s="49"/>
      <c r="BT53" s="36"/>
      <c r="BU53" s="27" t="s">
        <v>1138</v>
      </c>
      <c r="BV53" s="31" t="s">
        <v>1040</v>
      </c>
      <c r="BW53" s="32" t="str">
        <f>IFERROR(__xludf.DUMMYFUNCTION("IFERROR(if(ISBLANK(BV53),"" "",GOOGLEFINANCE(BU53,""Name"")), """")"),"Bharat Rasayan Ltd")</f>
        <v>Bharat Rasayan Ltd</v>
      </c>
      <c r="BX53" s="51">
        <f>IFERROR(__xludf.DUMMYFUNCTION("IFERROR(if(ISBLANK(BV53),"" "",GOOGLEFINANCE(BU53,""price"")), """")"),1364.7)</f>
        <v>1364.7</v>
      </c>
      <c r="BY53" s="22">
        <f>IFERROR(__xludf.DUMMYFUNCTION("IFERROR(if(ISBLANK(BV53),"" "",GOOGLEFINANCE(BU53,""changepct"")), """")"),-1.39)</f>
        <v>-1.39</v>
      </c>
      <c r="BZ53" s="49"/>
      <c r="CA53" s="37"/>
      <c r="CB53" s="27" t="s">
        <v>1139</v>
      </c>
      <c r="CC53" s="31" t="s">
        <v>1040</v>
      </c>
      <c r="CD53" s="32" t="str">
        <f>IFERROR(__xludf.DUMMYFUNCTION("IFERROR(if(ISBLANK(CC53),"" "",GOOGLEFINANCE(CB53,""Name"")), """")"),"SPML Infra Ltd")</f>
        <v>SPML Infra Ltd</v>
      </c>
      <c r="CE53" s="51">
        <f>IFERROR(__xludf.DUMMYFUNCTION("IFERROR(if(ISBLANK(CC53),"" "",GOOGLEFINANCE(CB53,""price"")), """")"),190.0)</f>
        <v>190</v>
      </c>
      <c r="CF53" s="22">
        <f>IFERROR(__xludf.DUMMYFUNCTION("IFERROR(if(ISBLANK(CC53),"" "",GOOGLEFINANCE(CB53,""changepct"")), """")"),1.91)</f>
        <v>1.91</v>
      </c>
      <c r="CG53" s="12"/>
      <c r="CH53" s="18" t="s">
        <v>1140</v>
      </c>
      <c r="CI53" s="31" t="s">
        <v>1040</v>
      </c>
      <c r="CJ53" s="32" t="str">
        <f>IFERROR(__xludf.DUMMYFUNCTION("IFERROR(if(ISBLANK(CI53),"" "",GOOGLEFINANCE(CH53,""Name"")), """")"),"The Ruby Mills Ltd")</f>
        <v>The Ruby Mills Ltd</v>
      </c>
      <c r="CK53" s="51">
        <f>IFERROR(__xludf.DUMMYFUNCTION("IFERROR(if(ISBLANK(CI53),"" "",GOOGLEFINANCE(CH53,""price"")), """")"),373.0)</f>
        <v>373</v>
      </c>
      <c r="CL53" s="22">
        <f>IFERROR(__xludf.DUMMYFUNCTION("IFERROR(if(ISBLANK(CI53),"" "",GOOGLEFINANCE(CH53,""changepct"")), """")"),1.54)</f>
        <v>1.54</v>
      </c>
      <c r="CM53" s="12"/>
      <c r="CN53" s="33" t="s">
        <v>1141</v>
      </c>
      <c r="CO53" s="31" t="s">
        <v>1040</v>
      </c>
      <c r="CP53" s="32" t="str">
        <f>IFERROR(__xludf.DUMMYFUNCTION("IFERROR(if(ISBLANK(CO53),"" "",GOOGLEFINANCE(CN53,""Name"")), """")"),"Health X Platform Ltd")</f>
        <v>Health X Platform Ltd</v>
      </c>
      <c r="CQ53" s="51">
        <f>IFERROR(__xludf.DUMMYFUNCTION("IFERROR(if(ISBLANK(CO53),"" "",GOOGLEFINANCE(CN53,""price"")), """")"),293.0)</f>
        <v>293</v>
      </c>
      <c r="CR53" s="22">
        <f>IFERROR(__xludf.DUMMYFUNCTION("IFERROR(if(ISBLANK(CO53),"" "",GOOGLEFINANCE(CN53,""changepct"")), """")"),-2.67)</f>
        <v>-2.67</v>
      </c>
      <c r="CS53" s="45"/>
      <c r="CT53" s="33" t="s">
        <v>1142</v>
      </c>
      <c r="CU53" s="31" t="s">
        <v>1040</v>
      </c>
      <c r="CV53" s="32" t="str">
        <f>IFERROR(__xludf.DUMMYFUNCTION("IFERROR(if(ISBLANK(CU53),"" "",GOOGLEFINANCE(CT53,""Name"")), """")"),"Popular Vehicles And Services Ltd")</f>
        <v>Popular Vehicles And Services Ltd</v>
      </c>
      <c r="CW53" s="51">
        <f>IFERROR(__xludf.DUMMYFUNCTION("IFERROR(if(ISBLANK(CU53),"" "",GOOGLEFINANCE(CT53,""price"")), """")"),120.2)</f>
        <v>120.2</v>
      </c>
      <c r="CX53" s="22">
        <f>IFERROR(__xludf.DUMMYFUNCTION("IFERROR(if(ISBLANK(CU53),"" "",GOOGLEFINANCE(CT53,""changepct"")), """")"),8.12)</f>
        <v>8.12</v>
      </c>
      <c r="CY53" s="17"/>
      <c r="CZ53" s="33" t="s">
        <v>1143</v>
      </c>
      <c r="DA53" s="31" t="s">
        <v>1040</v>
      </c>
      <c r="DB53" s="32" t="str">
        <f>IFERROR(__xludf.DUMMYFUNCTION("IFERROR(if(ISBLANK(DA53),"" "",GOOGLEFINANCE(CZ53,""Name"")), """")"),"Allcargo Terminals Ltd")</f>
        <v>Allcargo Terminals Ltd</v>
      </c>
      <c r="DC53" s="51">
        <f>IFERROR(__xludf.DUMMYFUNCTION("IFERROR(if(ISBLANK(DA53),"" "",GOOGLEFINANCE(CZ53,""price"")), """")"),24.72)</f>
        <v>24.72</v>
      </c>
      <c r="DD53" s="22">
        <f>IFERROR(__xludf.DUMMYFUNCTION("IFERROR(if(ISBLANK(DA53),"" "",GOOGLEFINANCE(CZ53,""changepct"")), """")"),0.57)</f>
        <v>0.57</v>
      </c>
      <c r="DE53" s="45"/>
      <c r="DF53" s="12"/>
    </row>
    <row r="54" ht="11.25" customHeight="1">
      <c r="A54" s="50"/>
      <c r="B54" s="18" t="s">
        <v>1145</v>
      </c>
      <c r="C54" s="31" t="s">
        <v>73</v>
      </c>
      <c r="D54" s="32" t="str">
        <f>IFERROR(__xludf.DUMMYFUNCTION("IFERROR(if(ISBLANK(C54),"" "",GOOGLEFINANCE(B54,""Name"")), """")"),"Hyundai Motor India Ltd")</f>
        <v>Hyundai Motor India Ltd</v>
      </c>
      <c r="E54" s="51">
        <f>IFERROR(__xludf.DUMMYFUNCTION("IFERROR(if(ISBLANK(C54),"" "",GOOGLEFINANCE(B54,""price"")), """")"),2240.0)</f>
        <v>2240</v>
      </c>
      <c r="F54" s="22">
        <f>IFERROR(__xludf.DUMMYFUNCTION("IFERROR(if(ISBLANK(C54),"" "",GOOGLEFINANCE(B54,""changepct"")), """")"),1.82)</f>
        <v>1.82</v>
      </c>
      <c r="G54" s="49"/>
      <c r="H54" s="36"/>
      <c r="I54" s="25" t="s">
        <v>1146</v>
      </c>
      <c r="J54" s="31" t="s">
        <v>73</v>
      </c>
      <c r="K54" s="32" t="str">
        <f>IFERROR(__xludf.DUMMYFUNCTION("IFERROR(if(ISBLANK(J54),"" "",GOOGLEFINANCE(I54,""Name"")), """")"),"Oil India Ltd")</f>
        <v>Oil India Ltd</v>
      </c>
      <c r="L54" s="51">
        <f>IFERROR(__xludf.DUMMYFUNCTION("IFERROR(if(ISBLANK(J54),"" "",GOOGLEFINANCE(I54,""price"")), """")"),471.9)</f>
        <v>471.9</v>
      </c>
      <c r="M54" s="22">
        <f>IFERROR(__xludf.DUMMYFUNCTION("IFERROR(if(ISBLANK(J54),"" "",GOOGLEFINANCE(I54,""changepct"")), """")"),0.33)</f>
        <v>0.33</v>
      </c>
      <c r="N54" s="49"/>
      <c r="O54" s="37"/>
      <c r="P54" s="27" t="s">
        <v>1147</v>
      </c>
      <c r="Q54" s="31" t="s">
        <v>73</v>
      </c>
      <c r="R54" s="32" t="str">
        <f>IFERROR(__xludf.DUMMYFUNCTION("IFERROR(if(ISBLANK(Q54),"" "",GOOGLEFINANCE(P54,""Name"")), """")"),"Physicswallah Ltd")</f>
        <v>Physicswallah Ltd</v>
      </c>
      <c r="S54" s="51">
        <f>IFERROR(__xludf.DUMMYFUNCTION("IFERROR(if(ISBLANK(Q54),"" "",GOOGLEFINANCE(P54,""price"")), """")"),123.59)</f>
        <v>123.59</v>
      </c>
      <c r="T54" s="22">
        <f>IFERROR(__xludf.DUMMYFUNCTION("IFERROR(if(ISBLANK(Q54),"" "",GOOGLEFINANCE(P54,""changepct"")), """")"),-1.54)</f>
        <v>-1.54</v>
      </c>
      <c r="U54" s="12"/>
      <c r="V54" s="18" t="s">
        <v>1148</v>
      </c>
      <c r="W54" s="31" t="s">
        <v>73</v>
      </c>
      <c r="X54" s="32" t="str">
        <f>IFERROR(__xludf.DUMMYFUNCTION("IFERROR(if(ISBLANK(W54),"" "",GOOGLEFINANCE(V54,""Name"")), """")"),"IFCI Ltd")</f>
        <v>IFCI Ltd</v>
      </c>
      <c r="Y54" s="51">
        <f>IFERROR(__xludf.DUMMYFUNCTION("IFERROR(if(ISBLANK(W54),"" "",GOOGLEFINANCE(V54,""price"")), """")"),73.47)</f>
        <v>73.47</v>
      </c>
      <c r="Z54" s="22">
        <f>IFERROR(__xludf.DUMMYFUNCTION("IFERROR(if(ISBLANK(W54),"" "",GOOGLEFINANCE(V54,""changepct"")), """")"),-2.95)</f>
        <v>-2.95</v>
      </c>
      <c r="AA54" s="12"/>
      <c r="AB54" s="18" t="s">
        <v>1149</v>
      </c>
      <c r="AC54" s="31" t="s">
        <v>73</v>
      </c>
      <c r="AD54" s="32" t="str">
        <f>IFERROR(__xludf.DUMMYFUNCTION("IFERROR(if(ISBLANK(AC54),"" "",GOOGLEFINANCE(AB54,""Name"")), """")"),"Kirloskar Brothers Ltd")</f>
        <v>Kirloskar Brothers Ltd</v>
      </c>
      <c r="AE54" s="51">
        <f>IFERROR(__xludf.DUMMYFUNCTION("IFERROR(if(ISBLANK(AC54),"" "",GOOGLEFINANCE(AB54,""price"")), """")"),1904.0)</f>
        <v>1904</v>
      </c>
      <c r="AF54" s="22">
        <f>IFERROR(__xludf.DUMMYFUNCTION("IFERROR(if(ISBLANK(AC54),"" "",GOOGLEFINANCE(AB54,""changepct"")), """")"),-2.65)</f>
        <v>-2.65</v>
      </c>
      <c r="AG54" s="45"/>
      <c r="AH54" s="27" t="s">
        <v>1150</v>
      </c>
      <c r="AI54" s="31" t="s">
        <v>73</v>
      </c>
      <c r="AJ54" s="32" t="str">
        <f>IFERROR(__xludf.DUMMYFUNCTION("IFERROR(if(ISBLANK(AI54),"" "",GOOGLEFINANCE(AH54,""Name"")), """")"),"Rategain Travel Technologies Ltd")</f>
        <v>Rategain Travel Technologies Ltd</v>
      </c>
      <c r="AK54" s="51">
        <f>IFERROR(__xludf.DUMMYFUNCTION("IFERROR(if(ISBLANK(AI54),"" "",GOOGLEFINANCE(AH54,""price"")), """")"),934.25)</f>
        <v>934.25</v>
      </c>
      <c r="AL54" s="22">
        <f>IFERROR(__xludf.DUMMYFUNCTION("IFERROR(if(ISBLANK(AI54),"" "",GOOGLEFINANCE(AH54,""changepct"")), """")"),2.79)</f>
        <v>2.79</v>
      </c>
      <c r="AM54" s="44"/>
      <c r="AN54" s="31" t="s">
        <v>200</v>
      </c>
      <c r="AO54" s="32" t="str">
        <f>IFERROR(__xludf.DUMMYFUNCTION("IFERROR(if(ISBLANK(AN54),"" "",GOOGLEFINANCE(AM54,""Name"")), """")"),"")</f>
        <v/>
      </c>
      <c r="AP54" s="33" t="s">
        <v>1151</v>
      </c>
      <c r="AQ54" s="31" t="s">
        <v>73</v>
      </c>
      <c r="AR54" s="32" t="str">
        <f>IFERROR(__xludf.DUMMYFUNCTION("IFERROR(if(ISBLANK(AQ54),"" "",GOOGLEFINANCE(AP54,""Name"")), """")"),"Borosil Renewables Ltd")</f>
        <v>Borosil Renewables Ltd</v>
      </c>
      <c r="AS54" s="51">
        <f>IFERROR(__xludf.DUMMYFUNCTION("IFERROR(if(ISBLANK(AQ54),"" "",GOOGLEFINANCE(AP54,""price"")), """")"),576.0)</f>
        <v>576</v>
      </c>
      <c r="AT54" s="22">
        <f>IFERROR(__xludf.DUMMYFUNCTION("IFERROR(if(ISBLANK(AQ54),"" "",GOOGLEFINANCE(AP54,""changepct"")), """")"),2.4)</f>
        <v>2.4</v>
      </c>
      <c r="AU54" s="45"/>
      <c r="AV54" s="34" t="s">
        <v>1152</v>
      </c>
      <c r="AW54" s="31" t="s">
        <v>73</v>
      </c>
      <c r="AX54" s="32" t="str">
        <f>IFERROR(__xludf.DUMMYFUNCTION("IFERROR(if(ISBLANK(AW54),"" "",GOOGLEFINANCE(AV54,""Name"")), """")"),"Sapphire Foods India Ltd")</f>
        <v>Sapphire Foods India Ltd</v>
      </c>
      <c r="AY54" s="51">
        <f>IFERROR(__xludf.DUMMYFUNCTION("IFERROR(if(ISBLANK(AW54),"" "",GOOGLEFINANCE(AV54,""price"")), """")"),231.3)</f>
        <v>231.3</v>
      </c>
      <c r="AZ54" s="22">
        <f>IFERROR(__xludf.DUMMYFUNCTION("IFERROR(if(ISBLANK(AW54),"" "",GOOGLEFINANCE(AV54,""changepct"")), """")"),-2.0)</f>
        <v>-2</v>
      </c>
      <c r="BA54" s="12"/>
      <c r="BB54" s="33" t="s">
        <v>1154</v>
      </c>
      <c r="BC54" s="31" t="s">
        <v>73</v>
      </c>
      <c r="BD54" s="32" t="str">
        <f>IFERROR(__xludf.DUMMYFUNCTION("IFERROR(if(ISBLANK(BC54),"" "",GOOGLEFINANCE(BB54,""Name"")), """")"),"Zota Health Care Ltd")</f>
        <v>Zota Health Care Ltd</v>
      </c>
      <c r="BE54" s="51">
        <f>IFERROR(__xludf.DUMMYFUNCTION("IFERROR(if(ISBLANK(BC54),"" "",GOOGLEFINANCE(BB54,""price"")), """")"),1246.0)</f>
        <v>1246</v>
      </c>
      <c r="BF54" s="22">
        <f>IFERROR(__xludf.DUMMYFUNCTION("IFERROR(if(ISBLANK(BC54),"" "",GOOGLEFINANCE(BB54,""changepct"")), """")"),-0.92)</f>
        <v>-0.92</v>
      </c>
      <c r="BG54" s="12"/>
      <c r="BH54" s="35" t="s">
        <v>1155</v>
      </c>
      <c r="BI54" s="31" t="s">
        <v>73</v>
      </c>
      <c r="BJ54" s="32" t="str">
        <f>IFERROR(__xludf.DUMMYFUNCTION("IFERROR(if(ISBLANK(BI54),"" "",GOOGLEFINANCE(BH54,""Name"")), """")"),"Sambhv Steel Tubes Ltd")</f>
        <v>Sambhv Steel Tubes Ltd</v>
      </c>
      <c r="BK54" s="51">
        <f>IFERROR(__xludf.DUMMYFUNCTION("IFERROR(if(ISBLANK(BI54),"" "",GOOGLEFINANCE(BH54,""price"")), """")"),118.43)</f>
        <v>118.43</v>
      </c>
      <c r="BL54" s="22">
        <f>IFERROR(__xludf.DUMMYFUNCTION("IFERROR(if(ISBLANK(BI54),"" "",GOOGLEFINANCE(BH54,""changepct"")), """")"),-0.16)</f>
        <v>-0.16</v>
      </c>
      <c r="BM54" s="12"/>
      <c r="BN54" s="33" t="s">
        <v>1156</v>
      </c>
      <c r="BO54" s="31" t="s">
        <v>73</v>
      </c>
      <c r="BP54" s="32" t="str">
        <f>IFERROR(__xludf.DUMMYFUNCTION("IFERROR(if(ISBLANK(BO54),"" "",GOOGLEFINANCE(BN54,""Name"")), """")"),"Nitco Ltd")</f>
        <v>Nitco Ltd</v>
      </c>
      <c r="BQ54" s="51">
        <f>IFERROR(__xludf.DUMMYFUNCTION("IFERROR(if(ISBLANK(BO54),"" "",GOOGLEFINANCE(BN54,""price"")), """")"),96.0)</f>
        <v>96</v>
      </c>
      <c r="BR54" s="22">
        <f>IFERROR(__xludf.DUMMYFUNCTION("IFERROR(if(ISBLANK(BO54),"" "",GOOGLEFINANCE(BN54,""changepct"")), """")"),-1.17)</f>
        <v>-1.17</v>
      </c>
      <c r="BS54" s="49"/>
      <c r="BT54" s="36"/>
      <c r="BU54" s="27" t="s">
        <v>1157</v>
      </c>
      <c r="BV54" s="31" t="s">
        <v>73</v>
      </c>
      <c r="BW54" s="32" t="str">
        <f>IFERROR(__xludf.DUMMYFUNCTION("IFERROR(if(ISBLANK(BV54),"" "",GOOGLEFINANCE(BU54,""Name"")), """")"),"Honda India Power Products Ltd")</f>
        <v>Honda India Power Products Ltd</v>
      </c>
      <c r="BX54" s="51">
        <f>IFERROR(__xludf.DUMMYFUNCTION("IFERROR(if(ISBLANK(BV54),"" "",GOOGLEFINANCE(BU54,""price"")), """")"),2100.3)</f>
        <v>2100.3</v>
      </c>
      <c r="BY54" s="22">
        <f>IFERROR(__xludf.DUMMYFUNCTION("IFERROR(if(ISBLANK(BV54),"" "",GOOGLEFINANCE(BU54,""changepct"")), """")"),-0.34)</f>
        <v>-0.34</v>
      </c>
      <c r="BZ54" s="49"/>
      <c r="CA54" s="37"/>
      <c r="CB54" s="27" t="s">
        <v>1158</v>
      </c>
      <c r="CC54" s="31" t="s">
        <v>73</v>
      </c>
      <c r="CD54" s="32" t="str">
        <f>IFERROR(__xludf.DUMMYFUNCTION("IFERROR(if(ISBLANK(CC54),"" "",GOOGLEFINANCE(CB54,""Name"")), """")"),"Garuda Construction and Engineering Ltd")</f>
        <v>Garuda Construction and Engineering Ltd</v>
      </c>
      <c r="CE54" s="51">
        <f>IFERROR(__xludf.DUMMYFUNCTION("IFERROR(if(ISBLANK(CC54),"" "",GOOGLEFINANCE(CB54,""price"")), """")"),183.37)</f>
        <v>183.37</v>
      </c>
      <c r="CF54" s="22">
        <f>IFERROR(__xludf.DUMMYFUNCTION("IFERROR(if(ISBLANK(CC54),"" "",GOOGLEFINANCE(CB54,""changepct"")), """")"),-3.83)</f>
        <v>-3.83</v>
      </c>
      <c r="CG54" s="12"/>
      <c r="CH54" s="18" t="s">
        <v>1159</v>
      </c>
      <c r="CI54" s="31" t="s">
        <v>73</v>
      </c>
      <c r="CJ54" s="32" t="str">
        <f>IFERROR(__xludf.DUMMYFUNCTION("IFERROR(if(ISBLANK(CI54),"" "",GOOGLEFINANCE(CH54,""Name"")), """")"),"Expleo Solutions Ltd")</f>
        <v>Expleo Solutions Ltd</v>
      </c>
      <c r="CK54" s="51">
        <f>IFERROR(__xludf.DUMMYFUNCTION("IFERROR(if(ISBLANK(CI54),"" "",GOOGLEFINANCE(CH54,""price"")), """")"),820.8)</f>
        <v>820.8</v>
      </c>
      <c r="CL54" s="22">
        <f>IFERROR(__xludf.DUMMYFUNCTION("IFERROR(if(ISBLANK(CI54),"" "",GOOGLEFINANCE(CH54,""changepct"")), """")"),-0.04)</f>
        <v>-0.04</v>
      </c>
      <c r="CM54" s="12"/>
      <c r="CN54" s="33" t="s">
        <v>1160</v>
      </c>
      <c r="CO54" s="31" t="s">
        <v>73</v>
      </c>
      <c r="CP54" s="32" t="str">
        <f>IFERROR(__xludf.DUMMYFUNCTION("IFERROR(if(ISBLANK(CO54),"" "",GOOGLEFINANCE(CN54,""Name"")), """")"),"Yuken India Ltd")</f>
        <v>Yuken India Ltd</v>
      </c>
      <c r="CQ54" s="51">
        <f>IFERROR(__xludf.DUMMYFUNCTION("IFERROR(if(ISBLANK(CO54),"" "",GOOGLEFINANCE(CN54,""price"")), """")"),858.0)</f>
        <v>858</v>
      </c>
      <c r="CR54" s="22">
        <f>IFERROR(__xludf.DUMMYFUNCTION("IFERROR(if(ISBLANK(CO54),"" "",GOOGLEFINANCE(CN54,""changepct"")), """")"),6.56)</f>
        <v>6.56</v>
      </c>
      <c r="CS54" s="45"/>
      <c r="CT54" s="33" t="s">
        <v>1161</v>
      </c>
      <c r="CU54" s="31" t="s">
        <v>73</v>
      </c>
      <c r="CV54" s="32" t="str">
        <f>IFERROR(__xludf.DUMMYFUNCTION("IFERROR(if(ISBLANK(CU54),"" "",GOOGLEFINANCE(CT54,""Name"")), """")"),"Zuari Industries Ltd")</f>
        <v>Zuari Industries Ltd</v>
      </c>
      <c r="CW54" s="51">
        <f>IFERROR(__xludf.DUMMYFUNCTION("IFERROR(if(ISBLANK(CU54),"" "",GOOGLEFINANCE(CT54,""price"")), """")"),265.0)</f>
        <v>265</v>
      </c>
      <c r="CX54" s="22">
        <f>IFERROR(__xludf.DUMMYFUNCTION("IFERROR(if(ISBLANK(CU54),"" "",GOOGLEFINANCE(CT54,""changepct"")), """")"),2.59)</f>
        <v>2.59</v>
      </c>
      <c r="CY54" s="17"/>
      <c r="CZ54" s="33" t="s">
        <v>1163</v>
      </c>
      <c r="DA54" s="31" t="s">
        <v>73</v>
      </c>
      <c r="DB54" s="32" t="str">
        <f>IFERROR(__xludf.DUMMYFUNCTION("IFERROR(if(ISBLANK(DA54),"" "",GOOGLEFINANCE(CZ54,""Name"")), """")"),"Linc Ltd")</f>
        <v>Linc Ltd</v>
      </c>
      <c r="DC54" s="51">
        <f>IFERROR(__xludf.DUMMYFUNCTION("IFERROR(if(ISBLANK(DA54),"" "",GOOGLEFINANCE(CZ54,""price"")), """")"),98.44)</f>
        <v>98.44</v>
      </c>
      <c r="DD54" s="22">
        <f>IFERROR(__xludf.DUMMYFUNCTION("IFERROR(if(ISBLANK(DA54),"" "",GOOGLEFINANCE(CZ54,""changepct"")), """")"),1.2)</f>
        <v>1.2</v>
      </c>
      <c r="DE54" s="45"/>
      <c r="DF54" s="12"/>
    </row>
    <row r="55" ht="11.25" customHeight="1">
      <c r="A55" s="50"/>
      <c r="B55" s="18" t="s">
        <v>1164</v>
      </c>
      <c r="C55" s="31" t="s">
        <v>95</v>
      </c>
      <c r="D55" s="32" t="str">
        <f>IFERROR(__xludf.DUMMYFUNCTION("IFERROR(if(ISBLANK(C55),"" "",GOOGLEFINANCE(B55,""Name"")), """")"),"Jio Financial Services Ltd")</f>
        <v>Jio Financial Services Ltd</v>
      </c>
      <c r="E55" s="51">
        <f>IFERROR(__xludf.DUMMYFUNCTION("IFERROR(if(ISBLANK(C55),"" "",GOOGLEFINANCE(B55,""price"")), """")"),254.8)</f>
        <v>254.8</v>
      </c>
      <c r="F55" s="22">
        <f>IFERROR(__xludf.DUMMYFUNCTION("IFERROR(if(ISBLANK(C55),"" "",GOOGLEFINANCE(B55,""changepct"")), """")"),0.81)</f>
        <v>0.81</v>
      </c>
      <c r="G55" s="49"/>
      <c r="H55" s="36"/>
      <c r="I55" s="25" t="s">
        <v>1165</v>
      </c>
      <c r="J55" s="31" t="s">
        <v>95</v>
      </c>
      <c r="K55" s="32" t="str">
        <f>IFERROR(__xludf.DUMMYFUNCTION("IFERROR(if(ISBLANK(J55),"" "",GOOGLEFINANCE(I55,""Name"")), """")"),"Nippon Life India Asset Management Ltd")</f>
        <v>Nippon Life India Asset Management Ltd</v>
      </c>
      <c r="L55" s="51">
        <f>IFERROR(__xludf.DUMMYFUNCTION("IFERROR(if(ISBLANK(J55),"" "",GOOGLEFINANCE(I55,""price"")), """")"),1175.0)</f>
        <v>1175</v>
      </c>
      <c r="M55" s="22">
        <f>IFERROR(__xludf.DUMMYFUNCTION("IFERROR(if(ISBLANK(J55),"" "",GOOGLEFINANCE(I55,""changepct"")), """")"),0.32)</f>
        <v>0.32</v>
      </c>
      <c r="N55" s="49"/>
      <c r="O55" s="37"/>
      <c r="P55" s="27" t="s">
        <v>1166</v>
      </c>
      <c r="Q55" s="31" t="s">
        <v>95</v>
      </c>
      <c r="R55" s="32" t="str">
        <f>IFERROR(__xludf.DUMMYFUNCTION("IFERROR(if(ISBLANK(Q55),"" "",GOOGLEFINANCE(P55,""Name"")), """")"),"Delhivery")</f>
        <v>Delhivery</v>
      </c>
      <c r="S55" s="51">
        <f>IFERROR(__xludf.DUMMYFUNCTION("IFERROR(if(ISBLANK(Q55),"" "",GOOGLEFINANCE(P55,""price"")), """")"),469.4)</f>
        <v>469.4</v>
      </c>
      <c r="T55" s="22">
        <f>IFERROR(__xludf.DUMMYFUNCTION("IFERROR(if(ISBLANK(Q55),"" "",GOOGLEFINANCE(P55,""changepct"")), """")"),-0.86)</f>
        <v>-0.86</v>
      </c>
      <c r="U55" s="12"/>
      <c r="V55" s="18" t="s">
        <v>1167</v>
      </c>
      <c r="W55" s="31" t="s">
        <v>95</v>
      </c>
      <c r="X55" s="32" t="str">
        <f>IFERROR(__xludf.DUMMYFUNCTION("IFERROR(if(ISBLANK(W55),"" "",GOOGLEFINANCE(V55,""Name"")), """")"),"Sundram Fasteners Ltd")</f>
        <v>Sundram Fasteners Ltd</v>
      </c>
      <c r="Y55" s="51">
        <f>IFERROR(__xludf.DUMMYFUNCTION("IFERROR(if(ISBLANK(W55),"" "",GOOGLEFINANCE(V55,""price"")), """")"),1217.0)</f>
        <v>1217</v>
      </c>
      <c r="Z55" s="22">
        <f>IFERROR(__xludf.DUMMYFUNCTION("IFERROR(if(ISBLANK(W55),"" "",GOOGLEFINANCE(V55,""changepct"")), """")"),0.57)</f>
        <v>0.57</v>
      </c>
      <c r="AA55" s="12"/>
      <c r="AB55" s="18" t="s">
        <v>1168</v>
      </c>
      <c r="AC55" s="31" t="s">
        <v>95</v>
      </c>
      <c r="AD55" s="32" t="str">
        <f>IFERROR(__xludf.DUMMYFUNCTION("IFERROR(if(ISBLANK(AC55),"" "",GOOGLEFINANCE(AB55,""Name"")), """")"),"Gallantt Ispat Ltd")</f>
        <v>Gallantt Ispat Ltd</v>
      </c>
      <c r="AE55" s="51">
        <f>IFERROR(__xludf.DUMMYFUNCTION("IFERROR(if(ISBLANK(AC55),"" "",GOOGLEFINANCE(AB55,""price"")), """")"),590.85)</f>
        <v>590.85</v>
      </c>
      <c r="AF55" s="22">
        <f>IFERROR(__xludf.DUMMYFUNCTION("IFERROR(if(ISBLANK(AC55),"" "",GOOGLEFINANCE(AB55,""changepct"")), """")"),-0.45)</f>
        <v>-0.45</v>
      </c>
      <c r="AG55" s="45"/>
      <c r="AH55" s="27" t="s">
        <v>1169</v>
      </c>
      <c r="AI55" s="31" t="s">
        <v>95</v>
      </c>
      <c r="AJ55" s="32" t="str">
        <f>IFERROR(__xludf.DUMMYFUNCTION("IFERROR(if(ISBLANK(AI55),"" "",GOOGLEFINANCE(AH55,""Name"")), """")"),"Olectra Greentech Ltd")</f>
        <v>Olectra Greentech Ltd</v>
      </c>
      <c r="AK55" s="51">
        <f>IFERROR(__xludf.DUMMYFUNCTION("IFERROR(if(ISBLANK(AI55),"" "",GOOGLEFINANCE(AH55,""price"")), """")"),1383.8)</f>
        <v>1383.8</v>
      </c>
      <c r="AL55" s="22">
        <f>IFERROR(__xludf.DUMMYFUNCTION("IFERROR(if(ISBLANK(AI55),"" "",GOOGLEFINANCE(AH55,""changepct"")), """")"),-0.56)</f>
        <v>-0.56</v>
      </c>
      <c r="AM55" s="44"/>
      <c r="AN55" s="31" t="s">
        <v>200</v>
      </c>
      <c r="AO55" s="32" t="str">
        <f>IFERROR(__xludf.DUMMYFUNCTION("IFERROR(if(ISBLANK(AN55),"" "",GOOGLEFINANCE(AM55,""Name"")), """")"),"")</f>
        <v/>
      </c>
      <c r="AP55" s="33" t="s">
        <v>1171</v>
      </c>
      <c r="AQ55" s="31" t="s">
        <v>95</v>
      </c>
      <c r="AR55" s="32" t="str">
        <f>IFERROR(__xludf.DUMMYFUNCTION("IFERROR(if(ISBLANK(AQ55),"" "",GOOGLEFINANCE(AP55,""Name"")), """")"),"Tata Teleservices (Maharashtra) Ltd")</f>
        <v>Tata Teleservices (Maharashtra) Ltd</v>
      </c>
      <c r="AS55" s="51">
        <f>IFERROR(__xludf.DUMMYFUNCTION("IFERROR(if(ISBLANK(AQ55),"" "",GOOGLEFINANCE(AP55,""price"")), """")"),38.13)</f>
        <v>38.13</v>
      </c>
      <c r="AT55" s="22">
        <f>IFERROR(__xludf.DUMMYFUNCTION("IFERROR(if(ISBLANK(AQ55),"" "",GOOGLEFINANCE(AP55,""changepct"")), """")"),-1.75)</f>
        <v>-1.75</v>
      </c>
      <c r="AU55" s="45"/>
      <c r="AV55" s="34" t="s">
        <v>1172</v>
      </c>
      <c r="AW55" s="31" t="s">
        <v>95</v>
      </c>
      <c r="AX55" s="32" t="str">
        <f>IFERROR(__xludf.DUMMYFUNCTION("IFERROR(if(ISBLANK(AW55),"" "",GOOGLEFINANCE(AV55,""Name"")), """")"),"Waterways Leisure Tourism Ltd")</f>
        <v>Waterways Leisure Tourism Ltd</v>
      </c>
      <c r="AY55" s="51">
        <f>IFERROR(__xludf.DUMMYFUNCTION("IFERROR(if(ISBLANK(AW55),"" "",GOOGLEFINANCE(AV55,""price"")), """")"),821.5)</f>
        <v>821.5</v>
      </c>
      <c r="AZ55" s="22">
        <f>IFERROR(__xludf.DUMMYFUNCTION("IFERROR(if(ISBLANK(AW55),"" "",GOOGLEFINANCE(AV55,""changepct"")), """")"),-1.47)</f>
        <v>-1.47</v>
      </c>
      <c r="BA55" s="12"/>
      <c r="BB55" s="33" t="s">
        <v>1173</v>
      </c>
      <c r="BC55" s="31" t="s">
        <v>95</v>
      </c>
      <c r="BD55" s="32" t="str">
        <f>IFERROR(__xludf.DUMMYFUNCTION("IFERROR(if(ISBLANK(BC55),"" "",GOOGLEFINANCE(BB55,""Name"")), """")"),"NACL Industries Ltd")</f>
        <v>NACL Industries Ltd</v>
      </c>
      <c r="BE55" s="51">
        <f>IFERROR(__xludf.DUMMYFUNCTION("IFERROR(if(ISBLANK(BC55),"" "",GOOGLEFINANCE(BB55,""price"")), """")"),170.77)</f>
        <v>170.77</v>
      </c>
      <c r="BF55" s="22">
        <f>IFERROR(__xludf.DUMMYFUNCTION("IFERROR(if(ISBLANK(BC55),"" "",GOOGLEFINANCE(BB55,""changepct"")), """")"),-3.3)</f>
        <v>-3.3</v>
      </c>
      <c r="BG55" s="12"/>
      <c r="BH55" s="35" t="s">
        <v>1174</v>
      </c>
      <c r="BI55" s="31" t="s">
        <v>95</v>
      </c>
      <c r="BJ55" s="32" t="str">
        <f>IFERROR(__xludf.DUMMYFUNCTION("IFERROR(if(ISBLANK(BI55),"" "",GOOGLEFINANCE(BH55,""Name"")), """")"),"Turtlemint Fintech Solutions Ltd")</f>
        <v>Turtlemint Fintech Solutions Ltd</v>
      </c>
      <c r="BK55" s="51">
        <f>IFERROR(__xludf.DUMMYFUNCTION("IFERROR(if(ISBLANK(BI55),"" "",GOOGLEFINANCE(BH55,""price"")), """")"),132.77)</f>
        <v>132.77</v>
      </c>
      <c r="BL55" s="22">
        <f>IFERROR(__xludf.DUMMYFUNCTION("IFERROR(if(ISBLANK(BI55),"" "",GOOGLEFINANCE(BH55,""changepct"")), """")"),5.47)</f>
        <v>5.47</v>
      </c>
      <c r="BM55" s="12"/>
      <c r="BN55" s="33" t="s">
        <v>1176</v>
      </c>
      <c r="BO55" s="31" t="s">
        <v>95</v>
      </c>
      <c r="BP55" s="32" t="str">
        <f>IFERROR(__xludf.DUMMYFUNCTION("IFERROR(if(ISBLANK(BO55),"" "",GOOGLEFINANCE(BN55,""Name"")), """")"),"GSP Crop Science Ltd")</f>
        <v>GSP Crop Science Ltd</v>
      </c>
      <c r="BQ55" s="51">
        <f>IFERROR(__xludf.DUMMYFUNCTION("IFERROR(if(ISBLANK(BO55),"" "",GOOGLEFINANCE(BN55,""price"")), """")"),591.95)</f>
        <v>591.95</v>
      </c>
      <c r="BR55" s="22">
        <f>IFERROR(__xludf.DUMMYFUNCTION("IFERROR(if(ISBLANK(BO55),"" "",GOOGLEFINANCE(BN55,""changepct"")), """")"),-0.08)</f>
        <v>-0.08</v>
      </c>
      <c r="BS55" s="49"/>
      <c r="BT55" s="36"/>
      <c r="BU55" s="27" t="s">
        <v>1177</v>
      </c>
      <c r="BV55" s="31" t="s">
        <v>95</v>
      </c>
      <c r="BW55" s="32" t="str">
        <f>IFERROR(__xludf.DUMMYFUNCTION("IFERROR(if(ISBLANK(BV55),"" "",GOOGLEFINANCE(BU55,""Name"")), """")"),"Paramount Communications Ltd")</f>
        <v>Paramount Communications Ltd</v>
      </c>
      <c r="BX55" s="51">
        <f>IFERROR(__xludf.DUMMYFUNCTION("IFERROR(if(ISBLANK(BV55),"" "",GOOGLEFINANCE(BU55,""price"")), """")"),68.16)</f>
        <v>68.16</v>
      </c>
      <c r="BY55" s="22">
        <f>IFERROR(__xludf.DUMMYFUNCTION("IFERROR(if(ISBLANK(BV55),"" "",GOOGLEFINANCE(BU55,""changepct"")), """")"),0.4)</f>
        <v>0.4</v>
      </c>
      <c r="BZ55" s="49"/>
      <c r="CA55" s="37"/>
      <c r="CB55" s="27" t="s">
        <v>1178</v>
      </c>
      <c r="CC55" s="31" t="s">
        <v>95</v>
      </c>
      <c r="CD55" s="32" t="str">
        <f>IFERROR(__xludf.DUMMYFUNCTION("IFERROR(if(ISBLANK(CC55),"" "",GOOGLEFINANCE(CB55,""Name"")), """")"),"D-link (India) Ltd")</f>
        <v>D-link (India) Ltd</v>
      </c>
      <c r="CE55" s="51">
        <f>IFERROR(__xludf.DUMMYFUNCTION("IFERROR(if(ISBLANK(CC55),"" "",GOOGLEFINANCE(CB55,""price"")), """")"),423.0)</f>
        <v>423</v>
      </c>
      <c r="CF55" s="22">
        <f>IFERROR(__xludf.DUMMYFUNCTION("IFERROR(if(ISBLANK(CC55),"" "",GOOGLEFINANCE(CB55,""changepct"")), """")"),-2.19)</f>
        <v>-2.19</v>
      </c>
      <c r="CG55" s="12"/>
      <c r="CH55" s="18" t="s">
        <v>1179</v>
      </c>
      <c r="CI55" s="31" t="s">
        <v>95</v>
      </c>
      <c r="CJ55" s="32" t="str">
        <f>IFERROR(__xludf.DUMMYFUNCTION("IFERROR(if(ISBLANK(CI55),"" "",GOOGLEFINANCE(CH55,""Name"")), """")"),"Platinum Industries Ltd")</f>
        <v>Platinum Industries Ltd</v>
      </c>
      <c r="CK55" s="51">
        <f>IFERROR(__xludf.DUMMYFUNCTION("IFERROR(if(ISBLANK(CI55),"" "",GOOGLEFINANCE(CH55,""price"")), """")"),221.5)</f>
        <v>221.5</v>
      </c>
      <c r="CL55" s="22">
        <f>IFERROR(__xludf.DUMMYFUNCTION("IFERROR(if(ISBLANK(CI55),"" "",GOOGLEFINANCE(CH55,""changepct"")), """")"),2.79)</f>
        <v>2.79</v>
      </c>
      <c r="CM55" s="12"/>
      <c r="CN55" s="33" t="s">
        <v>1180</v>
      </c>
      <c r="CO55" s="31" t="s">
        <v>95</v>
      </c>
      <c r="CP55" s="32" t="str">
        <f>IFERROR(__xludf.DUMMYFUNCTION("IFERROR(if(ISBLANK(CO55),"" "",GOOGLEFINANCE(CN55,""Name"")), """")"),"GKW Ltd")</f>
        <v>GKW Ltd</v>
      </c>
      <c r="CQ55" s="51">
        <f>IFERROR(__xludf.DUMMYFUNCTION("IFERROR(if(ISBLANK(CO55),"" "",GOOGLEFINANCE(CN55,""price"")), """")"),1635.0)</f>
        <v>1635</v>
      </c>
      <c r="CR55" s="22">
        <f>IFERROR(__xludf.DUMMYFUNCTION("IFERROR(if(ISBLANK(CO55),"" "",GOOGLEFINANCE(CN55,""changepct"")), """")"),-1.23)</f>
        <v>-1.23</v>
      </c>
      <c r="CS55" s="45"/>
      <c r="CT55" s="33" t="s">
        <v>1182</v>
      </c>
      <c r="CU55" s="31" t="s">
        <v>95</v>
      </c>
      <c r="CV55" s="32" t="str">
        <f>IFERROR(__xludf.DUMMYFUNCTION("IFERROR(if(ISBLANK(CU55),"" "",GOOGLEFINANCE(CT55,""Name"")), """")"),"Hardwyn India Ltd")</f>
        <v>Hardwyn India Ltd</v>
      </c>
      <c r="CW55" s="51">
        <f>IFERROR(__xludf.DUMMYFUNCTION("IFERROR(if(ISBLANK(CU55),"" "",GOOGLEFINANCE(CT55,""price"")), """")"),11.25)</f>
        <v>11.25</v>
      </c>
      <c r="CX55" s="22">
        <f>IFERROR(__xludf.DUMMYFUNCTION("IFERROR(if(ISBLANK(CU55),"" "",GOOGLEFINANCE(CT55,""changepct"")), """")"),0.72)</f>
        <v>0.72</v>
      </c>
      <c r="CY55" s="17"/>
      <c r="CZ55" s="33" t="s">
        <v>1183</v>
      </c>
      <c r="DA55" s="31" t="s">
        <v>95</v>
      </c>
      <c r="DB55" s="32" t="str">
        <f>IFERROR(__xludf.DUMMYFUNCTION("IFERROR(if(ISBLANK(DA55),"" "",GOOGLEFINANCE(CZ55,""Name"")), """")"),"ZIM Laboratories Ltd")</f>
        <v>ZIM Laboratories Ltd</v>
      </c>
      <c r="DC55" s="51">
        <f>IFERROR(__xludf.DUMMYFUNCTION("IFERROR(if(ISBLANK(DA55),"" "",GOOGLEFINANCE(CZ55,""price"")), """")"),108.99)</f>
        <v>108.99</v>
      </c>
      <c r="DD55" s="22">
        <f>IFERROR(__xludf.DUMMYFUNCTION("IFERROR(if(ISBLANK(DA55),"" "",GOOGLEFINANCE(CZ55,""changepct"")), """")"),-1.39)</f>
        <v>-1.39</v>
      </c>
      <c r="DE55" s="45"/>
      <c r="DF55" s="12"/>
    </row>
    <row r="56" ht="11.25" customHeight="1">
      <c r="A56" s="52"/>
      <c r="B56" s="18" t="s">
        <v>1184</v>
      </c>
      <c r="C56" s="31" t="s">
        <v>95</v>
      </c>
      <c r="D56" s="32" t="str">
        <f>IFERROR(__xludf.DUMMYFUNCTION("IFERROR(if(ISBLANK(C56),"" "",GOOGLEFINANCE(B56,""Name"")), """")"),"Solar Industries India Ltd")</f>
        <v>Solar Industries India Ltd</v>
      </c>
      <c r="E56" s="51">
        <f>IFERROR(__xludf.DUMMYFUNCTION("IFERROR(if(ISBLANK(C56),"" "",GOOGLEFINANCE(B56,""price"")), """")"),18669.0)</f>
        <v>18669</v>
      </c>
      <c r="F56" s="22">
        <f>IFERROR(__xludf.DUMMYFUNCTION("IFERROR(if(ISBLANK(C56),"" "",GOOGLEFINANCE(B56,""changepct"")), """")"),-0.54)</f>
        <v>-0.54</v>
      </c>
      <c r="G56" s="53"/>
      <c r="H56" s="54"/>
      <c r="I56" s="25" t="s">
        <v>1185</v>
      </c>
      <c r="J56" s="31" t="s">
        <v>95</v>
      </c>
      <c r="K56" s="32" t="str">
        <f>IFERROR(__xludf.DUMMYFUNCTION("IFERROR(if(ISBLANK(J56),"" "",GOOGLEFINANCE(I56,""Name"")), """")"),"PB Fintech Ltd")</f>
        <v>PB Fintech Ltd</v>
      </c>
      <c r="L56" s="51">
        <f>IFERROR(__xludf.DUMMYFUNCTION("IFERROR(if(ISBLANK(J56),"" "",GOOGLEFINANCE(I56,""price"")), """")"),1718.2)</f>
        <v>1718.2</v>
      </c>
      <c r="M56" s="22">
        <f>IFERROR(__xludf.DUMMYFUNCTION("IFERROR(if(ISBLANK(J56),"" "",GOOGLEFINANCE(I56,""changepct"")), """")"),-0.85)</f>
        <v>-0.85</v>
      </c>
      <c r="N56" s="53"/>
      <c r="O56" s="55"/>
      <c r="P56" s="27" t="s">
        <v>1187</v>
      </c>
      <c r="Q56" s="31" t="s">
        <v>95</v>
      </c>
      <c r="R56" s="32" t="str">
        <f>IFERROR(__xludf.DUMMYFUNCTION("IFERROR(if(ISBLANK(Q56),"" "",GOOGLEFINANCE(P56,""Name"")), """")"),"KPR Mill Ltd")</f>
        <v>KPR Mill Ltd</v>
      </c>
      <c r="S56" s="51">
        <f>IFERROR(__xludf.DUMMYFUNCTION("IFERROR(if(ISBLANK(Q56),"" "",GOOGLEFINANCE(P56,""price"")), """")"),1087.5)</f>
        <v>1087.5</v>
      </c>
      <c r="T56" s="22">
        <f>IFERROR(__xludf.DUMMYFUNCTION("IFERROR(if(ISBLANK(Q56),"" "",GOOGLEFINANCE(P56,""changepct"")), """")"),-0.82)</f>
        <v>-0.82</v>
      </c>
      <c r="U56" s="56"/>
      <c r="V56" s="18" t="s">
        <v>1188</v>
      </c>
      <c r="W56" s="31" t="s">
        <v>95</v>
      </c>
      <c r="X56" s="32" t="str">
        <f>IFERROR(__xludf.DUMMYFUNCTION("IFERROR(if(ISBLANK(W56),"" "",GOOGLEFINANCE(V56,""Name"")), """")"),"City Union Bank Ltd")</f>
        <v>City Union Bank Ltd</v>
      </c>
      <c r="Y56" s="51">
        <f>IFERROR(__xludf.DUMMYFUNCTION("IFERROR(if(ISBLANK(W56),"" "",GOOGLEFINANCE(V56,""price"")), """")"),214.75)</f>
        <v>214.75</v>
      </c>
      <c r="Z56" s="22">
        <f>IFERROR(__xludf.DUMMYFUNCTION("IFERROR(if(ISBLANK(W56),"" "",GOOGLEFINANCE(V56,""changepct"")), """")"),0.5)</f>
        <v>0.5</v>
      </c>
      <c r="AA56" s="56"/>
      <c r="AB56" s="18" t="s">
        <v>1189</v>
      </c>
      <c r="AC56" s="31" t="s">
        <v>95</v>
      </c>
      <c r="AD56" s="32" t="str">
        <f>IFERROR(__xludf.DUMMYFUNCTION("IFERROR(if(ISBLANK(AC56),"" "",GOOGLEFINANCE(AB56,""Name"")), """")"),"Azad Engineering Ltd")</f>
        <v>Azad Engineering Ltd</v>
      </c>
      <c r="AE56" s="51">
        <f>IFERROR(__xludf.DUMMYFUNCTION("IFERROR(if(ISBLANK(AC56),"" "",GOOGLEFINANCE(AB56,""price"")), """")"),2487.0)</f>
        <v>2487</v>
      </c>
      <c r="AF56" s="22">
        <f>IFERROR(__xludf.DUMMYFUNCTION("IFERROR(if(ISBLANK(AC56),"" "",GOOGLEFINANCE(AB56,""changepct"")), """")"),0.6)</f>
        <v>0.6</v>
      </c>
      <c r="AG56" s="57"/>
      <c r="AH56" s="27" t="s">
        <v>1190</v>
      </c>
      <c r="AI56" s="31" t="s">
        <v>95</v>
      </c>
      <c r="AJ56" s="32" t="str">
        <f>IFERROR(__xludf.DUMMYFUNCTION("IFERROR(if(ISBLANK(AI56),"" "",GOOGLEFINANCE(AH56,""Name"")), """")"),"Jupiter Life Line Hospitals Ltd")</f>
        <v>Jupiter Life Line Hospitals Ltd</v>
      </c>
      <c r="AK56" s="51">
        <f>IFERROR(__xludf.DUMMYFUNCTION("IFERROR(if(ISBLANK(AI56),"" "",GOOGLEFINANCE(AH56,""price"")), """")"),306.8)</f>
        <v>306.8</v>
      </c>
      <c r="AL56" s="22">
        <f>IFERROR(__xludf.DUMMYFUNCTION("IFERROR(if(ISBLANK(AI56),"" "",GOOGLEFINANCE(AH56,""changepct"")), """")"),-1.84)</f>
        <v>-1.84</v>
      </c>
      <c r="AM56" s="58"/>
      <c r="AN56" s="52" t="s">
        <v>200</v>
      </c>
      <c r="AO56" s="59" t="str">
        <f>IFERROR(__xludf.DUMMYFUNCTION("IFERROR(if(ISBLANK(AN56),"" "",GOOGLEFINANCE(AM56,""Name"")), """")"),"")</f>
        <v/>
      </c>
      <c r="AP56" s="33" t="s">
        <v>1192</v>
      </c>
      <c r="AQ56" s="31" t="s">
        <v>95</v>
      </c>
      <c r="AR56" s="32" t="str">
        <f>IFERROR(__xludf.DUMMYFUNCTION("IFERROR(if(ISBLANK(AQ56),"" "",GOOGLEFINANCE(AP56,""Name"")), """")"),"Clean Science and Technology Ltd")</f>
        <v>Clean Science and Technology Ltd</v>
      </c>
      <c r="AS56" s="51">
        <f>IFERROR(__xludf.DUMMYFUNCTION("IFERROR(if(ISBLANK(AQ56),"" "",GOOGLEFINANCE(AP56,""price"")), """")"),805.0)</f>
        <v>805</v>
      </c>
      <c r="AT56" s="22">
        <f>IFERROR(__xludf.DUMMYFUNCTION("IFERROR(if(ISBLANK(AQ56),"" "",GOOGLEFINANCE(AP56,""changepct"")), """")"),-0.62)</f>
        <v>-0.62</v>
      </c>
      <c r="AU56" s="57"/>
      <c r="AV56" s="34" t="s">
        <v>1193</v>
      </c>
      <c r="AW56" s="31" t="s">
        <v>95</v>
      </c>
      <c r="AX56" s="32" t="str">
        <f>IFERROR(__xludf.DUMMYFUNCTION("IFERROR(if(ISBLANK(AW56),"" "",GOOGLEFINANCE(AV56,""Name"")), """")"),"Alok Industries Ltd")</f>
        <v>Alok Industries Ltd</v>
      </c>
      <c r="AY56" s="51">
        <f>IFERROR(__xludf.DUMMYFUNCTION("IFERROR(if(ISBLANK(AW56),"" "",GOOGLEFINANCE(AV56,""price"")), """")"),11.81)</f>
        <v>11.81</v>
      </c>
      <c r="AZ56" s="22">
        <f>IFERROR(__xludf.DUMMYFUNCTION("IFERROR(if(ISBLANK(AW56),"" "",GOOGLEFINANCE(AV56,""changepct"")), """")"),-0.25)</f>
        <v>-0.25</v>
      </c>
      <c r="BA56" s="56"/>
      <c r="BB56" s="33" t="s">
        <v>1194</v>
      </c>
      <c r="BC56" s="31" t="s">
        <v>95</v>
      </c>
      <c r="BD56" s="32" t="str">
        <f>IFERROR(__xludf.DUMMYFUNCTION("IFERROR(if(ISBLANK(BC56),"" "",GOOGLEFINANCE(BB56,""Name"")), """")"),"Mahindra Holidays and Resorts India Ltd")</f>
        <v>Mahindra Holidays and Resorts India Ltd</v>
      </c>
      <c r="BE56" s="51">
        <f>IFERROR(__xludf.DUMMYFUNCTION("IFERROR(if(ISBLANK(BC56),"" "",GOOGLEFINANCE(BB56,""price"")), """")"),226.52)</f>
        <v>226.52</v>
      </c>
      <c r="BF56" s="22">
        <f>IFERROR(__xludf.DUMMYFUNCTION("IFERROR(if(ISBLANK(BC56),"" "",GOOGLEFINANCE(BB56,""changepct"")), """")"),0.42)</f>
        <v>0.42</v>
      </c>
      <c r="BG56" s="56"/>
      <c r="BH56" s="35" t="s">
        <v>1195</v>
      </c>
      <c r="BI56" s="31" t="s">
        <v>95</v>
      </c>
      <c r="BJ56" s="32" t="str">
        <f>IFERROR(__xludf.DUMMYFUNCTION("IFERROR(if(ISBLANK(BI56),"" "",GOOGLEFINANCE(BH56,""Name"")), """")"),"Advanced Enzyme Technologies Ltd")</f>
        <v>Advanced Enzyme Technologies Ltd</v>
      </c>
      <c r="BK56" s="51">
        <f>IFERROR(__xludf.DUMMYFUNCTION("IFERROR(if(ISBLANK(BI56),"" "",GOOGLEFINANCE(BH56,""price"")), """")"),302.0)</f>
        <v>302</v>
      </c>
      <c r="BL56" s="22">
        <f>IFERROR(__xludf.DUMMYFUNCTION("IFERROR(if(ISBLANK(BI56),"" "",GOOGLEFINANCE(BH56,""changepct"")), """")"),1.24)</f>
        <v>1.24</v>
      </c>
      <c r="BM56" s="56"/>
      <c r="BN56" s="33" t="s">
        <v>1196</v>
      </c>
      <c r="BO56" s="31" t="s">
        <v>95</v>
      </c>
      <c r="BP56" s="32" t="str">
        <f>IFERROR(__xludf.DUMMYFUNCTION("IFERROR(if(ISBLANK(BO56),"" "",GOOGLEFINANCE(BN56,""Name"")), """")"),"Patel Engineering Ltd")</f>
        <v>Patel Engineering Ltd</v>
      </c>
      <c r="BQ56" s="51">
        <f>IFERROR(__xludf.DUMMYFUNCTION("IFERROR(if(ISBLANK(BO56),"" "",GOOGLEFINANCE(BN56,""price"")), """")"),29.3)</f>
        <v>29.3</v>
      </c>
      <c r="BR56" s="22">
        <f>IFERROR(__xludf.DUMMYFUNCTION("IFERROR(if(ISBLANK(BO56),"" "",GOOGLEFINANCE(BN56,""changepct"")), """")"),-3.17)</f>
        <v>-3.17</v>
      </c>
      <c r="BS56" s="53"/>
      <c r="BT56" s="54"/>
      <c r="BU56" s="27" t="s">
        <v>1198</v>
      </c>
      <c r="BV56" s="31" t="s">
        <v>95</v>
      </c>
      <c r="BW56" s="32" t="str">
        <f>IFERROR(__xludf.DUMMYFUNCTION("IFERROR(if(ISBLANK(BV56),"" "",GOOGLEFINANCE(BU56,""Name"")), """")"),"Prabha Energy Ltd")</f>
        <v>Prabha Energy Ltd</v>
      </c>
      <c r="BX56" s="51">
        <f>IFERROR(__xludf.DUMMYFUNCTION("IFERROR(if(ISBLANK(BV56),"" "",GOOGLEFINANCE(BU56,""price"")), """")"),159.0)</f>
        <v>159</v>
      </c>
      <c r="BY56" s="22">
        <f>IFERROR(__xludf.DUMMYFUNCTION("IFERROR(if(ISBLANK(BV56),"" "",GOOGLEFINANCE(BU56,""changepct"")), """")"),-0.6)</f>
        <v>-0.6</v>
      </c>
      <c r="BZ56" s="53"/>
      <c r="CA56" s="55"/>
      <c r="CB56" s="27" t="s">
        <v>1199</v>
      </c>
      <c r="CC56" s="31" t="s">
        <v>95</v>
      </c>
      <c r="CD56" s="32" t="str">
        <f>IFERROR(__xludf.DUMMYFUNCTION("IFERROR(if(ISBLANK(CC56),"" "",GOOGLEFINANCE(CB56,""Name"")), """")"),"Wonder Electricals Ltd")</f>
        <v>Wonder Electricals Ltd</v>
      </c>
      <c r="CE56" s="51">
        <f>IFERROR(__xludf.DUMMYFUNCTION("IFERROR(if(ISBLANK(CC56),"" "",GOOGLEFINANCE(CB56,""price"")), """")"),137.0)</f>
        <v>137</v>
      </c>
      <c r="CF56" s="22">
        <f>IFERROR(__xludf.DUMMYFUNCTION("IFERROR(if(ISBLANK(CC56),"" "",GOOGLEFINANCE(CB56,""changepct"")), """")"),1.86)</f>
        <v>1.86</v>
      </c>
      <c r="CG56" s="56"/>
      <c r="CH56" s="18" t="s">
        <v>1200</v>
      </c>
      <c r="CI56" s="31" t="s">
        <v>95</v>
      </c>
      <c r="CJ56" s="32" t="str">
        <f>IFERROR(__xludf.DUMMYFUNCTION("IFERROR(if(ISBLANK(CI56),"" "",GOOGLEFINANCE(CH56,""Name"")), """")"),"Excel Industries Ltd")</f>
        <v>Excel Industries Ltd</v>
      </c>
      <c r="CK56" s="51">
        <f>IFERROR(__xludf.DUMMYFUNCTION("IFERROR(if(ISBLANK(CI56),"" "",GOOGLEFINANCE(CH56,""price"")), """")"),1045.5)</f>
        <v>1045.5</v>
      </c>
      <c r="CL56" s="22">
        <f>IFERROR(__xludf.DUMMYFUNCTION("IFERROR(if(ISBLANK(CI56),"" "",GOOGLEFINANCE(CH56,""changepct"")), """")"),1.07)</f>
        <v>1.07</v>
      </c>
      <c r="CM56" s="56"/>
      <c r="CN56" s="33" t="s">
        <v>1201</v>
      </c>
      <c r="CO56" s="31" t="s">
        <v>95</v>
      </c>
      <c r="CP56" s="32" t="str">
        <f>IFERROR(__xludf.DUMMYFUNCTION("IFERROR(if(ISBLANK(CO56),"" "",GOOGLEFINANCE(CN56,""Name"")), """")"),"Precot Ltd")</f>
        <v>Precot Ltd</v>
      </c>
      <c r="CQ56" s="51">
        <f>IFERROR(__xludf.DUMMYFUNCTION("IFERROR(if(ISBLANK(CO56),"" "",GOOGLEFINANCE(CN56,""price"")), """")"),799.75)</f>
        <v>799.75</v>
      </c>
      <c r="CR56" s="22">
        <f>IFERROR(__xludf.DUMMYFUNCTION("IFERROR(if(ISBLANK(CO56),"" "",GOOGLEFINANCE(CN56,""changepct"")), """")"),2.01)</f>
        <v>2.01</v>
      </c>
      <c r="CS56" s="57"/>
      <c r="CT56" s="33" t="s">
        <v>1203</v>
      </c>
      <c r="CU56" s="31" t="s">
        <v>95</v>
      </c>
      <c r="CV56" s="32" t="str">
        <f>IFERROR(__xludf.DUMMYFUNCTION("IFERROR(if(ISBLANK(CU56),"" "",GOOGLEFINANCE(CT56,""Name"")), """")"),"Modi's Navnirman Ltd")</f>
        <v>Modi's Navnirman Ltd</v>
      </c>
      <c r="CW56" s="51">
        <f>IFERROR(__xludf.DUMMYFUNCTION("IFERROR(if(ISBLANK(CU56),"" "",GOOGLEFINANCE(CT56,""price"")), """")"),405.5)</f>
        <v>405.5</v>
      </c>
      <c r="CX56" s="22">
        <f>IFERROR(__xludf.DUMMYFUNCTION("IFERROR(if(ISBLANK(CU56),"" "",GOOGLEFINANCE(CT56,""changepct"")), """")"),-1.09)</f>
        <v>-1.09</v>
      </c>
      <c r="CY56" s="60"/>
      <c r="CZ56" s="33" t="s">
        <v>1204</v>
      </c>
      <c r="DA56" s="31" t="s">
        <v>95</v>
      </c>
      <c r="DB56" s="32" t="str">
        <f>IFERROR(__xludf.DUMMYFUNCTION("IFERROR(if(ISBLANK(DA56),"" "",GOOGLEFINANCE(CZ56,""Name"")), """")"),"Z F Steering Gear (India) Ltd")</f>
        <v>Z F Steering Gear (India) Ltd</v>
      </c>
      <c r="DC56" s="51">
        <f>IFERROR(__xludf.DUMMYFUNCTION("IFERROR(if(ISBLANK(DA56),"" "",GOOGLEFINANCE(CZ56,""price"")), """")"),672.0)</f>
        <v>672</v>
      </c>
      <c r="DD56" s="22">
        <f>IFERROR(__xludf.DUMMYFUNCTION("IFERROR(if(ISBLANK(DA56),"" "",GOOGLEFINANCE(CZ56,""changepct"")), """")"),1.57)</f>
        <v>1.57</v>
      </c>
      <c r="DE56" s="57"/>
      <c r="DF56" s="56"/>
    </row>
    <row r="57" ht="11.25" customHeight="1">
      <c r="A57" s="50"/>
      <c r="B57" s="18" t="s">
        <v>1205</v>
      </c>
      <c r="C57" s="31" t="s">
        <v>95</v>
      </c>
      <c r="D57" s="32" t="str">
        <f>IFERROR(__xludf.DUMMYFUNCTION("IFERROR(if(ISBLANK(C57),"" "",GOOGLEFINANCE(B57,""Name"")), """")"),"Pidilite Industries Ltd")</f>
        <v>Pidilite Industries Ltd</v>
      </c>
      <c r="E57" s="51">
        <f>IFERROR(__xludf.DUMMYFUNCTION("IFERROR(if(ISBLANK(C57),"" "",GOOGLEFINANCE(B57,""price"")), """")"),1692.0)</f>
        <v>1692</v>
      </c>
      <c r="F57" s="22">
        <f>IFERROR(__xludf.DUMMYFUNCTION("IFERROR(if(ISBLANK(C57),"" "",GOOGLEFINANCE(B57,""changepct"")), """")"),0.37)</f>
        <v>0.37</v>
      </c>
      <c r="G57" s="49"/>
      <c r="H57" s="36"/>
      <c r="I57" s="25" t="s">
        <v>1206</v>
      </c>
      <c r="J57" s="31" t="s">
        <v>95</v>
      </c>
      <c r="K57" s="32" t="str">
        <f>IFERROR(__xludf.DUMMYFUNCTION("IFERROR(if(ISBLANK(J57),"" "",GOOGLEFINANCE(I57,""Name"")), """")"),"IDFC First Bank Ltd")</f>
        <v>IDFC First Bank Ltd</v>
      </c>
      <c r="L57" s="51">
        <f>IFERROR(__xludf.DUMMYFUNCTION("IFERROR(if(ISBLANK(J57),"" "",GOOGLEFINANCE(I57,""price"")), """")"),85.5)</f>
        <v>85.5</v>
      </c>
      <c r="M57" s="22">
        <f>IFERROR(__xludf.DUMMYFUNCTION("IFERROR(if(ISBLANK(J57),"" "",GOOGLEFINANCE(I57,""changepct"")), """")"),1.46)</f>
        <v>1.46</v>
      </c>
      <c r="N57" s="49"/>
      <c r="O57" s="37"/>
      <c r="P57" s="27" t="s">
        <v>1207</v>
      </c>
      <c r="Q57" s="31" t="s">
        <v>95</v>
      </c>
      <c r="R57" s="32" t="str">
        <f>IFERROR(__xludf.DUMMYFUNCTION("IFERROR(if(ISBLANK(Q57),"" "",GOOGLEFINANCE(P57,""Name"")), """")"),"Star Health and Allied Insurnc Cmpny Ltd")</f>
        <v>Star Health and Allied Insurnc Cmpny Ltd</v>
      </c>
      <c r="S57" s="51">
        <f>IFERROR(__xludf.DUMMYFUNCTION("IFERROR(if(ISBLANK(Q57),"" "",GOOGLEFINANCE(P57,""price"")), """")"),583.85)</f>
        <v>583.85</v>
      </c>
      <c r="T57" s="22">
        <f>IFERROR(__xludf.DUMMYFUNCTION("IFERROR(if(ISBLANK(Q57),"" "",GOOGLEFINANCE(P57,""changepct"")), """")"),-0.15)</f>
        <v>-0.15</v>
      </c>
      <c r="U57" s="12"/>
      <c r="V57" s="18" t="s">
        <v>1209</v>
      </c>
      <c r="W57" s="31" t="s">
        <v>95</v>
      </c>
      <c r="X57" s="32" t="str">
        <f>IFERROR(__xludf.DUMMYFUNCTION("IFERROR(if(ISBLANK(W57),"" "",GOOGLEFINANCE(V57,""Name"")), """")"),"EIH Ltd")</f>
        <v>EIH Ltd</v>
      </c>
      <c r="Y57" s="51">
        <f>IFERROR(__xludf.DUMMYFUNCTION("IFERROR(if(ISBLANK(W57),"" "",GOOGLEFINANCE(V57,""price"")), """")"),298.05)</f>
        <v>298.05</v>
      </c>
      <c r="Z57" s="22">
        <f>IFERROR(__xludf.DUMMYFUNCTION("IFERROR(if(ISBLANK(W57),"" "",GOOGLEFINANCE(V57,""changepct"")), """")"),-1.42)</f>
        <v>-1.42</v>
      </c>
      <c r="AA57" s="12"/>
      <c r="AB57" s="18" t="s">
        <v>1210</v>
      </c>
      <c r="AC57" s="31" t="s">
        <v>95</v>
      </c>
      <c r="AD57" s="32" t="str">
        <f>IFERROR(__xludf.DUMMYFUNCTION("IFERROR(if(ISBLANK(AC57),"" "",GOOGLEFINANCE(AB57,""Name"")), """")"),"Fine Organic Industries Ltd")</f>
        <v>Fine Organic Industries Ltd</v>
      </c>
      <c r="AE57" s="51">
        <f>IFERROR(__xludf.DUMMYFUNCTION("IFERROR(if(ISBLANK(AC57),"" "",GOOGLEFINANCE(AB57,""price"")), """")"),5260.1)</f>
        <v>5260.1</v>
      </c>
      <c r="AF57" s="22">
        <f>IFERROR(__xludf.DUMMYFUNCTION("IFERROR(if(ISBLANK(AC57),"" "",GOOGLEFINANCE(AB57,""changepct"")), """")"),2.72)</f>
        <v>2.72</v>
      </c>
      <c r="AG57" s="45"/>
      <c r="AH57" s="27" t="s">
        <v>1211</v>
      </c>
      <c r="AI57" s="31" t="s">
        <v>95</v>
      </c>
      <c r="AJ57" s="32" t="str">
        <f>IFERROR(__xludf.DUMMYFUNCTION("IFERROR(if(ISBLANK(AI57),"" "",GOOGLEFINANCE(AH57,""Name"")), """")"),"Blue Jet Healthcare Ltd")</f>
        <v>Blue Jet Healthcare Ltd</v>
      </c>
      <c r="AK57" s="51">
        <f>IFERROR(__xludf.DUMMYFUNCTION("IFERROR(if(ISBLANK(AI57),"" "",GOOGLEFINANCE(AH57,""price"")), """")"),588.85)</f>
        <v>588.85</v>
      </c>
      <c r="AL57" s="22">
        <f>IFERROR(__xludf.DUMMYFUNCTION("IFERROR(if(ISBLANK(AI57),"" "",GOOGLEFINANCE(AH57,""changepct"")), """")"),-0.31)</f>
        <v>-0.31</v>
      </c>
      <c r="AM57" s="30"/>
      <c r="AN57" s="31" t="s">
        <v>200</v>
      </c>
      <c r="AO57" s="32" t="str">
        <f>IFERROR(__xludf.DUMMYFUNCTION("IFERROR(if(ISBLANK(AN57),"" "",GOOGLEFINANCE(AM57,""Name"")), """")"),"")</f>
        <v/>
      </c>
      <c r="AP57" s="33" t="s">
        <v>1212</v>
      </c>
      <c r="AQ57" s="31" t="s">
        <v>95</v>
      </c>
      <c r="AR57" s="32" t="str">
        <f>IFERROR(__xludf.DUMMYFUNCTION("IFERROR(if(ISBLANK(AQ57),"" "",GOOGLEFINANCE(AP57,""Name"")), """")"),"GMR Power and Urban Infra Ltd")</f>
        <v>GMR Power and Urban Infra Ltd</v>
      </c>
      <c r="AS57" s="51">
        <f>IFERROR(__xludf.DUMMYFUNCTION("IFERROR(if(ISBLANK(AQ57),"" "",GOOGLEFINANCE(AP57,""price"")), """")"),96.95)</f>
        <v>96.95</v>
      </c>
      <c r="AT57" s="22">
        <f>IFERROR(__xludf.DUMMYFUNCTION("IFERROR(if(ISBLANK(AQ57),"" "",GOOGLEFINANCE(AP57,""changepct"")), """")"),1.18)</f>
        <v>1.18</v>
      </c>
      <c r="AU57" s="45"/>
      <c r="AV57" s="34" t="s">
        <v>1214</v>
      </c>
      <c r="AW57" s="31" t="s">
        <v>95</v>
      </c>
      <c r="AX57" s="32" t="str">
        <f>IFERROR(__xludf.DUMMYFUNCTION("IFERROR(if(ISBLANK(AW57),"" "",GOOGLEFINANCE(AV57,""Name"")), """")"),"Technocraft Industries (India) Ltd")</f>
        <v>Technocraft Industries (India) Ltd</v>
      </c>
      <c r="AY57" s="51">
        <f>IFERROR(__xludf.DUMMYFUNCTION("IFERROR(if(ISBLANK(AW57),"" "",GOOGLEFINANCE(AV57,""price"")), """")"),2909.0)</f>
        <v>2909</v>
      </c>
      <c r="AZ57" s="22">
        <f>IFERROR(__xludf.DUMMYFUNCTION("IFERROR(if(ISBLANK(AW57),"" "",GOOGLEFINANCE(AV57,""changepct"")), """")"),11.5)</f>
        <v>11.5</v>
      </c>
      <c r="BA57" s="12"/>
      <c r="BB57" s="33" t="s">
        <v>1215</v>
      </c>
      <c r="BC57" s="31" t="s">
        <v>95</v>
      </c>
      <c r="BD57" s="32" t="str">
        <f>IFERROR(__xludf.DUMMYFUNCTION("IFERROR(if(ISBLANK(BC57),"" "",GOOGLEFINANCE(BB57,""Name"")), """")"),"Swaraj Engines Ltd")</f>
        <v>Swaraj Engines Ltd</v>
      </c>
      <c r="BE57" s="51">
        <f>IFERROR(__xludf.DUMMYFUNCTION("IFERROR(if(ISBLANK(BC57),"" "",GOOGLEFINANCE(BB57,""price"")), """")"),3617.0)</f>
        <v>3617</v>
      </c>
      <c r="BF57" s="22">
        <f>IFERROR(__xludf.DUMMYFUNCTION("IFERROR(if(ISBLANK(BC57),"" "",GOOGLEFINANCE(BB57,""changepct"")), """")"),0.53)</f>
        <v>0.53</v>
      </c>
      <c r="BG57" s="12"/>
      <c r="BH57" s="35" t="s">
        <v>1216</v>
      </c>
      <c r="BI57" s="31" t="s">
        <v>95</v>
      </c>
      <c r="BJ57" s="32" t="str">
        <f>IFERROR(__xludf.DUMMYFUNCTION("IFERROR(if(ISBLANK(BI57),"" "",GOOGLEFINANCE(BH57,""Name"")), """")"),"Xpro India Limited")</f>
        <v>Xpro India Limited</v>
      </c>
      <c r="BK57" s="51">
        <f>IFERROR(__xludf.DUMMYFUNCTION("IFERROR(if(ISBLANK(BI57),"" "",GOOGLEFINANCE(BH57,""price"")), """")"),1093.3)</f>
        <v>1093.3</v>
      </c>
      <c r="BL57" s="22">
        <f>IFERROR(__xludf.DUMMYFUNCTION("IFERROR(if(ISBLANK(BI57),"" "",GOOGLEFINANCE(BH57,""changepct"")), """")"),-3.07)</f>
        <v>-3.07</v>
      </c>
      <c r="BM57" s="12"/>
      <c r="BN57" s="33" t="s">
        <v>1217</v>
      </c>
      <c r="BO57" s="31" t="s">
        <v>95</v>
      </c>
      <c r="BP57" s="32" t="str">
        <f>IFERROR(__xludf.DUMMYFUNCTION("IFERROR(if(ISBLANK(BO57),"" "",GOOGLEFINANCE(BN57,""Name"")), """")"),"Hubtown Ltd")</f>
        <v>Hubtown Ltd</v>
      </c>
      <c r="BQ57" s="51">
        <f>IFERROR(__xludf.DUMMYFUNCTION("IFERROR(if(ISBLANK(BO57),"" "",GOOGLEFINANCE(BN57,""price"")), """")"),179.2)</f>
        <v>179.2</v>
      </c>
      <c r="BR57" s="22">
        <f>IFERROR(__xludf.DUMMYFUNCTION("IFERROR(if(ISBLANK(BO57),"" "",GOOGLEFINANCE(BN57,""changepct"")), """")"),-0.11)</f>
        <v>-0.11</v>
      </c>
      <c r="BS57" s="49"/>
      <c r="BT57" s="36"/>
      <c r="BU57" s="27" t="s">
        <v>1218</v>
      </c>
      <c r="BV57" s="31" t="s">
        <v>95</v>
      </c>
      <c r="BW57" s="32" t="str">
        <f>IFERROR(__xludf.DUMMYFUNCTION("IFERROR(if(ISBLANK(BV57),"" "",GOOGLEFINANCE(BU57,""Name"")), """")"),"Venus Remedies Ltd")</f>
        <v>Venus Remedies Ltd</v>
      </c>
      <c r="BX57" s="51">
        <f>IFERROR(__xludf.DUMMYFUNCTION("IFERROR(if(ISBLANK(BV57),"" "",GOOGLEFINANCE(BU57,""price"")), """")"),1647.1)</f>
        <v>1647.1</v>
      </c>
      <c r="BY57" s="22">
        <f>IFERROR(__xludf.DUMMYFUNCTION("IFERROR(if(ISBLANK(BV57),"" "",GOOGLEFINANCE(BU57,""changepct"")), """")"),5.0)</f>
        <v>5</v>
      </c>
      <c r="BZ57" s="49"/>
      <c r="CA57" s="37"/>
      <c r="CB57" s="27" t="s">
        <v>1219</v>
      </c>
      <c r="CC57" s="31" t="s">
        <v>95</v>
      </c>
      <c r="CD57" s="32" t="str">
        <f>IFERROR(__xludf.DUMMYFUNCTION("IFERROR(if(ISBLANK(CC57),"" "",GOOGLEFINANCE(CB57,""Name"")), """")"),"Frontier Springs Ltd")</f>
        <v>Frontier Springs Ltd</v>
      </c>
      <c r="CE57" s="51">
        <f>IFERROR(__xludf.DUMMYFUNCTION("IFERROR(if(ISBLANK(CC57),"" "",GOOGLEFINANCE(CB57,""price"")), """")"),1525.0)</f>
        <v>1525</v>
      </c>
      <c r="CF57" s="22">
        <f>IFERROR(__xludf.DUMMYFUNCTION("IFERROR(if(ISBLANK(CC57),"" "",GOOGLEFINANCE(CB57,""changepct"")), """")"),2.92)</f>
        <v>2.92</v>
      </c>
      <c r="CG57" s="12"/>
      <c r="CH57" s="18" t="s">
        <v>1221</v>
      </c>
      <c r="CI57" s="31" t="s">
        <v>95</v>
      </c>
      <c r="CJ57" s="32" t="str">
        <f>IFERROR(__xludf.DUMMYFUNCTION("IFERROR(if(ISBLANK(CI57),"" "",GOOGLEFINANCE(CH57,""Name"")), """")"),"Alldigi Tech Ltd")</f>
        <v>Alldigi Tech Ltd</v>
      </c>
      <c r="CK57" s="51">
        <f>IFERROR(__xludf.DUMMYFUNCTION("IFERROR(if(ISBLANK(CI57),"" "",GOOGLEFINANCE(CH57,""price"")), """")"),804.4)</f>
        <v>804.4</v>
      </c>
      <c r="CL57" s="22">
        <f>IFERROR(__xludf.DUMMYFUNCTION("IFERROR(if(ISBLANK(CI57),"" "",GOOGLEFINANCE(CH57,""changepct"")), """")"),-0.67)</f>
        <v>-0.67</v>
      </c>
      <c r="CM57" s="12"/>
      <c r="CN57" s="33" t="s">
        <v>1222</v>
      </c>
      <c r="CO57" s="31" t="s">
        <v>95</v>
      </c>
      <c r="CP57" s="32" t="str">
        <f>IFERROR(__xludf.DUMMYFUNCTION("IFERROR(if(ISBLANK(CO57),"" "",GOOGLEFINANCE(CN57,""Name"")), """")"),"Themis Medicare Ltd")</f>
        <v>Themis Medicare Ltd</v>
      </c>
      <c r="CQ57" s="51">
        <f>IFERROR(__xludf.DUMMYFUNCTION("IFERROR(if(ISBLANK(CO57),"" "",GOOGLEFINANCE(CN57,""price"")), """")"),107.3)</f>
        <v>107.3</v>
      </c>
      <c r="CR57" s="22">
        <f>IFERROR(__xludf.DUMMYFUNCTION("IFERROR(if(ISBLANK(CO57),"" "",GOOGLEFINANCE(CN57,""changepct"")), """")"),-5.14)</f>
        <v>-5.14</v>
      </c>
      <c r="CS57" s="45"/>
      <c r="CT57" s="33" t="s">
        <v>1223</v>
      </c>
      <c r="CU57" s="31" t="s">
        <v>95</v>
      </c>
      <c r="CV57" s="32" t="str">
        <f>IFERROR(__xludf.DUMMYFUNCTION("IFERROR(if(ISBLANK(CU57),"" "",GOOGLEFINANCE(CT57,""Name"")), """")"),"Rajapalayam Mills Ltd")</f>
        <v>Rajapalayam Mills Ltd</v>
      </c>
      <c r="CW57" s="51">
        <f>IFERROR(__xludf.DUMMYFUNCTION("IFERROR(if(ISBLANK(CU57),"" "",GOOGLEFINANCE(CT57,""price"")), """")"),839.85)</f>
        <v>839.85</v>
      </c>
      <c r="CX57" s="22">
        <f>IFERROR(__xludf.DUMMYFUNCTION("IFERROR(if(ISBLANK(CU57),"" "",GOOGLEFINANCE(CT57,""changepct"")), """")"),2.16)</f>
        <v>2.16</v>
      </c>
      <c r="CY57" s="17"/>
      <c r="CZ57" s="33" t="s">
        <v>1224</v>
      </c>
      <c r="DA57" s="31" t="s">
        <v>95</v>
      </c>
      <c r="DB57" s="32" t="str">
        <f>IFERROR(__xludf.DUMMYFUNCTION("IFERROR(if(ISBLANK(DA57),"" "",GOOGLEFINANCE(CZ57,""Name"")), """")"),"Shiv Aum Steels Ltd")</f>
        <v>Shiv Aum Steels Ltd</v>
      </c>
      <c r="DC57" s="51">
        <f>IFERROR(__xludf.DUMMYFUNCTION("IFERROR(if(ISBLANK(DA57),"" "",GOOGLEFINANCE(CZ57,""price"")), """")"),448.3)</f>
        <v>448.3</v>
      </c>
      <c r="DD57" s="22">
        <f>IFERROR(__xludf.DUMMYFUNCTION("IFERROR(if(ISBLANK(DA57),"" "",GOOGLEFINANCE(CZ57,""changepct"")), """")"),5.43)</f>
        <v>5.43</v>
      </c>
      <c r="DE57" s="45"/>
      <c r="DF57" s="12"/>
    </row>
    <row r="58" ht="11.25" customHeight="1">
      <c r="A58" s="50"/>
      <c r="B58" s="18" t="s">
        <v>1225</v>
      </c>
      <c r="C58" s="31" t="s">
        <v>95</v>
      </c>
      <c r="D58" s="32" t="str">
        <f>IFERROR(__xludf.DUMMYFUNCTION("IFERROR(if(ISBLANK(C58),"" "",GOOGLEFINANCE(B58,""Name"")), """")"),"DLF Ltd")</f>
        <v>DLF Ltd</v>
      </c>
      <c r="E58" s="51">
        <f>IFERROR(__xludf.DUMMYFUNCTION("IFERROR(if(ISBLANK(C58),"" "",GOOGLEFINANCE(B58,""price"")), """")"),657.8)</f>
        <v>657.8</v>
      </c>
      <c r="F58" s="22">
        <f>IFERROR(__xludf.DUMMYFUNCTION("IFERROR(if(ISBLANK(C58),"" "",GOOGLEFINANCE(B58,""changepct"")), """")"),1.18)</f>
        <v>1.18</v>
      </c>
      <c r="G58" s="49"/>
      <c r="H58" s="36"/>
      <c r="I58" s="25" t="s">
        <v>1226</v>
      </c>
      <c r="J58" s="31" t="s">
        <v>95</v>
      </c>
      <c r="K58" s="32" t="str">
        <f>IFERROR(__xludf.DUMMYFUNCTION("IFERROR(if(ISBLANK(J58),"" "",GOOGLEFINANCE(I58,""Name"")), """")"),"JSW Infrastructure Ltd")</f>
        <v>JSW Infrastructure Ltd</v>
      </c>
      <c r="L58" s="51">
        <f>IFERROR(__xludf.DUMMYFUNCTION("IFERROR(if(ISBLANK(J58),"" "",GOOGLEFINANCE(I58,""price"")), """")"),348.0)</f>
        <v>348</v>
      </c>
      <c r="M58" s="22">
        <f>IFERROR(__xludf.DUMMYFUNCTION("IFERROR(if(ISBLANK(J58),"" "",GOOGLEFINANCE(I58,""changepct"")), """")"),1.8)</f>
        <v>1.8</v>
      </c>
      <c r="N58" s="49"/>
      <c r="O58" s="37"/>
      <c r="P58" s="27" t="s">
        <v>1228</v>
      </c>
      <c r="Q58" s="31" t="s">
        <v>95</v>
      </c>
      <c r="R58" s="32" t="str">
        <f>IFERROR(__xludf.DUMMYFUNCTION("IFERROR(if(ISBLANK(Q58),"" "",GOOGLEFINANCE(P58,""Name"")), """")"),"Blue Star Ltd")</f>
        <v>Blue Star Ltd</v>
      </c>
      <c r="S58" s="51">
        <f>IFERROR(__xludf.DUMMYFUNCTION("IFERROR(if(ISBLANK(Q58),"" "",GOOGLEFINANCE(P58,""price"")), """")"),1487.0)</f>
        <v>1487</v>
      </c>
      <c r="T58" s="22">
        <f>IFERROR(__xludf.DUMMYFUNCTION("IFERROR(if(ISBLANK(Q58),"" "",GOOGLEFINANCE(P58,""changepct"")), """")"),-0.73)</f>
        <v>-0.73</v>
      </c>
      <c r="U58" s="12"/>
      <c r="V58" s="18" t="s">
        <v>1229</v>
      </c>
      <c r="W58" s="31" t="s">
        <v>95</v>
      </c>
      <c r="X58" s="32" t="str">
        <f>IFERROR(__xludf.DUMMYFUNCTION("IFERROR(if(ISBLANK(W58),"" "",GOOGLEFINANCE(V58,""Name"")), """")"),"Granules India Ltd")</f>
        <v>Granules India Ltd</v>
      </c>
      <c r="Y58" s="51">
        <f>IFERROR(__xludf.DUMMYFUNCTION("IFERROR(if(ISBLANK(W58),"" "",GOOGLEFINANCE(V58,""price"")), """")"),862.5)</f>
        <v>862.5</v>
      </c>
      <c r="Z58" s="22">
        <f>IFERROR(__xludf.DUMMYFUNCTION("IFERROR(if(ISBLANK(W58),"" "",GOOGLEFINANCE(V58,""changepct"")), """")"),0.17)</f>
        <v>0.17</v>
      </c>
      <c r="AA58" s="12"/>
      <c r="AB58" s="18" t="s">
        <v>1230</v>
      </c>
      <c r="AC58" s="31" t="s">
        <v>95</v>
      </c>
      <c r="AD58" s="32" t="str">
        <f>IFERROR(__xludf.DUMMYFUNCTION("IFERROR(if(ISBLANK(AC58),"" "",GOOGLEFINANCE(AB58,""Name"")), """")"),"Sobha Ltd")</f>
        <v>Sobha Ltd</v>
      </c>
      <c r="AE58" s="51">
        <f>IFERROR(__xludf.DUMMYFUNCTION("IFERROR(if(ISBLANK(AC58),"" "",GOOGLEFINANCE(AB58,""price"")), """")"),1334.0)</f>
        <v>1334</v>
      </c>
      <c r="AF58" s="22">
        <f>IFERROR(__xludf.DUMMYFUNCTION("IFERROR(if(ISBLANK(AC58),"" "",GOOGLEFINANCE(AB58,""changepct"")), """")"),-0.6)</f>
        <v>-0.6</v>
      </c>
      <c r="AG58" s="45"/>
      <c r="AH58" s="27" t="s">
        <v>1231</v>
      </c>
      <c r="AI58" s="31" t="s">
        <v>95</v>
      </c>
      <c r="AJ58" s="32" t="str">
        <f>IFERROR(__xludf.DUMMYFUNCTION("IFERROR(if(ISBLANK(AI58),"" "",GOOGLEFINANCE(AH58,""Name"")), """")"),"IndiaMART InterMESH Ltd")</f>
        <v>IndiaMART InterMESH Ltd</v>
      </c>
      <c r="AK58" s="51">
        <f>IFERROR(__xludf.DUMMYFUNCTION("IFERROR(if(ISBLANK(AI58),"" "",GOOGLEFINANCE(AH58,""price"")), """")"),1785.0)</f>
        <v>1785</v>
      </c>
      <c r="AL58" s="22">
        <f>IFERROR(__xludf.DUMMYFUNCTION("IFERROR(if(ISBLANK(AI58),"" "",GOOGLEFINANCE(AH58,""changepct"")), """")"),0.04)</f>
        <v>0.04</v>
      </c>
      <c r="AM58" s="30"/>
      <c r="AN58" s="31" t="s">
        <v>200</v>
      </c>
      <c r="AO58" s="32" t="str">
        <f>IFERROR(__xludf.DUMMYFUNCTION("IFERROR(if(ISBLANK(AN58),"" "",GOOGLEFINANCE(AM58,""Name"")), """")"),"")</f>
        <v/>
      </c>
      <c r="AP58" s="33" t="s">
        <v>1232</v>
      </c>
      <c r="AQ58" s="31" t="s">
        <v>95</v>
      </c>
      <c r="AR58" s="32" t="str">
        <f>IFERROR(__xludf.DUMMYFUNCTION("IFERROR(if(ISBLANK(AQ58),"" "",GOOGLEFINANCE(AP58,""Name"")), """")"),"India Glycols Ltd")</f>
        <v>India Glycols Ltd</v>
      </c>
      <c r="AS58" s="51">
        <f>IFERROR(__xludf.DUMMYFUNCTION("IFERROR(if(ISBLANK(AQ58),"" "",GOOGLEFINANCE(AP58,""price"")), """")"),1049.9)</f>
        <v>1049.9</v>
      </c>
      <c r="AT58" s="22">
        <f>IFERROR(__xludf.DUMMYFUNCTION("IFERROR(if(ISBLANK(AQ58),"" "",GOOGLEFINANCE(AP58,""changepct"")), """")"),-2.16)</f>
        <v>-2.16</v>
      </c>
      <c r="AU58" s="45"/>
      <c r="AV58" s="34" t="s">
        <v>1234</v>
      </c>
      <c r="AW58" s="31" t="s">
        <v>95</v>
      </c>
      <c r="AX58" s="32" t="str">
        <f>IFERROR(__xludf.DUMMYFUNCTION("IFERROR(if(ISBLANK(AW58),"" "",GOOGLEFINANCE(AV58,""Name"")), """")"),"Mastek Ltd")</f>
        <v>Mastek Ltd</v>
      </c>
      <c r="AY58" s="51">
        <f>IFERROR(__xludf.DUMMYFUNCTION("IFERROR(if(ISBLANK(AW58),"" "",GOOGLEFINANCE(AV58,""price"")), """")"),1818.0)</f>
        <v>1818</v>
      </c>
      <c r="AZ58" s="22">
        <f>IFERROR(__xludf.DUMMYFUNCTION("IFERROR(if(ISBLANK(AW58),"" "",GOOGLEFINANCE(AV58,""changepct"")), """")"),0.3)</f>
        <v>0.3</v>
      </c>
      <c r="BA58" s="12"/>
      <c r="BB58" s="33" t="s">
        <v>1235</v>
      </c>
      <c r="BC58" s="31" t="s">
        <v>95</v>
      </c>
      <c r="BD58" s="32" t="str">
        <f>IFERROR(__xludf.DUMMYFUNCTION("IFERROR(if(ISBLANK(BC58),"" "",GOOGLEFINANCE(BB58,""Name"")), """")"),"Electrosteel Castings Ltd")</f>
        <v>Electrosteel Castings Ltd</v>
      </c>
      <c r="BE58" s="51">
        <f>IFERROR(__xludf.DUMMYFUNCTION("IFERROR(if(ISBLANK(BC58),"" "",GOOGLEFINANCE(BB58,""price"")), """")"),73.97)</f>
        <v>73.97</v>
      </c>
      <c r="BF58" s="22">
        <f>IFERROR(__xludf.DUMMYFUNCTION("IFERROR(if(ISBLANK(BC58),"" "",GOOGLEFINANCE(BB58,""changepct"")), """")"),0.56)</f>
        <v>0.56</v>
      </c>
      <c r="BG58" s="12"/>
      <c r="BH58" s="35" t="s">
        <v>1236</v>
      </c>
      <c r="BI58" s="31" t="s">
        <v>95</v>
      </c>
      <c r="BJ58" s="32" t="str">
        <f>IFERROR(__xludf.DUMMYFUNCTION("IFERROR(if(ISBLANK(BI58),"" "",GOOGLEFINANCE(BH58,""Name"")), """")"),"HG Infra Engineering Ltd")</f>
        <v>HG Infra Engineering Ltd</v>
      </c>
      <c r="BK58" s="51">
        <f>IFERROR(__xludf.DUMMYFUNCTION("IFERROR(if(ISBLANK(BI58),"" "",GOOGLEFINANCE(BH58,""price"")), """")"),557.0)</f>
        <v>557</v>
      </c>
      <c r="BL58" s="22">
        <f>IFERROR(__xludf.DUMMYFUNCTION("IFERROR(if(ISBLANK(BI58),"" "",GOOGLEFINANCE(BH58,""changepct"")), """")"),1.68)</f>
        <v>1.68</v>
      </c>
      <c r="BM58" s="12"/>
      <c r="BN58" s="33" t="s">
        <v>1237</v>
      </c>
      <c r="BO58" s="31" t="s">
        <v>95</v>
      </c>
      <c r="BP58" s="32" t="str">
        <f>IFERROR(__xludf.DUMMYFUNCTION("IFERROR(if(ISBLANK(BO58),"" "",GOOGLEFINANCE(BN58,""Name"")), """")"),"Kiri Industries Ltd")</f>
        <v>Kiri Industries Ltd</v>
      </c>
      <c r="BQ58" s="51">
        <f>IFERROR(__xludf.DUMMYFUNCTION("IFERROR(if(ISBLANK(BO58),"" "",GOOGLEFINANCE(BN58,""price"")), """")"),434.8)</f>
        <v>434.8</v>
      </c>
      <c r="BR58" s="22">
        <f>IFERROR(__xludf.DUMMYFUNCTION("IFERROR(if(ISBLANK(BO58),"" "",GOOGLEFINANCE(BN58,""changepct"")), """")"),1.9)</f>
        <v>1.9</v>
      </c>
      <c r="BS58" s="49"/>
      <c r="BT58" s="36"/>
      <c r="BU58" s="27" t="s">
        <v>1238</v>
      </c>
      <c r="BV58" s="31" t="s">
        <v>95</v>
      </c>
      <c r="BW58" s="32" t="str">
        <f>IFERROR(__xludf.DUMMYFUNCTION("IFERROR(if(ISBLANK(BV58),"" "",GOOGLEFINANCE(BU58,""Name"")), """")"),"Venky's (India) Ltd")</f>
        <v>Venky's (India) Ltd</v>
      </c>
      <c r="BX58" s="51">
        <f>IFERROR(__xludf.DUMMYFUNCTION("IFERROR(if(ISBLANK(BV58),"" "",GOOGLEFINANCE(BU58,""price"")), """")"),1514.0)</f>
        <v>1514</v>
      </c>
      <c r="BY58" s="22">
        <f>IFERROR(__xludf.DUMMYFUNCTION("IFERROR(if(ISBLANK(BV58),"" "",GOOGLEFINANCE(BU58,""changepct"")), """")"),-1.55)</f>
        <v>-1.55</v>
      </c>
      <c r="BZ58" s="49"/>
      <c r="CA58" s="37"/>
      <c r="CB58" s="27" t="s">
        <v>1239</v>
      </c>
      <c r="CC58" s="31" t="s">
        <v>95</v>
      </c>
      <c r="CD58" s="32" t="str">
        <f>IFERROR(__xludf.DUMMYFUNCTION("IFERROR(if(ISBLANK(CC58),"" "",GOOGLEFINANCE(CB58,""Name"")), """")"),"Omaxe Ltd")</f>
        <v>Omaxe Ltd</v>
      </c>
      <c r="CE58" s="51">
        <f>IFERROR(__xludf.DUMMYFUNCTION("IFERROR(if(ISBLANK(CC58),"" "",GOOGLEFINANCE(CB58,""price"")), """")"),81.77)</f>
        <v>81.77</v>
      </c>
      <c r="CF58" s="22">
        <f>IFERROR(__xludf.DUMMYFUNCTION("IFERROR(if(ISBLANK(CC58),"" "",GOOGLEFINANCE(CB58,""changepct"")), """")"),-1.52)</f>
        <v>-1.52</v>
      </c>
      <c r="CG58" s="12"/>
      <c r="CH58" s="18" t="s">
        <v>1240</v>
      </c>
      <c r="CI58" s="31" t="s">
        <v>95</v>
      </c>
      <c r="CJ58" s="32" t="str">
        <f>IFERROR(__xludf.DUMMYFUNCTION("IFERROR(if(ISBLANK(CI58),"" "",GOOGLEFINANCE(CH58,""Name"")), """")"),"Syncom Formulations (India) Ltd")</f>
        <v>Syncom Formulations (India) Ltd</v>
      </c>
      <c r="CK58" s="51">
        <f>IFERROR(__xludf.DUMMYFUNCTION("IFERROR(if(ISBLANK(CI58),"" "",GOOGLEFINANCE(CH58,""price"")), """")"),15.94)</f>
        <v>15.94</v>
      </c>
      <c r="CL58" s="22">
        <f>IFERROR(__xludf.DUMMYFUNCTION("IFERROR(if(ISBLANK(CI58),"" "",GOOGLEFINANCE(CH58,""changepct"")), """")"),9.7)</f>
        <v>9.7</v>
      </c>
      <c r="CM58" s="12"/>
      <c r="CN58" s="33" t="s">
        <v>1241</v>
      </c>
      <c r="CO58" s="31" t="s">
        <v>95</v>
      </c>
      <c r="CP58" s="32" t="str">
        <f>IFERROR(__xludf.DUMMYFUNCTION("IFERROR(if(ISBLANK(CO58),"" "",GOOGLEFINANCE(CN58,""Name"")), """")"),"Max India Ltd")</f>
        <v>Max India Ltd</v>
      </c>
      <c r="CQ58" s="51">
        <f>IFERROR(__xludf.DUMMYFUNCTION("IFERROR(if(ISBLANK(CO58),"" "",GOOGLEFINANCE(CN58,""price"")), """")"),163.23)</f>
        <v>163.23</v>
      </c>
      <c r="CR58" s="22">
        <f>IFERROR(__xludf.DUMMYFUNCTION("IFERROR(if(ISBLANK(CO58),"" "",GOOGLEFINANCE(CN58,""changepct"")), """")"),-4.25)</f>
        <v>-4.25</v>
      </c>
      <c r="CS58" s="45"/>
      <c r="CT58" s="33" t="s">
        <v>1242</v>
      </c>
      <c r="CU58" s="31" t="s">
        <v>95</v>
      </c>
      <c r="CV58" s="32" t="str">
        <f>IFERROR(__xludf.DUMMYFUNCTION("IFERROR(if(ISBLANK(CU58),"" "",GOOGLEFINANCE(CT58,""Name"")), """")"),"Aditya Birla Money Ltd")</f>
        <v>Aditya Birla Money Ltd</v>
      </c>
      <c r="CW58" s="51">
        <f>IFERROR(__xludf.DUMMYFUNCTION("IFERROR(if(ISBLANK(CU58),"" "",GOOGLEFINANCE(CT58,""price"")), """")"),133.75)</f>
        <v>133.75</v>
      </c>
      <c r="CX58" s="22">
        <f>IFERROR(__xludf.DUMMYFUNCTION("IFERROR(if(ISBLANK(CU58),"" "",GOOGLEFINANCE(CT58,""changepct"")), """")"),0.51)</f>
        <v>0.51</v>
      </c>
      <c r="CY58" s="17"/>
      <c r="CZ58" s="33" t="s">
        <v>1244</v>
      </c>
      <c r="DA58" s="31" t="s">
        <v>95</v>
      </c>
      <c r="DB58" s="32" t="str">
        <f>IFERROR(__xludf.DUMMYFUNCTION("IFERROR(if(ISBLANK(DA58),"" "",GOOGLEFINANCE(CZ58,""Name"")), """")"),"Rbz Jewellers Ltd")</f>
        <v>Rbz Jewellers Ltd</v>
      </c>
      <c r="DC58" s="51">
        <f>IFERROR(__xludf.DUMMYFUNCTION("IFERROR(if(ISBLANK(DA58),"" "",GOOGLEFINANCE(CZ58,""price"")), """")"),142.5)</f>
        <v>142.5</v>
      </c>
      <c r="DD58" s="22">
        <f>IFERROR(__xludf.DUMMYFUNCTION("IFERROR(if(ISBLANK(DA58),"" "",GOOGLEFINANCE(CZ58,""changepct"")), """")"),-7.74)</f>
        <v>-7.74</v>
      </c>
      <c r="DE58" s="45"/>
      <c r="DF58" s="12"/>
    </row>
    <row r="59" ht="11.25" customHeight="1">
      <c r="A59" s="50"/>
      <c r="B59" s="18" t="s">
        <v>1245</v>
      </c>
      <c r="C59" s="31" t="s">
        <v>95</v>
      </c>
      <c r="D59" s="32" t="str">
        <f>IFERROR(__xludf.DUMMYFUNCTION("IFERROR(if(ISBLANK(C59),"" "",GOOGLEFINANCE(B59,""Name"")), """")"),"Tech Mahindra Ltd")</f>
        <v>Tech Mahindra Ltd</v>
      </c>
      <c r="E59" s="51">
        <f>IFERROR(__xludf.DUMMYFUNCTION("IFERROR(if(ISBLANK(C59),"" "",GOOGLEFINANCE(B59,""price"")), """")"),1625.2)</f>
        <v>1625.2</v>
      </c>
      <c r="F59" s="22">
        <f>IFERROR(__xludf.DUMMYFUNCTION("IFERROR(if(ISBLANK(C59),"" "",GOOGLEFINANCE(B59,""changepct"")), """")"),-1.08)</f>
        <v>-1.08</v>
      </c>
      <c r="G59" s="49"/>
      <c r="H59" s="36"/>
      <c r="I59" s="25" t="s">
        <v>1246</v>
      </c>
      <c r="J59" s="31" t="s">
        <v>95</v>
      </c>
      <c r="K59" s="32" t="str">
        <f>IFERROR(__xludf.DUMMYFUNCTION("IFERROR(if(ISBLANK(J59),"" "",GOOGLEFINANCE(I59,""Name"")), """")"),"Bajaj Housing Finance Ltd")</f>
        <v>Bajaj Housing Finance Ltd</v>
      </c>
      <c r="L59" s="51">
        <f>IFERROR(__xludf.DUMMYFUNCTION("IFERROR(if(ISBLANK(J59),"" "",GOOGLEFINANCE(I59,""price"")), """")"),84.79)</f>
        <v>84.79</v>
      </c>
      <c r="M59" s="22">
        <f>IFERROR(__xludf.DUMMYFUNCTION("IFERROR(if(ISBLANK(J59),"" "",GOOGLEFINANCE(I59,""changepct"")), """")"),-0.46)</f>
        <v>-0.46</v>
      </c>
      <c r="N59" s="49"/>
      <c r="O59" s="37"/>
      <c r="P59" s="27" t="s">
        <v>1247</v>
      </c>
      <c r="Q59" s="31" t="s">
        <v>95</v>
      </c>
      <c r="R59" s="32" t="str">
        <f>IFERROR(__xludf.DUMMYFUNCTION("IFERROR(if(ISBLANK(Q59),"" "",GOOGLEFINANCE(P59,""Name"")), """")"),"Escorts Kubota Ltd")</f>
        <v>Escorts Kubota Ltd</v>
      </c>
      <c r="S59" s="51">
        <f>IFERROR(__xludf.DUMMYFUNCTION("IFERROR(if(ISBLANK(Q59),"" "",GOOGLEFINANCE(P59,""price"")), """")"),3119.0)</f>
        <v>3119</v>
      </c>
      <c r="T59" s="22">
        <f>IFERROR(__xludf.DUMMYFUNCTION("IFERROR(if(ISBLANK(Q59),"" "",GOOGLEFINANCE(P59,""changepct"")), """")"),0.39)</f>
        <v>0.39</v>
      </c>
      <c r="U59" s="12"/>
      <c r="V59" s="18" t="s">
        <v>1248</v>
      </c>
      <c r="W59" s="31" t="s">
        <v>95</v>
      </c>
      <c r="X59" s="32" t="str">
        <f>IFERROR(__xludf.DUMMYFUNCTION("IFERROR(if(ISBLANK(W59),"" "",GOOGLEFINANCE(V59,""Name"")), """")"),"Aether Industries Ltd")</f>
        <v>Aether Industries Ltd</v>
      </c>
      <c r="Y59" s="51">
        <f>IFERROR(__xludf.DUMMYFUNCTION("IFERROR(if(ISBLANK(W59),"" "",GOOGLEFINANCE(V59,""price"")), """")"),1621.0)</f>
        <v>1621</v>
      </c>
      <c r="Z59" s="22">
        <f>IFERROR(__xludf.DUMMYFUNCTION("IFERROR(if(ISBLANK(W59),"" "",GOOGLEFINANCE(V59,""changepct"")), """")"),-0.81)</f>
        <v>-0.81</v>
      </c>
      <c r="AA59" s="12"/>
      <c r="AB59" s="18" t="s">
        <v>1249</v>
      </c>
      <c r="AC59" s="31" t="s">
        <v>95</v>
      </c>
      <c r="AD59" s="32" t="str">
        <f>IFERROR(__xludf.DUMMYFUNCTION("IFERROR(if(ISBLANK(AC59),"" "",GOOGLEFINANCE(AB59,""Name"")), """")"),"Zen Technologies Limited")</f>
        <v>Zen Technologies Limited</v>
      </c>
      <c r="AE59" s="51">
        <f>IFERROR(__xludf.DUMMYFUNCTION("IFERROR(if(ISBLANK(AC59),"" "",GOOGLEFINANCE(AB59,""price"")), """")"),1823.4)</f>
        <v>1823.4</v>
      </c>
      <c r="AF59" s="22">
        <f>IFERROR(__xludf.DUMMYFUNCTION("IFERROR(if(ISBLANK(AC59),"" "",GOOGLEFINANCE(AB59,""changepct"")), """")"),0.2)</f>
        <v>0.2</v>
      </c>
      <c r="AG59" s="45"/>
      <c r="AH59" s="27" t="s">
        <v>1250</v>
      </c>
      <c r="AI59" s="31" t="s">
        <v>95</v>
      </c>
      <c r="AJ59" s="32" t="str">
        <f>IFERROR(__xludf.DUMMYFUNCTION("IFERROR(if(ISBLANK(AI59),"" "",GOOGLEFINANCE(AH59,""Name"")), """")"),"Aavas Financiers Ltd")</f>
        <v>Aavas Financiers Ltd</v>
      </c>
      <c r="AK59" s="51">
        <f>IFERROR(__xludf.DUMMYFUNCTION("IFERROR(if(ISBLANK(AI59),"" "",GOOGLEFINANCE(AH59,""price"")), """")"),1404.7)</f>
        <v>1404.7</v>
      </c>
      <c r="AL59" s="22">
        <f>IFERROR(__xludf.DUMMYFUNCTION("IFERROR(if(ISBLANK(AI59),"" "",GOOGLEFINANCE(AH59,""changepct"")), """")"),0.57)</f>
        <v>0.57</v>
      </c>
      <c r="AM59" s="30"/>
      <c r="AN59" s="31" t="s">
        <v>200</v>
      </c>
      <c r="AO59" s="32" t="str">
        <f>IFERROR(__xludf.DUMMYFUNCTION("IFERROR(if(ISBLANK(AN59),"" "",GOOGLEFINANCE(AM59,""Name"")), """")"),"")</f>
        <v/>
      </c>
      <c r="AP59" s="33" t="s">
        <v>1251</v>
      </c>
      <c r="AQ59" s="31" t="s">
        <v>95</v>
      </c>
      <c r="AR59" s="32" t="str">
        <f>IFERROR(__xludf.DUMMYFUNCTION("IFERROR(if(ISBLANK(AQ59),"" "",GOOGLEFINANCE(AP59,""Name"")), """")"),"SJS Enterprises Ltd")</f>
        <v>SJS Enterprises Ltd</v>
      </c>
      <c r="AS59" s="51">
        <f>IFERROR(__xludf.DUMMYFUNCTION("IFERROR(if(ISBLANK(AQ59),"" "",GOOGLEFINANCE(AP59,""price"")), """")"),2430.3)</f>
        <v>2430.3</v>
      </c>
      <c r="AT59" s="22">
        <f>IFERROR(__xludf.DUMMYFUNCTION("IFERROR(if(ISBLANK(AQ59),"" "",GOOGLEFINANCE(AP59,""changepct"")), """")"),1.14)</f>
        <v>1.14</v>
      </c>
      <c r="AU59" s="45"/>
      <c r="AV59" s="34" t="s">
        <v>1253</v>
      </c>
      <c r="AW59" s="31" t="s">
        <v>95</v>
      </c>
      <c r="AX59" s="32" t="str">
        <f>IFERROR(__xludf.DUMMYFUNCTION("IFERROR(if(ISBLANK(AW59),"" "",GOOGLEFINANCE(AV59,""Name"")), """")"),"MAS Financial Services Ltd")</f>
        <v>MAS Financial Services Ltd</v>
      </c>
      <c r="AY59" s="51">
        <f>IFERROR(__xludf.DUMMYFUNCTION("IFERROR(if(ISBLANK(AW59),"" "",GOOGLEFINANCE(AV59,""price"")), """")"),305.0)</f>
        <v>305</v>
      </c>
      <c r="AZ59" s="22">
        <f>IFERROR(__xludf.DUMMYFUNCTION("IFERROR(if(ISBLANK(AW59),"" "",GOOGLEFINANCE(AV59,""changepct"")), """")"),1.63)</f>
        <v>1.63</v>
      </c>
      <c r="BA59" s="12"/>
      <c r="BB59" s="33" t="s">
        <v>1254</v>
      </c>
      <c r="BC59" s="31" t="s">
        <v>95</v>
      </c>
      <c r="BD59" s="32" t="str">
        <f>IFERROR(__xludf.DUMMYFUNCTION("IFERROR(if(ISBLANK(BC59),"" "",GOOGLEFINANCE(BB59,""Name"")), """")"),"Bannari Amman Sugars Ltd")</f>
        <v>Bannari Amman Sugars Ltd</v>
      </c>
      <c r="BE59" s="51">
        <f>IFERROR(__xludf.DUMMYFUNCTION("IFERROR(if(ISBLANK(BC59),"" "",GOOGLEFINANCE(BB59,""price"")), """")"),3465.0)</f>
        <v>3465</v>
      </c>
      <c r="BF59" s="22">
        <f>IFERROR(__xludf.DUMMYFUNCTION("IFERROR(if(ISBLANK(BC59),"" "",GOOGLEFINANCE(BB59,""changepct"")), """")"),-0.55)</f>
        <v>-0.55</v>
      </c>
      <c r="BG59" s="12"/>
      <c r="BH59" s="35" t="s">
        <v>1255</v>
      </c>
      <c r="BI59" s="31" t="s">
        <v>95</v>
      </c>
      <c r="BJ59" s="32" t="str">
        <f>IFERROR(__xludf.DUMMYFUNCTION("IFERROR(if(ISBLANK(BI59),"" "",GOOGLEFINANCE(BH59,""Name"")), """")"),"National Fertilizers Limited")</f>
        <v>National Fertilizers Limited</v>
      </c>
      <c r="BK59" s="51">
        <f>IFERROR(__xludf.DUMMYFUNCTION("IFERROR(if(ISBLANK(BI59),"" "",GOOGLEFINANCE(BH59,""price"")), """")"),71.8)</f>
        <v>71.8</v>
      </c>
      <c r="BL59" s="22">
        <f>IFERROR(__xludf.DUMMYFUNCTION("IFERROR(if(ISBLANK(BI59),"" "",GOOGLEFINANCE(BH59,""changepct"")), """")"),-0.21)</f>
        <v>-0.21</v>
      </c>
      <c r="BM59" s="12"/>
      <c r="BN59" s="33" t="s">
        <v>1256</v>
      </c>
      <c r="BO59" s="31" t="s">
        <v>95</v>
      </c>
      <c r="BP59" s="32" t="str">
        <f>IFERROR(__xludf.DUMMYFUNCTION("IFERROR(if(ISBLANK(BO59),"" "",GOOGLEFINANCE(BN59,""Name"")), """")"),"Jubilant Agri and Consumer Products Ltd")</f>
        <v>Jubilant Agri and Consumer Products Ltd</v>
      </c>
      <c r="BQ59" s="51">
        <f>IFERROR(__xludf.DUMMYFUNCTION("IFERROR(if(ISBLANK(BO59),"" "",GOOGLEFINANCE(BN59,""price"")), """")"),1893.0)</f>
        <v>1893</v>
      </c>
      <c r="BR59" s="22">
        <f>IFERROR(__xludf.DUMMYFUNCTION("IFERROR(if(ISBLANK(BO59),"" "",GOOGLEFINANCE(BN59,""changepct"")), """")"),1.69)</f>
        <v>1.69</v>
      </c>
      <c r="BS59" s="49"/>
      <c r="BT59" s="36"/>
      <c r="BU59" s="27" t="s">
        <v>1258</v>
      </c>
      <c r="BV59" s="31" t="s">
        <v>95</v>
      </c>
      <c r="BW59" s="32" t="str">
        <f>IFERROR(__xludf.DUMMYFUNCTION("IFERROR(if(ISBLANK(BV59),"" "",GOOGLEFINANCE(BU59,""Name"")), """")"),"Hester Biosciences Ltd")</f>
        <v>Hester Biosciences Ltd</v>
      </c>
      <c r="BX59" s="51">
        <f>IFERROR(__xludf.DUMMYFUNCTION("IFERROR(if(ISBLANK(BV59),"" "",GOOGLEFINANCE(BU59,""price"")), """")"),2485.0)</f>
        <v>2485</v>
      </c>
      <c r="BY59" s="22">
        <f>IFERROR(__xludf.DUMMYFUNCTION("IFERROR(if(ISBLANK(BV59),"" "",GOOGLEFINANCE(BU59,""changepct"")), """")"),-0.11)</f>
        <v>-0.11</v>
      </c>
      <c r="BZ59" s="49"/>
      <c r="CA59" s="37"/>
      <c r="CB59" s="27" t="s">
        <v>1259</v>
      </c>
      <c r="CC59" s="31" t="s">
        <v>95</v>
      </c>
      <c r="CD59" s="32" t="str">
        <f>IFERROR(__xludf.DUMMYFUNCTION("IFERROR(if(ISBLANK(CC59),"" "",GOOGLEFINANCE(CB59,""Name"")), """")"),"GTL Infrastructure Limited")</f>
        <v>GTL Infrastructure Limited</v>
      </c>
      <c r="CE59" s="51">
        <f>IFERROR(__xludf.DUMMYFUNCTION("IFERROR(if(ISBLANK(CC59),"" "",GOOGLEFINANCE(CB59,""price"")), """")"),1.23)</f>
        <v>1.23</v>
      </c>
      <c r="CF59" s="22">
        <f>IFERROR(__xludf.DUMMYFUNCTION("IFERROR(if(ISBLANK(CC59),"" "",GOOGLEFINANCE(CB59,""changepct"")), """")"),-0.81)</f>
        <v>-0.81</v>
      </c>
      <c r="CG59" s="12"/>
      <c r="CH59" s="18" t="s">
        <v>1260</v>
      </c>
      <c r="CI59" s="31" t="s">
        <v>95</v>
      </c>
      <c r="CJ59" s="32" t="str">
        <f>IFERROR(__xludf.DUMMYFUNCTION("IFERROR(if(ISBLANK(CI59),"" "",GOOGLEFINANCE(CH59,""Name"")), """")"),"Gulshan Polyols Ltd")</f>
        <v>Gulshan Polyols Ltd</v>
      </c>
      <c r="CK59" s="51">
        <f>IFERROR(__xludf.DUMMYFUNCTION("IFERROR(if(ISBLANK(CI59),"" "",GOOGLEFINANCE(CH59,""price"")), """")"),191.0)</f>
        <v>191</v>
      </c>
      <c r="CL59" s="22">
        <f>IFERROR(__xludf.DUMMYFUNCTION("IFERROR(if(ISBLANK(CI59),"" "",GOOGLEFINANCE(CH59,""changepct"")), """")"),-3.62)</f>
        <v>-3.62</v>
      </c>
      <c r="CM59" s="12"/>
      <c r="CN59" s="33" t="s">
        <v>1262</v>
      </c>
      <c r="CO59" s="31" t="s">
        <v>95</v>
      </c>
      <c r="CP59" s="32" t="str">
        <f>IFERROR(__xludf.DUMMYFUNCTION("IFERROR(if(ISBLANK(CO59),"" "",GOOGLEFINANCE(CN59,""Name"")), """")"),"Kamdhenu Ltd")</f>
        <v>Kamdhenu Ltd</v>
      </c>
      <c r="CQ59" s="51">
        <f>IFERROR(__xludf.DUMMYFUNCTION("IFERROR(if(ISBLANK(CO59),"" "",GOOGLEFINANCE(CN59,""price"")), """")"),33.9)</f>
        <v>33.9</v>
      </c>
      <c r="CR59" s="22">
        <f>IFERROR(__xludf.DUMMYFUNCTION("IFERROR(if(ISBLANK(CO59),"" "",GOOGLEFINANCE(CN59,""changepct"")), """")"),-3.09)</f>
        <v>-3.09</v>
      </c>
      <c r="CS59" s="45"/>
      <c r="CT59" s="33" t="s">
        <v>1263</v>
      </c>
      <c r="CU59" s="31" t="s">
        <v>95</v>
      </c>
      <c r="CV59" s="32" t="str">
        <f>IFERROR(__xludf.DUMMYFUNCTION("IFERROR(if(ISBLANK(CU59),"" "",GOOGLEFINANCE(CT59,""Name"")), """")"),"Eldeco Housing And Industries Ltd")</f>
        <v>Eldeco Housing And Industries Ltd</v>
      </c>
      <c r="CW59" s="51">
        <f>IFERROR(__xludf.DUMMYFUNCTION("IFERROR(if(ISBLANK(CU59),"" "",GOOGLEFINANCE(CT59,""price"")), """")"),748.8)</f>
        <v>748.8</v>
      </c>
      <c r="CX59" s="22">
        <f>IFERROR(__xludf.DUMMYFUNCTION("IFERROR(if(ISBLANK(CU59),"" "",GOOGLEFINANCE(CT59,""changepct"")), """")"),-2.05)</f>
        <v>-2.05</v>
      </c>
      <c r="CY59" s="17"/>
      <c r="CZ59" s="33" t="s">
        <v>1264</v>
      </c>
      <c r="DA59" s="31" t="s">
        <v>95</v>
      </c>
      <c r="DB59" s="32" t="str">
        <f>IFERROR(__xludf.DUMMYFUNCTION("IFERROR(if(ISBLANK(DA59),"" "",GOOGLEFINANCE(CZ59,""Name"")), """")"),"Transindia Real Estate Ltd")</f>
        <v>Transindia Real Estate Ltd</v>
      </c>
      <c r="DC59" s="51">
        <f>IFERROR(__xludf.DUMMYFUNCTION("IFERROR(if(ISBLANK(DA59),"" "",GOOGLEFINANCE(CZ59,""price"")), """")"),27.2)</f>
        <v>27.2</v>
      </c>
      <c r="DD59" s="22">
        <f>IFERROR(__xludf.DUMMYFUNCTION("IFERROR(if(ISBLANK(DA59),"" "",GOOGLEFINANCE(CZ59,""changepct"")), """")"),0.11)</f>
        <v>0.11</v>
      </c>
      <c r="DE59" s="45"/>
      <c r="DF59" s="12"/>
    </row>
    <row r="60" ht="11.25" customHeight="1">
      <c r="A60" s="50"/>
      <c r="B60" s="18" t="s">
        <v>1265</v>
      </c>
      <c r="C60" s="31" t="s">
        <v>95</v>
      </c>
      <c r="D60" s="32" t="str">
        <f>IFERROR(__xludf.DUMMYFUNCTION("IFERROR(if(ISBLANK(C60),"" "",GOOGLEFINANCE(B60,""Name"")), """")"),"Tata Motors Ltd")</f>
        <v>Tata Motors Ltd</v>
      </c>
      <c r="E60" s="51">
        <f>IFERROR(__xludf.DUMMYFUNCTION("IFERROR(if(ISBLANK(C60),"" "",GOOGLEFINANCE(B60,""price"")), """")"),456.9)</f>
        <v>456.9</v>
      </c>
      <c r="F60" s="22">
        <f>IFERROR(__xludf.DUMMYFUNCTION("IFERROR(if(ISBLANK(C60),"" "",GOOGLEFINANCE(B60,""changepct"")), """")"),1.52)</f>
        <v>1.52</v>
      </c>
      <c r="G60" s="49"/>
      <c r="H60" s="36"/>
      <c r="I60" s="25" t="s">
        <v>1266</v>
      </c>
      <c r="J60" s="31" t="s">
        <v>95</v>
      </c>
      <c r="K60" s="32" t="str">
        <f>IFERROR(__xludf.DUMMYFUNCTION("IFERROR(if(ISBLANK(J60),"" "",GOOGLEFINANCE(I60,""Name"")), """")"),"Adani Total Gas Ltd")</f>
        <v>Adani Total Gas Ltd</v>
      </c>
      <c r="L60" s="51">
        <f>IFERROR(__xludf.DUMMYFUNCTION("IFERROR(if(ISBLANK(J60),"" "",GOOGLEFINANCE(I60,""price"")), """")"),661.0)</f>
        <v>661</v>
      </c>
      <c r="M60" s="22">
        <f>IFERROR(__xludf.DUMMYFUNCTION("IFERROR(if(ISBLANK(J60),"" "",GOOGLEFINANCE(I60,""changepct"")), """")"),-0.77)</f>
        <v>-0.77</v>
      </c>
      <c r="N60" s="49"/>
      <c r="O60" s="37"/>
      <c r="P60" s="27" t="s">
        <v>1268</v>
      </c>
      <c r="Q60" s="31" t="s">
        <v>95</v>
      </c>
      <c r="R60" s="32" t="str">
        <f>IFERROR(__xludf.DUMMYFUNCTION("IFERROR(if(ISBLANK(Q60),"" "",GOOGLEFINANCE(P60,""Name"")), """")"),"Anand Rathi Wealth Ltd")</f>
        <v>Anand Rathi Wealth Ltd</v>
      </c>
      <c r="S60" s="51">
        <f>IFERROR(__xludf.DUMMYFUNCTION("IFERROR(if(ISBLANK(Q60),"" "",GOOGLEFINANCE(P60,""price"")), """")"),2194.0)</f>
        <v>2194</v>
      </c>
      <c r="T60" s="22">
        <f>IFERROR(__xludf.DUMMYFUNCTION("IFERROR(if(ISBLANK(Q60),"" "",GOOGLEFINANCE(P60,""changepct"")), """")"),1.67)</f>
        <v>1.67</v>
      </c>
      <c r="U60" s="12"/>
      <c r="V60" s="18" t="s">
        <v>1269</v>
      </c>
      <c r="W60" s="31" t="s">
        <v>95</v>
      </c>
      <c r="X60" s="32" t="str">
        <f>IFERROR(__xludf.DUMMYFUNCTION("IFERROR(if(ISBLANK(W60),"" "",GOOGLEFINANCE(V60,""Name"")), """")"),"Sagility Ltd")</f>
        <v>Sagility Ltd</v>
      </c>
      <c r="Y60" s="51">
        <f>IFERROR(__xludf.DUMMYFUNCTION("IFERROR(if(ISBLANK(W60),"" "",GOOGLEFINANCE(V60,""price"")), """")"),43.48)</f>
        <v>43.48</v>
      </c>
      <c r="Z60" s="22">
        <f>IFERROR(__xludf.DUMMYFUNCTION("IFERROR(if(ISBLANK(W60),"" "",GOOGLEFINANCE(V60,""changepct"")), """")"),1.07)</f>
        <v>1.07</v>
      </c>
      <c r="AA60" s="12"/>
      <c r="AB60" s="18" t="s">
        <v>1270</v>
      </c>
      <c r="AC60" s="31" t="s">
        <v>95</v>
      </c>
      <c r="AD60" s="32" t="str">
        <f>IFERROR(__xludf.DUMMYFUNCTION("IFERROR(if(ISBLANK(AC60),"" "",GOOGLEFINANCE(AB60,""Name"")), """")"),"Honasa Consumer Ltd")</f>
        <v>Honasa Consumer Ltd</v>
      </c>
      <c r="AE60" s="51">
        <f>IFERROR(__xludf.DUMMYFUNCTION("IFERROR(if(ISBLANK(AC60),"" "",GOOGLEFINANCE(AB60,""price"")), """")"),467.45)</f>
        <v>467.45</v>
      </c>
      <c r="AF60" s="22">
        <f>IFERROR(__xludf.DUMMYFUNCTION("IFERROR(if(ISBLANK(AC60),"" "",GOOGLEFINANCE(AB60,""changepct"")), """")"),0.03)</f>
        <v>0.03</v>
      </c>
      <c r="AG60" s="45"/>
      <c r="AH60" s="27" t="s">
        <v>1271</v>
      </c>
      <c r="AI60" s="31" t="s">
        <v>95</v>
      </c>
      <c r="AJ60" s="32" t="str">
        <f>IFERROR(__xludf.DUMMYFUNCTION("IFERROR(if(ISBLANK(AI60),"" "",GOOGLEFINANCE(AH60,""Name"")), """")"),"Karnataka Bank Ltd")</f>
        <v>Karnataka Bank Ltd</v>
      </c>
      <c r="AK60" s="51">
        <f>IFERROR(__xludf.DUMMYFUNCTION("IFERROR(if(ISBLANK(AI60),"" "",GOOGLEFINANCE(AH60,""price"")), """")"),313.25)</f>
        <v>313.25</v>
      </c>
      <c r="AL60" s="22">
        <f>IFERROR(__xludf.DUMMYFUNCTION("IFERROR(if(ISBLANK(AI60),"" "",GOOGLEFINANCE(AH60,""changepct"")), """")"),3.43)</f>
        <v>3.43</v>
      </c>
      <c r="AM60" s="30"/>
      <c r="AN60" s="31" t="s">
        <v>200</v>
      </c>
      <c r="AO60" s="32" t="str">
        <f>IFERROR(__xludf.DUMMYFUNCTION("IFERROR(if(ISBLANK(AN60),"" "",GOOGLEFINANCE(AM60,""Name"")), """")"),"")</f>
        <v/>
      </c>
      <c r="AP60" s="33" t="s">
        <v>1272</v>
      </c>
      <c r="AQ60" s="31" t="s">
        <v>95</v>
      </c>
      <c r="AR60" s="32" t="str">
        <f>IFERROR(__xludf.DUMMYFUNCTION("IFERROR(if(ISBLANK(AQ60),"" "",GOOGLEFINANCE(AP60,""Name"")), """")"),"Sanofi India Ltd")</f>
        <v>Sanofi India Ltd</v>
      </c>
      <c r="AS60" s="51">
        <f>IFERROR(__xludf.DUMMYFUNCTION("IFERROR(if(ISBLANK(AQ60),"" "",GOOGLEFINANCE(AP60,""price"")), """")"),3244.0)</f>
        <v>3244</v>
      </c>
      <c r="AT60" s="22">
        <f>IFERROR(__xludf.DUMMYFUNCTION("IFERROR(if(ISBLANK(AQ60),"" "",GOOGLEFINANCE(AP60,""changepct"")), """")"),-1.79)</f>
        <v>-1.79</v>
      </c>
      <c r="AU60" s="45"/>
      <c r="AV60" s="34" t="s">
        <v>1273</v>
      </c>
      <c r="AW60" s="31" t="s">
        <v>95</v>
      </c>
      <c r="AX60" s="32" t="str">
        <f>IFERROR(__xludf.DUMMYFUNCTION("IFERROR(if(ISBLANK(AW60),"" "",GOOGLEFINANCE(AV60,""Name"")), """")"),"Fedbank Financial Services Ltd")</f>
        <v>Fedbank Financial Services Ltd</v>
      </c>
      <c r="AY60" s="51">
        <f>IFERROR(__xludf.DUMMYFUNCTION("IFERROR(if(ISBLANK(AW60),"" "",GOOGLEFINANCE(AV60,""price"")), """")"),151.01)</f>
        <v>151.01</v>
      </c>
      <c r="AZ60" s="22">
        <f>IFERROR(__xludf.DUMMYFUNCTION("IFERROR(if(ISBLANK(AW60),"" "",GOOGLEFINANCE(AV60,""changepct"")), """")"),-2.34)</f>
        <v>-2.34</v>
      </c>
      <c r="BA60" s="12"/>
      <c r="BB60" s="33" t="s">
        <v>1274</v>
      </c>
      <c r="BC60" s="31" t="s">
        <v>95</v>
      </c>
      <c r="BD60" s="32" t="str">
        <f>IFERROR(__xludf.DUMMYFUNCTION("IFERROR(if(ISBLANK(BC60),"" "",GOOGLEFINANCE(BB60,""Name"")), """")"),"Styrenix Performance Materials Ltd")</f>
        <v>Styrenix Performance Materials Ltd</v>
      </c>
      <c r="BE60" s="51">
        <f>IFERROR(__xludf.DUMMYFUNCTION("IFERROR(if(ISBLANK(BC60),"" "",GOOGLEFINANCE(BB60,""price"")), """")"),2216.9)</f>
        <v>2216.9</v>
      </c>
      <c r="BF60" s="22">
        <f>IFERROR(__xludf.DUMMYFUNCTION("IFERROR(if(ISBLANK(BC60),"" "",GOOGLEFINANCE(BB60,""changepct"")), """")"),-0.61)</f>
        <v>-0.61</v>
      </c>
      <c r="BG60" s="12"/>
      <c r="BH60" s="35" t="s">
        <v>1276</v>
      </c>
      <c r="BI60" s="31" t="s">
        <v>95</v>
      </c>
      <c r="BJ60" s="32" t="str">
        <f>IFERROR(__xludf.DUMMYFUNCTION("IFERROR(if(ISBLANK(BI60),"" "",GOOGLEFINANCE(BH60,""Name"")), """")"),"Pitti Engineering Ltd")</f>
        <v>Pitti Engineering Ltd</v>
      </c>
      <c r="BK60" s="51">
        <f>IFERROR(__xludf.DUMMYFUNCTION("IFERROR(if(ISBLANK(BI60),"" "",GOOGLEFINANCE(BH60,""price"")), """")"),1049.0)</f>
        <v>1049</v>
      </c>
      <c r="BL60" s="22">
        <f>IFERROR(__xludf.DUMMYFUNCTION("IFERROR(if(ISBLANK(BI60),"" "",GOOGLEFINANCE(BH60,""changepct"")), """")"),9.23)</f>
        <v>9.23</v>
      </c>
      <c r="BM60" s="12"/>
      <c r="BN60" s="33" t="s">
        <v>1277</v>
      </c>
      <c r="BO60" s="31" t="s">
        <v>95</v>
      </c>
      <c r="BP60" s="32" t="str">
        <f>IFERROR(__xludf.DUMMYFUNCTION("IFERROR(if(ISBLANK(BO60),"" "",GOOGLEFINANCE(BN60,""Name"")), """")"),"Parag Milk Foods Ltd")</f>
        <v>Parag Milk Foods Ltd</v>
      </c>
      <c r="BQ60" s="51">
        <f>IFERROR(__xludf.DUMMYFUNCTION("IFERROR(if(ISBLANK(BO60),"" "",GOOGLEFINANCE(BN60,""price"")), """")"),215.98)</f>
        <v>215.98</v>
      </c>
      <c r="BR60" s="22">
        <f>IFERROR(__xludf.DUMMYFUNCTION("IFERROR(if(ISBLANK(BO60),"" "",GOOGLEFINANCE(BN60,""changepct"")), """")"),-1.5)</f>
        <v>-1.5</v>
      </c>
      <c r="BS60" s="49"/>
      <c r="BT60" s="36"/>
      <c r="BU60" s="27" t="s">
        <v>1278</v>
      </c>
      <c r="BV60" s="31" t="s">
        <v>95</v>
      </c>
      <c r="BW60" s="32" t="str">
        <f>IFERROR(__xludf.DUMMYFUNCTION("IFERROR(if(ISBLANK(BV60),"" "",GOOGLEFINANCE(BU60,""Name"")), """")"),"Thirumalai Chemicals Ltd")</f>
        <v>Thirumalai Chemicals Ltd</v>
      </c>
      <c r="BX60" s="51">
        <f>IFERROR(__xludf.DUMMYFUNCTION("IFERROR(if(ISBLANK(BV60),"" "",GOOGLEFINANCE(BU60,""price"")), """")"),160.9)</f>
        <v>160.9</v>
      </c>
      <c r="BY60" s="22">
        <f>IFERROR(__xludf.DUMMYFUNCTION("IFERROR(if(ISBLANK(BV60),"" "",GOOGLEFINANCE(BU60,""changepct"")), """")"),-1.07)</f>
        <v>-1.07</v>
      </c>
      <c r="BZ60" s="49"/>
      <c r="CA60" s="37"/>
      <c r="CB60" s="27" t="s">
        <v>1279</v>
      </c>
      <c r="CC60" s="31" t="s">
        <v>95</v>
      </c>
      <c r="CD60" s="32" t="str">
        <f>IFERROR(__xludf.DUMMYFUNCTION("IFERROR(if(ISBLANK(CC60),"" "",GOOGLEFINANCE(CB60,""Name"")), """")"),"Dolphin Offshore Enterprises (India) Ltd")</f>
        <v>Dolphin Offshore Enterprises (India) Ltd</v>
      </c>
      <c r="CE60" s="51">
        <f>IFERROR(__xludf.DUMMYFUNCTION("IFERROR(if(ISBLANK(CC60),"" "",GOOGLEFINANCE(CB60,""price"")), """")"),497.1)</f>
        <v>497.1</v>
      </c>
      <c r="CF60" s="22">
        <f>IFERROR(__xludf.DUMMYFUNCTION("IFERROR(if(ISBLANK(CC60),"" "",GOOGLEFINANCE(CB60,""changepct"")), """")"),12.84)</f>
        <v>12.84</v>
      </c>
      <c r="CG60" s="12"/>
      <c r="CH60" s="18" t="s">
        <v>1280</v>
      </c>
      <c r="CI60" s="31" t="s">
        <v>95</v>
      </c>
      <c r="CJ60" s="32" t="str">
        <f>IFERROR(__xludf.DUMMYFUNCTION("IFERROR(if(ISBLANK(CI60),"" "",GOOGLEFINANCE(CH60,""Name"")), """")"),"B L Kashyap and Sons Ltd")</f>
        <v>B L Kashyap and Sons Ltd</v>
      </c>
      <c r="CK60" s="51">
        <f>IFERROR(__xludf.DUMMYFUNCTION("IFERROR(if(ISBLANK(CI60),"" "",GOOGLEFINANCE(CH60,""price"")), """")"),52.17)</f>
        <v>52.17</v>
      </c>
      <c r="CL60" s="22">
        <f>IFERROR(__xludf.DUMMYFUNCTION("IFERROR(if(ISBLANK(CI60),"" "",GOOGLEFINANCE(CH60,""changepct"")), """")"),-3.37)</f>
        <v>-3.37</v>
      </c>
      <c r="CM60" s="12"/>
      <c r="CN60" s="33" t="s">
        <v>1282</v>
      </c>
      <c r="CO60" s="31" t="s">
        <v>95</v>
      </c>
      <c r="CP60" s="32" t="str">
        <f>IFERROR(__xludf.DUMMYFUNCTION("IFERROR(if(ISBLANK(CO60),"" "",GOOGLEFINANCE(CN60,""Name"")), """")"),"Consolidated Finvest &amp; Holdings Ltd")</f>
        <v>Consolidated Finvest &amp; Holdings Ltd</v>
      </c>
      <c r="CQ60" s="51">
        <f>IFERROR(__xludf.DUMMYFUNCTION("IFERROR(if(ISBLANK(CO60),"" "",GOOGLEFINANCE(CN60,""price"")), """")"),278.8)</f>
        <v>278.8</v>
      </c>
      <c r="CR60" s="22">
        <f>IFERROR(__xludf.DUMMYFUNCTION("IFERROR(if(ISBLANK(CO60),"" "",GOOGLEFINANCE(CN60,""changepct"")), """")"),1.49)</f>
        <v>1.49</v>
      </c>
      <c r="CS60" s="45"/>
      <c r="CT60" s="33" t="s">
        <v>1283</v>
      </c>
      <c r="CU60" s="31" t="s">
        <v>95</v>
      </c>
      <c r="CV60" s="32" t="str">
        <f>IFERROR(__xludf.DUMMYFUNCTION("IFERROR(if(ISBLANK(CU60),"" "",GOOGLEFINANCE(CT60,""Name"")), """")"),"Patel Retail Ltd")</f>
        <v>Patel Retail Ltd</v>
      </c>
      <c r="CW60" s="51">
        <f>IFERROR(__xludf.DUMMYFUNCTION("IFERROR(if(ISBLANK(CU60),"" "",GOOGLEFINANCE(CT60,""price"")), """")"),220.0)</f>
        <v>220</v>
      </c>
      <c r="CX60" s="22">
        <f>IFERROR(__xludf.DUMMYFUNCTION("IFERROR(if(ISBLANK(CU60),"" "",GOOGLEFINANCE(CT60,""changepct"")), """")"),-2.64)</f>
        <v>-2.64</v>
      </c>
      <c r="CY60" s="17"/>
      <c r="CZ60" s="33" t="s">
        <v>1284</v>
      </c>
      <c r="DA60" s="31" t="s">
        <v>95</v>
      </c>
      <c r="DB60" s="32" t="str">
        <f>IFERROR(__xludf.DUMMYFUNCTION("IFERROR(if(ISBLANK(DA60),"" "",GOOGLEFINANCE(CZ60,""Name"")), """")"),"Concord Enviro Systems Ltd")</f>
        <v>Concord Enviro Systems Ltd</v>
      </c>
      <c r="DC60" s="51">
        <f>IFERROR(__xludf.DUMMYFUNCTION("IFERROR(if(ISBLANK(DA60),"" "",GOOGLEFINANCE(CZ60,""price"")), """")"),266.0)</f>
        <v>266</v>
      </c>
      <c r="DD60" s="22">
        <f>IFERROR(__xludf.DUMMYFUNCTION("IFERROR(if(ISBLANK(DA60),"" "",GOOGLEFINANCE(CZ60,""changepct"")), """")"),-3.34)</f>
        <v>-3.34</v>
      </c>
      <c r="DE60" s="45"/>
      <c r="DF60" s="12"/>
    </row>
    <row r="61" ht="11.25" customHeight="1">
      <c r="A61" s="50"/>
      <c r="B61" s="18" t="s">
        <v>1285</v>
      </c>
      <c r="C61" s="31" t="s">
        <v>95</v>
      </c>
      <c r="D61" s="32" t="str">
        <f>IFERROR(__xludf.DUMMYFUNCTION("IFERROR(if(ISBLANK(C61),"" "",GOOGLEFINANCE(B61,""Name"")), """")"),"Trent Ltd")</f>
        <v>Trent Ltd</v>
      </c>
      <c r="E61" s="51">
        <f>IFERROR(__xludf.DUMMYFUNCTION("IFERROR(if(ISBLANK(C61),"" "",GOOGLEFINANCE(B61,""price"")), """")"),2982.1)</f>
        <v>2982.1</v>
      </c>
      <c r="F61" s="22">
        <f>IFERROR(__xludf.DUMMYFUNCTION("IFERROR(if(ISBLANK(C61),"" "",GOOGLEFINANCE(B61,""changepct"")), """")"),-0.6)</f>
        <v>-0.6</v>
      </c>
      <c r="G61" s="49"/>
      <c r="H61" s="36"/>
      <c r="I61" s="25" t="s">
        <v>1286</v>
      </c>
      <c r="J61" s="31" t="s">
        <v>95</v>
      </c>
      <c r="K61" s="32" t="str">
        <f>IFERROR(__xludf.DUMMYFUNCTION("IFERROR(if(ISBLANK(J61),"" "",GOOGLEFINANCE(I61,""Name"")), """")"),"Yes Bank Ltd")</f>
        <v>Yes Bank Ltd</v>
      </c>
      <c r="L61" s="51">
        <f>IFERROR(__xludf.DUMMYFUNCTION("IFERROR(if(ISBLANK(J61),"" "",GOOGLEFINANCE(I61,""price"")), """")"),22.83)</f>
        <v>22.83</v>
      </c>
      <c r="M61" s="22">
        <f>IFERROR(__xludf.DUMMYFUNCTION("IFERROR(if(ISBLANK(J61),"" "",GOOGLEFINANCE(I61,""changepct"")), """")"),0.35)</f>
        <v>0.35</v>
      </c>
      <c r="N61" s="49"/>
      <c r="O61" s="37"/>
      <c r="P61" s="27" t="s">
        <v>1288</v>
      </c>
      <c r="Q61" s="31" t="s">
        <v>95</v>
      </c>
      <c r="R61" s="32" t="str">
        <f>IFERROR(__xludf.DUMMYFUNCTION("IFERROR(if(ISBLANK(Q61),"" "",GOOGLEFINANCE(P61,""Name"")), """")"),"Tata Investment Corporation Ltd")</f>
        <v>Tata Investment Corporation Ltd</v>
      </c>
      <c r="S61" s="51">
        <f>IFERROR(__xludf.DUMMYFUNCTION("IFERROR(if(ISBLANK(Q61),"" "",GOOGLEFINANCE(P61,""price"")), """")"),679.0)</f>
        <v>679</v>
      </c>
      <c r="T61" s="22">
        <f>IFERROR(__xludf.DUMMYFUNCTION("IFERROR(if(ISBLANK(Q61),"" "",GOOGLEFINANCE(P61,""changepct"")), """")"),-1.42)</f>
        <v>-1.42</v>
      </c>
      <c r="U61" s="12"/>
      <c r="V61" s="18" t="s">
        <v>1289</v>
      </c>
      <c r="W61" s="31" t="s">
        <v>95</v>
      </c>
      <c r="X61" s="32" t="str">
        <f>IFERROR(__xludf.DUMMYFUNCTION("IFERROR(if(ISBLANK(W61),"" "",GOOGLEFINANCE(V61,""Name"")), """")"),"Carborundum Universal Ltd")</f>
        <v>Carborundum Universal Ltd</v>
      </c>
      <c r="Y61" s="51">
        <f>IFERROR(__xludf.DUMMYFUNCTION("IFERROR(if(ISBLANK(W61),"" "",GOOGLEFINANCE(V61,""price"")), """")"),1156.4)</f>
        <v>1156.4</v>
      </c>
      <c r="Z61" s="22">
        <f>IFERROR(__xludf.DUMMYFUNCTION("IFERROR(if(ISBLANK(W61),"" "",GOOGLEFINANCE(V61,""changepct"")), """")"),-1.48)</f>
        <v>-1.48</v>
      </c>
      <c r="AA61" s="12"/>
      <c r="AB61" s="18" t="s">
        <v>1290</v>
      </c>
      <c r="AC61" s="31" t="s">
        <v>95</v>
      </c>
      <c r="AD61" s="32" t="str">
        <f>IFERROR(__xludf.DUMMYFUNCTION("IFERROR(if(ISBLANK(AC61),"" "",GOOGLEFINANCE(AB61,""Name"")), """")"),"Ventive Hospitality Ltd")</f>
        <v>Ventive Hospitality Ltd</v>
      </c>
      <c r="AE61" s="51">
        <f>IFERROR(__xludf.DUMMYFUNCTION("IFERROR(if(ISBLANK(AC61),"" "",GOOGLEFINANCE(AB61,""price"")), """")"),590.25)</f>
        <v>590.25</v>
      </c>
      <c r="AF61" s="22">
        <f>IFERROR(__xludf.DUMMYFUNCTION("IFERROR(if(ISBLANK(AC61),"" "",GOOGLEFINANCE(AB61,""changepct"")), """")"),-1.09)</f>
        <v>-1.09</v>
      </c>
      <c r="AG61" s="45"/>
      <c r="AH61" s="27" t="s">
        <v>1291</v>
      </c>
      <c r="AI61" s="31" t="s">
        <v>95</v>
      </c>
      <c r="AJ61" s="32" t="str">
        <f>IFERROR(__xludf.DUMMYFUNCTION("IFERROR(if(ISBLANK(AI61),"" "",GOOGLEFINANCE(AH61,""Name"")), """")"),"Godrej Agrovet Ltd")</f>
        <v>Godrej Agrovet Ltd</v>
      </c>
      <c r="AK61" s="51">
        <f>IFERROR(__xludf.DUMMYFUNCTION("IFERROR(if(ISBLANK(AI61),"" "",GOOGLEFINANCE(AH61,""price"")), """")"),550.3)</f>
        <v>550.3</v>
      </c>
      <c r="AL61" s="22">
        <f>IFERROR(__xludf.DUMMYFUNCTION("IFERROR(if(ISBLANK(AI61),"" "",GOOGLEFINANCE(AH61,""changepct"")), """")"),0.71)</f>
        <v>0.71</v>
      </c>
      <c r="AM61" s="30"/>
      <c r="AN61" s="31" t="s">
        <v>200</v>
      </c>
      <c r="AO61" s="32" t="str">
        <f>IFERROR(__xludf.DUMMYFUNCTION("IFERROR(if(ISBLANK(AN61),"" "",GOOGLEFINANCE(AM61,""Name"")), """")"),"")</f>
        <v/>
      </c>
      <c r="AP61" s="33" t="s">
        <v>1293</v>
      </c>
      <c r="AQ61" s="31" t="s">
        <v>95</v>
      </c>
      <c r="AR61" s="32" t="str">
        <f>IFERROR(__xludf.DUMMYFUNCTION("IFERROR(if(ISBLANK(AQ61),"" "",GOOGLEFINANCE(AP61,""Name"")), """")"),"Orkla India Ltd")</f>
        <v>Orkla India Ltd</v>
      </c>
      <c r="AS61" s="51">
        <f>IFERROR(__xludf.DUMMYFUNCTION("IFERROR(if(ISBLANK(AQ61),"" "",GOOGLEFINANCE(AP61,""price"")), """")"),550.9)</f>
        <v>550.9</v>
      </c>
      <c r="AT61" s="22">
        <f>IFERROR(__xludf.DUMMYFUNCTION("IFERROR(if(ISBLANK(AQ61),"" "",GOOGLEFINANCE(AP61,""changepct"")), """")"),-0.74)</f>
        <v>-0.74</v>
      </c>
      <c r="AU61" s="45"/>
      <c r="AV61" s="34" t="s">
        <v>1294</v>
      </c>
      <c r="AW61" s="31" t="s">
        <v>95</v>
      </c>
      <c r="AX61" s="32" t="str">
        <f>IFERROR(__xludf.DUMMYFUNCTION("IFERROR(if(ISBLANK(AW61),"" "",GOOGLEFINANCE(AV61,""Name"")), """")"),"Aeroflex Industries Ltd")</f>
        <v>Aeroflex Industries Ltd</v>
      </c>
      <c r="AY61" s="51">
        <f>IFERROR(__xludf.DUMMYFUNCTION("IFERROR(if(ISBLANK(AW61),"" "",GOOGLEFINANCE(AV61,""price"")), """")"),446.0)</f>
        <v>446</v>
      </c>
      <c r="AZ61" s="22">
        <f>IFERROR(__xludf.DUMMYFUNCTION("IFERROR(if(ISBLANK(AW61),"" "",GOOGLEFINANCE(AV61,""changepct"")), """")"),5.52)</f>
        <v>5.52</v>
      </c>
      <c r="BA61" s="12"/>
      <c r="BB61" s="33" t="s">
        <v>1295</v>
      </c>
      <c r="BC61" s="31" t="s">
        <v>95</v>
      </c>
      <c r="BD61" s="32" t="str">
        <f>IFERROR(__xludf.DUMMYFUNCTION("IFERROR(if(ISBLANK(BC61),"" "",GOOGLEFINANCE(BB61,""Name"")), """")"),"Anup Engineering Ltd")</f>
        <v>Anup Engineering Ltd</v>
      </c>
      <c r="BE61" s="51">
        <f>IFERROR(__xludf.DUMMYFUNCTION("IFERROR(if(ISBLANK(BC61),"" "",GOOGLEFINANCE(BB61,""price"")), """")"),1867.0)</f>
        <v>1867</v>
      </c>
      <c r="BF61" s="22">
        <f>IFERROR(__xludf.DUMMYFUNCTION("IFERROR(if(ISBLANK(BC61),"" "",GOOGLEFINANCE(BB61,""changepct"")), """")"),-2.14)</f>
        <v>-2.14</v>
      </c>
      <c r="BG61" s="12"/>
      <c r="BH61" s="35" t="s">
        <v>1296</v>
      </c>
      <c r="BI61" s="31" t="s">
        <v>95</v>
      </c>
      <c r="BJ61" s="32" t="str">
        <f>IFERROR(__xludf.DUMMYFUNCTION("IFERROR(if(ISBLANK(BI61),"" "",GOOGLEFINANCE(BH61,""Name"")), """")"),"Grauer And Weil (India) Ltd")</f>
        <v>Grauer And Weil (India) Ltd</v>
      </c>
      <c r="BK61" s="51">
        <f>IFERROR(__xludf.DUMMYFUNCTION("IFERROR(if(ISBLANK(BI61),"" "",GOOGLEFINANCE(BH61,""price"")), """")"),67.0)</f>
        <v>67</v>
      </c>
      <c r="BL61" s="22">
        <f>IFERROR(__xludf.DUMMYFUNCTION("IFERROR(if(ISBLANK(BI61),"" "",GOOGLEFINANCE(BH61,""changepct"")), """")"),-0.99)</f>
        <v>-0.99</v>
      </c>
      <c r="BM61" s="12"/>
      <c r="BN61" s="33" t="s">
        <v>1297</v>
      </c>
      <c r="BO61" s="31" t="s">
        <v>95</v>
      </c>
      <c r="BP61" s="32" t="str">
        <f>IFERROR(__xludf.DUMMYFUNCTION("IFERROR(if(ISBLANK(BO61),"" "",GOOGLEFINANCE(BN61,""Name"")), """")"),"EPack Prefab Technologies Ltd")</f>
        <v>EPack Prefab Technologies Ltd</v>
      </c>
      <c r="BQ61" s="51">
        <f>IFERROR(__xludf.DUMMYFUNCTION("IFERROR(if(ISBLANK(BO61),"" "",GOOGLEFINANCE(BN61,""price"")), """")"),237.5)</f>
        <v>237.5</v>
      </c>
      <c r="BR61" s="22">
        <f>IFERROR(__xludf.DUMMYFUNCTION("IFERROR(if(ISBLANK(BO61),"" "",GOOGLEFINANCE(BN61,""changepct"")), """")"),-3.9)</f>
        <v>-3.9</v>
      </c>
      <c r="BS61" s="49"/>
      <c r="BT61" s="36"/>
      <c r="BU61" s="27" t="s">
        <v>1298</v>
      </c>
      <c r="BV61" s="31" t="s">
        <v>95</v>
      </c>
      <c r="BW61" s="32" t="str">
        <f>IFERROR(__xludf.DUMMYFUNCTION("IFERROR(if(ISBLANK(BV61),"" "",GOOGLEFINANCE(BU61,""Name"")), """")"),"Spandana Sphoorty Financial Ltd")</f>
        <v>Spandana Sphoorty Financial Ltd</v>
      </c>
      <c r="BX61" s="51">
        <f>IFERROR(__xludf.DUMMYFUNCTION("IFERROR(if(ISBLANK(BV61),"" "",GOOGLEFINANCE(BU61,""price"")), """")"),245.5)</f>
        <v>245.5</v>
      </c>
      <c r="BY61" s="22">
        <f>IFERROR(__xludf.DUMMYFUNCTION("IFERROR(if(ISBLANK(BV61),"" "",GOOGLEFINANCE(BU61,""changepct"")), """")"),-1.5)</f>
        <v>-1.5</v>
      </c>
      <c r="BZ61" s="49"/>
      <c r="CA61" s="37"/>
      <c r="CB61" s="27" t="s">
        <v>1300</v>
      </c>
      <c r="CC61" s="31" t="s">
        <v>95</v>
      </c>
      <c r="CD61" s="32" t="str">
        <f>IFERROR(__xludf.DUMMYFUNCTION("IFERROR(if(ISBLANK(CC61),"" "",GOOGLEFINANCE(CB61,""Name"")), """")"),"Walchandnagar Industries Ltd")</f>
        <v>Walchandnagar Industries Ltd</v>
      </c>
      <c r="CE61" s="51">
        <f>IFERROR(__xludf.DUMMYFUNCTION("IFERROR(if(ISBLANK(CC61),"" "",GOOGLEFINANCE(CB61,""price"")), """")"),236.4)</f>
        <v>236.4</v>
      </c>
      <c r="CF61" s="22">
        <f>IFERROR(__xludf.DUMMYFUNCTION("IFERROR(if(ISBLANK(CC61),"" "",GOOGLEFINANCE(CB61,""changepct"")), """")"),1.55)</f>
        <v>1.55</v>
      </c>
      <c r="CG61" s="12"/>
      <c r="CH61" s="18" t="s">
        <v>1301</v>
      </c>
      <c r="CI61" s="31" t="s">
        <v>95</v>
      </c>
      <c r="CJ61" s="32" t="str">
        <f>IFERROR(__xludf.DUMMYFUNCTION("IFERROR(if(ISBLANK(CI61),"" "",GOOGLEFINANCE(CH61,""Name"")), """")"),"Oriental Aromatics Ltd")</f>
        <v>Oriental Aromatics Ltd</v>
      </c>
      <c r="CK61" s="51">
        <f>IFERROR(__xludf.DUMMYFUNCTION("IFERROR(if(ISBLANK(CI61),"" "",GOOGLEFINANCE(CH61,""price"")), """")"),365.0)</f>
        <v>365</v>
      </c>
      <c r="CL61" s="22">
        <f>IFERROR(__xludf.DUMMYFUNCTION("IFERROR(if(ISBLANK(CI61),"" "",GOOGLEFINANCE(CH61,""changepct"")), """")"),-3.6)</f>
        <v>-3.6</v>
      </c>
      <c r="CM61" s="12"/>
      <c r="CN61" s="33" t="s">
        <v>1302</v>
      </c>
      <c r="CO61" s="31" t="s">
        <v>95</v>
      </c>
      <c r="CP61" s="32" t="str">
        <f>IFERROR(__xludf.DUMMYFUNCTION("IFERROR(if(ISBLANK(CO61),"" "",GOOGLEFINANCE(CN61,""Name"")), """")"),"Mafatlal Industries Ltd")</f>
        <v>Mafatlal Industries Ltd</v>
      </c>
      <c r="CQ61" s="51">
        <f>IFERROR(__xludf.DUMMYFUNCTION("IFERROR(if(ISBLANK(CO61),"" "",GOOGLEFINANCE(CN61,""price"")), """")"),125.95)</f>
        <v>125.95</v>
      </c>
      <c r="CR61" s="22">
        <f>IFERROR(__xludf.DUMMYFUNCTION("IFERROR(if(ISBLANK(CO61),"" "",GOOGLEFINANCE(CN61,""changepct"")), """")"),0.25)</f>
        <v>0.25</v>
      </c>
      <c r="CS61" s="45"/>
      <c r="CT61" s="33" t="s">
        <v>1303</v>
      </c>
      <c r="CU61" s="31" t="s">
        <v>95</v>
      </c>
      <c r="CV61" s="32" t="str">
        <f>IFERROR(__xludf.DUMMYFUNCTION("IFERROR(if(ISBLANK(CU61),"" "",GOOGLEFINANCE(CT61,""Name"")), """")"),"Kellton Tech Solutions Ltd")</f>
        <v>Kellton Tech Solutions Ltd</v>
      </c>
      <c r="CW61" s="51">
        <f>IFERROR(__xludf.DUMMYFUNCTION("IFERROR(if(ISBLANK(CU61),"" "",GOOGLEFINANCE(CT61,""price"")), """")"),13.84)</f>
        <v>13.84</v>
      </c>
      <c r="CX61" s="22">
        <f>IFERROR(__xludf.DUMMYFUNCTION("IFERROR(if(ISBLANK(CU61),"" "",GOOGLEFINANCE(CT61,""changepct"")), """")"),-1.0)</f>
        <v>-1</v>
      </c>
      <c r="CY61" s="17"/>
      <c r="CZ61" s="33" t="s">
        <v>1304</v>
      </c>
      <c r="DA61" s="31" t="s">
        <v>95</v>
      </c>
      <c r="DB61" s="32" t="str">
        <f>IFERROR(__xludf.DUMMYFUNCTION("IFERROR(if(ISBLANK(DA61),"" "",GOOGLEFINANCE(CZ61,""Name"")), """")"),"SoftTech Engineers Ltd")</f>
        <v>SoftTech Engineers Ltd</v>
      </c>
      <c r="DC61" s="51">
        <f>IFERROR(__xludf.DUMMYFUNCTION("IFERROR(if(ISBLANK(DA61),"" "",GOOGLEFINANCE(CZ61,""price"")), """")"),411.0)</f>
        <v>411</v>
      </c>
      <c r="DD61" s="22">
        <f>IFERROR(__xludf.DUMMYFUNCTION("IFERROR(if(ISBLANK(DA61),"" "",GOOGLEFINANCE(CZ61,""changepct"")), """")"),-2.86)</f>
        <v>-2.86</v>
      </c>
      <c r="DE61" s="45"/>
      <c r="DF61" s="12"/>
    </row>
    <row r="62" ht="11.25" customHeight="1">
      <c r="A62" s="50"/>
      <c r="B62" s="18" t="s">
        <v>1306</v>
      </c>
      <c r="C62" s="31" t="s">
        <v>158</v>
      </c>
      <c r="D62" s="32" t="str">
        <f>IFERROR(__xludf.DUMMYFUNCTION("IFERROR(if(ISBLANK(C62),"" "",GOOGLEFINANCE(B62,""Name"")), """")"),"Samvardhana Motherson International Ltd")</f>
        <v>Samvardhana Motherson International Ltd</v>
      </c>
      <c r="E62" s="51">
        <f>IFERROR(__xludf.DUMMYFUNCTION("IFERROR(if(ISBLANK(C62),"" "",GOOGLEFINANCE(B62,""price"")), """")"),168.73)</f>
        <v>168.73</v>
      </c>
      <c r="F62" s="22">
        <f>IFERROR(__xludf.DUMMYFUNCTION("IFERROR(if(ISBLANK(C62),"" "",GOOGLEFINANCE(B62,""changepct"")), """")"),-0.31)</f>
        <v>-0.31</v>
      </c>
      <c r="G62" s="49"/>
      <c r="H62" s="36"/>
      <c r="I62" s="25" t="s">
        <v>1307</v>
      </c>
      <c r="J62" s="31" t="s">
        <v>158</v>
      </c>
      <c r="K62" s="32" t="str">
        <f>IFERROR(__xludf.DUMMYFUNCTION("IFERROR(if(ISBLANK(J62),"" "",GOOGLEFINANCE(I62,""Name"")), """")"),"Fortis Healthcare Ltd")</f>
        <v>Fortis Healthcare Ltd</v>
      </c>
      <c r="L62" s="51">
        <f>IFERROR(__xludf.DUMMYFUNCTION("IFERROR(if(ISBLANK(J62),"" "",GOOGLEFINANCE(I62,""price"")), """")"),885.95)</f>
        <v>885.95</v>
      </c>
      <c r="M62" s="22">
        <f>IFERROR(__xludf.DUMMYFUNCTION("IFERROR(if(ISBLANK(J62),"" "",GOOGLEFINANCE(I62,""changepct"")), """")"),-5.27)</f>
        <v>-5.27</v>
      </c>
      <c r="N62" s="49"/>
      <c r="O62" s="37"/>
      <c r="P62" s="27" t="s">
        <v>1308</v>
      </c>
      <c r="Q62" s="31" t="s">
        <v>158</v>
      </c>
      <c r="R62" s="32" t="str">
        <f>IFERROR(__xludf.DUMMYFUNCTION("IFERROR(if(ISBLANK(Q62),"" "",GOOGLEFINANCE(P62,""Name"")), """")"),"Hexaware Technologies Ltd")</f>
        <v>Hexaware Technologies Ltd</v>
      </c>
      <c r="S62" s="51">
        <f>IFERROR(__xludf.DUMMYFUNCTION("IFERROR(if(ISBLANK(Q62),"" "",GOOGLEFINANCE(P62,""price"")), """")"),578.9)</f>
        <v>578.9</v>
      </c>
      <c r="T62" s="22">
        <f>IFERROR(__xludf.DUMMYFUNCTION("IFERROR(if(ISBLANK(Q62),"" "",GOOGLEFINANCE(P62,""changepct"")), """")"),2.43)</f>
        <v>2.43</v>
      </c>
      <c r="U62" s="12"/>
      <c r="V62" s="18" t="s">
        <v>1309</v>
      </c>
      <c r="W62" s="31" t="s">
        <v>158</v>
      </c>
      <c r="X62" s="32" t="str">
        <f>IFERROR(__xludf.DUMMYFUNCTION("IFERROR(if(ISBLANK(W62),"" "",GOOGLEFINANCE(V62,""Name"")), """")"),"Astrazeneca Pharma India Ltd")</f>
        <v>Astrazeneca Pharma India Ltd</v>
      </c>
      <c r="Y62" s="51">
        <f>IFERROR(__xludf.DUMMYFUNCTION("IFERROR(if(ISBLANK(W62),"" "",GOOGLEFINANCE(V62,""price"")), """")"),7882.0)</f>
        <v>7882</v>
      </c>
      <c r="Z62" s="22">
        <f>IFERROR(__xludf.DUMMYFUNCTION("IFERROR(if(ISBLANK(W62),"" "",GOOGLEFINANCE(V62,""changepct"")), """")"),-0.81)</f>
        <v>-0.81</v>
      </c>
      <c r="AA62" s="12"/>
      <c r="AB62" s="18" t="s">
        <v>1310</v>
      </c>
      <c r="AC62" s="31" t="s">
        <v>158</v>
      </c>
      <c r="AD62" s="32" t="str">
        <f>IFERROR(__xludf.DUMMYFUNCTION("IFERROR(if(ISBLANK(AC62),"" "",GOOGLEFINANCE(AB62,""Name"")), """")"),"BEML Ltd")</f>
        <v>BEML Ltd</v>
      </c>
      <c r="AE62" s="51">
        <f>IFERROR(__xludf.DUMMYFUNCTION("IFERROR(if(ISBLANK(AC62),"" "",GOOGLEFINANCE(AB62,""price"")), """")"),1901.5)</f>
        <v>1901.5</v>
      </c>
      <c r="AF62" s="22">
        <f>IFERROR(__xludf.DUMMYFUNCTION("IFERROR(if(ISBLANK(AC62),"" "",GOOGLEFINANCE(AB62,""changepct"")), """")"),-0.04)</f>
        <v>-0.04</v>
      </c>
      <c r="AG62" s="45"/>
      <c r="AH62" s="27" t="s">
        <v>1311</v>
      </c>
      <c r="AI62" s="31" t="s">
        <v>158</v>
      </c>
      <c r="AJ62" s="32" t="str">
        <f>IFERROR(__xludf.DUMMYFUNCTION("IFERROR(if(ISBLANK(AI62),"" "",GOOGLEFINANCE(AH62,""Name"")), """")"),"Lumax AutoTechnologies Ltd")</f>
        <v>Lumax AutoTechnologies Ltd</v>
      </c>
      <c r="AK62" s="51">
        <f>IFERROR(__xludf.DUMMYFUNCTION("IFERROR(if(ISBLANK(AI62),"" "",GOOGLEFINANCE(AH62,""price"")), """")"),2015.0)</f>
        <v>2015</v>
      </c>
      <c r="AL62" s="22">
        <f>IFERROR(__xludf.DUMMYFUNCTION("IFERROR(if(ISBLANK(AI62),"" "",GOOGLEFINANCE(AH62,""changepct"")), """")"),-2.95)</f>
        <v>-2.95</v>
      </c>
      <c r="AM62" s="30"/>
      <c r="AN62" s="31" t="s">
        <v>200</v>
      </c>
      <c r="AO62" s="32" t="str">
        <f>IFERROR(__xludf.DUMMYFUNCTION("IFERROR(if(ISBLANK(AN62),"" "",GOOGLEFINANCE(AM62,""Name"")), """")"),"")</f>
        <v/>
      </c>
      <c r="AP62" s="33" t="s">
        <v>1313</v>
      </c>
      <c r="AQ62" s="31" t="s">
        <v>158</v>
      </c>
      <c r="AR62" s="32" t="str">
        <f>IFERROR(__xludf.DUMMYFUNCTION("IFERROR(if(ISBLANK(AQ62),"" "",GOOGLEFINANCE(AP62,""Name"")), """")"),"Safari Industries (India) Ltd")</f>
        <v>Safari Industries (India) Ltd</v>
      </c>
      <c r="AS62" s="51">
        <f>IFERROR(__xludf.DUMMYFUNCTION("IFERROR(if(ISBLANK(AQ62),"" "",GOOGLEFINANCE(AP62,""price"")), """")"),1477.0)</f>
        <v>1477</v>
      </c>
      <c r="AT62" s="22">
        <f>IFERROR(__xludf.DUMMYFUNCTION("IFERROR(if(ISBLANK(AQ62),"" "",GOOGLEFINANCE(AP62,""changepct"")), """")"),-1.55)</f>
        <v>-1.55</v>
      </c>
      <c r="AU62" s="45"/>
      <c r="AV62" s="34" t="s">
        <v>1314</v>
      </c>
      <c r="AW62" s="31" t="s">
        <v>158</v>
      </c>
      <c r="AX62" s="32" t="str">
        <f>IFERROR(__xludf.DUMMYFUNCTION("IFERROR(if(ISBLANK(AW62),"" "",GOOGLEFINANCE(AV62,""Name"")), """")"),"Happiest Minds Technologies Ltd")</f>
        <v>Happiest Minds Technologies Ltd</v>
      </c>
      <c r="AY62" s="51">
        <f>IFERROR(__xludf.DUMMYFUNCTION("IFERROR(if(ISBLANK(AW62),"" "",GOOGLEFINANCE(AV62,""price"")), """")"),390.5)</f>
        <v>390.5</v>
      </c>
      <c r="AZ62" s="22">
        <f>IFERROR(__xludf.DUMMYFUNCTION("IFERROR(if(ISBLANK(AW62),"" "",GOOGLEFINANCE(AV62,""changepct"")), """")"),-0.98)</f>
        <v>-0.98</v>
      </c>
      <c r="BA62" s="12"/>
      <c r="BB62" s="33" t="s">
        <v>1315</v>
      </c>
      <c r="BC62" s="31" t="s">
        <v>158</v>
      </c>
      <c r="BD62" s="32" t="str">
        <f>IFERROR(__xludf.DUMMYFUNCTION("IFERROR(if(ISBLANK(BC62),"" "",GOOGLEFINANCE(BB62,""Name"")), """")"),"MSTC Ltd")</f>
        <v>MSTC Ltd</v>
      </c>
      <c r="BE62" s="51">
        <f>IFERROR(__xludf.DUMMYFUNCTION("IFERROR(if(ISBLANK(BC62),"" "",GOOGLEFINANCE(BB62,""price"")), """")"),590.0)</f>
        <v>590</v>
      </c>
      <c r="BF62" s="22">
        <f>IFERROR(__xludf.DUMMYFUNCTION("IFERROR(if(ISBLANK(BC62),"" "",GOOGLEFINANCE(BB62,""changepct"")), """")"),3.33)</f>
        <v>3.33</v>
      </c>
      <c r="BG62" s="12"/>
      <c r="BH62" s="35" t="s">
        <v>1316</v>
      </c>
      <c r="BI62" s="31" t="s">
        <v>158</v>
      </c>
      <c r="BJ62" s="32" t="str">
        <f>IFERROR(__xludf.DUMMYFUNCTION("IFERROR(if(ISBLANK(BI62),"" "",GOOGLEFINANCE(BH62,""Name"")), """")"),"Polyplex Corp Ltd")</f>
        <v>Polyplex Corp Ltd</v>
      </c>
      <c r="BK62" s="51">
        <f>IFERROR(__xludf.DUMMYFUNCTION("IFERROR(if(ISBLANK(BI62),"" "",GOOGLEFINANCE(BH62,""price"")), """")"),1189.6)</f>
        <v>1189.6</v>
      </c>
      <c r="BL62" s="22">
        <f>IFERROR(__xludf.DUMMYFUNCTION("IFERROR(if(ISBLANK(BI62),"" "",GOOGLEFINANCE(BH62,""changepct"")), """")"),-3.25)</f>
        <v>-3.25</v>
      </c>
      <c r="BM62" s="12"/>
      <c r="BN62" s="33" t="s">
        <v>1317</v>
      </c>
      <c r="BO62" s="31" t="s">
        <v>158</v>
      </c>
      <c r="BP62" s="32" t="str">
        <f>IFERROR(__xludf.DUMMYFUNCTION("IFERROR(if(ISBLANK(BO62),"" "",GOOGLEFINANCE(BN62,""Name"")), """")"),"Nilkamal Ltd")</f>
        <v>Nilkamal Ltd</v>
      </c>
      <c r="BQ62" s="51">
        <f>IFERROR(__xludf.DUMMYFUNCTION("IFERROR(if(ISBLANK(BO62),"" "",GOOGLEFINANCE(BN62,""price"")), """")"),1842.5)</f>
        <v>1842.5</v>
      </c>
      <c r="BR62" s="22">
        <f>IFERROR(__xludf.DUMMYFUNCTION("IFERROR(if(ISBLANK(BO62),"" "",GOOGLEFINANCE(BN62,""changepct"")), """")"),-1.4)</f>
        <v>-1.4</v>
      </c>
      <c r="BS62" s="49"/>
      <c r="BT62" s="36"/>
      <c r="BU62" s="27" t="s">
        <v>1319</v>
      </c>
      <c r="BV62" s="31" t="s">
        <v>158</v>
      </c>
      <c r="BW62" s="32" t="str">
        <f>IFERROR(__xludf.DUMMYFUNCTION("IFERROR(if(ISBLANK(BV62),"" "",GOOGLEFINANCE(BU62,""Name"")), """")"),"KCP Ltd")</f>
        <v>KCP Ltd</v>
      </c>
      <c r="BX62" s="51">
        <f>IFERROR(__xludf.DUMMYFUNCTION("IFERROR(if(ISBLANK(BV62),"" "",GOOGLEFINANCE(BU62,""price"")), """")"),152.0)</f>
        <v>152</v>
      </c>
      <c r="BY62" s="22">
        <f>IFERROR(__xludf.DUMMYFUNCTION("IFERROR(if(ISBLANK(BV62),"" "",GOOGLEFINANCE(BU62,""changepct"")), """")"),-0.12)</f>
        <v>-0.12</v>
      </c>
      <c r="BZ62" s="49"/>
      <c r="CA62" s="37"/>
      <c r="CB62" s="27" t="s">
        <v>1320</v>
      </c>
      <c r="CC62" s="31" t="s">
        <v>158</v>
      </c>
      <c r="CD62" s="32" t="str">
        <f>IFERROR(__xludf.DUMMYFUNCTION("IFERROR(if(ISBLANK(CC62),"" "",GOOGLEFINANCE(CB62,""Name"")), """")"),"Dynacons Systems and Solutions Ltd")</f>
        <v>Dynacons Systems and Solutions Ltd</v>
      </c>
      <c r="CE62" s="51">
        <f>IFERROR(__xludf.DUMMYFUNCTION("IFERROR(if(ISBLANK(CC62),"" "",GOOGLEFINANCE(CB62,""price"")), """")"),1244.0)</f>
        <v>1244</v>
      </c>
      <c r="CF62" s="22">
        <f>IFERROR(__xludf.DUMMYFUNCTION("IFERROR(if(ISBLANK(CC62),"" "",GOOGLEFINANCE(CB62,""changepct"")), """")"),0.34)</f>
        <v>0.34</v>
      </c>
      <c r="CG62" s="12"/>
      <c r="CH62" s="18" t="s">
        <v>1321</v>
      </c>
      <c r="CI62" s="31" t="s">
        <v>158</v>
      </c>
      <c r="CJ62" s="32" t="str">
        <f>IFERROR(__xludf.DUMMYFUNCTION("IFERROR(if(ISBLANK(CI62),"" "",GOOGLEFINANCE(CH62,""Name"")), """")"),"Gyftr Ltd")</f>
        <v>Gyftr Ltd</v>
      </c>
      <c r="CK62" s="51">
        <f>IFERROR(__xludf.DUMMYFUNCTION("IFERROR(if(ISBLANK(CI62),"" "",GOOGLEFINANCE(CH62,""price"")), """")"),158.8)</f>
        <v>158.8</v>
      </c>
      <c r="CL62" s="22">
        <f>IFERROR(__xludf.DUMMYFUNCTION("IFERROR(if(ISBLANK(CI62),"" "",GOOGLEFINANCE(CH62,""changepct"")), """")"),-0.95)</f>
        <v>-0.95</v>
      </c>
      <c r="CM62" s="12"/>
      <c r="CN62" s="33" t="s">
        <v>1322</v>
      </c>
      <c r="CO62" s="31" t="s">
        <v>158</v>
      </c>
      <c r="CP62" s="32" t="str">
        <f>IFERROR(__xludf.DUMMYFUNCTION("IFERROR(if(ISBLANK(CO62),"" "",GOOGLEFINANCE(CN62,""Name"")), """")"),"Asian Star Co Ltd")</f>
        <v>Asian Star Co Ltd</v>
      </c>
      <c r="CQ62" s="51">
        <f>IFERROR(__xludf.DUMMYFUNCTION("IFERROR(if(ISBLANK(CO62),"" "",GOOGLEFINANCE(CN62,""price"")), """")"),582.1)</f>
        <v>582.1</v>
      </c>
      <c r="CR62" s="22">
        <f>IFERROR(__xludf.DUMMYFUNCTION("IFERROR(if(ISBLANK(CO62),"" "",GOOGLEFINANCE(CN62,""changepct"")), """")"),-1.35)</f>
        <v>-1.35</v>
      </c>
      <c r="CS62" s="45"/>
      <c r="CT62" s="33" t="s">
        <v>1323</v>
      </c>
      <c r="CU62" s="31" t="s">
        <v>158</v>
      </c>
      <c r="CV62" s="32" t="str">
        <f>IFERROR(__xludf.DUMMYFUNCTION("IFERROR(if(ISBLANK(CU62),"" "",GOOGLEFINANCE(CT62,""Name"")), """")"),"Beekay Steel Industries Ltd")</f>
        <v>Beekay Steel Industries Ltd</v>
      </c>
      <c r="CW62" s="51">
        <f>IFERROR(__xludf.DUMMYFUNCTION("IFERROR(if(ISBLANK(CU62),"" "",GOOGLEFINANCE(CT62,""price"")), """")"),435.9)</f>
        <v>435.9</v>
      </c>
      <c r="CX62" s="22">
        <f>IFERROR(__xludf.DUMMYFUNCTION("IFERROR(if(ISBLANK(CU62),"" "",GOOGLEFINANCE(CT62,""changepct"")), """")"),9.55)</f>
        <v>9.55</v>
      </c>
      <c r="CY62" s="17"/>
      <c r="CZ62" s="33" t="s">
        <v>1324</v>
      </c>
      <c r="DA62" s="31" t="s">
        <v>158</v>
      </c>
      <c r="DB62" s="32" t="str">
        <f>IFERROR(__xludf.DUMMYFUNCTION("IFERROR(if(ISBLANK(DA62),"" "",GOOGLEFINANCE(CZ62,""Name"")), """")"),"Om Power Transmission Ltd")</f>
        <v>Om Power Transmission Ltd</v>
      </c>
      <c r="DC62" s="51">
        <f>IFERROR(__xludf.DUMMYFUNCTION("IFERROR(if(ISBLANK(DA62),"" "",GOOGLEFINANCE(CZ62,""price"")), """")"),160.95)</f>
        <v>160.95</v>
      </c>
      <c r="DD62" s="22">
        <f>IFERROR(__xludf.DUMMYFUNCTION("IFERROR(if(ISBLANK(DA62),"" "",GOOGLEFINANCE(CZ62,""changepct"")), """")"),-4.71)</f>
        <v>-4.71</v>
      </c>
      <c r="DE62" s="45"/>
      <c r="DF62" s="12"/>
    </row>
    <row r="63" ht="11.25" customHeight="1">
      <c r="A63" s="50"/>
      <c r="B63" s="18" t="s">
        <v>1326</v>
      </c>
      <c r="C63" s="31" t="s">
        <v>179</v>
      </c>
      <c r="D63" s="32" t="str">
        <f>IFERROR(__xludf.DUMMYFUNCTION("IFERROR(if(ISBLANK(C63),"" "",GOOGLEFINANCE(B63,""Name"")), """")"),"Cholamandalam Investment and Fin Co Ltd")</f>
        <v>Cholamandalam Investment and Fin Co Ltd</v>
      </c>
      <c r="E63" s="51">
        <f>IFERROR(__xludf.DUMMYFUNCTION("IFERROR(if(ISBLANK(C63),"" "",GOOGLEFINANCE(B63,""price"")), """")"),1900.0)</f>
        <v>1900</v>
      </c>
      <c r="F63" s="22">
        <f>IFERROR(__xludf.DUMMYFUNCTION("IFERROR(if(ISBLANK(C63),"" "",GOOGLEFINANCE(B63,""changepct"")), """")"),-0.75)</f>
        <v>-0.75</v>
      </c>
      <c r="G63" s="49"/>
      <c r="H63" s="36"/>
      <c r="I63" s="25" t="s">
        <v>1327</v>
      </c>
      <c r="J63" s="31" t="s">
        <v>179</v>
      </c>
      <c r="K63" s="32" t="str">
        <f>IFERROR(__xludf.DUMMYFUNCTION("IFERROR(if(ISBLANK(J63),"" "",GOOGLEFINANCE(I63,""Name"")), """")"),"Torrent Power Ltd")</f>
        <v>Torrent Power Ltd</v>
      </c>
      <c r="L63" s="51">
        <f>IFERROR(__xludf.DUMMYFUNCTION("IFERROR(if(ISBLANK(J63),"" "",GOOGLEFINANCE(I63,""price"")), """")"),1321.8)</f>
        <v>1321.8</v>
      </c>
      <c r="M63" s="22">
        <f>IFERROR(__xludf.DUMMYFUNCTION("IFERROR(if(ISBLANK(J63),"" "",GOOGLEFINANCE(I63,""changepct"")), """")"),-0.65)</f>
        <v>-0.65</v>
      </c>
      <c r="N63" s="49"/>
      <c r="O63" s="37"/>
      <c r="P63" s="27" t="s">
        <v>1328</v>
      </c>
      <c r="Q63" s="31" t="s">
        <v>179</v>
      </c>
      <c r="R63" s="32" t="str">
        <f>IFERROR(__xludf.DUMMYFUNCTION("IFERROR(if(ISBLANK(Q63),"" "",GOOGLEFINANCE(P63,""Name"")), """")"),"ITC Hotels Ltd")</f>
        <v>ITC Hotels Ltd</v>
      </c>
      <c r="S63" s="51">
        <f>IFERROR(__xludf.DUMMYFUNCTION("IFERROR(if(ISBLANK(Q63),"" "",GOOGLEFINANCE(P63,""price"")), """")"),168.45)</f>
        <v>168.45</v>
      </c>
      <c r="T63" s="22">
        <f>IFERROR(__xludf.DUMMYFUNCTION("IFERROR(if(ISBLANK(Q63),"" "",GOOGLEFINANCE(P63,""changepct"")), """")"),0.93)</f>
        <v>0.93</v>
      </c>
      <c r="U63" s="12"/>
      <c r="V63" s="18" t="s">
        <v>1329</v>
      </c>
      <c r="W63" s="31" t="s">
        <v>179</v>
      </c>
      <c r="X63" s="32" t="str">
        <f>IFERROR(__xludf.DUMMYFUNCTION("IFERROR(if(ISBLANK(W63),"" "",GOOGLEFINANCE(V63,""Name"")), """")"),"Sun Tv Network Ltd")</f>
        <v>Sun Tv Network Ltd</v>
      </c>
      <c r="Y63" s="51">
        <f>IFERROR(__xludf.DUMMYFUNCTION("IFERROR(if(ISBLANK(W63),"" "",GOOGLEFINANCE(V63,""price"")), """")"),477.0)</f>
        <v>477</v>
      </c>
      <c r="Z63" s="22">
        <f>IFERROR(__xludf.DUMMYFUNCTION("IFERROR(if(ISBLANK(W63),"" "",GOOGLEFINANCE(V63,""changepct"")), """")"),-1.39)</f>
        <v>-1.39</v>
      </c>
      <c r="AA63" s="12"/>
      <c r="AB63" s="18" t="s">
        <v>1330</v>
      </c>
      <c r="AC63" s="31" t="s">
        <v>179</v>
      </c>
      <c r="AD63" s="32" t="str">
        <f>IFERROR(__xludf.DUMMYFUNCTION("IFERROR(if(ISBLANK(AC63),"" "",GOOGLEFINANCE(AB63,""Name"")), """")"),"LT Foods Ltd")</f>
        <v>LT Foods Ltd</v>
      </c>
      <c r="AE63" s="51">
        <f>IFERROR(__xludf.DUMMYFUNCTION("IFERROR(if(ISBLANK(AC63),"" "",GOOGLEFINANCE(AB63,""price"")), """")"),427.0)</f>
        <v>427</v>
      </c>
      <c r="AF63" s="22">
        <f>IFERROR(__xludf.DUMMYFUNCTION("IFERROR(if(ISBLANK(AC63),"" "",GOOGLEFINANCE(AB63,""changepct"")), """")"),1.84)</f>
        <v>1.84</v>
      </c>
      <c r="AG63" s="45"/>
      <c r="AH63" s="27" t="s">
        <v>1332</v>
      </c>
      <c r="AI63" s="31" t="s">
        <v>179</v>
      </c>
      <c r="AJ63" s="32" t="str">
        <f>IFERROR(__xludf.DUMMYFUNCTION("IFERROR(if(ISBLANK(AI63),"" "",GOOGLEFINANCE(AH63,""Name"")), """")"),"IIFL Capital Services Ltd")</f>
        <v>IIFL Capital Services Ltd</v>
      </c>
      <c r="AK63" s="51">
        <f>IFERROR(__xludf.DUMMYFUNCTION("IFERROR(if(ISBLANK(AI63),"" "",GOOGLEFINANCE(AH63,""price"")), """")"),338.0)</f>
        <v>338</v>
      </c>
      <c r="AL63" s="22">
        <f>IFERROR(__xludf.DUMMYFUNCTION("IFERROR(if(ISBLANK(AI63),"" "",GOOGLEFINANCE(AH63,""changepct"")), """")"),0.96)</f>
        <v>0.96</v>
      </c>
      <c r="AM63" s="30"/>
      <c r="AN63" s="31" t="s">
        <v>200</v>
      </c>
      <c r="AO63" s="32" t="str">
        <f>IFERROR(__xludf.DUMMYFUNCTION("IFERROR(if(ISBLANK(AN63),"" "",GOOGLEFINANCE(AM63,""Name"")), """")"),"")</f>
        <v/>
      </c>
      <c r="AP63" s="33" t="s">
        <v>1333</v>
      </c>
      <c r="AQ63" s="31" t="s">
        <v>179</v>
      </c>
      <c r="AR63" s="32" t="str">
        <f>IFERROR(__xludf.DUMMYFUNCTION("IFERROR(if(ISBLANK(AQ63),"" "",GOOGLEFINANCE(AP63,""Name"")), """")"),"Cello World Ltd")</f>
        <v>Cello World Ltd</v>
      </c>
      <c r="AS63" s="51">
        <f>IFERROR(__xludf.DUMMYFUNCTION("IFERROR(if(ISBLANK(AQ63),"" "",GOOGLEFINANCE(AP63,""price"")), """")"),377.15)</f>
        <v>377.15</v>
      </c>
      <c r="AT63" s="22">
        <f>IFERROR(__xludf.DUMMYFUNCTION("IFERROR(if(ISBLANK(AQ63),"" "",GOOGLEFINANCE(AP63,""changepct"")), """")"),-0.38)</f>
        <v>-0.38</v>
      </c>
      <c r="AU63" s="45"/>
      <c r="AV63" s="34" t="s">
        <v>1334</v>
      </c>
      <c r="AW63" s="31" t="s">
        <v>179</v>
      </c>
      <c r="AX63" s="32" t="str">
        <f>IFERROR(__xludf.DUMMYFUNCTION("IFERROR(if(ISBLANK(AW63),"" "",GOOGLEFINANCE(AV63,""Name"")), """")"),"Stylam Industries Ltd")</f>
        <v>Stylam Industries Ltd</v>
      </c>
      <c r="AY63" s="51">
        <f>IFERROR(__xludf.DUMMYFUNCTION("IFERROR(if(ISBLANK(AW63),"" "",GOOGLEFINANCE(AV63,""price"")), """")"),3546.6)</f>
        <v>3546.6</v>
      </c>
      <c r="AZ63" s="22">
        <f>IFERROR(__xludf.DUMMYFUNCTION("IFERROR(if(ISBLANK(AW63),"" "",GOOGLEFINANCE(AV63,""changepct"")), """")"),-0.62)</f>
        <v>-0.62</v>
      </c>
      <c r="BA63" s="12"/>
      <c r="BB63" s="33" t="s">
        <v>1336</v>
      </c>
      <c r="BC63" s="31" t="s">
        <v>179</v>
      </c>
      <c r="BD63" s="32" t="str">
        <f>IFERROR(__xludf.DUMMYFUNCTION("IFERROR(if(ISBLANK(BC63),"" "",GOOGLEFINANCE(BB63,""Name"")), """")"),"ideaForge Technology Ltd")</f>
        <v>ideaForge Technology Ltd</v>
      </c>
      <c r="BE63" s="51">
        <f>IFERROR(__xludf.DUMMYFUNCTION("IFERROR(if(ISBLANK(BC63),"" "",GOOGLEFINANCE(BB63,""price"")), """")"),810.3)</f>
        <v>810.3</v>
      </c>
      <c r="BF63" s="22">
        <f>IFERROR(__xludf.DUMMYFUNCTION("IFERROR(if(ISBLANK(BC63),"" "",GOOGLEFINANCE(BB63,""changepct"")), """")"),-4.99)</f>
        <v>-4.99</v>
      </c>
      <c r="BG63" s="12"/>
      <c r="BH63" s="35" t="s">
        <v>1337</v>
      </c>
      <c r="BI63" s="31" t="s">
        <v>179</v>
      </c>
      <c r="BJ63" s="32" t="str">
        <f>IFERROR(__xludf.DUMMYFUNCTION("IFERROR(if(ISBLANK(BI63),"" "",GOOGLEFINANCE(BH63,""Name"")), """")"),"Heidelbergcement India Ltd")</f>
        <v>Heidelbergcement India Ltd</v>
      </c>
      <c r="BK63" s="51">
        <f>IFERROR(__xludf.DUMMYFUNCTION("IFERROR(if(ISBLANK(BI63),"" "",GOOGLEFINANCE(BH63,""price"")), """")"),155.99)</f>
        <v>155.99</v>
      </c>
      <c r="BL63" s="22">
        <f>IFERROR(__xludf.DUMMYFUNCTION("IFERROR(if(ISBLANK(BI63),"" "",GOOGLEFINANCE(BH63,""changepct"")), """")"),1.0)</f>
        <v>1</v>
      </c>
      <c r="BM63" s="12"/>
      <c r="BN63" s="33" t="s">
        <v>1338</v>
      </c>
      <c r="BO63" s="31" t="s">
        <v>179</v>
      </c>
      <c r="BP63" s="32" t="str">
        <f>IFERROR(__xludf.DUMMYFUNCTION("IFERROR(if(ISBLANK(BO63),"" "",GOOGLEFINANCE(BN63,""Name"")), """")"),"Kwality Pharmaceuticals Ltd")</f>
        <v>Kwality Pharmaceuticals Ltd</v>
      </c>
      <c r="BQ63" s="51">
        <f>IFERROR(__xludf.DUMMYFUNCTION("IFERROR(if(ISBLANK(BO63),"" "",GOOGLEFINANCE(BN63,""price"")), """")"),3306.1)</f>
        <v>3306.1</v>
      </c>
      <c r="BR63" s="22">
        <f>IFERROR(__xludf.DUMMYFUNCTION("IFERROR(if(ISBLANK(BO63),"" "",GOOGLEFINANCE(BN63,""changepct"")), """")"),-0.13)</f>
        <v>-0.13</v>
      </c>
      <c r="BS63" s="49"/>
      <c r="BT63" s="36"/>
      <c r="BU63" s="27" t="s">
        <v>1339</v>
      </c>
      <c r="BV63" s="31" t="s">
        <v>179</v>
      </c>
      <c r="BW63" s="32" t="str">
        <f>IFERROR(__xludf.DUMMYFUNCTION("IFERROR(if(ISBLANK(BV63),"" "",GOOGLEFINANCE(BU63,""Name"")), """")"),"K.P. Energy Ltd")</f>
        <v>K.P. Energy Ltd</v>
      </c>
      <c r="BX63" s="51">
        <f>IFERROR(__xludf.DUMMYFUNCTION("IFERROR(if(ISBLANK(BV63),"" "",GOOGLEFINANCE(BU63,""price"")), """")"),260.4)</f>
        <v>260.4</v>
      </c>
      <c r="BY63" s="22">
        <f>IFERROR(__xludf.DUMMYFUNCTION("IFERROR(if(ISBLANK(BV63),"" "",GOOGLEFINANCE(BU63,""changepct"")), """")"),-4.0)</f>
        <v>-4</v>
      </c>
      <c r="BZ63" s="49"/>
      <c r="CA63" s="37"/>
      <c r="CB63" s="27" t="s">
        <v>1340</v>
      </c>
      <c r="CC63" s="31" t="s">
        <v>179</v>
      </c>
      <c r="CD63" s="32" t="str">
        <f>IFERROR(__xludf.DUMMYFUNCTION("IFERROR(if(ISBLANK(CC63),"" "",GOOGLEFINANCE(CB63,""Name"")), """")"),"Shanti Gold International Ltd")</f>
        <v>Shanti Gold International Ltd</v>
      </c>
      <c r="CE63" s="51">
        <f>IFERROR(__xludf.DUMMYFUNCTION("IFERROR(if(ISBLANK(CC63),"" "",GOOGLEFINANCE(CB63,""price"")), """")"),231.7)</f>
        <v>231.7</v>
      </c>
      <c r="CF63" s="22">
        <f>IFERROR(__xludf.DUMMYFUNCTION("IFERROR(if(ISBLANK(CC63),"" "",GOOGLEFINANCE(CB63,""changepct"")), """")"),1.73)</f>
        <v>1.73</v>
      </c>
      <c r="CG63" s="12"/>
      <c r="CH63" s="18" t="s">
        <v>1341</v>
      </c>
      <c r="CI63" s="31" t="s">
        <v>179</v>
      </c>
      <c r="CJ63" s="32" t="str">
        <f>IFERROR(__xludf.DUMMYFUNCTION("IFERROR(if(ISBLANK(CI63),"" "",GOOGLEFINANCE(CH63,""Name"")), """")"),"TAAL Tech Ltd")</f>
        <v>TAAL Tech Ltd</v>
      </c>
      <c r="CK63" s="51">
        <f>IFERROR(__xludf.DUMMYFUNCTION("IFERROR(if(ISBLANK(CI63),"" "",GOOGLEFINANCE(CH63,""price"")), """")"),4250.0)</f>
        <v>4250</v>
      </c>
      <c r="CL63" s="22">
        <f>IFERROR(__xludf.DUMMYFUNCTION("IFERROR(if(ISBLANK(CI63),"" "",GOOGLEFINANCE(CH63,""changepct"")), """")"),-1.96)</f>
        <v>-1.96</v>
      </c>
      <c r="CM63" s="12"/>
      <c r="CN63" s="33" t="s">
        <v>1343</v>
      </c>
      <c r="CO63" s="31" t="s">
        <v>179</v>
      </c>
      <c r="CP63" s="32" t="str">
        <f>IFERROR(__xludf.DUMMYFUNCTION("IFERROR(if(ISBLANK(CO63),"" "",GOOGLEFINANCE(CN63,""Name"")), """")"),"Denta Water and Infra Solutions Ltd")</f>
        <v>Denta Water and Infra Solutions Ltd</v>
      </c>
      <c r="CQ63" s="51">
        <f>IFERROR(__xludf.DUMMYFUNCTION("IFERROR(if(ISBLANK(CO63),"" "",GOOGLEFINANCE(CN63,""price"")), """")"),323.75)</f>
        <v>323.75</v>
      </c>
      <c r="CR63" s="22">
        <f>IFERROR(__xludf.DUMMYFUNCTION("IFERROR(if(ISBLANK(CO63),"" "",GOOGLEFINANCE(CN63,""changepct"")), """")"),-2.65)</f>
        <v>-2.65</v>
      </c>
      <c r="CS63" s="45"/>
      <c r="CT63" s="33" t="s">
        <v>1344</v>
      </c>
      <c r="CU63" s="31" t="s">
        <v>179</v>
      </c>
      <c r="CV63" s="32" t="str">
        <f>IFERROR(__xludf.DUMMYFUNCTION("IFERROR(if(ISBLANK(CU63),"" "",GOOGLEFINANCE(CT63,""Name"")), """")"),"Indef Manufacturing Ltd")</f>
        <v>Indef Manufacturing Ltd</v>
      </c>
      <c r="CW63" s="51">
        <f>IFERROR(__xludf.DUMMYFUNCTION("IFERROR(if(ISBLANK(CU63),"" "",GOOGLEFINANCE(CT63,""price"")), """")"),234.9)</f>
        <v>234.9</v>
      </c>
      <c r="CX63" s="22">
        <f>IFERROR(__xludf.DUMMYFUNCTION("IFERROR(if(ISBLANK(CU63),"" "",GOOGLEFINANCE(CT63,""changepct"")), """")"),3.7)</f>
        <v>3.7</v>
      </c>
      <c r="CY63" s="17"/>
      <c r="CZ63" s="33" t="s">
        <v>1345</v>
      </c>
      <c r="DA63" s="31" t="s">
        <v>179</v>
      </c>
      <c r="DB63" s="32" t="str">
        <f>IFERROR(__xludf.DUMMYFUNCTION("IFERROR(if(ISBLANK(DA63),"" "",GOOGLEFINANCE(CZ63,""Name"")), """")"),"HT Media Ltd")</f>
        <v>HT Media Ltd</v>
      </c>
      <c r="DC63" s="51">
        <f>IFERROR(__xludf.DUMMYFUNCTION("IFERROR(if(ISBLANK(DA63),"" "",GOOGLEFINANCE(CZ63,""price"")), """")"),26.65)</f>
        <v>26.65</v>
      </c>
      <c r="DD63" s="22">
        <f>IFERROR(__xludf.DUMMYFUNCTION("IFERROR(if(ISBLANK(DA63),"" "",GOOGLEFINANCE(CZ63,""changepct"")), """")"),-2.56)</f>
        <v>-2.56</v>
      </c>
      <c r="DE63" s="45"/>
      <c r="DF63" s="12"/>
    </row>
    <row r="64" ht="11.25" customHeight="1">
      <c r="A64" s="61"/>
      <c r="B64" s="18" t="s">
        <v>1346</v>
      </c>
      <c r="C64" s="31" t="s">
        <v>200</v>
      </c>
      <c r="D64" s="32" t="str">
        <f>IFERROR(__xludf.DUMMYFUNCTION("IFERROR(if(ISBLANK(C64),"" "",GOOGLEFINANCE(B64,""Name"")), """")"),"Tata Capital Ltd")</f>
        <v>Tata Capital Ltd</v>
      </c>
      <c r="E64" s="51">
        <f>IFERROR(__xludf.DUMMYFUNCTION("IFERROR(if(ISBLANK(C64),"" "",GOOGLEFINANCE(B64,""price"")), """")"),367.0)</f>
        <v>367</v>
      </c>
      <c r="F64" s="22">
        <f>IFERROR(__xludf.DUMMYFUNCTION("IFERROR(if(ISBLANK(C64),"" "",GOOGLEFINANCE(B64,""changepct"")), """")"),-0.05)</f>
        <v>-0.05</v>
      </c>
      <c r="G64" s="49"/>
      <c r="H64" s="36"/>
      <c r="I64" s="25" t="s">
        <v>1347</v>
      </c>
      <c r="J64" s="31" t="s">
        <v>200</v>
      </c>
      <c r="K64" s="32" t="str">
        <f>IFERROR(__xludf.DUMMYFUNCTION("IFERROR(if(ISBLANK(J64),"" "",GOOGLEFINANCE(I64,""Name"")), """")"),"Steel Authority of India Ltd")</f>
        <v>Steel Authority of India Ltd</v>
      </c>
      <c r="L64" s="51">
        <f>IFERROR(__xludf.DUMMYFUNCTION("IFERROR(if(ISBLANK(J64),"" "",GOOGLEFINANCE(I64,""price"")), """")"),172.79)</f>
        <v>172.79</v>
      </c>
      <c r="M64" s="22">
        <f>IFERROR(__xludf.DUMMYFUNCTION("IFERROR(if(ISBLANK(J64),"" "",GOOGLEFINANCE(I64,""changepct"")), """")"),-0.12)</f>
        <v>-0.12</v>
      </c>
      <c r="N64" s="49"/>
      <c r="O64" s="37"/>
      <c r="P64" s="27" t="s">
        <v>1348</v>
      </c>
      <c r="Q64" s="31" t="s">
        <v>200</v>
      </c>
      <c r="R64" s="32" t="str">
        <f>IFERROR(__xludf.DUMMYFUNCTION("IFERROR(if(ISBLANK(Q64),"" "",GOOGLEFINANCE(P64,""Name"")), """")"),"Krishna Institute Of Medical Sciencs Ltd")</f>
        <v>Krishna Institute Of Medical Sciencs Ltd</v>
      </c>
      <c r="S64" s="51">
        <f>IFERROR(__xludf.DUMMYFUNCTION("IFERROR(if(ISBLANK(Q64),"" "",GOOGLEFINANCE(P64,""price"")), """")"),804.5)</f>
        <v>804.5</v>
      </c>
      <c r="T64" s="22">
        <f>IFERROR(__xludf.DUMMYFUNCTION("IFERROR(if(ISBLANK(Q64),"" "",GOOGLEFINANCE(P64,""changepct"")), """")"),-1.05)</f>
        <v>-1.05</v>
      </c>
      <c r="U64" s="12"/>
      <c r="V64" s="18" t="s">
        <v>1350</v>
      </c>
      <c r="W64" s="31" t="s">
        <v>200</v>
      </c>
      <c r="X64" s="32" t="str">
        <f>IFERROR(__xludf.DUMMYFUNCTION("IFERROR(if(ISBLANK(W64),"" "",GOOGLEFINANCE(V64,""Name"")), """")"),"Urban Company Ltd")</f>
        <v>Urban Company Ltd</v>
      </c>
      <c r="Y64" s="51">
        <f>IFERROR(__xludf.DUMMYFUNCTION("IFERROR(if(ISBLANK(W64),"" "",GOOGLEFINANCE(V64,""price"")), """")"),140.0)</f>
        <v>140</v>
      </c>
      <c r="Z64" s="22">
        <f>IFERROR(__xludf.DUMMYFUNCTION("IFERROR(if(ISBLANK(W64),"" "",GOOGLEFINANCE(V64,""changepct"")), """")"),0.18)</f>
        <v>0.18</v>
      </c>
      <c r="AA64" s="12"/>
      <c r="AB64" s="18" t="s">
        <v>1351</v>
      </c>
      <c r="AC64" s="31" t="s">
        <v>200</v>
      </c>
      <c r="AD64" s="32" t="str">
        <f>IFERROR(__xludf.DUMMYFUNCTION("IFERROR(if(ISBLANK(AC64),"" "",GOOGLEFINANCE(AB64,""Name"")), """")"),"Alivus Life Sciences Ltd")</f>
        <v>Alivus Life Sciences Ltd</v>
      </c>
      <c r="AE64" s="51">
        <f>IFERROR(__xludf.DUMMYFUNCTION("IFERROR(if(ISBLANK(AC64),"" "",GOOGLEFINANCE(AB64,""price"")), """")"),1354.8)</f>
        <v>1354.8</v>
      </c>
      <c r="AF64" s="22">
        <f>IFERROR(__xludf.DUMMYFUNCTION("IFERROR(if(ISBLANK(AC64),"" "",GOOGLEFINANCE(AB64,""changepct"")), """")"),-2.78)</f>
        <v>-2.78</v>
      </c>
      <c r="AG64" s="45"/>
      <c r="AH64" s="27" t="s">
        <v>1352</v>
      </c>
      <c r="AI64" s="31" t="s">
        <v>200</v>
      </c>
      <c r="AJ64" s="32" t="str">
        <f>IFERROR(__xludf.DUMMYFUNCTION("IFERROR(if(ISBLANK(AI64),"" "",GOOGLEFINANCE(AH64,""Name"")), """")"),"E2E Networks Ltd")</f>
        <v>E2E Networks Ltd</v>
      </c>
      <c r="AK64" s="51">
        <f>IFERROR(__xludf.DUMMYFUNCTION("IFERROR(if(ISBLANK(AI64),"" "",GOOGLEFINANCE(AH64,""price"")), """")"),633.0)</f>
        <v>633</v>
      </c>
      <c r="AL64" s="22">
        <f>IFERROR(__xludf.DUMMYFUNCTION("IFERROR(if(ISBLANK(AI64),"" "",GOOGLEFINANCE(AH64,""changepct"")), """")"),0.89)</f>
        <v>0.89</v>
      </c>
      <c r="AM64" s="30"/>
      <c r="AN64" s="31" t="s">
        <v>200</v>
      </c>
      <c r="AO64" s="32" t="str">
        <f>IFERROR(__xludf.DUMMYFUNCTION("IFERROR(if(ISBLANK(AN64),"" "",GOOGLEFINANCE(AM64,""Name"")), """")"),"")</f>
        <v/>
      </c>
      <c r="AP64" s="33" t="s">
        <v>1353</v>
      </c>
      <c r="AQ64" s="31" t="s">
        <v>200</v>
      </c>
      <c r="AR64" s="32" t="str">
        <f>IFERROR(__xludf.DUMMYFUNCTION("IFERROR(if(ISBLANK(AQ64),"" "",GOOGLEFINANCE(AP64,""Name"")), """")"),"Maharashtra Seamless Ltd")</f>
        <v>Maharashtra Seamless Ltd</v>
      </c>
      <c r="AS64" s="51">
        <f>IFERROR(__xludf.DUMMYFUNCTION("IFERROR(if(ISBLANK(AQ64),"" "",GOOGLEFINANCE(AP64,""price"")), """")"),610.05)</f>
        <v>610.05</v>
      </c>
      <c r="AT64" s="22">
        <f>IFERROR(__xludf.DUMMYFUNCTION("IFERROR(if(ISBLANK(AQ64),"" "",GOOGLEFINANCE(AP64,""changepct"")), """")"),2.53)</f>
        <v>2.53</v>
      </c>
      <c r="AU64" s="45"/>
      <c r="AV64" s="34" t="s">
        <v>1354</v>
      </c>
      <c r="AW64" s="31" t="s">
        <v>200</v>
      </c>
      <c r="AX64" s="32" t="str">
        <f>IFERROR(__xludf.DUMMYFUNCTION("IFERROR(if(ISBLANK(AW64),"" "",GOOGLEFINANCE(AV64,""Name"")), """")"),"Praj Industries Ltd")</f>
        <v>Praj Industries Ltd</v>
      </c>
      <c r="AY64" s="51">
        <f>IFERROR(__xludf.DUMMYFUNCTION("IFERROR(if(ISBLANK(AW64),"" "",GOOGLEFINANCE(AV64,""price"")), """")"),324.1)</f>
        <v>324.1</v>
      </c>
      <c r="AZ64" s="22">
        <f>IFERROR(__xludf.DUMMYFUNCTION("IFERROR(if(ISBLANK(AW64),"" "",GOOGLEFINANCE(AV64,""changepct"")), """")"),-1.76)</f>
        <v>-1.76</v>
      </c>
      <c r="BA64" s="12"/>
      <c r="BB64" s="33" t="s">
        <v>1355</v>
      </c>
      <c r="BC64" s="31" t="s">
        <v>200</v>
      </c>
      <c r="BD64" s="32" t="str">
        <f>IFERROR(__xludf.DUMMYFUNCTION("IFERROR(if(ISBLANK(BC64),"" "",GOOGLEFINANCE(BB64,""Name"")), """")"),"Juniper Hotels Ltd")</f>
        <v>Juniper Hotels Ltd</v>
      </c>
      <c r="BE64" s="51">
        <f>IFERROR(__xludf.DUMMYFUNCTION("IFERROR(if(ISBLANK(BC64),"" "",GOOGLEFINANCE(BB64,""price"")), """")"),199.4)</f>
        <v>199.4</v>
      </c>
      <c r="BF64" s="22">
        <f>IFERROR(__xludf.DUMMYFUNCTION("IFERROR(if(ISBLANK(BC64),"" "",GOOGLEFINANCE(BB64,""changepct"")), """")"),2.66)</f>
        <v>2.66</v>
      </c>
      <c r="BG64" s="12"/>
      <c r="BH64" s="35" t="s">
        <v>1357</v>
      </c>
      <c r="BI64" s="31" t="s">
        <v>200</v>
      </c>
      <c r="BJ64" s="32" t="str">
        <f>IFERROR(__xludf.DUMMYFUNCTION("IFERROR(if(ISBLANK(BI64),"" "",GOOGLEFINANCE(BH64,""Name"")), """")"),"Venus Pipes &amp; Tubes Ltd")</f>
        <v>Venus Pipes &amp; Tubes Ltd</v>
      </c>
      <c r="BK64" s="51">
        <f>IFERROR(__xludf.DUMMYFUNCTION("IFERROR(if(ISBLANK(BI64),"" "",GOOGLEFINANCE(BH64,""price"")), """")"),1568.0)</f>
        <v>1568</v>
      </c>
      <c r="BL64" s="22">
        <f>IFERROR(__xludf.DUMMYFUNCTION("IFERROR(if(ISBLANK(BI64),"" "",GOOGLEFINANCE(BH64,""changepct"")), """")"),-1.83)</f>
        <v>-1.83</v>
      </c>
      <c r="BM64" s="12"/>
      <c r="BN64" s="33" t="s">
        <v>1358</v>
      </c>
      <c r="BO64" s="31" t="s">
        <v>200</v>
      </c>
      <c r="BP64" s="32" t="str">
        <f>IFERROR(__xludf.DUMMYFUNCTION("IFERROR(if(ISBLANK(BO64),"" "",GOOGLEFINANCE(BN64,""Name"")), """")"),"Medi Assist Healthcare Services Ltd")</f>
        <v>Medi Assist Healthcare Services Ltd</v>
      </c>
      <c r="BQ64" s="51">
        <f>IFERROR(__xludf.DUMMYFUNCTION("IFERROR(if(ISBLANK(BO64),"" "",GOOGLEFINANCE(BN64,""price"")), """")"),351.0)</f>
        <v>351</v>
      </c>
      <c r="BR64" s="22">
        <f>IFERROR(__xludf.DUMMYFUNCTION("IFERROR(if(ISBLANK(BO64),"" "",GOOGLEFINANCE(BN64,""changepct"")), """")"),1.37)</f>
        <v>1.37</v>
      </c>
      <c r="BS64" s="49"/>
      <c r="BT64" s="36"/>
      <c r="BU64" s="27" t="s">
        <v>1359</v>
      </c>
      <c r="BV64" s="31" t="s">
        <v>200</v>
      </c>
      <c r="BW64" s="32" t="str">
        <f>IFERROR(__xludf.DUMMYFUNCTION("IFERROR(if(ISBLANK(BV64),"" "",GOOGLEFINANCE(BU64,""Name"")), """")"),"TCI Express Ltd")</f>
        <v>TCI Express Ltd</v>
      </c>
      <c r="BX64" s="51">
        <f>IFERROR(__xludf.DUMMYFUNCTION("IFERROR(if(ISBLANK(BV64),"" "",GOOGLEFINANCE(BU64,""price"")), """")"),548.8)</f>
        <v>548.8</v>
      </c>
      <c r="BY64" s="22">
        <f>IFERROR(__xludf.DUMMYFUNCTION("IFERROR(if(ISBLANK(BV64),"" "",GOOGLEFINANCE(BU64,""changepct"")), """")"),1.11)</f>
        <v>1.11</v>
      </c>
      <c r="BZ64" s="49"/>
      <c r="CA64" s="37"/>
      <c r="CB64" s="27" t="s">
        <v>1360</v>
      </c>
      <c r="CC64" s="31" t="s">
        <v>200</v>
      </c>
      <c r="CD64" s="32" t="str">
        <f>IFERROR(__xludf.DUMMYFUNCTION("IFERROR(if(ISBLANK(CC64),"" "",GOOGLEFINANCE(CB64,""Name"")), """")"),"Balmer Lawrie Investments Ltd.")</f>
        <v>Balmer Lawrie Investments Ltd.</v>
      </c>
      <c r="CE64" s="51">
        <f>IFERROR(__xludf.DUMMYFUNCTION("IFERROR(if(ISBLANK(CC64),"" "",GOOGLEFINANCE(CB64,""price"")), """")"),70.78)</f>
        <v>70.78</v>
      </c>
      <c r="CF64" s="22">
        <f>IFERROR(__xludf.DUMMYFUNCTION("IFERROR(if(ISBLANK(CC64),"" "",GOOGLEFINANCE(CB64,""changepct"")), """")"),-0.14)</f>
        <v>-0.14</v>
      </c>
      <c r="CG64" s="12"/>
      <c r="CH64" s="18" t="s">
        <v>1361</v>
      </c>
      <c r="CI64" s="31" t="s">
        <v>200</v>
      </c>
      <c r="CJ64" s="32" t="str">
        <f>IFERROR(__xludf.DUMMYFUNCTION("IFERROR(if(ISBLANK(CI64),"" "",GOOGLEFINANCE(CH64,""Name"")), """")"),"")</f>
        <v/>
      </c>
      <c r="CK64" s="51" t="str">
        <f>IFERROR(__xludf.DUMMYFUNCTION("IFERROR(if(ISBLANK(CI64),"" "",GOOGLEFINANCE(CH64,""price"")), """")"),"")</f>
        <v/>
      </c>
      <c r="CL64" s="22" t="str">
        <f>IFERROR(__xludf.DUMMYFUNCTION("IFERROR(if(ISBLANK(CI64),"" "",GOOGLEFINANCE(CH64,""changepct"")), """")"),"")</f>
        <v/>
      </c>
      <c r="CM64" s="12"/>
      <c r="CN64" s="33" t="s">
        <v>1362</v>
      </c>
      <c r="CO64" s="31" t="s">
        <v>200</v>
      </c>
      <c r="CP64" s="32" t="str">
        <f>IFERROR(__xludf.DUMMYFUNCTION("IFERROR(if(ISBLANK(CO64),"" "",GOOGLEFINANCE(CN64,""Name"")), """")"),"Unicommerce eSolutions Ltd")</f>
        <v>Unicommerce eSolutions Ltd</v>
      </c>
      <c r="CQ64" s="51">
        <f>IFERROR(__xludf.DUMMYFUNCTION("IFERROR(if(ISBLANK(CO64),"" "",GOOGLEFINANCE(CN64,""price"")), """")"),92.3)</f>
        <v>92.3</v>
      </c>
      <c r="CR64" s="22">
        <f>IFERROR(__xludf.DUMMYFUNCTION("IFERROR(if(ISBLANK(CO64),"" "",GOOGLEFINANCE(CN64,""changepct"")), """")"),9.62)</f>
        <v>9.62</v>
      </c>
      <c r="CS64" s="45"/>
      <c r="CT64" s="33" t="s">
        <v>1363</v>
      </c>
      <c r="CU64" s="31" t="s">
        <v>200</v>
      </c>
      <c r="CV64" s="32" t="str">
        <f>IFERROR(__xludf.DUMMYFUNCTION("IFERROR(if(ISBLANK(CU64),"" "",GOOGLEFINANCE(CT64,""Name"")), """")"),"Prostarm Info Systems Ltd")</f>
        <v>Prostarm Info Systems Ltd</v>
      </c>
      <c r="CW64" s="51">
        <f>IFERROR(__xludf.DUMMYFUNCTION("IFERROR(if(ISBLANK(CU64),"" "",GOOGLEFINANCE(CT64,""price"")), """")"),142.0)</f>
        <v>142</v>
      </c>
      <c r="CX64" s="22">
        <f>IFERROR(__xludf.DUMMYFUNCTION("IFERROR(if(ISBLANK(CU64),"" "",GOOGLEFINANCE(CT64,""changepct"")), """")"),-3.77)</f>
        <v>-3.77</v>
      </c>
      <c r="CY64" s="17"/>
      <c r="CZ64" s="33" t="s">
        <v>1365</v>
      </c>
      <c r="DA64" s="31" t="s">
        <v>200</v>
      </c>
      <c r="DB64" s="32" t="str">
        <f>IFERROR(__xludf.DUMMYFUNCTION("IFERROR(if(ISBLANK(DA64),"" "",GOOGLEFINANCE(CZ64,""Name"")), """")"),"Pansari Developers Ltd")</f>
        <v>Pansari Developers Ltd</v>
      </c>
      <c r="DC64" s="51">
        <f>IFERROR(__xludf.DUMMYFUNCTION("IFERROR(if(ISBLANK(DA64),"" "",GOOGLEFINANCE(CZ64,""price"")), """")"),323.65)</f>
        <v>323.65</v>
      </c>
      <c r="DD64" s="22">
        <f>IFERROR(__xludf.DUMMYFUNCTION("IFERROR(if(ISBLANK(DA64),"" "",GOOGLEFINANCE(CZ64,""changepct"")), """")"),2.78)</f>
        <v>2.78</v>
      </c>
      <c r="DE64" s="45"/>
      <c r="DF64" s="12"/>
    </row>
    <row r="65" ht="11.25" customHeight="1">
      <c r="A65" s="50"/>
      <c r="B65" s="18" t="s">
        <v>1366</v>
      </c>
      <c r="C65" s="31" t="s">
        <v>200</v>
      </c>
      <c r="D65" s="32" t="str">
        <f>IFERROR(__xludf.DUMMYFUNCTION("IFERROR(if(ISBLANK(C65),"" "",GOOGLEFINANCE(B65,""Name"")), """")"),"ABB India Ltd")</f>
        <v>ABB India Ltd</v>
      </c>
      <c r="E65" s="51">
        <f>IFERROR(__xludf.DUMMYFUNCTION("IFERROR(if(ISBLANK(C65),"" "",GOOGLEFINANCE(B65,""price"")), """")"),7720.0)</f>
        <v>7720</v>
      </c>
      <c r="F65" s="22">
        <f>IFERROR(__xludf.DUMMYFUNCTION("IFERROR(if(ISBLANK(C65),"" "",GOOGLEFINANCE(B65,""changepct"")), """")"),1.43)</f>
        <v>1.43</v>
      </c>
      <c r="G65" s="49"/>
      <c r="H65" s="36"/>
      <c r="I65" s="25" t="s">
        <v>1368</v>
      </c>
      <c r="J65" s="31" t="s">
        <v>200</v>
      </c>
      <c r="K65" s="32" t="str">
        <f>IFERROR(__xludf.DUMMYFUNCTION("IFERROR(if(ISBLANK(J65),"" "",GOOGLEFINANCE(I65,""Name"")), """")"),"Prestige Estates Projects Limited")</f>
        <v>Prestige Estates Projects Limited</v>
      </c>
      <c r="L65" s="51">
        <f>IFERROR(__xludf.DUMMYFUNCTION("IFERROR(if(ISBLANK(J65),"" "",GOOGLEFINANCE(I65,""price"")), """")"),1587.0)</f>
        <v>1587</v>
      </c>
      <c r="M65" s="22">
        <f>IFERROR(__xludf.DUMMYFUNCTION("IFERROR(if(ISBLANK(J65),"" "",GOOGLEFINANCE(I65,""changepct"")), """")"),0.07)</f>
        <v>0.07</v>
      </c>
      <c r="N65" s="49"/>
      <c r="O65" s="37"/>
      <c r="P65" s="27" t="s">
        <v>1369</v>
      </c>
      <c r="Q65" s="31" t="s">
        <v>200</v>
      </c>
      <c r="R65" s="32" t="str">
        <f>IFERROR(__xludf.DUMMYFUNCTION("IFERROR(if(ISBLANK(Q65),"" "",GOOGLEFINANCE(P65,""Name"")), """")"),"Dalmia Bharat Ltd")</f>
        <v>Dalmia Bharat Ltd</v>
      </c>
      <c r="S65" s="51">
        <f>IFERROR(__xludf.DUMMYFUNCTION("IFERROR(if(ISBLANK(Q65),"" "",GOOGLEFINANCE(P65,""price"")), """")"),1831.0)</f>
        <v>1831</v>
      </c>
      <c r="T65" s="22">
        <f>IFERROR(__xludf.DUMMYFUNCTION("IFERROR(if(ISBLANK(Q65),"" "",GOOGLEFINANCE(P65,""changepct"")), """")"),-0.25)</f>
        <v>-0.25</v>
      </c>
      <c r="U65" s="12"/>
      <c r="V65" s="18" t="s">
        <v>1370</v>
      </c>
      <c r="W65" s="31" t="s">
        <v>200</v>
      </c>
      <c r="X65" s="32" t="str">
        <f>IFERROR(__xludf.DUMMYFUNCTION("IFERROR(if(ISBLANK(W65),"" "",GOOGLEFINANCE(V65,""Name"")), """")"),"HBL Engineering Ltd")</f>
        <v>HBL Engineering Ltd</v>
      </c>
      <c r="Y65" s="51">
        <f>IFERROR(__xludf.DUMMYFUNCTION("IFERROR(if(ISBLANK(W65),"" "",GOOGLEFINANCE(V65,""price"")), """")"),690.0)</f>
        <v>690</v>
      </c>
      <c r="Z65" s="22">
        <f>IFERROR(__xludf.DUMMYFUNCTION("IFERROR(if(ISBLANK(W65),"" "",GOOGLEFINANCE(V65,""changepct"")), """")"),-0.76)</f>
        <v>-0.76</v>
      </c>
      <c r="AA65" s="12"/>
      <c r="AB65" s="18" t="s">
        <v>1371</v>
      </c>
      <c r="AC65" s="31" t="s">
        <v>200</v>
      </c>
      <c r="AD65" s="32" t="str">
        <f>IFERROR(__xludf.DUMMYFUNCTION("IFERROR(if(ISBLANK(AC65),"" "",GOOGLEFINANCE(AB65,""Name"")), """")"),"Shadowfax Technologies Ltd")</f>
        <v>Shadowfax Technologies Ltd</v>
      </c>
      <c r="AE65" s="51">
        <f>IFERROR(__xludf.DUMMYFUNCTION("IFERROR(if(ISBLANK(AC65),"" "",GOOGLEFINANCE(AB65,""price"")), """")"),248.44)</f>
        <v>248.44</v>
      </c>
      <c r="AF65" s="22">
        <f>IFERROR(__xludf.DUMMYFUNCTION("IFERROR(if(ISBLANK(AC65),"" "",GOOGLEFINANCE(AB65,""changepct"")), """")"),-0.24)</f>
        <v>-0.24</v>
      </c>
      <c r="AG65" s="45"/>
      <c r="AH65" s="27" t="s">
        <v>1372</v>
      </c>
      <c r="AI65" s="31" t="s">
        <v>200</v>
      </c>
      <c r="AJ65" s="32" t="str">
        <f>IFERROR(__xludf.DUMMYFUNCTION("IFERROR(if(ISBLANK(AI65),"" "",GOOGLEFINANCE(AH65,""Name"")), """")"),"Sanofi Consumer Healthcare India Ltd")</f>
        <v>Sanofi Consumer Healthcare India Ltd</v>
      </c>
      <c r="AK65" s="51">
        <f>IFERROR(__xludf.DUMMYFUNCTION("IFERROR(if(ISBLANK(AI65),"" "",GOOGLEFINANCE(AH65,""price"")), """")"),4465.0)</f>
        <v>4465</v>
      </c>
      <c r="AL65" s="22">
        <f>IFERROR(__xludf.DUMMYFUNCTION("IFERROR(if(ISBLANK(AI65),"" "",GOOGLEFINANCE(AH65,""changepct"")), """")"),-1.93)</f>
        <v>-1.93</v>
      </c>
      <c r="AM65" s="30"/>
      <c r="AN65" s="31" t="s">
        <v>200</v>
      </c>
      <c r="AO65" s="32" t="str">
        <f>IFERROR(__xludf.DUMMYFUNCTION("IFERROR(if(ISBLANK(AN65),"" "",GOOGLEFINANCE(AM65,""Name"")), """")"),"")</f>
        <v/>
      </c>
      <c r="AP65" s="33" t="s">
        <v>1374</v>
      </c>
      <c r="AQ65" s="31" t="s">
        <v>200</v>
      </c>
      <c r="AR65" s="32" t="str">
        <f>IFERROR(__xludf.DUMMYFUNCTION("IFERROR(if(ISBLANK(AQ65),"" "",GOOGLEFINANCE(AP65,""Name"")), """")"),"NESCO Ltd")</f>
        <v>NESCO Ltd</v>
      </c>
      <c r="AS65" s="51">
        <f>IFERROR(__xludf.DUMMYFUNCTION("IFERROR(if(ISBLANK(AQ65),"" "",GOOGLEFINANCE(AP65,""price"")), """")"),1036.0)</f>
        <v>1036</v>
      </c>
      <c r="AT65" s="22">
        <f>IFERROR(__xludf.DUMMYFUNCTION("IFERROR(if(ISBLANK(AQ65),"" "",GOOGLEFINANCE(AP65,""changepct"")), """")"),-1.17)</f>
        <v>-1.17</v>
      </c>
      <c r="AU65" s="45"/>
      <c r="AV65" s="34" t="s">
        <v>1375</v>
      </c>
      <c r="AW65" s="31" t="s">
        <v>200</v>
      </c>
      <c r="AX65" s="32" t="str">
        <f>IFERROR(__xludf.DUMMYFUNCTION("IFERROR(if(ISBLANK(AW65),"" "",GOOGLEFINANCE(AV65,""Name"")), """")"),"CSB Bank Ltd")</f>
        <v>CSB Bank Ltd</v>
      </c>
      <c r="AY65" s="51">
        <f>IFERROR(__xludf.DUMMYFUNCTION("IFERROR(if(ISBLANK(AW65),"" "",GOOGLEFINANCE(AV65,""price"")), """")"),319.0)</f>
        <v>319</v>
      </c>
      <c r="AZ65" s="22">
        <f>IFERROR(__xludf.DUMMYFUNCTION("IFERROR(if(ISBLANK(AW65),"" "",GOOGLEFINANCE(AV65,""changepct"")), """")"),-1.71)</f>
        <v>-1.71</v>
      </c>
      <c r="BA65" s="12"/>
      <c r="BB65" s="33" t="s">
        <v>1376</v>
      </c>
      <c r="BC65" s="31" t="s">
        <v>200</v>
      </c>
      <c r="BD65" s="32" t="str">
        <f>IFERROR(__xludf.DUMMYFUNCTION("IFERROR(if(ISBLANK(BC65),"" "",GOOGLEFINANCE(BB65,""Name"")), """")"),"Rattanindia Enterprises Ltd")</f>
        <v>Rattanindia Enterprises Ltd</v>
      </c>
      <c r="BE65" s="51">
        <f>IFERROR(__xludf.DUMMYFUNCTION("IFERROR(if(ISBLANK(BC65),"" "",GOOGLEFINANCE(BB65,""price"")), """")"),30.14)</f>
        <v>30.14</v>
      </c>
      <c r="BF65" s="22">
        <f>IFERROR(__xludf.DUMMYFUNCTION("IFERROR(if(ISBLANK(BC65),"" "",GOOGLEFINANCE(BB65,""changepct"")), """")"),-1.76)</f>
        <v>-1.76</v>
      </c>
      <c r="BG65" s="12"/>
      <c r="BH65" s="35" t="s">
        <v>1377</v>
      </c>
      <c r="BI65" s="31" t="s">
        <v>200</v>
      </c>
      <c r="BJ65" s="32" t="str">
        <f>IFERROR(__xludf.DUMMYFUNCTION("IFERROR(if(ISBLANK(BI65),"" "",GOOGLEFINANCE(BH65,""Name"")), """")"),"Wheels India Ltd")</f>
        <v>Wheels India Ltd</v>
      </c>
      <c r="BK65" s="51">
        <f>IFERROR(__xludf.DUMMYFUNCTION("IFERROR(if(ISBLANK(BI65),"" "",GOOGLEFINANCE(BH65,""price"")), """")"),1358.0)</f>
        <v>1358</v>
      </c>
      <c r="BL65" s="22">
        <f>IFERROR(__xludf.DUMMYFUNCTION("IFERROR(if(ISBLANK(BI65),"" "",GOOGLEFINANCE(BH65,""changepct"")), """")"),-1.77)</f>
        <v>-1.77</v>
      </c>
      <c r="BM65" s="12"/>
      <c r="BN65" s="33" t="s">
        <v>1378</v>
      </c>
      <c r="BO65" s="31" t="s">
        <v>200</v>
      </c>
      <c r="BP65" s="32" t="str">
        <f>IFERROR(__xludf.DUMMYFUNCTION("IFERROR(if(ISBLANK(BO65),"" "",GOOGLEFINANCE(BN65,""Name"")), """")"),"Imagicaaworld Entertainment Ltd")</f>
        <v>Imagicaaworld Entertainment Ltd</v>
      </c>
      <c r="BQ65" s="51">
        <f>IFERROR(__xludf.DUMMYFUNCTION("IFERROR(if(ISBLANK(BO65),"" "",GOOGLEFINANCE(BN65,""price"")), """")"),47.25)</f>
        <v>47.25</v>
      </c>
      <c r="BR65" s="22">
        <f>IFERROR(__xludf.DUMMYFUNCTION("IFERROR(if(ISBLANK(BO65),"" "",GOOGLEFINANCE(BN65,""changepct"")), """")"),-0.36)</f>
        <v>-0.36</v>
      </c>
      <c r="BS65" s="49"/>
      <c r="BT65" s="36"/>
      <c r="BU65" s="27" t="s">
        <v>1380</v>
      </c>
      <c r="BV65" s="31" t="s">
        <v>200</v>
      </c>
      <c r="BW65" s="32" t="str">
        <f>IFERROR(__xludf.DUMMYFUNCTION("IFERROR(if(ISBLANK(BV65),"" "",GOOGLEFINANCE(BU65,""Name"")), """")"),"BGR Energy Systems Ltd")</f>
        <v>BGR Energy Systems Ltd</v>
      </c>
      <c r="BX65" s="51">
        <f>IFERROR(__xludf.DUMMYFUNCTION("IFERROR(if(ISBLANK(BV65),"" "",GOOGLEFINANCE(BU65,""price"")), """")"),255.05)</f>
        <v>255.05</v>
      </c>
      <c r="BY65" s="22">
        <f>IFERROR(__xludf.DUMMYFUNCTION("IFERROR(if(ISBLANK(BV65),"" "",GOOGLEFINANCE(BU65,""changepct"")), """")"),-2.07)</f>
        <v>-2.07</v>
      </c>
      <c r="BZ65" s="49"/>
      <c r="CA65" s="37"/>
      <c r="CB65" s="27" t="s">
        <v>1381</v>
      </c>
      <c r="CC65" s="31" t="s">
        <v>200</v>
      </c>
      <c r="CD65" s="32" t="str">
        <f>IFERROR(__xludf.DUMMYFUNCTION("IFERROR(if(ISBLANK(CC65),"" "",GOOGLEFINANCE(CB65,""Name"")), """")"),"Virtuoso Optoelectronics Ltd")</f>
        <v>Virtuoso Optoelectronics Ltd</v>
      </c>
      <c r="CE65" s="51">
        <f>IFERROR(__xludf.DUMMYFUNCTION("IFERROR(if(ISBLANK(CC65),"" "",GOOGLEFINANCE(CB65,""price"")), """")"),518.35)</f>
        <v>518.35</v>
      </c>
      <c r="CF65" s="22">
        <f>IFERROR(__xludf.DUMMYFUNCTION("IFERROR(if(ISBLANK(CC65),"" "",GOOGLEFINANCE(CB65,""changepct"")), """")"),5.57)</f>
        <v>5.57</v>
      </c>
      <c r="CG65" s="12"/>
      <c r="CH65" s="18" t="s">
        <v>1382</v>
      </c>
      <c r="CI65" s="31" t="s">
        <v>200</v>
      </c>
      <c r="CJ65" s="32" t="str">
        <f>IFERROR(__xludf.DUMMYFUNCTION("IFERROR(if(ISBLANK(CI65),"" "",GOOGLEFINANCE(CH65,""Name"")), """")"),"Bhagyanagar India Ltd")</f>
        <v>Bhagyanagar India Ltd</v>
      </c>
      <c r="CK65" s="51">
        <f>IFERROR(__xludf.DUMMYFUNCTION("IFERROR(if(ISBLANK(CI65),"" "",GOOGLEFINANCE(CH65,""price"")), """")"),378.0)</f>
        <v>378</v>
      </c>
      <c r="CL65" s="22">
        <f>IFERROR(__xludf.DUMMYFUNCTION("IFERROR(if(ISBLANK(CI65),"" "",GOOGLEFINANCE(CH65,""changepct"")), """")"),-2.15)</f>
        <v>-2.15</v>
      </c>
      <c r="CM65" s="12"/>
      <c r="CN65" s="33" t="s">
        <v>1383</v>
      </c>
      <c r="CO65" s="31" t="s">
        <v>200</v>
      </c>
      <c r="CP65" s="32" t="str">
        <f>IFERROR(__xludf.DUMMYFUNCTION("IFERROR(if(ISBLANK(CO65),"" "",GOOGLEFINANCE(CN65,""Name"")), """")"),"Rajoo Engineers Ltd")</f>
        <v>Rajoo Engineers Ltd</v>
      </c>
      <c r="CQ65" s="51">
        <f>IFERROR(__xludf.DUMMYFUNCTION("IFERROR(if(ISBLANK(CO65),"" "",GOOGLEFINANCE(CN65,""price"")), """")"),50.8)</f>
        <v>50.8</v>
      </c>
      <c r="CR65" s="22">
        <f>IFERROR(__xludf.DUMMYFUNCTION("IFERROR(if(ISBLANK(CO65),"" "",GOOGLEFINANCE(CN65,""changepct"")), """")"),-0.82)</f>
        <v>-0.82</v>
      </c>
      <c r="CS65" s="45"/>
      <c r="CT65" s="33" t="s">
        <v>1385</v>
      </c>
      <c r="CU65" s="31" t="s">
        <v>200</v>
      </c>
      <c r="CV65" s="32" t="str">
        <f>IFERROR(__xludf.DUMMYFUNCTION("IFERROR(if(ISBLANK(CU65),"" "",GOOGLEFINANCE(CT65,""Name"")), """")"),"Valiant Organics Ltd")</f>
        <v>Valiant Organics Ltd</v>
      </c>
      <c r="CW65" s="51">
        <f>IFERROR(__xludf.DUMMYFUNCTION("IFERROR(if(ISBLANK(CU65),"" "",GOOGLEFINANCE(CT65,""price"")), """")"),325.3)</f>
        <v>325.3</v>
      </c>
      <c r="CX65" s="22">
        <f>IFERROR(__xludf.DUMMYFUNCTION("IFERROR(if(ISBLANK(CU65),"" "",GOOGLEFINANCE(CT65,""changepct"")), """")"),4.99)</f>
        <v>4.99</v>
      </c>
      <c r="CY65" s="17"/>
      <c r="CZ65" s="33" t="s">
        <v>1386</v>
      </c>
      <c r="DA65" s="31" t="s">
        <v>200</v>
      </c>
      <c r="DB65" s="32" t="str">
        <f>IFERROR(__xludf.DUMMYFUNCTION("IFERROR(if(ISBLANK(DA65),"" "",GOOGLEFINANCE(CZ65,""Name"")), """")"),"Sigma Solve Ltd")</f>
        <v>Sigma Solve Ltd</v>
      </c>
      <c r="DC65" s="51">
        <f>IFERROR(__xludf.DUMMYFUNCTION("IFERROR(if(ISBLANK(DA65),"" "",GOOGLEFINANCE(CZ65,""price"")), """")"),46.1)</f>
        <v>46.1</v>
      </c>
      <c r="DD65" s="22">
        <f>IFERROR(__xludf.DUMMYFUNCTION("IFERROR(if(ISBLANK(DA65),"" "",GOOGLEFINANCE(CZ65,""changepct"")), """")"),-2.19)</f>
        <v>-2.19</v>
      </c>
      <c r="DE65" s="45"/>
      <c r="DF65" s="12"/>
    </row>
    <row r="66" ht="11.25" customHeight="1">
      <c r="A66" s="62"/>
      <c r="B66" s="18" t="s">
        <v>1387</v>
      </c>
      <c r="C66" s="31" t="s">
        <v>200</v>
      </c>
      <c r="D66" s="32" t="str">
        <f>IFERROR(__xludf.DUMMYFUNCTION("IFERROR(if(ISBLANK(C66),"" "",GOOGLEFINANCE(B66,""Name"")), """")"),"ICICI Prudential Asset Management Co Ltd")</f>
        <v>ICICI Prudential Asset Management Co Ltd</v>
      </c>
      <c r="E66" s="51">
        <f>IFERROR(__xludf.DUMMYFUNCTION("IFERROR(if(ISBLANK(C66),"" "",GOOGLEFINANCE(B66,""price"")), """")"),3082.0)</f>
        <v>3082</v>
      </c>
      <c r="F66" s="22">
        <f>IFERROR(__xludf.DUMMYFUNCTION("IFERROR(if(ISBLANK(C66),"" "",GOOGLEFINANCE(B66,""changepct"")), """")"),1.77)</f>
        <v>1.77</v>
      </c>
      <c r="G66" s="49"/>
      <c r="H66" s="36"/>
      <c r="I66" s="25" t="s">
        <v>1389</v>
      </c>
      <c r="J66" s="31" t="s">
        <v>200</v>
      </c>
      <c r="K66" s="32" t="str">
        <f>IFERROR(__xludf.DUMMYFUNCTION("IFERROR(if(ISBLANK(J66),"" "",GOOGLEFINANCE(I66,""Name"")), """")"),"Biocon Ltd")</f>
        <v>Biocon Ltd</v>
      </c>
      <c r="L66" s="51">
        <f>IFERROR(__xludf.DUMMYFUNCTION("IFERROR(if(ISBLANK(J66),"" "",GOOGLEFINANCE(I66,""price"")), """")"),427.4)</f>
        <v>427.4</v>
      </c>
      <c r="M66" s="22">
        <f>IFERROR(__xludf.DUMMYFUNCTION("IFERROR(if(ISBLANK(J66),"" "",GOOGLEFINANCE(I66,""changepct"")), """")"),0.33)</f>
        <v>0.33</v>
      </c>
      <c r="N66" s="49"/>
      <c r="O66" s="37"/>
      <c r="P66" s="27" t="s">
        <v>1390</v>
      </c>
      <c r="Q66" s="31" t="s">
        <v>200</v>
      </c>
      <c r="R66" s="32" t="str">
        <f>IFERROR(__xludf.DUMMYFUNCTION("IFERROR(if(ISBLANK(Q66),"" "",GOOGLEFINANCE(P66,""Name"")), """")"),"Honeywell Automation India Ltd")</f>
        <v>Honeywell Automation India Ltd</v>
      </c>
      <c r="S66" s="51">
        <f>IFERROR(__xludf.DUMMYFUNCTION("IFERROR(if(ISBLANK(Q66),"" "",GOOGLEFINANCE(P66,""price"")), """")"),37520.0)</f>
        <v>37520</v>
      </c>
      <c r="T66" s="22">
        <f>IFERROR(__xludf.DUMMYFUNCTION("IFERROR(if(ISBLANK(Q66),"" "",GOOGLEFINANCE(P66,""changepct"")), """")"),-1.09)</f>
        <v>-1.09</v>
      </c>
      <c r="U66" s="12"/>
      <c r="V66" s="18" t="s">
        <v>1391</v>
      </c>
      <c r="W66" s="31" t="s">
        <v>200</v>
      </c>
      <c r="X66" s="32" t="str">
        <f>IFERROR(__xludf.DUMMYFUNCTION("IFERROR(if(ISBLANK(W66),"" "",GOOGLEFINANCE(V66,""Name"")), """")"),"Atul Ltd")</f>
        <v>Atul Ltd</v>
      </c>
      <c r="Y66" s="51">
        <f>IFERROR(__xludf.DUMMYFUNCTION("IFERROR(if(ISBLANK(W66),"" "",GOOGLEFINANCE(V66,""price"")), """")"),6879.0)</f>
        <v>6879</v>
      </c>
      <c r="Z66" s="22">
        <f>IFERROR(__xludf.DUMMYFUNCTION("IFERROR(if(ISBLANK(W66),"" "",GOOGLEFINANCE(V66,""changepct"")), """")"),0.42)</f>
        <v>0.42</v>
      </c>
      <c r="AA66" s="12"/>
      <c r="AB66" s="18" t="s">
        <v>1393</v>
      </c>
      <c r="AC66" s="31" t="s">
        <v>200</v>
      </c>
      <c r="AD66" s="32" t="str">
        <f>IFERROR(__xludf.DUMMYFUNCTION("IFERROR(if(ISBLANK(AC66),"" "",GOOGLEFINANCE(AB66,""Name"")), """")"),"Privi Speciality Chemicals Ltd")</f>
        <v>Privi Speciality Chemicals Ltd</v>
      </c>
      <c r="AE66" s="51">
        <f>IFERROR(__xludf.DUMMYFUNCTION("IFERROR(if(ISBLANK(AC66),"" "",GOOGLEFINANCE(AB66,""price"")), """")"),3577.8)</f>
        <v>3577.8</v>
      </c>
      <c r="AF66" s="22">
        <f>IFERROR(__xludf.DUMMYFUNCTION("IFERROR(if(ISBLANK(AC66),"" "",GOOGLEFINANCE(AB66,""changepct"")), """")"),-0.25)</f>
        <v>-0.25</v>
      </c>
      <c r="AG66" s="45"/>
      <c r="AH66" s="27" t="s">
        <v>1394</v>
      </c>
      <c r="AI66" s="31" t="s">
        <v>200</v>
      </c>
      <c r="AJ66" s="32" t="str">
        <f>IFERROR(__xludf.DUMMYFUNCTION("IFERROR(if(ISBLANK(AI66),"" "",GOOGLEFINANCE(AH66,""Name"")), """")"),"Shreeji Shipping Global Ltd")</f>
        <v>Shreeji Shipping Global Ltd</v>
      </c>
      <c r="AK66" s="51">
        <f>IFERROR(__xludf.DUMMYFUNCTION("IFERROR(if(ISBLANK(AI66),"" "",GOOGLEFINANCE(AH66,""price"")), """")"),641.0)</f>
        <v>641</v>
      </c>
      <c r="AL66" s="22">
        <f>IFERROR(__xludf.DUMMYFUNCTION("IFERROR(if(ISBLANK(AI66),"" "",GOOGLEFINANCE(AH66,""changepct"")), """")"),1.79)</f>
        <v>1.79</v>
      </c>
      <c r="AM66" s="30"/>
      <c r="AN66" s="31" t="s">
        <v>200</v>
      </c>
      <c r="AO66" s="32" t="str">
        <f>IFERROR(__xludf.DUMMYFUNCTION("IFERROR(if(ISBLANK(AN66),"" "",GOOGLEFINANCE(AM66,""Name"")), """")"),"")</f>
        <v/>
      </c>
      <c r="AP66" s="33" t="s">
        <v>1395</v>
      </c>
      <c r="AQ66" s="31" t="s">
        <v>200</v>
      </c>
      <c r="AR66" s="32" t="str">
        <f>IFERROR(__xludf.DUMMYFUNCTION("IFERROR(if(ISBLANK(AQ66),"" "",GOOGLEFINANCE(AP66,""Name"")), """")"),"Rain Industries Ltd")</f>
        <v>Rain Industries Ltd</v>
      </c>
      <c r="AS66" s="51">
        <f>IFERROR(__xludf.DUMMYFUNCTION("IFERROR(if(ISBLANK(AQ66),"" "",GOOGLEFINANCE(AP66,""price"")), """")"),209.9)</f>
        <v>209.9</v>
      </c>
      <c r="AT66" s="22">
        <f>IFERROR(__xludf.DUMMYFUNCTION("IFERROR(if(ISBLANK(AQ66),"" "",GOOGLEFINANCE(AP66,""changepct"")), """")"),3.44)</f>
        <v>3.44</v>
      </c>
      <c r="AU66" s="45"/>
      <c r="AV66" s="34" t="s">
        <v>1396</v>
      </c>
      <c r="AW66" s="31" t="s">
        <v>200</v>
      </c>
      <c r="AX66" s="32" t="str">
        <f>IFERROR(__xludf.DUMMYFUNCTION("IFERROR(if(ISBLANK(AW66),"" "",GOOGLEFINANCE(AV66,""Name"")), """")"),"Moil Ltd")</f>
        <v>Moil Ltd</v>
      </c>
      <c r="AY66" s="51">
        <f>IFERROR(__xludf.DUMMYFUNCTION("IFERROR(if(ISBLANK(AW66),"" "",GOOGLEFINANCE(AV66,""price"")), """")"),279.9)</f>
        <v>279.9</v>
      </c>
      <c r="AZ66" s="22">
        <f>IFERROR(__xludf.DUMMYFUNCTION("IFERROR(if(ISBLANK(AW66),"" "",GOOGLEFINANCE(AV66,""changepct"")), """")"),0.16)</f>
        <v>0.16</v>
      </c>
      <c r="BA66" s="12"/>
      <c r="BB66" s="33" t="s">
        <v>1397</v>
      </c>
      <c r="BC66" s="31" t="s">
        <v>200</v>
      </c>
      <c r="BD66" s="32" t="str">
        <f>IFERROR(__xludf.DUMMYFUNCTION("IFERROR(if(ISBLANK(BC66),"" "",GOOGLEFINANCE(BB66,""Name"")), """")"),"Raymond Lifestyle Ltd")</f>
        <v>Raymond Lifestyle Ltd</v>
      </c>
      <c r="BE66" s="51">
        <f>IFERROR(__xludf.DUMMYFUNCTION("IFERROR(if(ISBLANK(BC66),"" "",GOOGLEFINANCE(BB66,""price"")), """")"),719.0)</f>
        <v>719</v>
      </c>
      <c r="BF66" s="22">
        <f>IFERROR(__xludf.DUMMYFUNCTION("IFERROR(if(ISBLANK(BC66),"" "",GOOGLEFINANCE(BB66,""changepct"")), """")"),-0.94)</f>
        <v>-0.94</v>
      </c>
      <c r="BG66" s="12"/>
      <c r="BH66" s="35" t="s">
        <v>1399</v>
      </c>
      <c r="BI66" s="31" t="s">
        <v>200</v>
      </c>
      <c r="BJ66" s="32" t="str">
        <f>IFERROR(__xludf.DUMMYFUNCTION("IFERROR(if(ISBLANK(BI66),"" "",GOOGLEFINANCE(BH66,""Name"")), """")"),"KNR Constructions Ltd")</f>
        <v>KNR Constructions Ltd</v>
      </c>
      <c r="BK66" s="51">
        <f>IFERROR(__xludf.DUMMYFUNCTION("IFERROR(if(ISBLANK(BI66),"" "",GOOGLEFINANCE(BH66,""price"")), """")"),133.5)</f>
        <v>133.5</v>
      </c>
      <c r="BL66" s="22">
        <f>IFERROR(__xludf.DUMMYFUNCTION("IFERROR(if(ISBLANK(BI66),"" "",GOOGLEFINANCE(BH66,""changepct"")), """")"),-2.44)</f>
        <v>-2.44</v>
      </c>
      <c r="BM66" s="12"/>
      <c r="BN66" s="33" t="s">
        <v>1400</v>
      </c>
      <c r="BO66" s="31" t="s">
        <v>200</v>
      </c>
      <c r="BP66" s="32" t="str">
        <f>IFERROR(__xludf.DUMMYFUNCTION("IFERROR(if(ISBLANK(BO66),"" "",GOOGLEFINANCE(BN66,""Name"")), """")"),"Satin Creditcare Network Ltd")</f>
        <v>Satin Creditcare Network Ltd</v>
      </c>
      <c r="BQ66" s="51">
        <f>IFERROR(__xludf.DUMMYFUNCTION("IFERROR(if(ISBLANK(BO66),"" "",GOOGLEFINANCE(BN66,""price"")), """")"),223.0)</f>
        <v>223</v>
      </c>
      <c r="BR66" s="22">
        <f>IFERROR(__xludf.DUMMYFUNCTION("IFERROR(if(ISBLANK(BO66),"" "",GOOGLEFINANCE(BN66,""changepct"")), """")"),-0.91)</f>
        <v>-0.91</v>
      </c>
      <c r="BS66" s="49"/>
      <c r="BT66" s="36"/>
      <c r="BU66" s="27" t="s">
        <v>1401</v>
      </c>
      <c r="BV66" s="31" t="s">
        <v>200</v>
      </c>
      <c r="BW66" s="32" t="str">
        <f>IFERROR(__xludf.DUMMYFUNCTION("IFERROR(if(ISBLANK(BV66),"" "",GOOGLEFINANCE(BU66,""Name"")), """")"),"Amir Chand Jagdish Kumar (Exports) Ltd")</f>
        <v>Amir Chand Jagdish Kumar (Exports) Ltd</v>
      </c>
      <c r="BX66" s="51">
        <f>IFERROR(__xludf.DUMMYFUNCTION("IFERROR(if(ISBLANK(BV66),"" "",GOOGLEFINANCE(BU66,""price"")), """")"),184.5)</f>
        <v>184.5</v>
      </c>
      <c r="BY66" s="22">
        <f>IFERROR(__xludf.DUMMYFUNCTION("IFERROR(if(ISBLANK(BV66),"" "",GOOGLEFINANCE(BU66,""changepct"")), """")"),-0.33)</f>
        <v>-0.33</v>
      </c>
      <c r="BZ66" s="49"/>
      <c r="CA66" s="37"/>
      <c r="CB66" s="27" t="s">
        <v>1402</v>
      </c>
      <c r="CC66" s="31" t="s">
        <v>200</v>
      </c>
      <c r="CD66" s="32" t="str">
        <f>IFERROR(__xludf.DUMMYFUNCTION("IFERROR(if(ISBLANK(CC66),"" "",GOOGLEFINANCE(CB66,""Name"")), """")"),"Media Matrix Worldwide Ltd")</f>
        <v>Media Matrix Worldwide Ltd</v>
      </c>
      <c r="CE66" s="51">
        <f>IFERROR(__xludf.DUMMYFUNCTION("IFERROR(if(ISBLANK(CC66),"" "",GOOGLEFINANCE(CB66,""price"")), """")"),15.5)</f>
        <v>15.5</v>
      </c>
      <c r="CF66" s="22">
        <f>IFERROR(__xludf.DUMMYFUNCTION("IFERROR(if(ISBLANK(CC66),"" "",GOOGLEFINANCE(CB66,""changepct"")), """")"),-2.82)</f>
        <v>-2.82</v>
      </c>
      <c r="CG66" s="12"/>
      <c r="CH66" s="18" t="s">
        <v>1403</v>
      </c>
      <c r="CI66" s="31" t="s">
        <v>200</v>
      </c>
      <c r="CJ66" s="32" t="str">
        <f>IFERROR(__xludf.DUMMYFUNCTION("IFERROR(if(ISBLANK(CI66),"" "",GOOGLEFINANCE(CH66,""Name"")), """")"),"Andhra Paper Ltd")</f>
        <v>Andhra Paper Ltd</v>
      </c>
      <c r="CK66" s="51">
        <f>IFERROR(__xludf.DUMMYFUNCTION("IFERROR(if(ISBLANK(CI66),"" "",GOOGLEFINANCE(CH66,""price"")), """")"),59.4)</f>
        <v>59.4</v>
      </c>
      <c r="CL66" s="22">
        <f>IFERROR(__xludf.DUMMYFUNCTION("IFERROR(if(ISBLANK(CI66),"" "",GOOGLEFINANCE(CH66,""changepct"")), """")"),-1.46)</f>
        <v>-1.46</v>
      </c>
      <c r="CM66" s="12"/>
      <c r="CN66" s="33" t="s">
        <v>1404</v>
      </c>
      <c r="CO66" s="31" t="s">
        <v>200</v>
      </c>
      <c r="CP66" s="32" t="str">
        <f>IFERROR(__xludf.DUMMYFUNCTION("IFERROR(if(ISBLANK(CO66),"" "",GOOGLEFINANCE(CN66,""Name"")), """")"),"Prime Securities Ltd")</f>
        <v>Prime Securities Ltd</v>
      </c>
      <c r="CQ66" s="51">
        <f>IFERROR(__xludf.DUMMYFUNCTION("IFERROR(if(ISBLANK(CO66),"" "",GOOGLEFINANCE(CN66,""price"")), """")"),287.35)</f>
        <v>287.35</v>
      </c>
      <c r="CR66" s="22">
        <f>IFERROR(__xludf.DUMMYFUNCTION("IFERROR(if(ISBLANK(CO66),"" "",GOOGLEFINANCE(CN66,""changepct"")), """")"),-2.74)</f>
        <v>-2.74</v>
      </c>
      <c r="CS66" s="45"/>
      <c r="CT66" s="33" t="s">
        <v>1406</v>
      </c>
      <c r="CU66" s="31" t="s">
        <v>200</v>
      </c>
      <c r="CV66" s="32" t="str">
        <f>IFERROR(__xludf.DUMMYFUNCTION("IFERROR(if(ISBLANK(CU66),"" "",GOOGLEFINANCE(CT66,""Name"")), """")"),"Agarwal Industrial Corporation Ltd")</f>
        <v>Agarwal Industrial Corporation Ltd</v>
      </c>
      <c r="CW66" s="51">
        <f>IFERROR(__xludf.DUMMYFUNCTION("IFERROR(if(ISBLANK(CU66),"" "",GOOGLEFINANCE(CT66,""price"")), """")"),505.5)</f>
        <v>505.5</v>
      </c>
      <c r="CX66" s="22">
        <f>IFERROR(__xludf.DUMMYFUNCTION("IFERROR(if(ISBLANK(CU66),"" "",GOOGLEFINANCE(CT66,""changepct"")), """")"),-1.29)</f>
        <v>-1.29</v>
      </c>
      <c r="CY66" s="17"/>
      <c r="CZ66" s="33" t="s">
        <v>1407</v>
      </c>
      <c r="DA66" s="31" t="s">
        <v>200</v>
      </c>
      <c r="DB66" s="32" t="str">
        <f>IFERROR(__xludf.DUMMYFUNCTION("IFERROR(if(ISBLANK(DA66),"" "",GOOGLEFINANCE(CZ66,""Name"")), """")"),"Black Rose Industries Ltd")</f>
        <v>Black Rose Industries Ltd</v>
      </c>
      <c r="DC66" s="51">
        <f>IFERROR(__xludf.DUMMYFUNCTION("IFERROR(if(ISBLANK(DA66),"" "",GOOGLEFINANCE(CZ66,""price"")), """")"),108.9)</f>
        <v>108.9</v>
      </c>
      <c r="DD66" s="22">
        <f>IFERROR(__xludf.DUMMYFUNCTION("IFERROR(if(ISBLANK(DA66),"" "",GOOGLEFINANCE(CZ66,""changepct"")), """")"),-1.01)</f>
        <v>-1.01</v>
      </c>
      <c r="DE66" s="45"/>
      <c r="DF66" s="12"/>
    </row>
    <row r="67" ht="11.25" customHeight="1">
      <c r="A67" s="62"/>
      <c r="B67" s="18" t="s">
        <v>1408</v>
      </c>
      <c r="C67" s="31" t="s">
        <v>200</v>
      </c>
      <c r="D67" s="32" t="str">
        <f>IFERROR(__xludf.DUMMYFUNCTION("IFERROR(if(ISBLANK(C67),"" "",GOOGLEFINANCE(B67,""Name"")), """")"),"Cummins India Ltd")</f>
        <v>Cummins India Ltd</v>
      </c>
      <c r="E67" s="51">
        <f>IFERROR(__xludf.DUMMYFUNCTION("IFERROR(if(ISBLANK(C67),"" "",GOOGLEFINANCE(B67,""price"")), """")"),5353.0)</f>
        <v>5353</v>
      </c>
      <c r="F67" s="22">
        <f>IFERROR(__xludf.DUMMYFUNCTION("IFERROR(if(ISBLANK(C67),"" "",GOOGLEFINANCE(B67,""changepct"")), """")"),-0.47)</f>
        <v>-0.47</v>
      </c>
      <c r="G67" s="49"/>
      <c r="H67" s="36"/>
      <c r="I67" s="25" t="s">
        <v>1410</v>
      </c>
      <c r="J67" s="31" t="s">
        <v>200</v>
      </c>
      <c r="K67" s="32" t="str">
        <f>IFERROR(__xludf.DUMMYFUNCTION("IFERROR(if(ISBLANK(J67),"" "",GOOGLEFINANCE(I67,""Name"")), """")"),"Alkem Laboratories Ltd")</f>
        <v>Alkem Laboratories Ltd</v>
      </c>
      <c r="L67" s="51">
        <f>IFERROR(__xludf.DUMMYFUNCTION("IFERROR(if(ISBLANK(J67),"" "",GOOGLEFINANCE(I67,""price"")), """")"),5450.5)</f>
        <v>5450.5</v>
      </c>
      <c r="M67" s="22">
        <f>IFERROR(__xludf.DUMMYFUNCTION("IFERROR(if(ISBLANK(J67),"" "",GOOGLEFINANCE(I67,""changepct"")), """")"),-1.39)</f>
        <v>-1.39</v>
      </c>
      <c r="N67" s="49"/>
      <c r="O67" s="37"/>
      <c r="P67" s="27" t="s">
        <v>1411</v>
      </c>
      <c r="Q67" s="31" t="s">
        <v>200</v>
      </c>
      <c r="R67" s="32" t="str">
        <f>IFERROR(__xludf.DUMMYFUNCTION("IFERROR(if(ISBLANK(Q67),"" "",GOOGLEFINANCE(P67,""Name"")), """")"),"Indian Renewable Energy Dev Agency Ltd")</f>
        <v>Indian Renewable Energy Dev Agency Ltd</v>
      </c>
      <c r="S67" s="51">
        <f>IFERROR(__xludf.DUMMYFUNCTION("IFERROR(if(ISBLANK(Q67),"" "",GOOGLEFINANCE(P67,""price"")), """")"),117.8)</f>
        <v>117.8</v>
      </c>
      <c r="T67" s="22">
        <f>IFERROR(__xludf.DUMMYFUNCTION("IFERROR(if(ISBLANK(Q67),"" "",GOOGLEFINANCE(P67,""changepct"")), """")"),-0.76)</f>
        <v>-0.76</v>
      </c>
      <c r="U67" s="12"/>
      <c r="V67" s="18" t="s">
        <v>1412</v>
      </c>
      <c r="W67" s="31" t="s">
        <v>200</v>
      </c>
      <c r="X67" s="32" t="str">
        <f>IFERROR(__xludf.DUMMYFUNCTION("IFERROR(if(ISBLANK(W67),"" "",GOOGLEFINANCE(V67,""Name"")), """")"),"Computer Age Management Services Ltd")</f>
        <v>Computer Age Management Services Ltd</v>
      </c>
      <c r="Y67" s="51">
        <f>IFERROR(__xludf.DUMMYFUNCTION("IFERROR(if(ISBLANK(W67),"" "",GOOGLEFINANCE(V67,""price"")), """")"),775.85)</f>
        <v>775.85</v>
      </c>
      <c r="Z67" s="22">
        <f>IFERROR(__xludf.DUMMYFUNCTION("IFERROR(if(ISBLANK(W67),"" "",GOOGLEFINANCE(V67,""changepct"")), """")"),-1.54)</f>
        <v>-1.54</v>
      </c>
      <c r="AA67" s="12"/>
      <c r="AB67" s="18" t="s">
        <v>1414</v>
      </c>
      <c r="AC67" s="31" t="s">
        <v>200</v>
      </c>
      <c r="AD67" s="32" t="str">
        <f>IFERROR(__xludf.DUMMYFUNCTION("IFERROR(if(ISBLANK(AC67),"" "",GOOGLEFINANCE(AB67,""Name"")), """")"),"Devyani International Ltd")</f>
        <v>Devyani International Ltd</v>
      </c>
      <c r="AE67" s="51">
        <f>IFERROR(__xludf.DUMMYFUNCTION("IFERROR(if(ISBLANK(AC67),"" "",GOOGLEFINANCE(AB67,""price"")), """")"),139.55)</f>
        <v>139.55</v>
      </c>
      <c r="AF67" s="22">
        <f>IFERROR(__xludf.DUMMYFUNCTION("IFERROR(if(ISBLANK(AC67),"" "",GOOGLEFINANCE(AB67,""changepct"")), """")"),-2.27)</f>
        <v>-2.27</v>
      </c>
      <c r="AG67" s="45"/>
      <c r="AH67" s="27" t="s">
        <v>1417</v>
      </c>
      <c r="AI67" s="31" t="s">
        <v>200</v>
      </c>
      <c r="AJ67" s="32" t="str">
        <f>IFERROR(__xludf.DUMMYFUNCTION("IFERROR(if(ISBLANK(AI67),"" "",GOOGLEFINANCE(AH67,""Name"")), """")"),"Bombay Burmah Trading Corporation, Ltd")</f>
        <v>Bombay Burmah Trading Corporation, Ltd</v>
      </c>
      <c r="AK67" s="51">
        <f>IFERROR(__xludf.DUMMYFUNCTION("IFERROR(if(ISBLANK(AI67),"" "",GOOGLEFINANCE(AH67,""price"")), """")"),1485.0)</f>
        <v>1485</v>
      </c>
      <c r="AL67" s="22">
        <f>IFERROR(__xludf.DUMMYFUNCTION("IFERROR(if(ISBLANK(AI67),"" "",GOOGLEFINANCE(AH67,""changepct"")), """")"),-0.36)</f>
        <v>-0.36</v>
      </c>
      <c r="AM67" s="30"/>
      <c r="AN67" s="31" t="s">
        <v>200</v>
      </c>
      <c r="AO67" s="32" t="str">
        <f>IFERROR(__xludf.DUMMYFUNCTION("IFERROR(if(ISBLANK(AN67),"" "",GOOGLEFINANCE(AM67,""Name"")), """")"),"")</f>
        <v/>
      </c>
      <c r="AP67" s="33" t="s">
        <v>1418</v>
      </c>
      <c r="AQ67" s="31" t="s">
        <v>200</v>
      </c>
      <c r="AR67" s="32" t="str">
        <f>IFERROR(__xludf.DUMMYFUNCTION("IFERROR(if(ISBLANK(AQ67),"" "",GOOGLEFINANCE(AP67,""Name"")), """")"),"Gujarat Narmada Vly Frtlzrs &amp; Chmcl Ltd")</f>
        <v>Gujarat Narmada Vly Frtlzrs &amp; Chmcl Ltd</v>
      </c>
      <c r="AS67" s="51">
        <f>IFERROR(__xludf.DUMMYFUNCTION("IFERROR(if(ISBLANK(AQ67),"" "",GOOGLEFINANCE(AP67,""price"")), """")"),550.0)</f>
        <v>550</v>
      </c>
      <c r="AT67" s="22">
        <f>IFERROR(__xludf.DUMMYFUNCTION("IFERROR(if(ISBLANK(AQ67),"" "",GOOGLEFINANCE(AP67,""changepct"")), """")"),0.29)</f>
        <v>0.29</v>
      </c>
      <c r="AU67" s="45"/>
      <c r="AV67" s="34" t="s">
        <v>1419</v>
      </c>
      <c r="AW67" s="31" t="s">
        <v>200</v>
      </c>
      <c r="AX67" s="32" t="str">
        <f>IFERROR(__xludf.DUMMYFUNCTION("IFERROR(if(ISBLANK(AW67),"" "",GOOGLEFINANCE(AV67,""Name"")), """")"),"Optiemus Infracom Ltd")</f>
        <v>Optiemus Infracom Ltd</v>
      </c>
      <c r="AY67" s="51">
        <f>IFERROR(__xludf.DUMMYFUNCTION("IFERROR(if(ISBLANK(AW67),"" "",GOOGLEFINANCE(AV67,""price"")), """")"),560.0)</f>
        <v>560</v>
      </c>
      <c r="AZ67" s="22">
        <f>IFERROR(__xludf.DUMMYFUNCTION("IFERROR(if(ISBLANK(AW67),"" "",GOOGLEFINANCE(AV67,""changepct"")), """")"),2.95)</f>
        <v>2.95</v>
      </c>
      <c r="BA67" s="12"/>
      <c r="BB67" s="33" t="s">
        <v>1420</v>
      </c>
      <c r="BC67" s="31" t="s">
        <v>200</v>
      </c>
      <c r="BD67" s="32" t="str">
        <f>IFERROR(__xludf.DUMMYFUNCTION("IFERROR(if(ISBLANK(BC67),"" "",GOOGLEFINANCE(BB67,""Name"")), """")"),"Midwest Ltd")</f>
        <v>Midwest Ltd</v>
      </c>
      <c r="BE67" s="51">
        <f>IFERROR(__xludf.DUMMYFUNCTION("IFERROR(if(ISBLANK(BC67),"" "",GOOGLEFINANCE(BB67,""price"")), """")"),1120.0)</f>
        <v>1120</v>
      </c>
      <c r="BF67" s="22">
        <f>IFERROR(__xludf.DUMMYFUNCTION("IFERROR(if(ISBLANK(BC67),"" "",GOOGLEFINANCE(BB67,""changepct"")), """")"),-4.61)</f>
        <v>-4.61</v>
      </c>
      <c r="BG67" s="12"/>
      <c r="BH67" s="35" t="s">
        <v>1421</v>
      </c>
      <c r="BI67" s="31" t="s">
        <v>200</v>
      </c>
      <c r="BJ67" s="32" t="str">
        <f>IFERROR(__xludf.DUMMYFUNCTION("IFERROR(if(ISBLANK(BI67),"" "",GOOGLEFINANCE(BH67,""Name"")), """")"),"Kolte-Patil Developers Ltd")</f>
        <v>Kolte-Patil Developers Ltd</v>
      </c>
      <c r="BK67" s="51">
        <f>IFERROR(__xludf.DUMMYFUNCTION("IFERROR(if(ISBLANK(BI67),"" "",GOOGLEFINANCE(BH67,""price"")), """")"),494.9)</f>
        <v>494.9</v>
      </c>
      <c r="BL67" s="22">
        <f>IFERROR(__xludf.DUMMYFUNCTION("IFERROR(if(ISBLANK(BI67),"" "",GOOGLEFINANCE(BH67,""changepct"")), """")"),-4.2)</f>
        <v>-4.2</v>
      </c>
      <c r="BM67" s="12"/>
      <c r="BN67" s="33" t="s">
        <v>1422</v>
      </c>
      <c r="BO67" s="31" t="s">
        <v>200</v>
      </c>
      <c r="BP67" s="32" t="str">
        <f>IFERROR(__xludf.DUMMYFUNCTION("IFERROR(if(ISBLANK(BO67),"" "",GOOGLEFINANCE(BN67,""Name"")), """")"),"India Nippon Electricals Ltd")</f>
        <v>India Nippon Electricals Ltd</v>
      </c>
      <c r="BQ67" s="51">
        <f>IFERROR(__xludf.DUMMYFUNCTION("IFERROR(if(ISBLANK(BO67),"" "",GOOGLEFINANCE(BN67,""price"")), """")"),1170.0)</f>
        <v>1170</v>
      </c>
      <c r="BR67" s="22">
        <f>IFERROR(__xludf.DUMMYFUNCTION("IFERROR(if(ISBLANK(BO67),"" "",GOOGLEFINANCE(BN67,""changepct"")), """")"),3.35)</f>
        <v>3.35</v>
      </c>
      <c r="BS67" s="49"/>
      <c r="BT67" s="36"/>
      <c r="BU67" s="27" t="s">
        <v>1424</v>
      </c>
      <c r="BV67" s="31" t="s">
        <v>200</v>
      </c>
      <c r="BW67" s="32" t="str">
        <f>IFERROR(__xludf.DUMMYFUNCTION("IFERROR(if(ISBLANK(BV67),"" "",GOOGLEFINANCE(BU67,""Name"")), """")"),"Teamlease Services Ltd")</f>
        <v>Teamlease Services Ltd</v>
      </c>
      <c r="BX67" s="51">
        <f>IFERROR(__xludf.DUMMYFUNCTION("IFERROR(if(ISBLANK(BV67),"" "",GOOGLEFINANCE(BU67,""price"")), """")"),1250.0)</f>
        <v>1250</v>
      </c>
      <c r="BY67" s="22">
        <f>IFERROR(__xludf.DUMMYFUNCTION("IFERROR(if(ISBLANK(BV67),"" "",GOOGLEFINANCE(BU67,""changepct"")), """")"),0.27)</f>
        <v>0.27</v>
      </c>
      <c r="BZ67" s="49"/>
      <c r="CA67" s="37"/>
      <c r="CB67" s="27" t="s">
        <v>1425</v>
      </c>
      <c r="CC67" s="31" t="s">
        <v>200</v>
      </c>
      <c r="CD67" s="32" t="str">
        <f>IFERROR(__xludf.DUMMYFUNCTION("IFERROR(if(ISBLANK(CC67),"" "",GOOGLEFINANCE(CB67,""Name"")), """")"),"Paushak Ltd")</f>
        <v>Paushak Ltd</v>
      </c>
      <c r="CE67" s="51">
        <f>IFERROR(__xludf.DUMMYFUNCTION("IFERROR(if(ISBLANK(CC67),"" "",GOOGLEFINANCE(CB67,""price"")), """")"),713.0)</f>
        <v>713</v>
      </c>
      <c r="CF67" s="22">
        <f>IFERROR(__xludf.DUMMYFUNCTION("IFERROR(if(ISBLANK(CC67),"" "",GOOGLEFINANCE(CB67,""changepct"")), """")"),3.47)</f>
        <v>3.47</v>
      </c>
      <c r="CG67" s="12"/>
      <c r="CH67" s="18" t="s">
        <v>1426</v>
      </c>
      <c r="CI67" s="31" t="s">
        <v>200</v>
      </c>
      <c r="CJ67" s="32" t="str">
        <f>IFERROR(__xludf.DUMMYFUNCTION("IFERROR(if(ISBLANK(CI67),"" "",GOOGLEFINANCE(CH67,""Name"")), """")"),"Antony Waste Handling Cell Ltd")</f>
        <v>Antony Waste Handling Cell Ltd</v>
      </c>
      <c r="CK67" s="51">
        <f>IFERROR(__xludf.DUMMYFUNCTION("IFERROR(if(ISBLANK(CI67),"" "",GOOGLEFINANCE(CH67,""price"")), """")"),391.0)</f>
        <v>391</v>
      </c>
      <c r="CL67" s="22">
        <f>IFERROR(__xludf.DUMMYFUNCTION("IFERROR(if(ISBLANK(CI67),"" "",GOOGLEFINANCE(CH67,""changepct"")), """")"),0.42)</f>
        <v>0.42</v>
      </c>
      <c r="CM67" s="12"/>
      <c r="CN67" s="33" t="s">
        <v>1427</v>
      </c>
      <c r="CO67" s="31" t="s">
        <v>200</v>
      </c>
      <c r="CP67" s="32" t="str">
        <f>IFERROR(__xludf.DUMMYFUNCTION("IFERROR(if(ISBLANK(CO67),"" "",GOOGLEFINANCE(CN67,""Name"")), """")"),"Synergy Green Industries Ltd")</f>
        <v>Synergy Green Industries Ltd</v>
      </c>
      <c r="CQ67" s="51">
        <f>IFERROR(__xludf.DUMMYFUNCTION("IFERROR(if(ISBLANK(CO67),"" "",GOOGLEFINANCE(CN67,""price"")), """")"),600.0)</f>
        <v>600</v>
      </c>
      <c r="CR67" s="22">
        <f>IFERROR(__xludf.DUMMYFUNCTION("IFERROR(if(ISBLANK(CO67),"" "",GOOGLEFINANCE(CN67,""changepct"")), """")"),-1.41)</f>
        <v>-1.41</v>
      </c>
      <c r="CS67" s="45"/>
      <c r="CT67" s="33" t="s">
        <v>1428</v>
      </c>
      <c r="CU67" s="31" t="s">
        <v>200</v>
      </c>
      <c r="CV67" s="32" t="str">
        <f>IFERROR(__xludf.DUMMYFUNCTION("IFERROR(if(ISBLANK(CU67),"" "",GOOGLEFINANCE(CT67,""Name"")), """")"),"MMP Industries Ltd")</f>
        <v>MMP Industries Ltd</v>
      </c>
      <c r="CW67" s="51">
        <f>IFERROR(__xludf.DUMMYFUNCTION("IFERROR(if(ISBLANK(CU67),"" "",GOOGLEFINANCE(CT67,""price"")), """")"),346.5)</f>
        <v>346.5</v>
      </c>
      <c r="CX67" s="22">
        <f>IFERROR(__xludf.DUMMYFUNCTION("IFERROR(if(ISBLANK(CU67),"" "",GOOGLEFINANCE(CT67,""changepct"")), """")"),2.47)</f>
        <v>2.47</v>
      </c>
      <c r="CY67" s="17"/>
      <c r="CZ67" s="33" t="s">
        <v>1429</v>
      </c>
      <c r="DA67" s="31" t="s">
        <v>200</v>
      </c>
      <c r="DB67" s="32" t="str">
        <f>IFERROR(__xludf.DUMMYFUNCTION("IFERROR(if(ISBLANK(DA67),"" "",GOOGLEFINANCE(CZ67,""Name"")), """")"),"Nile Ltd")</f>
        <v>Nile Ltd</v>
      </c>
      <c r="DC67" s="51">
        <f>IFERROR(__xludf.DUMMYFUNCTION("IFERROR(if(ISBLANK(DA67),"" "",GOOGLEFINANCE(CZ67,""price"")), """")"),1599.9)</f>
        <v>1599.9</v>
      </c>
      <c r="DD67" s="22">
        <f>IFERROR(__xludf.DUMMYFUNCTION("IFERROR(if(ISBLANK(DA67),"" "",GOOGLEFINANCE(CZ67,""changepct"")), """")"),5.56)</f>
        <v>5.56</v>
      </c>
      <c r="DE67" s="45"/>
      <c r="DF67" s="12"/>
    </row>
    <row r="68" ht="11.25" customHeight="1">
      <c r="A68" s="62"/>
      <c r="B68" s="18" t="s">
        <v>1431</v>
      </c>
      <c r="C68" s="31" t="s">
        <v>200</v>
      </c>
      <c r="D68" s="32" t="str">
        <f>IFERROR(__xludf.DUMMYFUNCTION("IFERROR(if(ISBLANK(C68),"" "",GOOGLEFINANCE(B68,""Name"")), """")"),"Varun Beverages Ltd")</f>
        <v>Varun Beverages Ltd</v>
      </c>
      <c r="E68" s="51">
        <f>IFERROR(__xludf.DUMMYFUNCTION("IFERROR(if(ISBLANK(C68),"" "",GOOGLEFINANCE(B68,""price"")), """")"),438.7)</f>
        <v>438.7</v>
      </c>
      <c r="F68" s="22">
        <f>IFERROR(__xludf.DUMMYFUNCTION("IFERROR(if(ISBLANK(C68),"" "",GOOGLEFINANCE(B68,""changepct"")), """")"),0.39)</f>
        <v>0.39</v>
      </c>
      <c r="G68" s="49"/>
      <c r="H68" s="36"/>
      <c r="I68" s="25" t="s">
        <v>1432</v>
      </c>
      <c r="J68" s="31" t="s">
        <v>200</v>
      </c>
      <c r="K68" s="32" t="str">
        <f>IFERROR(__xludf.DUMMYFUNCTION("IFERROR(if(ISBLANK(J68),"" "",GOOGLEFINANCE(I68,""Name"")), """")"),"Multi Commodity Exchange Of India Ltd")</f>
        <v>Multi Commodity Exchange Of India Ltd</v>
      </c>
      <c r="L68" s="51">
        <f>IFERROR(__xludf.DUMMYFUNCTION("IFERROR(if(ISBLANK(J68),"" "",GOOGLEFINANCE(I68,""price"")), """")"),2971.0)</f>
        <v>2971</v>
      </c>
      <c r="M68" s="22">
        <f>IFERROR(__xludf.DUMMYFUNCTION("IFERROR(if(ISBLANK(J68),"" "",GOOGLEFINANCE(I68,""changepct"")), """")"),2.63)</f>
        <v>2.63</v>
      </c>
      <c r="N68" s="49"/>
      <c r="O68" s="37"/>
      <c r="P68" s="27" t="s">
        <v>1433</v>
      </c>
      <c r="Q68" s="31" t="s">
        <v>200</v>
      </c>
      <c r="R68" s="32" t="str">
        <f>IFERROR(__xludf.DUMMYFUNCTION("IFERROR(if(ISBLANK(Q68),"" "",GOOGLEFINANCE(P68,""Name"")), """")"),"Godfrey Phillips India Ltd")</f>
        <v>Godfrey Phillips India Ltd</v>
      </c>
      <c r="S68" s="51">
        <f>IFERROR(__xludf.DUMMYFUNCTION("IFERROR(if(ISBLANK(Q68),"" "",GOOGLEFINANCE(P68,""price"")), """")"),2196.5)</f>
        <v>2196.5</v>
      </c>
      <c r="T68" s="22">
        <f>IFERROR(__xludf.DUMMYFUNCTION("IFERROR(if(ISBLANK(Q68),"" "",GOOGLEFINANCE(P68,""changepct"")), """")"),-1.28)</f>
        <v>-1.28</v>
      </c>
      <c r="U68" s="12"/>
      <c r="V68" s="18" t="s">
        <v>1434</v>
      </c>
      <c r="W68" s="31" t="s">
        <v>200</v>
      </c>
      <c r="X68" s="32" t="str">
        <f>IFERROR(__xludf.DUMMYFUNCTION("IFERROR(if(ISBLANK(W68),"" "",GOOGLEFINANCE(V68,""Name"")), """")"),"Hatsun Agro Product Ltd")</f>
        <v>Hatsun Agro Product Ltd</v>
      </c>
      <c r="Y68" s="51">
        <f>IFERROR(__xludf.DUMMYFUNCTION("IFERROR(if(ISBLANK(W68),"" "",GOOGLEFINANCE(V68,""price"")), """")"),950.0)</f>
        <v>950</v>
      </c>
      <c r="Z68" s="22">
        <f>IFERROR(__xludf.DUMMYFUNCTION("IFERROR(if(ISBLANK(W68),"" "",GOOGLEFINANCE(V68,""changepct"")), """")"),0.8)</f>
        <v>0.8</v>
      </c>
      <c r="AA68" s="12"/>
      <c r="AB68" s="18" t="s">
        <v>1435</v>
      </c>
      <c r="AC68" s="31" t="s">
        <v>200</v>
      </c>
      <c r="AD68" s="32" t="str">
        <f>IFERROR(__xludf.DUMMYFUNCTION("IFERROR(if(ISBLANK(AC68),"" "",GOOGLEFINANCE(AB68,""Name"")), """")"),"Amagi Media Labs Ltd")</f>
        <v>Amagi Media Labs Ltd</v>
      </c>
      <c r="AE68" s="51">
        <f>IFERROR(__xludf.DUMMYFUNCTION("IFERROR(if(ISBLANK(AC68),"" "",GOOGLEFINANCE(AB68,""price"")), """")"),639.1)</f>
        <v>639.1</v>
      </c>
      <c r="AF68" s="22">
        <f>IFERROR(__xludf.DUMMYFUNCTION("IFERROR(if(ISBLANK(AC68),"" "",GOOGLEFINANCE(AB68,""changepct"")), """")"),-3.09)</f>
        <v>-3.09</v>
      </c>
      <c r="AG68" s="45"/>
      <c r="AH68" s="27" t="s">
        <v>1437</v>
      </c>
      <c r="AI68" s="31" t="s">
        <v>200</v>
      </c>
      <c r="AJ68" s="32" t="str">
        <f>IFERROR(__xludf.DUMMYFUNCTION("IFERROR(if(ISBLANK(AI68),"" "",GOOGLEFINANCE(AH68,""Name"")), """")"),"Ask Automotive Ltd")</f>
        <v>Ask Automotive Ltd</v>
      </c>
      <c r="AK68" s="51">
        <f>IFERROR(__xludf.DUMMYFUNCTION("IFERROR(if(ISBLANK(AI68),"" "",GOOGLEFINANCE(AH68,""price"")), """")"),652.0)</f>
        <v>652</v>
      </c>
      <c r="AL68" s="22">
        <f>IFERROR(__xludf.DUMMYFUNCTION("IFERROR(if(ISBLANK(AI68),"" "",GOOGLEFINANCE(AH68,""changepct"")), """")"),-0.34)</f>
        <v>-0.34</v>
      </c>
      <c r="AM68" s="30"/>
      <c r="AN68" s="31" t="s">
        <v>200</v>
      </c>
      <c r="AO68" s="32" t="str">
        <f>IFERROR(__xludf.DUMMYFUNCTION("IFERROR(if(ISBLANK(AN68),"" "",GOOGLEFINANCE(AM68,""Name"")), """")"),"")</f>
        <v/>
      </c>
      <c r="AP68" s="33" t="s">
        <v>1438</v>
      </c>
      <c r="AQ68" s="31" t="s">
        <v>200</v>
      </c>
      <c r="AR68" s="32" t="str">
        <f>IFERROR(__xludf.DUMMYFUNCTION("IFERROR(if(ISBLANK(AQ68),"" "",GOOGLEFINANCE(AP68,""Name"")), """")"),"Elantas Beck India Ltd")</f>
        <v>Elantas Beck India Ltd</v>
      </c>
      <c r="AS68" s="51">
        <f>IFERROR(__xludf.DUMMYFUNCTION("IFERROR(if(ISBLANK(AQ68),"" "",GOOGLEFINANCE(AP68,""price"")), """")"),11401.0)</f>
        <v>11401</v>
      </c>
      <c r="AT68" s="22">
        <f>IFERROR(__xludf.DUMMYFUNCTION("IFERROR(if(ISBLANK(AQ68),"" "",GOOGLEFINANCE(AP68,""changepct"")), """")"),-2.2)</f>
        <v>-2.2</v>
      </c>
      <c r="AU68" s="45"/>
      <c r="AV68" s="34" t="s">
        <v>1439</v>
      </c>
      <c r="AW68" s="31" t="s">
        <v>200</v>
      </c>
      <c r="AX68" s="32" t="str">
        <f>IFERROR(__xludf.DUMMYFUNCTION("IFERROR(if(ISBLANK(AW68),"" "",GOOGLEFINANCE(AV68,""Name"")), """")"),"KSH International Ltd")</f>
        <v>KSH International Ltd</v>
      </c>
      <c r="AY68" s="51">
        <f>IFERROR(__xludf.DUMMYFUNCTION("IFERROR(if(ISBLANK(AW68),"" "",GOOGLEFINANCE(AV68,""price"")), """")"),1000.0)</f>
        <v>1000</v>
      </c>
      <c r="AZ68" s="22">
        <f>IFERROR(__xludf.DUMMYFUNCTION("IFERROR(if(ISBLANK(AW68),"" "",GOOGLEFINANCE(AV68,""changepct"")), """")"),1.12)</f>
        <v>1.12</v>
      </c>
      <c r="BA68" s="12"/>
      <c r="BB68" s="33" t="s">
        <v>1440</v>
      </c>
      <c r="BC68" s="31" t="s">
        <v>200</v>
      </c>
      <c r="BD68" s="32" t="str">
        <f>IFERROR(__xludf.DUMMYFUNCTION("IFERROR(if(ISBLANK(BC68),"" "",GOOGLEFINANCE(BB68,""Name"")), """")"),"Shivalik Bimetal Controls Ltd")</f>
        <v>Shivalik Bimetal Controls Ltd</v>
      </c>
      <c r="BE68" s="51">
        <f>IFERROR(__xludf.DUMMYFUNCTION("IFERROR(if(ISBLANK(BC68),"" "",GOOGLEFINANCE(BB68,""price"")), """")"),1027.05)</f>
        <v>1027.05</v>
      </c>
      <c r="BF68" s="22">
        <f>IFERROR(__xludf.DUMMYFUNCTION("IFERROR(if(ISBLANK(BC68),"" "",GOOGLEFINANCE(BB68,""changepct"")), """")"),-1.17)</f>
        <v>-1.17</v>
      </c>
      <c r="BG68" s="12"/>
      <c r="BH68" s="35" t="s">
        <v>1441</v>
      </c>
      <c r="BI68" s="31" t="s">
        <v>200</v>
      </c>
      <c r="BJ68" s="32" t="str">
        <f>IFERROR(__xludf.DUMMYFUNCTION("IFERROR(if(ISBLANK(BI68),"" "",GOOGLEFINANCE(BH68,""Name"")), """")"),"Crizac Ltd")</f>
        <v>Crizac Ltd</v>
      </c>
      <c r="BK68" s="51">
        <f>IFERROR(__xludf.DUMMYFUNCTION("IFERROR(if(ISBLANK(BI68),"" "",GOOGLEFINANCE(BH68,""price"")), """")"),181.05)</f>
        <v>181.05</v>
      </c>
      <c r="BL68" s="22">
        <f>IFERROR(__xludf.DUMMYFUNCTION("IFERROR(if(ISBLANK(BI68),"" "",GOOGLEFINANCE(BH68,""changepct"")), """")"),-2.31)</f>
        <v>-2.31</v>
      </c>
      <c r="BM68" s="12"/>
      <c r="BN68" s="33" t="s">
        <v>1443</v>
      </c>
      <c r="BO68" s="31" t="s">
        <v>200</v>
      </c>
      <c r="BP68" s="32" t="str">
        <f>IFERROR(__xludf.DUMMYFUNCTION("IFERROR(if(ISBLANK(BO68),"" "",GOOGLEFINANCE(BN68,""Name"")), """")"),"Confidence Petroleum India Ltd")</f>
        <v>Confidence Petroleum India Ltd</v>
      </c>
      <c r="BQ68" s="51">
        <f>IFERROR(__xludf.DUMMYFUNCTION("IFERROR(if(ISBLANK(BO68),"" "",GOOGLEFINANCE(BN68,""price"")), """")"),73.1)</f>
        <v>73.1</v>
      </c>
      <c r="BR68" s="22">
        <f>IFERROR(__xludf.DUMMYFUNCTION("IFERROR(if(ISBLANK(BO68),"" "",GOOGLEFINANCE(BN68,""changepct"")), """")"),-6.78)</f>
        <v>-6.78</v>
      </c>
      <c r="BS68" s="49"/>
      <c r="BT68" s="36"/>
      <c r="BU68" s="27" t="s">
        <v>1444</v>
      </c>
      <c r="BV68" s="31" t="s">
        <v>200</v>
      </c>
      <c r="BW68" s="32" t="str">
        <f>IFERROR(__xludf.DUMMYFUNCTION("IFERROR(if(ISBLANK(BV68),"" "",GOOGLEFINANCE(BU68,""Name"")), """")"),"Kilburn Engineering Ltd")</f>
        <v>Kilburn Engineering Ltd</v>
      </c>
      <c r="BX68" s="51">
        <f>IFERROR(__xludf.DUMMYFUNCTION("IFERROR(if(ISBLANK(BV68),"" "",GOOGLEFINANCE(BU68,""price"")), """")"),361.9)</f>
        <v>361.9</v>
      </c>
      <c r="BY68" s="22">
        <f>IFERROR(__xludf.DUMMYFUNCTION("IFERROR(if(ISBLANK(BV68),"" "",GOOGLEFINANCE(BU68,""changepct"")), """")"),0.5)</f>
        <v>0.5</v>
      </c>
      <c r="BZ68" s="49"/>
      <c r="CA68" s="37"/>
      <c r="CB68" s="27" t="s">
        <v>1445</v>
      </c>
      <c r="CC68" s="31" t="s">
        <v>200</v>
      </c>
      <c r="CD68" s="32" t="str">
        <f>IFERROR(__xludf.DUMMYFUNCTION("IFERROR(if(ISBLANK(CC68),"" "",GOOGLEFINANCE(CB68,""Name"")), """")"),"Sumeet Industries Ltd")</f>
        <v>Sumeet Industries Ltd</v>
      </c>
      <c r="CE68" s="51">
        <f>IFERROR(__xludf.DUMMYFUNCTION("IFERROR(if(ISBLANK(CC68),"" "",GOOGLEFINANCE(CB68,""price"")), """")"),14.82)</f>
        <v>14.82</v>
      </c>
      <c r="CF68" s="22">
        <f>IFERROR(__xludf.DUMMYFUNCTION("IFERROR(if(ISBLANK(CC68),"" "",GOOGLEFINANCE(CB68,""changepct"")), """")"),-5.0)</f>
        <v>-5</v>
      </c>
      <c r="CG68" s="12"/>
      <c r="CH68" s="18" t="s">
        <v>1446</v>
      </c>
      <c r="CI68" s="31" t="s">
        <v>200</v>
      </c>
      <c r="CJ68" s="32" t="str">
        <f>IFERROR(__xludf.DUMMYFUNCTION("IFERROR(if(ISBLANK(CI68),"" "",GOOGLEFINANCE(CH68,""Name"")), """")"),"Hariom Pipe Industries Ltd")</f>
        <v>Hariom Pipe Industries Ltd</v>
      </c>
      <c r="CK68" s="51">
        <f>IFERROR(__xludf.DUMMYFUNCTION("IFERROR(if(ISBLANK(CI68),"" "",GOOGLEFINANCE(CH68,""price"")), """")"),395.0)</f>
        <v>395</v>
      </c>
      <c r="CL68" s="22">
        <f>IFERROR(__xludf.DUMMYFUNCTION("IFERROR(if(ISBLANK(CI68),"" "",GOOGLEFINANCE(CH68,""changepct"")), """")"),0.6)</f>
        <v>0.6</v>
      </c>
      <c r="CM68" s="12"/>
      <c r="CN68" s="33" t="s">
        <v>1447</v>
      </c>
      <c r="CO68" s="31" t="s">
        <v>200</v>
      </c>
      <c r="CP68" s="32" t="str">
        <f>IFERROR(__xludf.DUMMYFUNCTION("IFERROR(if(ISBLANK(CO68),"" "",GOOGLEFINANCE(CN68,""Name"")), """")"),"Suraj Estate Developers Ltd")</f>
        <v>Suraj Estate Developers Ltd</v>
      </c>
      <c r="CQ68" s="51">
        <f>IFERROR(__xludf.DUMMYFUNCTION("IFERROR(if(ISBLANK(CO68),"" "",GOOGLEFINANCE(CN68,""price"")), """")"),209.2)</f>
        <v>209.2</v>
      </c>
      <c r="CR68" s="22">
        <f>IFERROR(__xludf.DUMMYFUNCTION("IFERROR(if(ISBLANK(CO68),"" "",GOOGLEFINANCE(CN68,""changepct"")), """")"),0.2)</f>
        <v>0.2</v>
      </c>
      <c r="CS68" s="45"/>
      <c r="CT68" s="33" t="s">
        <v>1448</v>
      </c>
      <c r="CU68" s="31" t="s">
        <v>200</v>
      </c>
      <c r="CV68" s="32" t="str">
        <f>IFERROR(__xludf.DUMMYFUNCTION("IFERROR(if(ISBLANK(CU68),"" "",GOOGLEFINANCE(CT68,""Name"")), """")"),"Sandesh Ltd")</f>
        <v>Sandesh Ltd</v>
      </c>
      <c r="CW68" s="51">
        <f>IFERROR(__xludf.DUMMYFUNCTION("IFERROR(if(ISBLANK(CU68),"" "",GOOGLEFINANCE(CT68,""price"")), """")"),1082.0)</f>
        <v>1082</v>
      </c>
      <c r="CX68" s="22">
        <f>IFERROR(__xludf.DUMMYFUNCTION("IFERROR(if(ISBLANK(CU68),"" "",GOOGLEFINANCE(CT68,""changepct"")), """")"),-0.3)</f>
        <v>-0.3</v>
      </c>
      <c r="CY68" s="17"/>
      <c r="CZ68" s="33" t="s">
        <v>1450</v>
      </c>
      <c r="DA68" s="31" t="s">
        <v>200</v>
      </c>
      <c r="DB68" s="32" t="str">
        <f>IFERROR(__xludf.DUMMYFUNCTION("IFERROR(if(ISBLANK(DA68),"" "",GOOGLEFINANCE(CZ68,""Name"")), """")"),"Kronox Lab Sciences Ltd")</f>
        <v>Kronox Lab Sciences Ltd</v>
      </c>
      <c r="DC68" s="51">
        <f>IFERROR(__xludf.DUMMYFUNCTION("IFERROR(if(ISBLANK(DA68),"" "",GOOGLEFINANCE(CZ68,""price"")), """")"),173.35)</f>
        <v>173.35</v>
      </c>
      <c r="DD68" s="22">
        <f>IFERROR(__xludf.DUMMYFUNCTION("IFERROR(if(ISBLANK(DA68),"" "",GOOGLEFINANCE(CZ68,""changepct"")), """")"),3.72)</f>
        <v>3.72</v>
      </c>
      <c r="DE68" s="45"/>
      <c r="DF68" s="12"/>
    </row>
    <row r="69" ht="11.25" customHeight="1">
      <c r="A69" s="62"/>
      <c r="B69" s="18" t="s">
        <v>1451</v>
      </c>
      <c r="C69" s="31" t="s">
        <v>200</v>
      </c>
      <c r="D69" s="32" t="str">
        <f>IFERROR(__xludf.DUMMYFUNCTION("IFERROR(if(ISBLANK(C69),"" "",GOOGLEFINANCE(B69,""Name"")), """")"),"BSE Ltd")</f>
        <v>BSE Ltd</v>
      </c>
      <c r="E69" s="51">
        <f>IFERROR(__xludf.DUMMYFUNCTION("IFERROR(if(ISBLANK(C69),"" "",GOOGLEFINANCE(B69,""price"")), """")"),3527.0)</f>
        <v>3527</v>
      </c>
      <c r="F69" s="22">
        <f>IFERROR(__xludf.DUMMYFUNCTION("IFERROR(if(ISBLANK(C69),"" "",GOOGLEFINANCE(B69,""changepct"")), """")"),-2.16)</f>
        <v>-2.16</v>
      </c>
      <c r="G69" s="49"/>
      <c r="H69" s="36"/>
      <c r="I69" s="25" t="s">
        <v>1452</v>
      </c>
      <c r="J69" s="31" t="s">
        <v>200</v>
      </c>
      <c r="K69" s="32" t="str">
        <f>IFERROR(__xludf.DUMMYFUNCTION("IFERROR(if(ISBLANK(J69),"" "",GOOGLEFINANCE(I69,""Name"")), """")"),"UNO Minda Ltd")</f>
        <v>UNO Minda Ltd</v>
      </c>
      <c r="L69" s="51">
        <f>IFERROR(__xludf.DUMMYFUNCTION("IFERROR(if(ISBLANK(J69),"" "",GOOGLEFINANCE(I69,""price"")), """")"),1238.0)</f>
        <v>1238</v>
      </c>
      <c r="M69" s="22">
        <f>IFERROR(__xludf.DUMMYFUNCTION("IFERROR(if(ISBLANK(J69),"" "",GOOGLEFINANCE(I69,""changepct"")), """")"),-2.9)</f>
        <v>-2.9</v>
      </c>
      <c r="N69" s="49"/>
      <c r="O69" s="37"/>
      <c r="P69" s="27" t="s">
        <v>1453</v>
      </c>
      <c r="Q69" s="31" t="s">
        <v>200</v>
      </c>
      <c r="R69" s="32" t="str">
        <f>IFERROR(__xludf.DUMMYFUNCTION("IFERROR(if(ISBLANK(Q69),"" "",GOOGLEFINANCE(P69,""Name"")), """")"),"Karur Vysya Bank Ltd")</f>
        <v>Karur Vysya Bank Ltd</v>
      </c>
      <c r="S69" s="51">
        <f>IFERROR(__xludf.DUMMYFUNCTION("IFERROR(if(ISBLANK(Q69),"" "",GOOGLEFINANCE(P69,""price"")), """")"),339.7)</f>
        <v>339.7</v>
      </c>
      <c r="T69" s="22">
        <f>IFERROR(__xludf.DUMMYFUNCTION("IFERROR(if(ISBLANK(Q69),"" "",GOOGLEFINANCE(P69,""changepct"")), """")"),1.65)</f>
        <v>1.65</v>
      </c>
      <c r="U69" s="12"/>
      <c r="V69" s="18" t="s">
        <v>1454</v>
      </c>
      <c r="W69" s="31" t="s">
        <v>200</v>
      </c>
      <c r="X69" s="32" t="str">
        <f>IFERROR(__xludf.DUMMYFUNCTION("IFERROR(if(ISBLANK(W69),"" "",GOOGLEFINANCE(V69,""Name"")), """")"),"Deepak Frtlsrs and Ptrchmcls Corp Ltd")</f>
        <v>Deepak Frtlsrs and Ptrchmcls Corp Ltd</v>
      </c>
      <c r="Y69" s="51">
        <f>IFERROR(__xludf.DUMMYFUNCTION("IFERROR(if(ISBLANK(W69),"" "",GOOGLEFINANCE(V69,""price"")), """")"),1452.5)</f>
        <v>1452.5</v>
      </c>
      <c r="Z69" s="22">
        <f>IFERROR(__xludf.DUMMYFUNCTION("IFERROR(if(ISBLANK(W69),"" "",GOOGLEFINANCE(V69,""changepct"")), """")"),-3.04)</f>
        <v>-3.04</v>
      </c>
      <c r="AA69" s="12"/>
      <c r="AB69" s="18" t="s">
        <v>1455</v>
      </c>
      <c r="AC69" s="31" t="s">
        <v>200</v>
      </c>
      <c r="AD69" s="32" t="str">
        <f>IFERROR(__xludf.DUMMYFUNCTION("IFERROR(if(ISBLANK(AC69),"" "",GOOGLEFINANCE(AB69,""Name"")), """")"),"Shaily Engineering Plastics Ltd")</f>
        <v>Shaily Engineering Plastics Ltd</v>
      </c>
      <c r="AE69" s="51">
        <f>IFERROR(__xludf.DUMMYFUNCTION("IFERROR(if(ISBLANK(AC69),"" "",GOOGLEFINANCE(AB69,""price"")), """")"),3450.0)</f>
        <v>3450</v>
      </c>
      <c r="AF69" s="22">
        <f>IFERROR(__xludf.DUMMYFUNCTION("IFERROR(if(ISBLANK(AC69),"" "",GOOGLEFINANCE(AB69,""changepct"")), """")"),-0.23)</f>
        <v>-0.23</v>
      </c>
      <c r="AG69" s="45"/>
      <c r="AH69" s="27" t="s">
        <v>1457</v>
      </c>
      <c r="AI69" s="31" t="s">
        <v>200</v>
      </c>
      <c r="AJ69" s="32" t="str">
        <f>IFERROR(__xludf.DUMMYFUNCTION("IFERROR(if(ISBLANK(AI69),"" "",GOOGLEFINANCE(AH69,""Name"")), """")"),"Varroc Engineering Ltd")</f>
        <v>Varroc Engineering Ltd</v>
      </c>
      <c r="AK69" s="51">
        <f>IFERROR(__xludf.DUMMYFUNCTION("IFERROR(if(ISBLANK(AI69),"" "",GOOGLEFINANCE(AH69,""price"")), """")"),831.65)</f>
        <v>831.65</v>
      </c>
      <c r="AL69" s="22">
        <f>IFERROR(__xludf.DUMMYFUNCTION("IFERROR(if(ISBLANK(AI69),"" "",GOOGLEFINANCE(AH69,""changepct"")), """")"),-1.25)</f>
        <v>-1.25</v>
      </c>
      <c r="AM69" s="30"/>
      <c r="AN69" s="31" t="s">
        <v>200</v>
      </c>
      <c r="AO69" s="32" t="str">
        <f>IFERROR(__xludf.DUMMYFUNCTION("IFERROR(if(ISBLANK(AN69),"" "",GOOGLEFINANCE(AM69,""Name"")), """")"),"")</f>
        <v/>
      </c>
      <c r="AP69" s="33" t="s">
        <v>1458</v>
      </c>
      <c r="AQ69" s="31" t="s">
        <v>200</v>
      </c>
      <c r="AR69" s="32" t="str">
        <f>IFERROR(__xludf.DUMMYFUNCTION("IFERROR(if(ISBLANK(AQ69),"" "",GOOGLEFINANCE(AP69,""Name"")), """")"),"Mishra Dhatu Nigam Ltd")</f>
        <v>Mishra Dhatu Nigam Ltd</v>
      </c>
      <c r="AS69" s="51">
        <f>IFERROR(__xludf.DUMMYFUNCTION("IFERROR(if(ISBLANK(AQ69),"" "",GOOGLEFINANCE(AP69,""price"")), """")"),403.7)</f>
        <v>403.7</v>
      </c>
      <c r="AT69" s="22">
        <f>IFERROR(__xludf.DUMMYFUNCTION("IFERROR(if(ISBLANK(AQ69),"" "",GOOGLEFINANCE(AP69,""changepct"")), """")"),-5.62)</f>
        <v>-5.62</v>
      </c>
      <c r="AU69" s="45"/>
      <c r="AV69" s="34" t="s">
        <v>1459</v>
      </c>
      <c r="AW69" s="31" t="s">
        <v>200</v>
      </c>
      <c r="AX69" s="32" t="str">
        <f>IFERROR(__xludf.DUMMYFUNCTION("IFERROR(if(ISBLANK(AW69),"" "",GOOGLEFINANCE(AV69,""Name"")), """")"),"Goldiam International Ltd")</f>
        <v>Goldiam International Ltd</v>
      </c>
      <c r="AY69" s="51">
        <f>IFERROR(__xludf.DUMMYFUNCTION("IFERROR(if(ISBLANK(AW69),"" "",GOOGLEFINANCE(AV69,""price"")), """")"),372.3)</f>
        <v>372.3</v>
      </c>
      <c r="AZ69" s="22">
        <f>IFERROR(__xludf.DUMMYFUNCTION("IFERROR(if(ISBLANK(AW69),"" "",GOOGLEFINANCE(AV69,""changepct"")), """")"),-3.06)</f>
        <v>-3.06</v>
      </c>
      <c r="BA69" s="12"/>
      <c r="BB69" s="33" t="s">
        <v>1460</v>
      </c>
      <c r="BC69" s="31" t="s">
        <v>200</v>
      </c>
      <c r="BD69" s="32" t="str">
        <f>IFERROR(__xludf.DUMMYFUNCTION("IFERROR(if(ISBLANK(BC69),"" "",GOOGLEFINANCE(BB69,""Name"")), """")"),"Avantel Ltd")</f>
        <v>Avantel Ltd</v>
      </c>
      <c r="BE69" s="51">
        <f>IFERROR(__xludf.DUMMYFUNCTION("IFERROR(if(ISBLANK(BC69),"" "",GOOGLEFINANCE(BB69,""price"")), """")"),158.55)</f>
        <v>158.55</v>
      </c>
      <c r="BF69" s="22">
        <f>IFERROR(__xludf.DUMMYFUNCTION("IFERROR(if(ISBLANK(BC69),"" "",GOOGLEFINANCE(BB69,""changepct"")), """")"),-1.07)</f>
        <v>-1.07</v>
      </c>
      <c r="BG69" s="12"/>
      <c r="BH69" s="35" t="s">
        <v>1461</v>
      </c>
      <c r="BI69" s="31" t="s">
        <v>200</v>
      </c>
      <c r="BJ69" s="32" t="str">
        <f>IFERROR(__xludf.DUMMYFUNCTION("IFERROR(if(ISBLANK(BI69),"" "",GOOGLEFINANCE(BH69,""Name"")), """")"),"Route Mobile Ltd")</f>
        <v>Route Mobile Ltd</v>
      </c>
      <c r="BK69" s="51">
        <f>IFERROR(__xludf.DUMMYFUNCTION("IFERROR(if(ISBLANK(BI69),"" "",GOOGLEFINANCE(BH69,""price"")), """")"),517.0)</f>
        <v>517</v>
      </c>
      <c r="BL69" s="22">
        <f>IFERROR(__xludf.DUMMYFUNCTION("IFERROR(if(ISBLANK(BI69),"" "",GOOGLEFINANCE(BH69,""changepct"")), """")"),-2.47)</f>
        <v>-2.47</v>
      </c>
      <c r="BM69" s="12"/>
      <c r="BN69" s="33" t="s">
        <v>1462</v>
      </c>
      <c r="BO69" s="31" t="s">
        <v>200</v>
      </c>
      <c r="BP69" s="32" t="str">
        <f>IFERROR(__xludf.DUMMYFUNCTION("IFERROR(if(ISBLANK(BO69),"" "",GOOGLEFINANCE(BN69,""Name"")), """")"),"MM Forgings Ltd")</f>
        <v>MM Forgings Ltd</v>
      </c>
      <c r="BQ69" s="51">
        <f>IFERROR(__xludf.DUMMYFUNCTION("IFERROR(if(ISBLANK(BO69),"" "",GOOGLEFINANCE(BN69,""price"")), """")"),640.0)</f>
        <v>640</v>
      </c>
      <c r="BR69" s="22">
        <f>IFERROR(__xludf.DUMMYFUNCTION("IFERROR(if(ISBLANK(BO69),"" "",GOOGLEFINANCE(BN69,""changepct"")), """")"),-0.49)</f>
        <v>-0.49</v>
      </c>
      <c r="BS69" s="49"/>
      <c r="BT69" s="36"/>
      <c r="BU69" s="27" t="s">
        <v>1464</v>
      </c>
      <c r="BV69" s="31" t="s">
        <v>200</v>
      </c>
      <c r="BW69" s="32" t="str">
        <f>IFERROR(__xludf.DUMMYFUNCTION("IFERROR(if(ISBLANK(BV69),"" "",GOOGLEFINANCE(BU69,""Name"")), """")"),"Baazar Style Retail Ltd")</f>
        <v>Baazar Style Retail Ltd</v>
      </c>
      <c r="BX69" s="51">
        <f>IFERROR(__xludf.DUMMYFUNCTION("IFERROR(if(ISBLANK(BV69),"" "",GOOGLEFINANCE(BU69,""price"")), """")"),353.95)</f>
        <v>353.95</v>
      </c>
      <c r="BY69" s="22">
        <f>IFERROR(__xludf.DUMMYFUNCTION("IFERROR(if(ISBLANK(BV69),"" "",GOOGLEFINANCE(BU69,""changepct"")), """")"),0.14)</f>
        <v>0.14</v>
      </c>
      <c r="BZ69" s="49"/>
      <c r="CA69" s="37"/>
      <c r="CB69" s="27" t="s">
        <v>1465</v>
      </c>
      <c r="CC69" s="31" t="s">
        <v>200</v>
      </c>
      <c r="CD69" s="32" t="str">
        <f>IFERROR(__xludf.DUMMYFUNCTION("IFERROR(if(ISBLANK(CC69),"" "",GOOGLEFINANCE(CB69,""Name"")), """")"),"IKIO Technologies Ltd")</f>
        <v>IKIO Technologies Ltd</v>
      </c>
      <c r="CE69" s="51">
        <f>IFERROR(__xludf.DUMMYFUNCTION("IFERROR(if(ISBLANK(CC69),"" "",GOOGLEFINANCE(CB69,""price"")), """")"),215.5)</f>
        <v>215.5</v>
      </c>
      <c r="CF69" s="22">
        <f>IFERROR(__xludf.DUMMYFUNCTION("IFERROR(if(ISBLANK(CC69),"" "",GOOGLEFINANCE(CB69,""changepct"")), """")"),5.82)</f>
        <v>5.82</v>
      </c>
      <c r="CG69" s="12"/>
      <c r="CH69" s="18" t="s">
        <v>1466</v>
      </c>
      <c r="CI69" s="31" t="s">
        <v>200</v>
      </c>
      <c r="CJ69" s="32" t="str">
        <f>IFERROR(__xludf.DUMMYFUNCTION("IFERROR(if(ISBLANK(CI69),"" "",GOOGLEFINANCE(CH69,""Name"")), """")"),"Indo Borax and Chemicals Ltd")</f>
        <v>Indo Borax and Chemicals Ltd</v>
      </c>
      <c r="CK69" s="51">
        <f>IFERROR(__xludf.DUMMYFUNCTION("IFERROR(if(ISBLANK(CI69),"" "",GOOGLEFINANCE(CH69,""price"")), """")"),451.0)</f>
        <v>451</v>
      </c>
      <c r="CL69" s="22">
        <f>IFERROR(__xludf.DUMMYFUNCTION("IFERROR(if(ISBLANK(CI69),"" "",GOOGLEFINANCE(CH69,""changepct"")), """")"),4.06)</f>
        <v>4.06</v>
      </c>
      <c r="CM69" s="12"/>
      <c r="CN69" s="33" t="s">
        <v>1467</v>
      </c>
      <c r="CO69" s="31" t="s">
        <v>200</v>
      </c>
      <c r="CP69" s="32" t="str">
        <f>IFERROR(__xludf.DUMMYFUNCTION("IFERROR(if(ISBLANK(CO69),"" "",GOOGLEFINANCE(CN69,""Name"")), """")"),"Gayatri Projects Ltd")</f>
        <v>Gayatri Projects Ltd</v>
      </c>
      <c r="CQ69" s="51">
        <f>IFERROR(__xludf.DUMMYFUNCTION("IFERROR(if(ISBLANK(CO69),"" "",GOOGLEFINANCE(CN69,""price"")), """")"),19.25)</f>
        <v>19.25</v>
      </c>
      <c r="CR69" s="22">
        <f>IFERROR(__xludf.DUMMYFUNCTION("IFERROR(if(ISBLANK(CO69),"" "",GOOGLEFINANCE(CN69,""changepct"")), """")"),-1.28)</f>
        <v>-1.28</v>
      </c>
      <c r="CS69" s="45"/>
      <c r="CT69" s="33" t="s">
        <v>1468</v>
      </c>
      <c r="CU69" s="31" t="s">
        <v>200</v>
      </c>
      <c r="CV69" s="32" t="str">
        <f>IFERROR(__xludf.DUMMYFUNCTION("IFERROR(if(ISBLANK(CU69),"" "",GOOGLEFINANCE(CT69,""Name"")), """")"),"VASCON ENGINEERS LIMITED")</f>
        <v>VASCON ENGINEERS LIMITED</v>
      </c>
      <c r="CW69" s="51">
        <f>IFERROR(__xludf.DUMMYFUNCTION("IFERROR(if(ISBLANK(CU69),"" "",GOOGLEFINANCE(CT69,""price"")), """")"),31.25)</f>
        <v>31.25</v>
      </c>
      <c r="CX69" s="22">
        <f>IFERROR(__xludf.DUMMYFUNCTION("IFERROR(if(ISBLANK(CU69),"" "",GOOGLEFINANCE(CT69,""changepct"")), """")"),-2.44)</f>
        <v>-2.44</v>
      </c>
      <c r="CY69" s="17"/>
      <c r="CZ69" s="33" t="s">
        <v>1470</v>
      </c>
      <c r="DA69" s="31" t="s">
        <v>200</v>
      </c>
      <c r="DB69" s="32" t="str">
        <f>IFERROR(__xludf.DUMMYFUNCTION("IFERROR(if(ISBLANK(DA69),"" "",GOOGLEFINANCE(CZ69,""Name"")), """")"),"Shalimar Paints Ltd")</f>
        <v>Shalimar Paints Ltd</v>
      </c>
      <c r="DC69" s="51">
        <f>IFERROR(__xludf.DUMMYFUNCTION("IFERROR(if(ISBLANK(DA69),"" "",GOOGLEFINANCE(CZ69,""price"")), """")"),83.0)</f>
        <v>83</v>
      </c>
      <c r="DD69" s="22">
        <f>IFERROR(__xludf.DUMMYFUNCTION("IFERROR(if(ISBLANK(DA69),"" "",GOOGLEFINANCE(CZ69,""changepct"")), """")"),-1.04)</f>
        <v>-1.04</v>
      </c>
      <c r="DE69" s="45"/>
      <c r="DF69" s="12"/>
    </row>
    <row r="70" ht="11.25" customHeight="1">
      <c r="A70" s="62"/>
      <c r="B70" s="18" t="s">
        <v>1471</v>
      </c>
      <c r="C70" s="31" t="s">
        <v>200</v>
      </c>
      <c r="D70" s="32" t="str">
        <f>IFERROR(__xludf.DUMMYFUNCTION("IFERROR(if(ISBLANK(C70),"" "",GOOGLEFINANCE(B70,""Name"")), """")"),"Hitachi Energy India Ltd")</f>
        <v>Hitachi Energy India Ltd</v>
      </c>
      <c r="E70" s="51">
        <f>IFERROR(__xludf.DUMMYFUNCTION("IFERROR(if(ISBLANK(C70),"" "",GOOGLEFINANCE(B70,""price"")), """")"),35700.0)</f>
        <v>35700</v>
      </c>
      <c r="F70" s="22">
        <f>IFERROR(__xludf.DUMMYFUNCTION("IFERROR(if(ISBLANK(C70),"" "",GOOGLEFINANCE(B70,""changepct"")), """")"),2.0)</f>
        <v>2</v>
      </c>
      <c r="G70" s="49"/>
      <c r="H70" s="36"/>
      <c r="I70" s="25" t="s">
        <v>1472</v>
      </c>
      <c r="J70" s="31" t="s">
        <v>200</v>
      </c>
      <c r="K70" s="32" t="str">
        <f>IFERROR(__xludf.DUMMYFUNCTION("IFERROR(if(ISBLANK(J70),"" "",GOOGLEFINANCE(I70,""Name"")), """")"),"Phoenix Mills Ltd")</f>
        <v>Phoenix Mills Ltd</v>
      </c>
      <c r="L70" s="51">
        <f>IFERROR(__xludf.DUMMYFUNCTION("IFERROR(if(ISBLANK(J70),"" "",GOOGLEFINANCE(I70,""price"")), """")"),1887.7)</f>
        <v>1887.7</v>
      </c>
      <c r="M70" s="22">
        <f>IFERROR(__xludf.DUMMYFUNCTION("IFERROR(if(ISBLANK(J70),"" "",GOOGLEFINANCE(I70,""changepct"")), """")"),-1.1)</f>
        <v>-1.1</v>
      </c>
      <c r="N70" s="49"/>
      <c r="O70" s="37"/>
      <c r="P70" s="27" t="s">
        <v>1473</v>
      </c>
      <c r="Q70" s="31" t="s">
        <v>200</v>
      </c>
      <c r="R70" s="32" t="str">
        <f>IFERROR(__xludf.DUMMYFUNCTION("IFERROR(if(ISBLANK(Q70),"" "",GOOGLEFINANCE(P70,""Name"")), """")"),"Nuvama Wealth Management Ltd")</f>
        <v>Nuvama Wealth Management Ltd</v>
      </c>
      <c r="S70" s="51">
        <f>IFERROR(__xludf.DUMMYFUNCTION("IFERROR(if(ISBLANK(Q70),"" "",GOOGLEFINANCE(P70,""price"")), """")"),1700.0)</f>
        <v>1700</v>
      </c>
      <c r="T70" s="22">
        <f>IFERROR(__xludf.DUMMYFUNCTION("IFERROR(if(ISBLANK(Q70),"" "",GOOGLEFINANCE(P70,""changepct"")), """")"),-0.39)</f>
        <v>-0.39</v>
      </c>
      <c r="U70" s="12"/>
      <c r="V70" s="18" t="s">
        <v>1475</v>
      </c>
      <c r="W70" s="31" t="s">
        <v>200</v>
      </c>
      <c r="X70" s="32" t="str">
        <f>IFERROR(__xludf.DUMMYFUNCTION("IFERROR(if(ISBLANK(W70),"" "",GOOGLEFINANCE(V70,""Name"")), """")"),"Diamond Power Infrastructure Ltd")</f>
        <v>Diamond Power Infrastructure Ltd</v>
      </c>
      <c r="Y70" s="51">
        <f>IFERROR(__xludf.DUMMYFUNCTION("IFERROR(if(ISBLANK(W70),"" "",GOOGLEFINANCE(V70,""price"")), """")"),368.0)</f>
        <v>368</v>
      </c>
      <c r="Z70" s="22">
        <f>IFERROR(__xludf.DUMMYFUNCTION("IFERROR(if(ISBLANK(W70),"" "",GOOGLEFINANCE(V70,""changepct"")), """")"),1.66)</f>
        <v>1.66</v>
      </c>
      <c r="AA70" s="12"/>
      <c r="AB70" s="18" t="s">
        <v>1476</v>
      </c>
      <c r="AC70" s="31" t="s">
        <v>200</v>
      </c>
      <c r="AD70" s="32" t="str">
        <f>IFERROR(__xludf.DUMMYFUNCTION("IFERROR(if(ISBLANK(AC70),"" "",GOOGLEFINANCE(AB70,""Name"")), """")"),"Fractal Analytics Ltd")</f>
        <v>Fractal Analytics Ltd</v>
      </c>
      <c r="AE70" s="51">
        <f>IFERROR(__xludf.DUMMYFUNCTION("IFERROR(if(ISBLANK(AC70),"" "",GOOGLEFINANCE(AB70,""price"")), """")"),825.1)</f>
        <v>825.1</v>
      </c>
      <c r="AF70" s="22">
        <f>IFERROR(__xludf.DUMMYFUNCTION("IFERROR(if(ISBLANK(AC70),"" "",GOOGLEFINANCE(AB70,""changepct"")), """")"),-0.39)</f>
        <v>-0.39</v>
      </c>
      <c r="AG70" s="45"/>
      <c r="AH70" s="27" t="s">
        <v>1477</v>
      </c>
      <c r="AI70" s="31" t="s">
        <v>200</v>
      </c>
      <c r="AJ70" s="32" t="str">
        <f>IFERROR(__xludf.DUMMYFUNCTION("IFERROR(if(ISBLANK(AI70),"" "",GOOGLEFINANCE(AH70,""Name"")), """")"),"Akums Drugs and Pharmaceuticals Ltd")</f>
        <v>Akums Drugs and Pharmaceuticals Ltd</v>
      </c>
      <c r="AK70" s="51">
        <f>IFERROR(__xludf.DUMMYFUNCTION("IFERROR(if(ISBLANK(AI70),"" "",GOOGLEFINANCE(AH70,""price"")), """")"),750.0)</f>
        <v>750</v>
      </c>
      <c r="AL70" s="22">
        <f>IFERROR(__xludf.DUMMYFUNCTION("IFERROR(if(ISBLANK(AI70),"" "",GOOGLEFINANCE(AH70,""changepct"")), """")"),-1.44)</f>
        <v>-1.44</v>
      </c>
      <c r="AM70" s="30"/>
      <c r="AN70" s="31" t="s">
        <v>200</v>
      </c>
      <c r="AO70" s="32" t="str">
        <f>IFERROR(__xludf.DUMMYFUNCTION("IFERROR(if(ISBLANK(AN70),"" "",GOOGLEFINANCE(AM70,""Name"")), """")"),"")</f>
        <v/>
      </c>
      <c r="AP70" s="33" t="s">
        <v>1479</v>
      </c>
      <c r="AQ70" s="31" t="s">
        <v>200</v>
      </c>
      <c r="AR70" s="32" t="str">
        <f>IFERROR(__xludf.DUMMYFUNCTION("IFERROR(if(ISBLANK(AQ70),"" "",GOOGLEFINANCE(AP70,""Name"")), """")"),"Sharda Cropchem Ltd")</f>
        <v>Sharda Cropchem Ltd</v>
      </c>
      <c r="AS70" s="51">
        <f>IFERROR(__xludf.DUMMYFUNCTION("IFERROR(if(ISBLANK(AQ70),"" "",GOOGLEFINANCE(AP70,""price"")), """")"),798.8)</f>
        <v>798.8</v>
      </c>
      <c r="AT70" s="22">
        <f>IFERROR(__xludf.DUMMYFUNCTION("IFERROR(if(ISBLANK(AQ70),"" "",GOOGLEFINANCE(AP70,""changepct"")), """")"),-0.94)</f>
        <v>-0.94</v>
      </c>
      <c r="AU70" s="45"/>
      <c r="AV70" s="34" t="s">
        <v>1480</v>
      </c>
      <c r="AW70" s="31" t="s">
        <v>200</v>
      </c>
      <c r="AX70" s="32" t="str">
        <f>IFERROR(__xludf.DUMMYFUNCTION("IFERROR(if(ISBLANK(AW70),"" "",GOOGLEFINANCE(AV70,""Name"")), """")"),"Krishana Phoschem Ltd")</f>
        <v>Krishana Phoschem Ltd</v>
      </c>
      <c r="AY70" s="51">
        <f>IFERROR(__xludf.DUMMYFUNCTION("IFERROR(if(ISBLANK(AW70),"" "",GOOGLEFINANCE(AV70,""price"")), """")"),186.25)</f>
        <v>186.25</v>
      </c>
      <c r="AZ70" s="22">
        <f>IFERROR(__xludf.DUMMYFUNCTION("IFERROR(if(ISBLANK(AW70),"" "",GOOGLEFINANCE(AV70,""changepct"")), """")"),-0.11)</f>
        <v>-0.11</v>
      </c>
      <c r="BA70" s="12"/>
      <c r="BB70" s="33" t="s">
        <v>1481</v>
      </c>
      <c r="BC70" s="31" t="s">
        <v>200</v>
      </c>
      <c r="BD70" s="32" t="str">
        <f>IFERROR(__xludf.DUMMYFUNCTION("IFERROR(if(ISBLANK(BC70),"" "",GOOGLEFINANCE(BB70,""Name"")), """")"),"IOL Chemicals and Pharmaceuticals Ltd")</f>
        <v>IOL Chemicals and Pharmaceuticals Ltd</v>
      </c>
      <c r="BE70" s="51">
        <f>IFERROR(__xludf.DUMMYFUNCTION("IFERROR(if(ISBLANK(BC70),"" "",GOOGLEFINANCE(BB70,""price"")), """")"),158.52)</f>
        <v>158.52</v>
      </c>
      <c r="BF70" s="22">
        <f>IFERROR(__xludf.DUMMYFUNCTION("IFERROR(if(ISBLANK(BC70),"" "",GOOGLEFINANCE(BB70,""changepct"")), """")"),-3.42)</f>
        <v>-3.42</v>
      </c>
      <c r="BG70" s="12"/>
      <c r="BH70" s="35" t="s">
        <v>1482</v>
      </c>
      <c r="BI70" s="31" t="s">
        <v>200</v>
      </c>
      <c r="BJ70" s="32" t="str">
        <f>IFERROR(__xludf.DUMMYFUNCTION("IFERROR(if(ISBLANK(BI70),"" "",GOOGLEFINANCE(BH70,""Name"")), """")"),"Ashoka Buildcon Ltd")</f>
        <v>Ashoka Buildcon Ltd</v>
      </c>
      <c r="BK70" s="51">
        <f>IFERROR(__xludf.DUMMYFUNCTION("IFERROR(if(ISBLANK(BI70),"" "",GOOGLEFINANCE(BH70,""price"")), """")"),114.0)</f>
        <v>114</v>
      </c>
      <c r="BL70" s="22">
        <f>IFERROR(__xludf.DUMMYFUNCTION("IFERROR(if(ISBLANK(BI70),"" "",GOOGLEFINANCE(BH70,""changepct"")), """")"),-2.56)</f>
        <v>-2.56</v>
      </c>
      <c r="BM70" s="12"/>
      <c r="BN70" s="33" t="s">
        <v>1483</v>
      </c>
      <c r="BO70" s="31" t="s">
        <v>200</v>
      </c>
      <c r="BP70" s="32" t="str">
        <f>IFERROR(__xludf.DUMMYFUNCTION("IFERROR(if(ISBLANK(BO70),"" "",GOOGLEFINANCE(BN70,""Name"")), """")"),"Federal-Mogul Goetze (India) Ltd")</f>
        <v>Federal-Mogul Goetze (India) Ltd</v>
      </c>
      <c r="BQ70" s="51">
        <f>IFERROR(__xludf.DUMMYFUNCTION("IFERROR(if(ISBLANK(BO70),"" "",GOOGLEFINANCE(BN70,""price"")), """")"),489.0)</f>
        <v>489</v>
      </c>
      <c r="BR70" s="22">
        <f>IFERROR(__xludf.DUMMYFUNCTION("IFERROR(if(ISBLANK(BO70),"" "",GOOGLEFINANCE(BN70,""changepct"")), """")"),0.33)</f>
        <v>0.33</v>
      </c>
      <c r="BS70" s="49"/>
      <c r="BT70" s="36"/>
      <c r="BU70" s="27" t="s">
        <v>1485</v>
      </c>
      <c r="BV70" s="31" t="s">
        <v>200</v>
      </c>
      <c r="BW70" s="32" t="str">
        <f>IFERROR(__xludf.DUMMYFUNCTION("IFERROR(if(ISBLANK(BV70),"" "",GOOGLEFINANCE(BU70,""Name"")), """")"),"Indian Hume Pipe Company Ltd")</f>
        <v>Indian Hume Pipe Company Ltd</v>
      </c>
      <c r="BX70" s="51">
        <f>IFERROR(__xludf.DUMMYFUNCTION("IFERROR(if(ISBLANK(BV70),"" "",GOOGLEFINANCE(BU70,""price"")), """")"),374.4)</f>
        <v>374.4</v>
      </c>
      <c r="BY70" s="22">
        <f>IFERROR(__xludf.DUMMYFUNCTION("IFERROR(if(ISBLANK(BV70),"" "",GOOGLEFINANCE(BU70,""changepct"")), """")"),-3.02)</f>
        <v>-3.02</v>
      </c>
      <c r="BZ70" s="49"/>
      <c r="CA70" s="37"/>
      <c r="CB70" s="27" t="s">
        <v>1486</v>
      </c>
      <c r="CC70" s="31" t="s">
        <v>200</v>
      </c>
      <c r="CD70" s="32" t="str">
        <f>IFERROR(__xludf.DUMMYFUNCTION("IFERROR(if(ISBLANK(CC70),"" "",GOOGLEFINANCE(CB70,""Name"")), """")"),"Navkar Corporation Ltd")</f>
        <v>Navkar Corporation Ltd</v>
      </c>
      <c r="CE70" s="51">
        <f>IFERROR(__xludf.DUMMYFUNCTION("IFERROR(if(ISBLANK(CC70),"" "",GOOGLEFINANCE(CB70,""price"")), """")"),100.0)</f>
        <v>100</v>
      </c>
      <c r="CF70" s="22">
        <f>IFERROR(__xludf.DUMMYFUNCTION("IFERROR(if(ISBLANK(CC70),"" "",GOOGLEFINANCE(CB70,""changepct"")), """")"),0.33)</f>
        <v>0.33</v>
      </c>
      <c r="CG70" s="12"/>
      <c r="CH70" s="18" t="s">
        <v>1487</v>
      </c>
      <c r="CI70" s="31" t="s">
        <v>200</v>
      </c>
      <c r="CJ70" s="32" t="str">
        <f>IFERROR(__xludf.DUMMYFUNCTION("IFERROR(if(ISBLANK(CI70),"" "",GOOGLEFINANCE(CH70,""Name"")), """")"),"Allcargo Logistics Ltd")</f>
        <v>Allcargo Logistics Ltd</v>
      </c>
      <c r="CK70" s="51">
        <f>IFERROR(__xludf.DUMMYFUNCTION("IFERROR(if(ISBLANK(CI70),"" "",GOOGLEFINANCE(CH70,""price"")), """")"),10.55)</f>
        <v>10.55</v>
      </c>
      <c r="CL70" s="22">
        <f>IFERROR(__xludf.DUMMYFUNCTION("IFERROR(if(ISBLANK(CI70),"" "",GOOGLEFINANCE(CH70,""changepct"")), """")"),2.93)</f>
        <v>2.93</v>
      </c>
      <c r="CM70" s="12"/>
      <c r="CN70" s="33" t="s">
        <v>1488</v>
      </c>
      <c r="CO70" s="31" t="s">
        <v>200</v>
      </c>
      <c r="CP70" s="32" t="str">
        <f>IFERROR(__xludf.DUMMYFUNCTION("IFERROR(if(ISBLANK(CO70),"" "",GOOGLEFINANCE(CN70,""Name"")), """")"),"Bhageria Industries Ltd")</f>
        <v>Bhageria Industries Ltd</v>
      </c>
      <c r="CQ70" s="51">
        <f>IFERROR(__xludf.DUMMYFUNCTION("IFERROR(if(ISBLANK(CO70),"" "",GOOGLEFINANCE(CN70,""price"")), """")"),206.3)</f>
        <v>206.3</v>
      </c>
      <c r="CR70" s="22">
        <f>IFERROR(__xludf.DUMMYFUNCTION("IFERROR(if(ISBLANK(CO70),"" "",GOOGLEFINANCE(CN70,""changepct"")), """")"),-0.33)</f>
        <v>-0.33</v>
      </c>
      <c r="CS70" s="45"/>
      <c r="CT70" s="33" t="s">
        <v>1489</v>
      </c>
      <c r="CU70" s="31" t="s">
        <v>200</v>
      </c>
      <c r="CV70" s="32" t="str">
        <f>IFERROR(__xludf.DUMMYFUNCTION("IFERROR(if(ISBLANK(CU70),"" "",GOOGLEFINANCE(CT70,""Name"")), """")"),"Transpek Industry Ltd")</f>
        <v>Transpek Industry Ltd</v>
      </c>
      <c r="CW70" s="51">
        <f>IFERROR(__xludf.DUMMYFUNCTION("IFERROR(if(ISBLANK(CU70),"" "",GOOGLEFINANCE(CT70,""price"")), """")"),1170.0)</f>
        <v>1170</v>
      </c>
      <c r="CX70" s="22">
        <f>IFERROR(__xludf.DUMMYFUNCTION("IFERROR(if(ISBLANK(CU70),"" "",GOOGLEFINANCE(CT70,""changepct"")), """")"),-2.12)</f>
        <v>-2.12</v>
      </c>
      <c r="CY70" s="17"/>
      <c r="CZ70" s="33" t="s">
        <v>1491</v>
      </c>
      <c r="DA70" s="31" t="s">
        <v>200</v>
      </c>
      <c r="DB70" s="32" t="str">
        <f>IFERROR(__xludf.DUMMYFUNCTION("IFERROR(if(ISBLANK(DA70),"" "",GOOGLEFINANCE(CZ70,""Name"")), """")"),"Visa Chrome Ltd")</f>
        <v>Visa Chrome Ltd</v>
      </c>
      <c r="DC70" s="51">
        <f>IFERROR(__xludf.DUMMYFUNCTION("IFERROR(if(ISBLANK(DA70),"" "",GOOGLEFINANCE(CZ70,""price"")), """")"),37.5)</f>
        <v>37.5</v>
      </c>
      <c r="DD70" s="22">
        <f>IFERROR(__xludf.DUMMYFUNCTION("IFERROR(if(ISBLANK(DA70),"" "",GOOGLEFINANCE(CZ70,""changepct"")), """")"),-0.16)</f>
        <v>-0.16</v>
      </c>
      <c r="DE70" s="45"/>
      <c r="DF70" s="12"/>
    </row>
    <row r="71" ht="11.25" customHeight="1">
      <c r="A71" s="62"/>
      <c r="B71" s="18" t="s">
        <v>1492</v>
      </c>
      <c r="C71" s="31" t="s">
        <v>200</v>
      </c>
      <c r="D71" s="32" t="str">
        <f>IFERROR(__xludf.DUMMYFUNCTION("IFERROR(if(ISBLANK(C71),"" "",GOOGLEFINANCE(B71,""Name"")), """")"),"Bharat Heavy Electricals Ltd")</f>
        <v>Bharat Heavy Electricals Ltd</v>
      </c>
      <c r="E71" s="51">
        <f>IFERROR(__xludf.DUMMYFUNCTION("IFERROR(if(ISBLANK(C71),"" "",GOOGLEFINANCE(B71,""price"")), """")"),420.0)</f>
        <v>420</v>
      </c>
      <c r="F71" s="22">
        <f>IFERROR(__xludf.DUMMYFUNCTION("IFERROR(if(ISBLANK(C71),"" "",GOOGLEFINANCE(B71,""changepct"")), """")"),4.22)</f>
        <v>4.22</v>
      </c>
      <c r="G71" s="49"/>
      <c r="H71" s="36"/>
      <c r="I71" s="25" t="s">
        <v>1493</v>
      </c>
      <c r="J71" s="31" t="s">
        <v>200</v>
      </c>
      <c r="K71" s="32" t="str">
        <f>IFERROR(__xludf.DUMMYFUNCTION("IFERROR(if(ISBLANK(J71),"" "",GOOGLEFINANCE(I71,""Name"")), """")"),"Oberoi Realty Ltd")</f>
        <v>Oberoi Realty Ltd</v>
      </c>
      <c r="L71" s="51">
        <f>IFERROR(__xludf.DUMMYFUNCTION("IFERROR(if(ISBLANK(J71),"" "",GOOGLEFINANCE(I71,""price"")), """")"),1781.4)</f>
        <v>1781.4</v>
      </c>
      <c r="M71" s="22">
        <f>IFERROR(__xludf.DUMMYFUNCTION("IFERROR(if(ISBLANK(J71),"" "",GOOGLEFINANCE(I71,""changepct"")), """")"),-0.68)</f>
        <v>-0.68</v>
      </c>
      <c r="N71" s="49"/>
      <c r="O71" s="37"/>
      <c r="P71" s="27" t="s">
        <v>1494</v>
      </c>
      <c r="Q71" s="31" t="s">
        <v>200</v>
      </c>
      <c r="R71" s="32" t="str">
        <f>IFERROR(__xludf.DUMMYFUNCTION("IFERROR(if(ISBLANK(Q71),"" "",GOOGLEFINANCE(P71,""Name"")), """")"),"UCO Bank")</f>
        <v>UCO Bank</v>
      </c>
      <c r="S71" s="51">
        <f>IFERROR(__xludf.DUMMYFUNCTION("IFERROR(if(ISBLANK(Q71),"" "",GOOGLEFINANCE(P71,""price"")), """")"),26.15)</f>
        <v>26.15</v>
      </c>
      <c r="T71" s="22">
        <f>IFERROR(__xludf.DUMMYFUNCTION("IFERROR(if(ISBLANK(Q71),"" "",GOOGLEFINANCE(P71,""changepct"")), """")"),0.11)</f>
        <v>0.11</v>
      </c>
      <c r="U71" s="12"/>
      <c r="V71" s="18" t="s">
        <v>1495</v>
      </c>
      <c r="W71" s="31" t="s">
        <v>200</v>
      </c>
      <c r="X71" s="32" t="str">
        <f>IFERROR(__xludf.DUMMYFUNCTION("IFERROR(if(ISBLANK(W71),"" "",GOOGLEFINANCE(V71,""Name"")), """")"),"SPR Auto Technologies Ltd")</f>
        <v>SPR Auto Technologies Ltd</v>
      </c>
      <c r="Y71" s="51">
        <f>IFERROR(__xludf.DUMMYFUNCTION("IFERROR(if(ISBLANK(W71),"" "",GOOGLEFINANCE(V71,""price"")), """")"),4460.5)</f>
        <v>4460.5</v>
      </c>
      <c r="Z71" s="22">
        <f>IFERROR(__xludf.DUMMYFUNCTION("IFERROR(if(ISBLANK(W71),"" "",GOOGLEFINANCE(V71,""changepct"")), """")"),0.94)</f>
        <v>0.94</v>
      </c>
      <c r="AA71" s="12"/>
      <c r="AB71" s="18" t="s">
        <v>1496</v>
      </c>
      <c r="AC71" s="31" t="s">
        <v>200</v>
      </c>
      <c r="AD71" s="32" t="str">
        <f>IFERROR(__xludf.DUMMYFUNCTION("IFERROR(if(ISBLANK(AC71),"" "",GOOGLEFINANCE(AB71,""Name"")), """")"),"Ujjivan Small Finance Bank Ltd")</f>
        <v>Ujjivan Small Finance Bank Ltd</v>
      </c>
      <c r="AE71" s="51">
        <f>IFERROR(__xludf.DUMMYFUNCTION("IFERROR(if(ISBLANK(AC71),"" "",GOOGLEFINANCE(AB71,""price"")), """")"),72.35)</f>
        <v>72.35</v>
      </c>
      <c r="AF71" s="22">
        <f>IFERROR(__xludf.DUMMYFUNCTION("IFERROR(if(ISBLANK(AC71),"" "",GOOGLEFINANCE(AB71,""changepct"")), """")"),3.15)</f>
        <v>3.15</v>
      </c>
      <c r="AG71" s="45"/>
      <c r="AH71" s="27" t="s">
        <v>1498</v>
      </c>
      <c r="AI71" s="31" t="s">
        <v>200</v>
      </c>
      <c r="AJ71" s="32" t="str">
        <f>IFERROR(__xludf.DUMMYFUNCTION("IFERROR(if(ISBLANK(AI71),"" "",GOOGLEFINANCE(AH71,""Name"")), """")"),"Sandur Manganese and Iron Ores Ltd")</f>
        <v>Sandur Manganese and Iron Ores Ltd</v>
      </c>
      <c r="AK71" s="51">
        <f>IFERROR(__xludf.DUMMYFUNCTION("IFERROR(if(ISBLANK(AI71),"" "",GOOGLEFINANCE(AH71,""price"")), """")"),203.25)</f>
        <v>203.25</v>
      </c>
      <c r="AL71" s="22">
        <f>IFERROR(__xludf.DUMMYFUNCTION("IFERROR(if(ISBLANK(AI71),"" "",GOOGLEFINANCE(AH71,""changepct"")), """")"),-0.56)</f>
        <v>-0.56</v>
      </c>
      <c r="AM71" s="30"/>
      <c r="AN71" s="31" t="s">
        <v>200</v>
      </c>
      <c r="AO71" s="32" t="str">
        <f>IFERROR(__xludf.DUMMYFUNCTION("IFERROR(if(ISBLANK(AN71),"" "",GOOGLEFINANCE(AM71,""Name"")), """")"),"")</f>
        <v/>
      </c>
      <c r="AP71" s="33" t="s">
        <v>1499</v>
      </c>
      <c r="AQ71" s="31" t="s">
        <v>200</v>
      </c>
      <c r="AR71" s="32" t="str">
        <f>IFERROR(__xludf.DUMMYFUNCTION("IFERROR(if(ISBLANK(AQ71),"" "",GOOGLEFINANCE(AP71,""Name"")), """")"),"HMT Ltd")</f>
        <v>HMT Ltd</v>
      </c>
      <c r="AS71" s="51">
        <f>IFERROR(__xludf.DUMMYFUNCTION("IFERROR(if(ISBLANK(AQ71),"" "",GOOGLEFINANCE(AP71,""price"")), """")"),58.75)</f>
        <v>58.75</v>
      </c>
      <c r="AT71" s="22">
        <f>IFERROR(__xludf.DUMMYFUNCTION("IFERROR(if(ISBLANK(AQ71),"" "",GOOGLEFINANCE(AP71,""changepct"")), """")"),-1.95)</f>
        <v>-1.95</v>
      </c>
      <c r="AU71" s="45"/>
      <c r="AV71" s="34" t="s">
        <v>1500</v>
      </c>
      <c r="AW71" s="31" t="s">
        <v>200</v>
      </c>
      <c r="AX71" s="32" t="str">
        <f>IFERROR(__xludf.DUMMYFUNCTION("IFERROR(if(ISBLANK(AW71),"" "",GOOGLEFINANCE(AV71,""Name"")), """")"),"Lohia Corp Ltd")</f>
        <v>Lohia Corp Ltd</v>
      </c>
      <c r="AY71" s="51">
        <f>IFERROR(__xludf.DUMMYFUNCTION("IFERROR(if(ISBLANK(AW71),"" "",GOOGLEFINANCE(AV71,""price"")), """")"),520.0)</f>
        <v>520</v>
      </c>
      <c r="AZ71" s="22">
        <f>IFERROR(__xludf.DUMMYFUNCTION("IFERROR(if(ISBLANK(AW71),"" "",GOOGLEFINANCE(AV71,""changepct"")), """")"),4.01)</f>
        <v>4.01</v>
      </c>
      <c r="BA71" s="12"/>
      <c r="BB71" s="33" t="s">
        <v>1501</v>
      </c>
      <c r="BC71" s="31" t="s">
        <v>200</v>
      </c>
      <c r="BD71" s="32" t="str">
        <f>IFERROR(__xludf.DUMMYFUNCTION("IFERROR(if(ISBLANK(BC71),"" "",GOOGLEFINANCE(BB71,""Name"")), """")"),"Shoppers Stop Ltd")</f>
        <v>Shoppers Stop Ltd</v>
      </c>
      <c r="BE71" s="51">
        <f>IFERROR(__xludf.DUMMYFUNCTION("IFERROR(if(ISBLANK(BC71),"" "",GOOGLEFINANCE(BB71,""price"")), """")"),418.0)</f>
        <v>418</v>
      </c>
      <c r="BF71" s="22">
        <f>IFERROR(__xludf.DUMMYFUNCTION("IFERROR(if(ISBLANK(BC71),"" "",GOOGLEFINANCE(BB71,""changepct"")), """")"),-2.27)</f>
        <v>-2.27</v>
      </c>
      <c r="BG71" s="12"/>
      <c r="BH71" s="35" t="s">
        <v>1502</v>
      </c>
      <c r="BI71" s="31" t="s">
        <v>200</v>
      </c>
      <c r="BJ71" s="32" t="str">
        <f>IFERROR(__xludf.DUMMYFUNCTION("IFERROR(if(ISBLANK(BI71),"" "",GOOGLEFINANCE(BH71,""Name"")), """")"),"Uflex Ltd")</f>
        <v>Uflex Ltd</v>
      </c>
      <c r="BK71" s="51">
        <f>IFERROR(__xludf.DUMMYFUNCTION("IFERROR(if(ISBLANK(BI71),"" "",GOOGLEFINANCE(BH71,""price"")), """")"),496.0)</f>
        <v>496</v>
      </c>
      <c r="BL71" s="22">
        <f>IFERROR(__xludf.DUMMYFUNCTION("IFERROR(if(ISBLANK(BI71),"" "",GOOGLEFINANCE(BH71,""changepct"")), """")"),-0.21)</f>
        <v>-0.21</v>
      </c>
      <c r="BM71" s="12"/>
      <c r="BN71" s="33" t="s">
        <v>1503</v>
      </c>
      <c r="BO71" s="31" t="s">
        <v>200</v>
      </c>
      <c r="BP71" s="32" t="str">
        <f>IFERROR(__xludf.DUMMYFUNCTION("IFERROR(if(ISBLANK(BO71),"" "",GOOGLEFINANCE(BN71,""Name"")), """")"),"Marathon Nextgen Realty Ltd")</f>
        <v>Marathon Nextgen Realty Ltd</v>
      </c>
      <c r="BQ71" s="51">
        <f>IFERROR(__xludf.DUMMYFUNCTION("IFERROR(if(ISBLANK(BO71),"" "",GOOGLEFINANCE(BN71,""price"")), """")"),372.6)</f>
        <v>372.6</v>
      </c>
      <c r="BR71" s="22">
        <f>IFERROR(__xludf.DUMMYFUNCTION("IFERROR(if(ISBLANK(BO71),"" "",GOOGLEFINANCE(BN71,""changepct"")), """")"),-1.38)</f>
        <v>-1.38</v>
      </c>
      <c r="BS71" s="49"/>
      <c r="BT71" s="36"/>
      <c r="BU71" s="27" t="s">
        <v>1505</v>
      </c>
      <c r="BV71" s="31" t="s">
        <v>200</v>
      </c>
      <c r="BW71" s="32" t="str">
        <f>IFERROR(__xludf.DUMMYFUNCTION("IFERROR(if(ISBLANK(BV71),"" "",GOOGLEFINANCE(BU71,""Name"")), """")"),"Cantabil Retail India Limited")</f>
        <v>Cantabil Retail India Limited</v>
      </c>
      <c r="BX71" s="51">
        <f>IFERROR(__xludf.DUMMYFUNCTION("IFERROR(if(ISBLANK(BV71),"" "",GOOGLEFINANCE(BU71,""price"")), """")"),226.6)</f>
        <v>226.6</v>
      </c>
      <c r="BY71" s="22">
        <f>IFERROR(__xludf.DUMMYFUNCTION("IFERROR(if(ISBLANK(BV71),"" "",GOOGLEFINANCE(BU71,""changepct"")), """")"),-0.44)</f>
        <v>-0.44</v>
      </c>
      <c r="BZ71" s="49"/>
      <c r="CA71" s="37"/>
      <c r="CB71" s="27" t="s">
        <v>1506</v>
      </c>
      <c r="CC71" s="31" t="s">
        <v>200</v>
      </c>
      <c r="CD71" s="32" t="str">
        <f>IFERROR(__xludf.DUMMYFUNCTION("IFERROR(if(ISBLANK(CC71),"" "",GOOGLEFINANCE(CB71,""Name"")), """")"),"Seshasayee Paper and Boards Ltd")</f>
        <v>Seshasayee Paper and Boards Ltd</v>
      </c>
      <c r="CE71" s="51">
        <f>IFERROR(__xludf.DUMMYFUNCTION("IFERROR(if(ISBLANK(CC71),"" "",GOOGLEFINANCE(CB71,""price"")), """")"),231.96)</f>
        <v>231.96</v>
      </c>
      <c r="CF71" s="22">
        <f>IFERROR(__xludf.DUMMYFUNCTION("IFERROR(if(ISBLANK(CC71),"" "",GOOGLEFINANCE(CB71,""changepct"")), """")"),-0.45)</f>
        <v>-0.45</v>
      </c>
      <c r="CG71" s="12"/>
      <c r="CH71" s="18" t="s">
        <v>1507</v>
      </c>
      <c r="CI71" s="31" t="s">
        <v>200</v>
      </c>
      <c r="CJ71" s="32" t="str">
        <f>IFERROR(__xludf.DUMMYFUNCTION("IFERROR(if(ISBLANK(CI71),"" "",GOOGLEFINANCE(CH71,""Name"")), """")"),"Allcargo Global Ltd")</f>
        <v>Allcargo Global Ltd</v>
      </c>
      <c r="CK71" s="51">
        <f>IFERROR(__xludf.DUMMYFUNCTION("IFERROR(if(ISBLANK(CI71),"" "",GOOGLEFINANCE(CH71,""price"")), """")"),14.43)</f>
        <v>14.43</v>
      </c>
      <c r="CL71" s="22">
        <f>IFERROR(__xludf.DUMMYFUNCTION("IFERROR(if(ISBLANK(CI71),"" "",GOOGLEFINANCE(CH71,""changepct"")), """")"),6.26)</f>
        <v>6.26</v>
      </c>
      <c r="CM71" s="12"/>
      <c r="CN71" s="33" t="s">
        <v>1508</v>
      </c>
      <c r="CO71" s="31" t="s">
        <v>200</v>
      </c>
      <c r="CP71" s="32" t="str">
        <f>IFERROR(__xludf.DUMMYFUNCTION("IFERROR(if(ISBLANK(CO71),"" "",GOOGLEFINANCE(CN71,""Name"")), """")"),"Indo Amines Ltd")</f>
        <v>Indo Amines Ltd</v>
      </c>
      <c r="CQ71" s="51">
        <f>IFERROR(__xludf.DUMMYFUNCTION("IFERROR(if(ISBLANK(CO71),"" "",GOOGLEFINANCE(CN71,""price"")), """")"),133.0)</f>
        <v>133</v>
      </c>
      <c r="CR71" s="22">
        <f>IFERROR(__xludf.DUMMYFUNCTION("IFERROR(if(ISBLANK(CO71),"" "",GOOGLEFINANCE(CN71,""changepct"")), """")"),1.26)</f>
        <v>1.26</v>
      </c>
      <c r="CS71" s="45"/>
      <c r="CT71" s="33" t="s">
        <v>1509</v>
      </c>
      <c r="CU71" s="31" t="s">
        <v>200</v>
      </c>
      <c r="CV71" s="32" t="str">
        <f>IFERROR(__xludf.DUMMYFUNCTION("IFERROR(if(ISBLANK(CU71),"" "",GOOGLEFINANCE(CT71,""Name"")), """")"),"Visaka Industries Ltd")</f>
        <v>Visaka Industries Ltd</v>
      </c>
      <c r="CW71" s="51">
        <f>IFERROR(__xludf.DUMMYFUNCTION("IFERROR(if(ISBLANK(CU71),"" "",GOOGLEFINANCE(CT71,""price"")), """")"),99.1)</f>
        <v>99.1</v>
      </c>
      <c r="CX71" s="22">
        <f>IFERROR(__xludf.DUMMYFUNCTION("IFERROR(if(ISBLANK(CU71),"" "",GOOGLEFINANCE(CT71,""changepct"")), """")"),-1.11)</f>
        <v>-1.11</v>
      </c>
      <c r="CY71" s="17"/>
      <c r="CZ71" s="33" t="s">
        <v>1511</v>
      </c>
      <c r="DA71" s="31" t="s">
        <v>200</v>
      </c>
      <c r="DB71" s="32" t="str">
        <f>IFERROR(__xludf.DUMMYFUNCTION("IFERROR(if(ISBLANK(DA71),"" "",GOOGLEFINANCE(CZ71,""Name"")), """")"),"Hitech Corporation Ltd")</f>
        <v>Hitech Corporation Ltd</v>
      </c>
      <c r="DC71" s="51">
        <f>IFERROR(__xludf.DUMMYFUNCTION("IFERROR(if(ISBLANK(DA71),"" "",GOOGLEFINANCE(CZ71,""price"")), """")"),327.1)</f>
        <v>327.1</v>
      </c>
      <c r="DD71" s="22">
        <f>IFERROR(__xludf.DUMMYFUNCTION("IFERROR(if(ISBLANK(DA71),"" "",GOOGLEFINANCE(CZ71,""changepct"")), """")"),1.22)</f>
        <v>1.22</v>
      </c>
      <c r="DE71" s="45"/>
      <c r="DF71" s="12"/>
    </row>
    <row r="72" ht="11.25" customHeight="1">
      <c r="A72" s="62"/>
      <c r="B72" s="18" t="s">
        <v>1512</v>
      </c>
      <c r="C72" s="31" t="s">
        <v>200</v>
      </c>
      <c r="D72" s="32" t="str">
        <f>IFERROR(__xludf.DUMMYFUNCTION("IFERROR(if(ISBLANK(C72),"" "",GOOGLEFINANCE(B72,""Name"")), """")"),"Vodafone Idea Ltd")</f>
        <v>Vodafone Idea Ltd</v>
      </c>
      <c r="E72" s="51">
        <f>IFERROR(__xludf.DUMMYFUNCTION("IFERROR(if(ISBLANK(C72),"" "",GOOGLEFINANCE(B72,""price"")), """")"),13.32)</f>
        <v>13.32</v>
      </c>
      <c r="F72" s="22">
        <f>IFERROR(__xludf.DUMMYFUNCTION("IFERROR(if(ISBLANK(C72),"" "",GOOGLEFINANCE(B72,""changepct"")), """")"),3.34)</f>
        <v>3.34</v>
      </c>
      <c r="G72" s="49"/>
      <c r="H72" s="36"/>
      <c r="I72" s="25" t="s">
        <v>1513</v>
      </c>
      <c r="J72" s="31" t="s">
        <v>200</v>
      </c>
      <c r="K72" s="32" t="str">
        <f>IFERROR(__xludf.DUMMYFUNCTION("IFERROR(if(ISBLANK(J72),"" "",GOOGLEFINANCE(I72,""Name"")), """")"),"Suzlon Energy Ltd")</f>
        <v>Suzlon Energy Ltd</v>
      </c>
      <c r="L72" s="51">
        <f>IFERROR(__xludf.DUMMYFUNCTION("IFERROR(if(ISBLANK(J72),"" "",GOOGLEFINANCE(I72,""price"")), """")"),47.07)</f>
        <v>47.07</v>
      </c>
      <c r="M72" s="22">
        <f>IFERROR(__xludf.DUMMYFUNCTION("IFERROR(if(ISBLANK(J72),"" "",GOOGLEFINANCE(I72,""changepct"")), """")"),-0.91)</f>
        <v>-0.91</v>
      </c>
      <c r="N72" s="49"/>
      <c r="O72" s="37"/>
      <c r="P72" s="27" t="s">
        <v>1514</v>
      </c>
      <c r="Q72" s="31" t="s">
        <v>200</v>
      </c>
      <c r="R72" s="32" t="str">
        <f>IFERROR(__xludf.DUMMYFUNCTION("IFERROR(if(ISBLANK(Q72),"" "",GOOGLEFINANCE(P72,""Name"")), """")"),"Schneider Electric Infrastructure Ltd")</f>
        <v>Schneider Electric Infrastructure Ltd</v>
      </c>
      <c r="S72" s="51">
        <f>IFERROR(__xludf.DUMMYFUNCTION("IFERROR(if(ISBLANK(Q72),"" "",GOOGLEFINANCE(P72,""price"")), """")"),1435.0)</f>
        <v>1435</v>
      </c>
      <c r="T72" s="22">
        <f>IFERROR(__xludf.DUMMYFUNCTION("IFERROR(if(ISBLANK(Q72),"" "",GOOGLEFINANCE(P72,""changepct"")), """")"),2.26)</f>
        <v>2.26</v>
      </c>
      <c r="U72" s="12"/>
      <c r="V72" s="18" t="s">
        <v>1515</v>
      </c>
      <c r="W72" s="31" t="s">
        <v>200</v>
      </c>
      <c r="X72" s="32" t="str">
        <f>IFERROR(__xludf.DUMMYFUNCTION("IFERROR(if(ISBLANK(W72),"" "",GOOGLEFINANCE(V72,""Name"")), """")"),"Great Eastern Shipping Company Ltd")</f>
        <v>Great Eastern Shipping Company Ltd</v>
      </c>
      <c r="Y72" s="51">
        <f>IFERROR(__xludf.DUMMYFUNCTION("IFERROR(if(ISBLANK(W72),"" "",GOOGLEFINANCE(V72,""price"")), """")"),1280.5)</f>
        <v>1280.5</v>
      </c>
      <c r="Z72" s="22">
        <f>IFERROR(__xludf.DUMMYFUNCTION("IFERROR(if(ISBLANK(W72),"" "",GOOGLEFINANCE(V72,""changepct"")), """")"),-0.94)</f>
        <v>-0.94</v>
      </c>
      <c r="AA72" s="12"/>
      <c r="AB72" s="18" t="s">
        <v>1517</v>
      </c>
      <c r="AC72" s="31" t="s">
        <v>200</v>
      </c>
      <c r="AD72" s="32" t="str">
        <f>IFERROR(__xludf.DUMMYFUNCTION("IFERROR(if(ISBLANK(AC72),"" "",GOOGLEFINANCE(AB72,""Name"")), """")"),"Apollo Micro Systems Ltd")</f>
        <v>Apollo Micro Systems Ltd</v>
      </c>
      <c r="AE72" s="51">
        <f>IFERROR(__xludf.DUMMYFUNCTION("IFERROR(if(ISBLANK(AC72),"" "",GOOGLEFINANCE(AB72,""price"")), """")"),379.0)</f>
        <v>379</v>
      </c>
      <c r="AF72" s="22">
        <f>IFERROR(__xludf.DUMMYFUNCTION("IFERROR(if(ISBLANK(AC72),"" "",GOOGLEFINANCE(AB72,""changepct"")), """")"),-2.5)</f>
        <v>-2.5</v>
      </c>
      <c r="AG72" s="45"/>
      <c r="AH72" s="27" t="s">
        <v>1518</v>
      </c>
      <c r="AI72" s="31" t="s">
        <v>200</v>
      </c>
      <c r="AJ72" s="32" t="str">
        <f>IFERROR(__xludf.DUMMYFUNCTION("IFERROR(if(ISBLANK(AI72),"" "",GOOGLEFINANCE(AH72,""Name"")), """")"),"WeWork India Management Ltd")</f>
        <v>WeWork India Management Ltd</v>
      </c>
      <c r="AK72" s="51">
        <f>IFERROR(__xludf.DUMMYFUNCTION("IFERROR(if(ISBLANK(AI72),"" "",GOOGLEFINANCE(AH72,""price"")), """")"),709.45)</f>
        <v>709.45</v>
      </c>
      <c r="AL72" s="22">
        <f>IFERROR(__xludf.DUMMYFUNCTION("IFERROR(if(ISBLANK(AI72),"" "",GOOGLEFINANCE(AH72,""changepct"")), """")"),-1.46)</f>
        <v>-1.46</v>
      </c>
      <c r="AM72" s="30"/>
      <c r="AN72" s="31" t="s">
        <v>200</v>
      </c>
      <c r="AO72" s="32" t="str">
        <f>IFERROR(__xludf.DUMMYFUNCTION("IFERROR(if(ISBLANK(AN72),"" "",GOOGLEFINANCE(AM72,""Name"")), """")"),"")</f>
        <v/>
      </c>
      <c r="AP72" s="33" t="s">
        <v>1519</v>
      </c>
      <c r="AQ72" s="31" t="s">
        <v>200</v>
      </c>
      <c r="AR72" s="32" t="str">
        <f>IFERROR(__xludf.DUMMYFUNCTION("IFERROR(if(ISBLANK(AQ72),"" "",GOOGLEFINANCE(AP72,""Name"")), """")"),"KPI Green Energy Ltd")</f>
        <v>KPI Green Energy Ltd</v>
      </c>
      <c r="AS72" s="51">
        <f>IFERROR(__xludf.DUMMYFUNCTION("IFERROR(if(ISBLANK(AQ72),"" "",GOOGLEFINANCE(AP72,""price"")), """")"),336.6)</f>
        <v>336.6</v>
      </c>
      <c r="AT72" s="22">
        <f>IFERROR(__xludf.DUMMYFUNCTION("IFERROR(if(ISBLANK(AQ72),"" "",GOOGLEFINANCE(AP72,""changepct"")), """")"),-4.08)</f>
        <v>-4.08</v>
      </c>
      <c r="AU72" s="45"/>
      <c r="AV72" s="34" t="s">
        <v>1520</v>
      </c>
      <c r="AW72" s="31" t="s">
        <v>200</v>
      </c>
      <c r="AX72" s="32" t="str">
        <f>IFERROR(__xludf.DUMMYFUNCTION("IFERROR(if(ISBLANK(AW72),"" "",GOOGLEFINANCE(AV72,""Name"")), """")"),"Hindustan Construction Company Ltd")</f>
        <v>Hindustan Construction Company Ltd</v>
      </c>
      <c r="AY72" s="51">
        <f>IFERROR(__xludf.DUMMYFUNCTION("IFERROR(if(ISBLANK(AW72),"" "",GOOGLEFINANCE(AV72,""price"")), """")"),20.12)</f>
        <v>20.12</v>
      </c>
      <c r="AZ72" s="22">
        <f>IFERROR(__xludf.DUMMYFUNCTION("IFERROR(if(ISBLANK(AW72),"" "",GOOGLEFINANCE(AV72,""changepct"")), """")"),0.35)</f>
        <v>0.35</v>
      </c>
      <c r="BA72" s="12"/>
      <c r="BB72" s="33" t="s">
        <v>1521</v>
      </c>
      <c r="BC72" s="31" t="s">
        <v>200</v>
      </c>
      <c r="BD72" s="32" t="str">
        <f>IFERROR(__xludf.DUMMYFUNCTION("IFERROR(if(ISBLANK(BC72),"" "",GOOGLEFINANCE(BB72,""Name"")), """")"),"63 Moons Technologies Ltd")</f>
        <v>63 Moons Technologies Ltd</v>
      </c>
      <c r="BE72" s="51">
        <f>IFERROR(__xludf.DUMMYFUNCTION("IFERROR(if(ISBLANK(BC72),"" "",GOOGLEFINANCE(BB72,""price"")), """")"),879.8)</f>
        <v>879.8</v>
      </c>
      <c r="BF72" s="22">
        <f>IFERROR(__xludf.DUMMYFUNCTION("IFERROR(if(ISBLANK(BC72),"" "",GOOGLEFINANCE(BB72,""changepct"")), """")"),2.46)</f>
        <v>2.46</v>
      </c>
      <c r="BG72" s="12"/>
      <c r="BH72" s="35" t="s">
        <v>1523</v>
      </c>
      <c r="BI72" s="31" t="s">
        <v>200</v>
      </c>
      <c r="BJ72" s="32" t="str">
        <f>IFERROR(__xludf.DUMMYFUNCTION("IFERROR(if(ISBLANK(BI72),"" "",GOOGLEFINANCE(BH72,""Name"")), """")"),"Welspun Specialty Solutions Ltd")</f>
        <v>Welspun Specialty Solutions Ltd</v>
      </c>
      <c r="BK72" s="51">
        <f>IFERROR(__xludf.DUMMYFUNCTION("IFERROR(if(ISBLANK(BI72),"" "",GOOGLEFINANCE(BH72,""price"")), """")"),47.95)</f>
        <v>47.95</v>
      </c>
      <c r="BL72" s="22">
        <f>IFERROR(__xludf.DUMMYFUNCTION("IFERROR(if(ISBLANK(BI72),"" "",GOOGLEFINANCE(BH72,""changepct"")), """")"),-0.27)</f>
        <v>-0.27</v>
      </c>
      <c r="BM72" s="12"/>
      <c r="BN72" s="33" t="s">
        <v>1524</v>
      </c>
      <c r="BO72" s="31" t="s">
        <v>200</v>
      </c>
      <c r="BP72" s="32" t="str">
        <f>IFERROR(__xludf.DUMMYFUNCTION("IFERROR(if(ISBLANK(BO72),"" "",GOOGLEFINANCE(BN72,""Name"")), """")"),"GK Energy Ltd")</f>
        <v>GK Energy Ltd</v>
      </c>
      <c r="BQ72" s="51">
        <f>IFERROR(__xludf.DUMMYFUNCTION("IFERROR(if(ISBLANK(BO72),"" "",GOOGLEFINANCE(BN72,""price"")), """")"),128.6)</f>
        <v>128.6</v>
      </c>
      <c r="BR72" s="22">
        <f>IFERROR(__xludf.DUMMYFUNCTION("IFERROR(if(ISBLANK(BO72),"" "",GOOGLEFINANCE(BN72,""changepct"")), """")"),-1.63)</f>
        <v>-1.63</v>
      </c>
      <c r="BS72" s="49"/>
      <c r="BT72" s="36"/>
      <c r="BU72" s="27" t="s">
        <v>1525</v>
      </c>
      <c r="BV72" s="31" t="s">
        <v>200</v>
      </c>
      <c r="BW72" s="32" t="str">
        <f>IFERROR(__xludf.DUMMYFUNCTION("IFERROR(if(ISBLANK(BV72),"" "",GOOGLEFINANCE(BU72,""Name"")), """")"),"G M Breweries Ltd")</f>
        <v>G M Breweries Ltd</v>
      </c>
      <c r="BX72" s="51">
        <f>IFERROR(__xludf.DUMMYFUNCTION("IFERROR(if(ISBLANK(BV72),"" "",GOOGLEFINANCE(BU72,""price"")), """")"),897.9)</f>
        <v>897.9</v>
      </c>
      <c r="BY72" s="22">
        <f>IFERROR(__xludf.DUMMYFUNCTION("IFERROR(if(ISBLANK(BV72),"" "",GOOGLEFINANCE(BU72,""changepct"")), """")"),-0.23)</f>
        <v>-0.23</v>
      </c>
      <c r="BZ72" s="49"/>
      <c r="CA72" s="37"/>
      <c r="CB72" s="27" t="s">
        <v>1526</v>
      </c>
      <c r="CC72" s="31" t="s">
        <v>200</v>
      </c>
      <c r="CD72" s="32" t="str">
        <f>IFERROR(__xludf.DUMMYFUNCTION("IFERROR(if(ISBLANK(CC72),"" "",GOOGLEFINANCE(CB72,""Name"")), """")"),"Jagsonpal Pharmaceuticals Ltd")</f>
        <v>Jagsonpal Pharmaceuticals Ltd</v>
      </c>
      <c r="CE72" s="51">
        <f>IFERROR(__xludf.DUMMYFUNCTION("IFERROR(if(ISBLANK(CC72),"" "",GOOGLEFINANCE(CB72,""price"")), """")"),225.5)</f>
        <v>225.5</v>
      </c>
      <c r="CF72" s="22">
        <f>IFERROR(__xludf.DUMMYFUNCTION("IFERROR(if(ISBLANK(CC72),"" "",GOOGLEFINANCE(CB72,""changepct"")), """")"),-2.38)</f>
        <v>-2.38</v>
      </c>
      <c r="CG72" s="12"/>
      <c r="CH72" s="18" t="s">
        <v>1527</v>
      </c>
      <c r="CI72" s="31" t="s">
        <v>200</v>
      </c>
      <c r="CJ72" s="32" t="str">
        <f>IFERROR(__xludf.DUMMYFUNCTION("IFERROR(if(ISBLANK(CI72),"" "",GOOGLEFINANCE(CH72,""Name"")), """")"),"Dolat Algotech Ltd")</f>
        <v>Dolat Algotech Ltd</v>
      </c>
      <c r="CK72" s="51">
        <f>IFERROR(__xludf.DUMMYFUNCTION("IFERROR(if(ISBLANK(CI72),"" "",GOOGLEFINANCE(CH72,""price"")), """")"),69.79)</f>
        <v>69.79</v>
      </c>
      <c r="CL72" s="22">
        <f>IFERROR(__xludf.DUMMYFUNCTION("IFERROR(if(ISBLANK(CI72),"" "",GOOGLEFINANCE(CH72,""changepct"")), """")"),-0.56)</f>
        <v>-0.56</v>
      </c>
      <c r="CM72" s="12"/>
      <c r="CN72" s="33" t="s">
        <v>1528</v>
      </c>
      <c r="CO72" s="31" t="s">
        <v>200</v>
      </c>
      <c r="CP72" s="32" t="str">
        <f>IFERROR(__xludf.DUMMYFUNCTION("IFERROR(if(ISBLANK(CO72),"" "",GOOGLEFINANCE(CN72,""Name"")), """")"),"MIC Electronics Ltd")</f>
        <v>MIC Electronics Ltd</v>
      </c>
      <c r="CQ72" s="51">
        <f>IFERROR(__xludf.DUMMYFUNCTION("IFERROR(if(ISBLANK(CO72),"" "",GOOGLEFINANCE(CN72,""price"")), """")"),36.15)</f>
        <v>36.15</v>
      </c>
      <c r="CR72" s="22">
        <f>IFERROR(__xludf.DUMMYFUNCTION("IFERROR(if(ISBLANK(CO72),"" "",GOOGLEFINANCE(CN72,""changepct"")), """")"),-0.8)</f>
        <v>-0.8</v>
      </c>
      <c r="CS72" s="45"/>
      <c r="CT72" s="33" t="s">
        <v>1529</v>
      </c>
      <c r="CU72" s="31" t="s">
        <v>200</v>
      </c>
      <c r="CV72" s="32" t="str">
        <f>IFERROR(__xludf.DUMMYFUNCTION("IFERROR(if(ISBLANK(CU72),"" "",GOOGLEFINANCE(CT72,""Name"")), """")"),"Lokesh Machines Ltd")</f>
        <v>Lokesh Machines Ltd</v>
      </c>
      <c r="CW72" s="51">
        <f>IFERROR(__xludf.DUMMYFUNCTION("IFERROR(if(ISBLANK(CU72),"" "",GOOGLEFINANCE(CT72,""price"")), """")"),348.5)</f>
        <v>348.5</v>
      </c>
      <c r="CX72" s="22">
        <f>IFERROR(__xludf.DUMMYFUNCTION("IFERROR(if(ISBLANK(CU72),"" "",GOOGLEFINANCE(CT72,""changepct"")), """")"),-1.55)</f>
        <v>-1.55</v>
      </c>
      <c r="CY72" s="17"/>
      <c r="CZ72" s="33" t="s">
        <v>1530</v>
      </c>
      <c r="DA72" s="31" t="s">
        <v>200</v>
      </c>
      <c r="DB72" s="32" t="str">
        <f>IFERROR(__xludf.DUMMYFUNCTION("IFERROR(if(ISBLANK(DA72),"" "",GOOGLEFINANCE(CZ72,""Name"")), """")"),"Munjal Showa Ltd")</f>
        <v>Munjal Showa Ltd</v>
      </c>
      <c r="DC72" s="51">
        <f>IFERROR(__xludf.DUMMYFUNCTION("IFERROR(if(ISBLANK(DA72),"" "",GOOGLEFINANCE(CZ72,""price"")), """")"),132.1)</f>
        <v>132.1</v>
      </c>
      <c r="DD72" s="22">
        <f>IFERROR(__xludf.DUMMYFUNCTION("IFERROR(if(ISBLANK(DA72),"" "",GOOGLEFINANCE(CZ72,""changepct"")), """")"),-2.08)</f>
        <v>-2.08</v>
      </c>
      <c r="DE72" s="45"/>
      <c r="DF72" s="12"/>
    </row>
    <row r="73" ht="11.25" customHeight="1">
      <c r="A73" s="62"/>
      <c r="B73" s="18" t="s">
        <v>1531</v>
      </c>
      <c r="C73" s="31" t="s">
        <v>200</v>
      </c>
      <c r="D73" s="32" t="str">
        <f>IFERROR(__xludf.DUMMYFUNCTION("IFERROR(if(ISBLANK(C73),"" "",GOOGLEFINANCE(B73,""Name"")), """")"),"Power Finance Corporation Ltd")</f>
        <v>Power Finance Corporation Ltd</v>
      </c>
      <c r="E73" s="51">
        <f>IFERROR(__xludf.DUMMYFUNCTION("IFERROR(if(ISBLANK(C73),"" "",GOOGLEFINANCE(B73,""price"")), """")"),376.5)</f>
        <v>376.5</v>
      </c>
      <c r="F73" s="22">
        <f>IFERROR(__xludf.DUMMYFUNCTION("IFERROR(if(ISBLANK(C73),"" "",GOOGLEFINANCE(B73,""changepct"")), """")"),-1.18)</f>
        <v>-1.18</v>
      </c>
      <c r="G73" s="49"/>
      <c r="H73" s="36"/>
      <c r="I73" s="25" t="s">
        <v>1532</v>
      </c>
      <c r="J73" s="31" t="s">
        <v>200</v>
      </c>
      <c r="K73" s="32" t="str">
        <f>IFERROR(__xludf.DUMMYFUNCTION("IFERROR(if(ISBLANK(J73),"" "",GOOGLEFINANCE(I73,""Name"")), """")"),"Indian Overseas Bank")</f>
        <v>Indian Overseas Bank</v>
      </c>
      <c r="L73" s="51">
        <f>IFERROR(__xludf.DUMMYFUNCTION("IFERROR(if(ISBLANK(J73),"" "",GOOGLEFINANCE(I73,""price"")), """")"),33.9)</f>
        <v>33.9</v>
      </c>
      <c r="M73" s="22">
        <f>IFERROR(__xludf.DUMMYFUNCTION("IFERROR(if(ISBLANK(J73),"" "",GOOGLEFINANCE(I73,""changepct"")), """")"),-0.91)</f>
        <v>-0.91</v>
      </c>
      <c r="N73" s="49"/>
      <c r="O73" s="37"/>
      <c r="P73" s="27" t="s">
        <v>1534</v>
      </c>
      <c r="Q73" s="31" t="s">
        <v>200</v>
      </c>
      <c r="R73" s="32" t="str">
        <f>IFERROR(__xludf.DUMMYFUNCTION("IFERROR(if(ISBLANK(Q73),"" "",GOOGLEFINANCE(P73,""Name"")), """")"),"Aegis Vopak Terminals Ltd")</f>
        <v>Aegis Vopak Terminals Ltd</v>
      </c>
      <c r="S73" s="51">
        <f>IFERROR(__xludf.DUMMYFUNCTION("IFERROR(if(ISBLANK(Q73),"" "",GOOGLEFINANCE(P73,""price"")), """")"),275.35)</f>
        <v>275.35</v>
      </c>
      <c r="T73" s="22">
        <f>IFERROR(__xludf.DUMMYFUNCTION("IFERROR(if(ISBLANK(Q73),"" "",GOOGLEFINANCE(P73,""changepct"")), """")"),-1.85)</f>
        <v>-1.85</v>
      </c>
      <c r="U73" s="12"/>
      <c r="V73" s="18" t="s">
        <v>1535</v>
      </c>
      <c r="W73" s="31" t="s">
        <v>200</v>
      </c>
      <c r="X73" s="32" t="str">
        <f>IFERROR(__xludf.DUMMYFUNCTION("IFERROR(if(ISBLANK(W73),"" "",GOOGLEFINANCE(V73,""Name"")), """")"),"Caplin Point Laboratories Ltd")</f>
        <v>Caplin Point Laboratories Ltd</v>
      </c>
      <c r="Y73" s="51">
        <f>IFERROR(__xludf.DUMMYFUNCTION("IFERROR(if(ISBLANK(W73),"" "",GOOGLEFINANCE(V73,""price"")), """")"),2460.0)</f>
        <v>2460</v>
      </c>
      <c r="Z73" s="22">
        <f>IFERROR(__xludf.DUMMYFUNCTION("IFERROR(if(ISBLANK(W73),"" "",GOOGLEFINANCE(V73,""changepct"")), """")"),-6.45)</f>
        <v>-6.45</v>
      </c>
      <c r="AA73" s="12"/>
      <c r="AB73" s="18" t="s">
        <v>1536</v>
      </c>
      <c r="AC73" s="31" t="s">
        <v>200</v>
      </c>
      <c r="AD73" s="32" t="str">
        <f>IFERROR(__xludf.DUMMYFUNCTION("IFERROR(if(ISBLANK(AC73),"" "",GOOGLEFINANCE(AB73,""Name"")), """")"),"Canara HSBC Life Insurance Company Ltd")</f>
        <v>Canara HSBC Life Insurance Company Ltd</v>
      </c>
      <c r="AE73" s="51">
        <f>IFERROR(__xludf.DUMMYFUNCTION("IFERROR(if(ISBLANK(AC73),"" "",GOOGLEFINANCE(AB73,""price"")), """")"),147.9)</f>
        <v>147.9</v>
      </c>
      <c r="AF73" s="22">
        <f>IFERROR(__xludf.DUMMYFUNCTION("IFERROR(if(ISBLANK(AC73),"" "",GOOGLEFINANCE(AB73,""changepct"")), """")"),-0.97)</f>
        <v>-0.97</v>
      </c>
      <c r="AG73" s="45"/>
      <c r="AH73" s="27" t="s">
        <v>1538</v>
      </c>
      <c r="AI73" s="31" t="s">
        <v>200</v>
      </c>
      <c r="AJ73" s="32" t="str">
        <f>IFERROR(__xludf.DUMMYFUNCTION("IFERROR(if(ISBLANK(AI73),"" "",GOOGLEFINANCE(AH73,""Name"")), """")"),"Time Technoplast Ltd")</f>
        <v>Time Technoplast Ltd</v>
      </c>
      <c r="AK73" s="51">
        <f>IFERROR(__xludf.DUMMYFUNCTION("IFERROR(if(ISBLANK(AI73),"" "",GOOGLEFINANCE(AH73,""price"")), """")"),208.1)</f>
        <v>208.1</v>
      </c>
      <c r="AL73" s="22">
        <f>IFERROR(__xludf.DUMMYFUNCTION("IFERROR(if(ISBLANK(AI73),"" "",GOOGLEFINANCE(AH73,""changepct"")), """")"),0.4)</f>
        <v>0.4</v>
      </c>
      <c r="AM73" s="30"/>
      <c r="AN73" s="31" t="s">
        <v>200</v>
      </c>
      <c r="AO73" s="32" t="str">
        <f>IFERROR(__xludf.DUMMYFUNCTION("IFERROR(if(ISBLANK(AN73),"" "",GOOGLEFINANCE(AM73,""Name"")), """")"),"")</f>
        <v/>
      </c>
      <c r="AP73" s="33" t="s">
        <v>1539</v>
      </c>
      <c r="AQ73" s="31" t="s">
        <v>200</v>
      </c>
      <c r="AR73" s="32" t="str">
        <f>IFERROR(__xludf.DUMMYFUNCTION("IFERROR(if(ISBLANK(AQ73),"" "",GOOGLEFINANCE(AP73,""Name"")), """")"),"Aditya Birla Fashion and Retail Ltd")</f>
        <v>Aditya Birla Fashion and Retail Ltd</v>
      </c>
      <c r="AS73" s="51">
        <f>IFERROR(__xludf.DUMMYFUNCTION("IFERROR(if(ISBLANK(AQ73),"" "",GOOGLEFINANCE(AP73,""price"")), """")"),57.25)</f>
        <v>57.25</v>
      </c>
      <c r="AT73" s="22">
        <f>IFERROR(__xludf.DUMMYFUNCTION("IFERROR(if(ISBLANK(AQ73),"" "",GOOGLEFINANCE(AP73,""changepct"")), """")"),-2.35)</f>
        <v>-2.35</v>
      </c>
      <c r="AU73" s="45"/>
      <c r="AV73" s="34" t="s">
        <v>1540</v>
      </c>
      <c r="AW73" s="31" t="s">
        <v>200</v>
      </c>
      <c r="AX73" s="32" t="str">
        <f>IFERROR(__xludf.DUMMYFUNCTION("IFERROR(if(ISBLANK(AW73),"" "",GOOGLEFINANCE(AV73,""Name"")), """")"),"Seshaasai Technologies Ltd")</f>
        <v>Seshaasai Technologies Ltd</v>
      </c>
      <c r="AY73" s="51">
        <f>IFERROR(__xludf.DUMMYFUNCTION("IFERROR(if(ISBLANK(AW73),"" "",GOOGLEFINANCE(AV73,""price"")), """")"),411.5)</f>
        <v>411.5</v>
      </c>
      <c r="AZ73" s="22">
        <f>IFERROR(__xludf.DUMMYFUNCTION("IFERROR(if(ISBLANK(AW73),"" "",GOOGLEFINANCE(AV73,""changepct"")), """")"),-0.23)</f>
        <v>-0.23</v>
      </c>
      <c r="BA73" s="12"/>
      <c r="BB73" s="33" t="s">
        <v>1541</v>
      </c>
      <c r="BC73" s="31" t="s">
        <v>200</v>
      </c>
      <c r="BD73" s="32" t="str">
        <f>IFERROR(__xludf.DUMMYFUNCTION("IFERROR(if(ISBLANK(BC73),"" "",GOOGLEFINANCE(BB73,""Name"")), """")"),"Raymond Realty Ltd")</f>
        <v>Raymond Realty Ltd</v>
      </c>
      <c r="BE73" s="51">
        <f>IFERROR(__xludf.DUMMYFUNCTION("IFERROR(if(ISBLANK(BC73),"" "",GOOGLEFINANCE(BB73,""price"")), """")"),580.0)</f>
        <v>580</v>
      </c>
      <c r="BF73" s="22">
        <f>IFERROR(__xludf.DUMMYFUNCTION("IFERROR(if(ISBLANK(BC73),"" "",GOOGLEFINANCE(BB73,""changepct"")), """")"),-4.81)</f>
        <v>-4.81</v>
      </c>
      <c r="BG73" s="12"/>
      <c r="BH73" s="35" t="s">
        <v>1542</v>
      </c>
      <c r="BI73" s="31" t="s">
        <v>200</v>
      </c>
      <c r="BJ73" s="32" t="str">
        <f>IFERROR(__xludf.DUMMYFUNCTION("IFERROR(if(ISBLANK(BI73),"" "",GOOGLEFINANCE(BH73,""Name"")), """")"),"Gopal Snacks Ltd")</f>
        <v>Gopal Snacks Ltd</v>
      </c>
      <c r="BK73" s="51">
        <f>IFERROR(__xludf.DUMMYFUNCTION("IFERROR(if(ISBLANK(BI73),"" "",GOOGLEFINANCE(BH73,""price"")), """")"),274.35)</f>
        <v>274.35</v>
      </c>
      <c r="BL73" s="22">
        <f>IFERROR(__xludf.DUMMYFUNCTION("IFERROR(if(ISBLANK(BI73),"" "",GOOGLEFINANCE(BH73,""changepct"")), """")"),0.46)</f>
        <v>0.46</v>
      </c>
      <c r="BM73" s="12"/>
      <c r="BN73" s="33" t="s">
        <v>1543</v>
      </c>
      <c r="BO73" s="31" t="s">
        <v>200</v>
      </c>
      <c r="BP73" s="32" t="str">
        <f>IFERROR(__xludf.DUMMYFUNCTION("IFERROR(if(ISBLANK(BO73),"" "",GOOGLEFINANCE(BN73,""Name"")), """")"),"Ramky Infrastructure Ltd")</f>
        <v>Ramky Infrastructure Ltd</v>
      </c>
      <c r="BQ73" s="51">
        <f>IFERROR(__xludf.DUMMYFUNCTION("IFERROR(if(ISBLANK(BO73),"" "",GOOGLEFINANCE(BN73,""price"")), """")"),387.7)</f>
        <v>387.7</v>
      </c>
      <c r="BR73" s="22">
        <f>IFERROR(__xludf.DUMMYFUNCTION("IFERROR(if(ISBLANK(BO73),"" "",GOOGLEFINANCE(BN73,""changepct"")), """")"),-2.16)</f>
        <v>-2.16</v>
      </c>
      <c r="BS73" s="49"/>
      <c r="BT73" s="36"/>
      <c r="BU73" s="27" t="s">
        <v>1545</v>
      </c>
      <c r="BV73" s="31" t="s">
        <v>200</v>
      </c>
      <c r="BW73" s="32" t="str">
        <f>IFERROR(__xludf.DUMMYFUNCTION("IFERROR(if(ISBLANK(BV73),"" "",GOOGLEFINANCE(BU73,""Name"")), """")"),"Ujaas Energy Ltd")</f>
        <v>Ujaas Energy Ltd</v>
      </c>
      <c r="BX73" s="51">
        <f>IFERROR(__xludf.DUMMYFUNCTION("IFERROR(if(ISBLANK(BV73),"" "",GOOGLEFINANCE(BU73,""price"")), """")"),259.47)</f>
        <v>259.47</v>
      </c>
      <c r="BY73" s="22">
        <f>IFERROR(__xludf.DUMMYFUNCTION("IFERROR(if(ISBLANK(BV73),"" "",GOOGLEFINANCE(BU73,""changepct"")), """")"),-5.0)</f>
        <v>-5</v>
      </c>
      <c r="BZ73" s="49"/>
      <c r="CA73" s="37"/>
      <c r="CB73" s="27" t="s">
        <v>1546</v>
      </c>
      <c r="CC73" s="31" t="s">
        <v>200</v>
      </c>
      <c r="CD73" s="32" t="str">
        <f>IFERROR(__xludf.DUMMYFUNCTION("IFERROR(if(ISBLANK(CC73),"" "",GOOGLEFINANCE(CB73,""Name"")), """")"),"PNB Gilts Ltd")</f>
        <v>PNB Gilts Ltd</v>
      </c>
      <c r="CE73" s="51">
        <f>IFERROR(__xludf.DUMMYFUNCTION("IFERROR(if(ISBLANK(CC73),"" "",GOOGLEFINANCE(CB73,""price"")), """")"),80.2)</f>
        <v>80.2</v>
      </c>
      <c r="CF73" s="22">
        <f>IFERROR(__xludf.DUMMYFUNCTION("IFERROR(if(ISBLANK(CC73),"" "",GOOGLEFINANCE(CB73,""changepct"")), """")"),0.09)</f>
        <v>0.09</v>
      </c>
      <c r="CG73" s="12"/>
      <c r="CH73" s="18" t="s">
        <v>1547</v>
      </c>
      <c r="CI73" s="31" t="s">
        <v>200</v>
      </c>
      <c r="CJ73" s="32" t="str">
        <f>IFERROR(__xludf.DUMMYFUNCTION("IFERROR(if(ISBLANK(CI73),"" "",GOOGLEFINANCE(CH73,""Name"")), """")"),"Everest Kanto Cylinder Ltd")</f>
        <v>Everest Kanto Cylinder Ltd</v>
      </c>
      <c r="CK73" s="51">
        <f>IFERROR(__xludf.DUMMYFUNCTION("IFERROR(if(ISBLANK(CI73),"" "",GOOGLEFINANCE(CH73,""price"")), """")"),111.5)</f>
        <v>111.5</v>
      </c>
      <c r="CL73" s="22">
        <f>IFERROR(__xludf.DUMMYFUNCTION("IFERROR(if(ISBLANK(CI73),"" "",GOOGLEFINANCE(CH73,""changepct"")), """")"),-1.87)</f>
        <v>-1.87</v>
      </c>
      <c r="CM73" s="12"/>
      <c r="CN73" s="33" t="s">
        <v>1548</v>
      </c>
      <c r="CO73" s="31" t="s">
        <v>200</v>
      </c>
      <c r="CP73" s="32" t="str">
        <f>IFERROR(__xludf.DUMMYFUNCTION("IFERROR(if(ISBLANK(CO73),"" "",GOOGLEFINANCE(CN73,""Name"")), """")"),"Krishival Foods Ltd")</f>
        <v>Krishival Foods Ltd</v>
      </c>
      <c r="CQ73" s="51">
        <f>IFERROR(__xludf.DUMMYFUNCTION("IFERROR(if(ISBLANK(CO73),"" "",GOOGLEFINANCE(CN73,""price"")), """")"),405.0)</f>
        <v>405</v>
      </c>
      <c r="CR73" s="22">
        <f>IFERROR(__xludf.DUMMYFUNCTION("IFERROR(if(ISBLANK(CO73),"" "",GOOGLEFINANCE(CN73,""changepct"")), """")"),0.71)</f>
        <v>0.71</v>
      </c>
      <c r="CS73" s="45"/>
      <c r="CT73" s="33" t="s">
        <v>1549</v>
      </c>
      <c r="CU73" s="31" t="s">
        <v>200</v>
      </c>
      <c r="CV73" s="32" t="str">
        <f>IFERROR(__xludf.DUMMYFUNCTION("IFERROR(if(ISBLANK(CU73),"" "",GOOGLEFINANCE(CT73,""Name"")), """")"),"Xchanging Solutions Ltd")</f>
        <v>Xchanging Solutions Ltd</v>
      </c>
      <c r="CW73" s="51">
        <f>IFERROR(__xludf.DUMMYFUNCTION("IFERROR(if(ISBLANK(CU73),"" "",GOOGLEFINANCE(CT73,""price"")), """")"),67.4)</f>
        <v>67.4</v>
      </c>
      <c r="CX73" s="22">
        <f>IFERROR(__xludf.DUMMYFUNCTION("IFERROR(if(ISBLANK(CU73),"" "",GOOGLEFINANCE(CT73,""changepct"")), """")"),-1.52)</f>
        <v>-1.52</v>
      </c>
      <c r="CY73" s="17"/>
      <c r="CZ73" s="33" t="s">
        <v>1550</v>
      </c>
      <c r="DA73" s="31" t="s">
        <v>200</v>
      </c>
      <c r="DB73" s="32" t="str">
        <f>IFERROR(__xludf.DUMMYFUNCTION("IFERROR(if(ISBLANK(DA73),"" "",GOOGLEFINANCE(CZ73,""Name"")), """")"),"Repro India Ltd")</f>
        <v>Repro India Ltd</v>
      </c>
      <c r="DC73" s="51">
        <f>IFERROR(__xludf.DUMMYFUNCTION("IFERROR(if(ISBLANK(DA73),"" "",GOOGLEFINANCE(CZ73,""price"")), """")"),316.2)</f>
        <v>316.2</v>
      </c>
      <c r="DD73" s="22">
        <f>IFERROR(__xludf.DUMMYFUNCTION("IFERROR(if(ISBLANK(DA73),"" "",GOOGLEFINANCE(CZ73,""changepct"")), """")"),-4.8)</f>
        <v>-4.8</v>
      </c>
      <c r="DE73" s="45"/>
      <c r="DF73" s="12"/>
    </row>
    <row r="74" ht="11.25" customHeight="1">
      <c r="A74" s="62"/>
      <c r="B74" s="18" t="s">
        <v>1551</v>
      </c>
      <c r="C74" s="31" t="s">
        <v>200</v>
      </c>
      <c r="D74" s="32" t="str">
        <f>IFERROR(__xludf.DUMMYFUNCTION("IFERROR(if(ISBLANK(C74),"" "",GOOGLEFINANCE(B74,""Name"")), """")"),"Bharat Petroleum Corporation Ltd")</f>
        <v>Bharat Petroleum Corporation Ltd</v>
      </c>
      <c r="E74" s="51">
        <f>IFERROR(__xludf.DUMMYFUNCTION("IFERROR(if(ISBLANK(C74),"" "",GOOGLEFINANCE(B74,""price"")), """")"),314.35)</f>
        <v>314.35</v>
      </c>
      <c r="F74" s="22">
        <f>IFERROR(__xludf.DUMMYFUNCTION("IFERROR(if(ISBLANK(C74),"" "",GOOGLEFINANCE(B74,""changepct"")), """")"),-1.09)</f>
        <v>-1.09</v>
      </c>
      <c r="G74" s="49"/>
      <c r="H74" s="36"/>
      <c r="I74" s="25" t="s">
        <v>1552</v>
      </c>
      <c r="J74" s="31" t="s">
        <v>200</v>
      </c>
      <c r="K74" s="32" t="str">
        <f>IFERROR(__xludf.DUMMYFUNCTION("IFERROR(if(ISBLANK(J74),"" "",GOOGLEFINANCE(I74,""Name"")), """")"),"National Aluminium Co Ltd")</f>
        <v>National Aluminium Co Ltd</v>
      </c>
      <c r="L74" s="51">
        <f>IFERROR(__xludf.DUMMYFUNCTION("IFERROR(if(ISBLANK(J74),"" "",GOOGLEFINANCE(I74,""price"")), """")"),418.8)</f>
        <v>418.8</v>
      </c>
      <c r="M74" s="22">
        <f>IFERROR(__xludf.DUMMYFUNCTION("IFERROR(if(ISBLANK(J74),"" "",GOOGLEFINANCE(I74,""changepct"")), """")"),7.94)</f>
        <v>7.94</v>
      </c>
      <c r="N74" s="49"/>
      <c r="O74" s="37"/>
      <c r="P74" s="27" t="s">
        <v>1553</v>
      </c>
      <c r="Q74" s="31" t="s">
        <v>200</v>
      </c>
      <c r="R74" s="32" t="str">
        <f>IFERROR(__xludf.DUMMYFUNCTION("IFERROR(if(ISBLANK(Q74),"" "",GOOGLEFINANCE(P74,""Name"")), """")"),"Dr. Lal PathLabs Ltd")</f>
        <v>Dr. Lal PathLabs Ltd</v>
      </c>
      <c r="S74" s="51">
        <f>IFERROR(__xludf.DUMMYFUNCTION("IFERROR(if(ISBLANK(Q74),"" "",GOOGLEFINANCE(P74,""price"")), """")"),1950.0)</f>
        <v>1950</v>
      </c>
      <c r="T74" s="22">
        <f>IFERROR(__xludf.DUMMYFUNCTION("IFERROR(if(ISBLANK(Q74),"" "",GOOGLEFINANCE(P74,""changepct"")), """")"),0.01)</f>
        <v>0.01</v>
      </c>
      <c r="U74" s="12"/>
      <c r="V74" s="18" t="s">
        <v>1554</v>
      </c>
      <c r="W74" s="31" t="s">
        <v>200</v>
      </c>
      <c r="X74" s="32" t="str">
        <f>IFERROR(__xludf.DUMMYFUNCTION("IFERROR(if(ISBLANK(W74),"" "",GOOGLEFINANCE(V74,""Name"")), """")"),"Triveni Turbine Ltd")</f>
        <v>Triveni Turbine Ltd</v>
      </c>
      <c r="Y74" s="51">
        <f>IFERROR(__xludf.DUMMYFUNCTION("IFERROR(if(ISBLANK(W74),"" "",GOOGLEFINANCE(V74,""price"")), """")"),584.0)</f>
        <v>584</v>
      </c>
      <c r="Z74" s="22">
        <f>IFERROR(__xludf.DUMMYFUNCTION("IFERROR(if(ISBLANK(W74),"" "",GOOGLEFINANCE(V74,""changepct"")), """")"),-2.72)</f>
        <v>-2.72</v>
      </c>
      <c r="AA74" s="12"/>
      <c r="AB74" s="18" t="s">
        <v>1555</v>
      </c>
      <c r="AC74" s="31" t="s">
        <v>200</v>
      </c>
      <c r="AD74" s="32" t="str">
        <f>IFERROR(__xludf.DUMMYFUNCTION("IFERROR(if(ISBLANK(AC74),"" "",GOOGLEFINANCE(AB74,""Name"")), """")"),"Vedanta Oil and Gas Ltd")</f>
        <v>Vedanta Oil and Gas Ltd</v>
      </c>
      <c r="AE74" s="51">
        <f>IFERROR(__xludf.DUMMYFUNCTION("IFERROR(if(ISBLANK(AC74),"" "",GOOGLEFINANCE(AB74,""price"")), """")"),38.25)</f>
        <v>38.25</v>
      </c>
      <c r="AF74" s="22">
        <f>IFERROR(__xludf.DUMMYFUNCTION("IFERROR(if(ISBLANK(AC74),"" "",GOOGLEFINANCE(AB74,""changepct"")), """")"),-3.58)</f>
        <v>-3.58</v>
      </c>
      <c r="AG74" s="45"/>
      <c r="AH74" s="27" t="s">
        <v>1556</v>
      </c>
      <c r="AI74" s="31" t="s">
        <v>200</v>
      </c>
      <c r="AJ74" s="32" t="str">
        <f>IFERROR(__xludf.DUMMYFUNCTION("IFERROR(if(ISBLANK(AI74),"" "",GOOGLEFINANCE(AH74,""Name"")), """")"),"Rites Ltd")</f>
        <v>Rites Ltd</v>
      </c>
      <c r="AK74" s="51">
        <f>IFERROR(__xludf.DUMMYFUNCTION("IFERROR(if(ISBLANK(AI74),"" "",GOOGLEFINANCE(AH74,""price"")), """")"),223.5)</f>
        <v>223.5</v>
      </c>
      <c r="AL74" s="22">
        <f>IFERROR(__xludf.DUMMYFUNCTION("IFERROR(if(ISBLANK(AI74),"" "",GOOGLEFINANCE(AH74,""changepct"")), """")"),-1.4)</f>
        <v>-1.4</v>
      </c>
      <c r="AM74" s="30"/>
      <c r="AN74" s="31" t="s">
        <v>200</v>
      </c>
      <c r="AO74" s="32" t="str">
        <f>IFERROR(__xludf.DUMMYFUNCTION("IFERROR(if(ISBLANK(AN74),"" "",GOOGLEFINANCE(AM74,""Name"")), """")"),"")</f>
        <v/>
      </c>
      <c r="AP74" s="33" t="s">
        <v>1557</v>
      </c>
      <c r="AQ74" s="31" t="s">
        <v>200</v>
      </c>
      <c r="AR74" s="32" t="str">
        <f>IFERROR(__xludf.DUMMYFUNCTION("IFERROR(if(ISBLANK(AQ74),"" "",GOOGLEFINANCE(AP74,""Name"")), """")"),"RedTape")</f>
        <v>RedTape</v>
      </c>
      <c r="AS74" s="51">
        <f>IFERROR(__xludf.DUMMYFUNCTION("IFERROR(if(ISBLANK(AQ74),"" "",GOOGLEFINANCE(AP74,""price"")), """")"),126.63)</f>
        <v>126.63</v>
      </c>
      <c r="AT74" s="22">
        <f>IFERROR(__xludf.DUMMYFUNCTION("IFERROR(if(ISBLANK(AQ74),"" "",GOOGLEFINANCE(AP74,""changepct"")), """")"),-0.75)</f>
        <v>-0.75</v>
      </c>
      <c r="AU74" s="45"/>
      <c r="AV74" s="34" t="s">
        <v>1559</v>
      </c>
      <c r="AW74" s="31" t="s">
        <v>200</v>
      </c>
      <c r="AX74" s="32" t="str">
        <f>IFERROR(__xludf.DUMMYFUNCTION("IFERROR(if(ISBLANK(AW74),"" "",GOOGLEFINANCE(AV74,""Name"")), """")"),"Nirlon Ltd")</f>
        <v>Nirlon Ltd</v>
      </c>
      <c r="AY74" s="51">
        <f>IFERROR(__xludf.DUMMYFUNCTION("IFERROR(if(ISBLANK(AW74),"" "",GOOGLEFINANCE(AV74,""price"")), """")"),640.0)</f>
        <v>640</v>
      </c>
      <c r="AZ74" s="22">
        <f>IFERROR(__xludf.DUMMYFUNCTION("IFERROR(if(ISBLANK(AW74),"" "",GOOGLEFINANCE(AV74,""changepct"")), """")"),-0.02)</f>
        <v>-0.02</v>
      </c>
      <c r="BA74" s="12"/>
      <c r="BB74" s="33" t="s">
        <v>1560</v>
      </c>
      <c r="BC74" s="31" t="s">
        <v>200</v>
      </c>
      <c r="BD74" s="32" t="str">
        <f>IFERROR(__xludf.DUMMYFUNCTION("IFERROR(if(ISBLANK(BC74),"" "",GOOGLEFINANCE(BB74,""Name"")), """")"),"John Cockerill India Ltd")</f>
        <v>John Cockerill India Ltd</v>
      </c>
      <c r="BE74" s="51">
        <f>IFERROR(__xludf.DUMMYFUNCTION("IFERROR(if(ISBLANK(BC74),"" "",GOOGLEFINANCE(BB74,""price"")), """")"),9696.0)</f>
        <v>9696</v>
      </c>
      <c r="BF74" s="22">
        <f>IFERROR(__xludf.DUMMYFUNCTION("IFERROR(if(ISBLANK(BC74),"" "",GOOGLEFINANCE(BB74,""changepct"")), """")"),0.36)</f>
        <v>0.36</v>
      </c>
      <c r="BG74" s="12"/>
      <c r="BH74" s="35" t="s">
        <v>1561</v>
      </c>
      <c r="BI74" s="31" t="s">
        <v>200</v>
      </c>
      <c r="BJ74" s="32" t="str">
        <f>IFERROR(__xludf.DUMMYFUNCTION("IFERROR(if(ISBLANK(BI74),"" "",GOOGLEFINANCE(BH74,""Name"")), """")"),"Fusion Finance Ltd")</f>
        <v>Fusion Finance Ltd</v>
      </c>
      <c r="BK74" s="51">
        <f>IFERROR(__xludf.DUMMYFUNCTION("IFERROR(if(ISBLANK(BI74),"" "",GOOGLEFINANCE(BH74,""price"")), """")"),203.7)</f>
        <v>203.7</v>
      </c>
      <c r="BL74" s="22">
        <f>IFERROR(__xludf.DUMMYFUNCTION("IFERROR(if(ISBLANK(BI74),"" "",GOOGLEFINANCE(BH74,""changepct"")), """")"),-3.96)</f>
        <v>-3.96</v>
      </c>
      <c r="BM74" s="12"/>
      <c r="BN74" s="33" t="s">
        <v>1562</v>
      </c>
      <c r="BO74" s="31" t="s">
        <v>200</v>
      </c>
      <c r="BP74" s="32" t="str">
        <f>IFERROR(__xludf.DUMMYFUNCTION("IFERROR(if(ISBLANK(BO74),"" "",GOOGLEFINANCE(BN74,""Name"")), """")"),"Arkade Developers Ltd")</f>
        <v>Arkade Developers Ltd</v>
      </c>
      <c r="BQ74" s="51">
        <f>IFERROR(__xludf.DUMMYFUNCTION("IFERROR(if(ISBLANK(BO74),"" "",GOOGLEFINANCE(BN74,""price"")), """")"),130.0)</f>
        <v>130</v>
      </c>
      <c r="BR74" s="22">
        <f>IFERROR(__xludf.DUMMYFUNCTION("IFERROR(if(ISBLANK(BO74),"" "",GOOGLEFINANCE(BN74,""changepct"")), """")"),-2.96)</f>
        <v>-2.96</v>
      </c>
      <c r="BS74" s="49"/>
      <c r="BT74" s="36"/>
      <c r="BU74" s="27" t="s">
        <v>1563</v>
      </c>
      <c r="BV74" s="31" t="s">
        <v>200</v>
      </c>
      <c r="BW74" s="32" t="str">
        <f>IFERROR(__xludf.DUMMYFUNCTION("IFERROR(if(ISBLANK(BV74),"" "",GOOGLEFINANCE(BU74,""Name"")), """")"),"Jaykay Enterprises Ltd")</f>
        <v>Jaykay Enterprises Ltd</v>
      </c>
      <c r="BX74" s="51">
        <f>IFERROR(__xludf.DUMMYFUNCTION("IFERROR(if(ISBLANK(BV74),"" "",GOOGLEFINANCE(BU74,""price"")), """")"),149.1)</f>
        <v>149.1</v>
      </c>
      <c r="BY74" s="22">
        <f>IFERROR(__xludf.DUMMYFUNCTION("IFERROR(if(ISBLANK(BV74),"" "",GOOGLEFINANCE(BU74,""changepct"")), """")"),-2.06)</f>
        <v>-2.06</v>
      </c>
      <c r="BZ74" s="49"/>
      <c r="CA74" s="37"/>
      <c r="CB74" s="27" t="s">
        <v>1564</v>
      </c>
      <c r="CC74" s="31" t="s">
        <v>200</v>
      </c>
      <c r="CD74" s="32" t="str">
        <f>IFERROR(__xludf.DUMMYFUNCTION("IFERROR(if(ISBLANK(CC74),"" "",GOOGLEFINANCE(CB74,""Name"")), """")"),"Signpost India Ltd")</f>
        <v>Signpost India Ltd</v>
      </c>
      <c r="CE74" s="51">
        <f>IFERROR(__xludf.DUMMYFUNCTION("IFERROR(if(ISBLANK(CC74),"" "",GOOGLEFINANCE(CB74,""price"")), """")"),268.7)</f>
        <v>268.7</v>
      </c>
      <c r="CF74" s="22">
        <f>IFERROR(__xludf.DUMMYFUNCTION("IFERROR(if(ISBLANK(CC74),"" "",GOOGLEFINANCE(CB74,""changepct"")), """")"),-0.76)</f>
        <v>-0.76</v>
      </c>
      <c r="CG74" s="12"/>
      <c r="CH74" s="18" t="s">
        <v>1565</v>
      </c>
      <c r="CI74" s="31" t="s">
        <v>200</v>
      </c>
      <c r="CJ74" s="32" t="str">
        <f>IFERROR(__xludf.DUMMYFUNCTION("IFERROR(if(ISBLANK(CI74),"" "",GOOGLEFINANCE(CH74,""Name"")), """")"),"Orient Technologies Ltd")</f>
        <v>Orient Technologies Ltd</v>
      </c>
      <c r="CK74" s="51">
        <f>IFERROR(__xludf.DUMMYFUNCTION("IFERROR(if(ISBLANK(CI74),"" "",GOOGLEFINANCE(CH74,""price"")), """")"),260.4)</f>
        <v>260.4</v>
      </c>
      <c r="CL74" s="22">
        <f>IFERROR(__xludf.DUMMYFUNCTION("IFERROR(if(ISBLANK(CI74),"" "",GOOGLEFINANCE(CH74,""changepct"")), """")"),0.64)</f>
        <v>0.64</v>
      </c>
      <c r="CM74" s="12"/>
      <c r="CN74" s="33" t="s">
        <v>1566</v>
      </c>
      <c r="CO74" s="31" t="s">
        <v>200</v>
      </c>
      <c r="CP74" s="32" t="str">
        <f>IFERROR(__xludf.DUMMYFUNCTION("IFERROR(if(ISBLANK(CO74),"" "",GOOGLEFINANCE(CN74,""Name"")), """")"),"Kopran Ltd")</f>
        <v>Kopran Ltd</v>
      </c>
      <c r="CQ74" s="51">
        <f>IFERROR(__xludf.DUMMYFUNCTION("IFERROR(if(ISBLANK(CO74),"" "",GOOGLEFINANCE(CN74,""price"")), """")"),172.9)</f>
        <v>172.9</v>
      </c>
      <c r="CR74" s="22">
        <f>IFERROR(__xludf.DUMMYFUNCTION("IFERROR(if(ISBLANK(CO74),"" "",GOOGLEFINANCE(CN74,""changepct"")), """")"),-0.84)</f>
        <v>-0.84</v>
      </c>
      <c r="CS74" s="45"/>
      <c r="CT74" s="33" t="s">
        <v>1567</v>
      </c>
      <c r="CU74" s="31" t="s">
        <v>200</v>
      </c>
      <c r="CV74" s="32" t="str">
        <f>IFERROR(__xludf.DUMMYFUNCTION("IFERROR(if(ISBLANK(CU74),"" "",GOOGLEFINANCE(CT74,""Name"")), """")"),"Nupur Recyclers Ltd")</f>
        <v>Nupur Recyclers Ltd</v>
      </c>
      <c r="CW74" s="51">
        <f>IFERROR(__xludf.DUMMYFUNCTION("IFERROR(if(ISBLANK(CU74),"" "",GOOGLEFINANCE(CT74,""price"")), """")"),115.25)</f>
        <v>115.25</v>
      </c>
      <c r="CX74" s="22">
        <f>IFERROR(__xludf.DUMMYFUNCTION("IFERROR(if(ISBLANK(CU74),"" "",GOOGLEFINANCE(CT74,""changepct"")), """")"),-1.76)</f>
        <v>-1.76</v>
      </c>
      <c r="CY74" s="17"/>
      <c r="CZ74" s="33" t="s">
        <v>1568</v>
      </c>
      <c r="DA74" s="31" t="s">
        <v>200</v>
      </c>
      <c r="DB74" s="32" t="str">
        <f>IFERROR(__xludf.DUMMYFUNCTION("IFERROR(if(ISBLANK(DA74),"" "",GOOGLEFINANCE(CZ74,""Name"")), """")"),"McLeod Russel India Ltd")</f>
        <v>McLeod Russel India Ltd</v>
      </c>
      <c r="DC74" s="51">
        <f>IFERROR(__xludf.DUMMYFUNCTION("IFERROR(if(ISBLANK(DA74),"" "",GOOGLEFINANCE(CZ74,""price"")), """")"),47.93)</f>
        <v>47.93</v>
      </c>
      <c r="DD74" s="22">
        <f>IFERROR(__xludf.DUMMYFUNCTION("IFERROR(if(ISBLANK(DA74),"" "",GOOGLEFINANCE(CZ74,""changepct"")), """")"),-1.9)</f>
        <v>-1.9</v>
      </c>
      <c r="DE74" s="45"/>
      <c r="DF74" s="12"/>
    </row>
    <row r="75" ht="11.25" customHeight="1">
      <c r="A75" s="62"/>
      <c r="B75" s="18" t="s">
        <v>1570</v>
      </c>
      <c r="C75" s="31" t="s">
        <v>200</v>
      </c>
      <c r="D75" s="32" t="str">
        <f>IFERROR(__xludf.DUMMYFUNCTION("IFERROR(if(ISBLANK(C75),"" "",GOOGLEFINANCE(B75,""Name"")), """")"),"Polycab India Ltd")</f>
        <v>Polycab India Ltd</v>
      </c>
      <c r="E75" s="51">
        <f>IFERROR(__xludf.DUMMYFUNCTION("IFERROR(if(ISBLANK(C75),"" "",GOOGLEFINANCE(B75,""price"")), """")"),9260.0)</f>
        <v>9260</v>
      </c>
      <c r="F75" s="22">
        <f>IFERROR(__xludf.DUMMYFUNCTION("IFERROR(if(ISBLANK(C75),"" "",GOOGLEFINANCE(B75,""changepct"")), """")"),1.48)</f>
        <v>1.48</v>
      </c>
      <c r="G75" s="49"/>
      <c r="H75" s="36"/>
      <c r="I75" s="25" t="s">
        <v>1571</v>
      </c>
      <c r="J75" s="31" t="s">
        <v>200</v>
      </c>
      <c r="K75" s="32" t="str">
        <f>IFERROR(__xludf.DUMMYFUNCTION("IFERROR(if(ISBLANK(J75),"" "",GOOGLEFINANCE(I75,""Name"")), """")"),"Schaeffler India Ltd")</f>
        <v>Schaeffler India Ltd</v>
      </c>
      <c r="L75" s="51">
        <f>IFERROR(__xludf.DUMMYFUNCTION("IFERROR(if(ISBLANK(J75),"" "",GOOGLEFINANCE(I75,""price"")), """")"),4128.7)</f>
        <v>4128.7</v>
      </c>
      <c r="M75" s="22">
        <f>IFERROR(__xludf.DUMMYFUNCTION("IFERROR(if(ISBLANK(J75),"" "",GOOGLEFINANCE(I75,""changepct"")), """")"),-0.54)</f>
        <v>-0.54</v>
      </c>
      <c r="N75" s="49"/>
      <c r="O75" s="37"/>
      <c r="P75" s="27" t="s">
        <v>1572</v>
      </c>
      <c r="Q75" s="31" t="s">
        <v>200</v>
      </c>
      <c r="R75" s="32" t="str">
        <f>IFERROR(__xludf.DUMMYFUNCTION("IFERROR(if(ISBLANK(Q75),"" "",GOOGLEFINANCE(P75,""Name"")), """")"),"Crisil Ltd")</f>
        <v>Crisil Ltd</v>
      </c>
      <c r="S75" s="51">
        <f>IFERROR(__xludf.DUMMYFUNCTION("IFERROR(if(ISBLANK(Q75),"" "",GOOGLEFINANCE(P75,""price"")), """")"),4486.0)</f>
        <v>4486</v>
      </c>
      <c r="T75" s="22">
        <f>IFERROR(__xludf.DUMMYFUNCTION("IFERROR(if(ISBLANK(Q75),"" "",GOOGLEFINANCE(P75,""changepct"")), """")"),0.12)</f>
        <v>0.12</v>
      </c>
      <c r="U75" s="12"/>
      <c r="V75" s="18" t="s">
        <v>1573</v>
      </c>
      <c r="W75" s="31" t="s">
        <v>200</v>
      </c>
      <c r="X75" s="32" t="str">
        <f>IFERROR(__xludf.DUMMYFUNCTION("IFERROR(if(ISBLANK(W75),"" "",GOOGLEFINANCE(V75,""Name"")), """")"),"Kajaria Ceramics Ltd")</f>
        <v>Kajaria Ceramics Ltd</v>
      </c>
      <c r="Y75" s="51">
        <f>IFERROR(__xludf.DUMMYFUNCTION("IFERROR(if(ISBLANK(W75),"" "",GOOGLEFINANCE(V75,""price"")), """")"),1258.3)</f>
        <v>1258.3</v>
      </c>
      <c r="Z75" s="22">
        <f>IFERROR(__xludf.DUMMYFUNCTION("IFERROR(if(ISBLANK(W75),"" "",GOOGLEFINANCE(V75,""changepct"")), """")"),2.67)</f>
        <v>2.67</v>
      </c>
      <c r="AA75" s="12"/>
      <c r="AB75" s="18" t="s">
        <v>1575</v>
      </c>
      <c r="AC75" s="31" t="s">
        <v>200</v>
      </c>
      <c r="AD75" s="32" t="str">
        <f>IFERROR(__xludf.DUMMYFUNCTION("IFERROR(if(ISBLANK(AC75),"" "",GOOGLEFINANCE(AB75,""Name"")), """")"),"CEAT Ltd")</f>
        <v>CEAT Ltd</v>
      </c>
      <c r="AE75" s="51">
        <f>IFERROR(__xludf.DUMMYFUNCTION("IFERROR(if(ISBLANK(AC75),"" "",GOOGLEFINANCE(AB75,""price"")), """")"),3725.0)</f>
        <v>3725</v>
      </c>
      <c r="AF75" s="22">
        <f>IFERROR(__xludf.DUMMYFUNCTION("IFERROR(if(ISBLANK(AC75),"" "",GOOGLEFINANCE(AB75,""changepct"")), """")"),-0.67)</f>
        <v>-0.67</v>
      </c>
      <c r="AG75" s="45"/>
      <c r="AH75" s="27" t="s">
        <v>1576</v>
      </c>
      <c r="AI75" s="31" t="s">
        <v>200</v>
      </c>
      <c r="AJ75" s="32" t="str">
        <f>IFERROR(__xludf.DUMMYFUNCTION("IFERROR(if(ISBLANK(AI75),"" "",GOOGLEFINANCE(AH75,""Name"")), """")"),"Whirlpool Of India Ltd")</f>
        <v>Whirlpool Of India Ltd</v>
      </c>
      <c r="AK75" s="51">
        <f>IFERROR(__xludf.DUMMYFUNCTION("IFERROR(if(ISBLANK(AI75),"" "",GOOGLEFINANCE(AH75,""price"")), """")"),787.0)</f>
        <v>787</v>
      </c>
      <c r="AL75" s="22">
        <f>IFERROR(__xludf.DUMMYFUNCTION("IFERROR(if(ISBLANK(AI75),"" "",GOOGLEFINANCE(AH75,""changepct"")), """")"),-1.01)</f>
        <v>-1.01</v>
      </c>
      <c r="AM75" s="30"/>
      <c r="AN75" s="31" t="s">
        <v>200</v>
      </c>
      <c r="AO75" s="32" t="str">
        <f>IFERROR(__xludf.DUMMYFUNCTION("IFERROR(if(ISBLANK(AN75),"" "",GOOGLEFINANCE(AM75,""Name"")), """")"),"")</f>
        <v/>
      </c>
      <c r="AP75" s="33" t="s">
        <v>1577</v>
      </c>
      <c r="AQ75" s="31" t="s">
        <v>200</v>
      </c>
      <c r="AR75" s="32" t="str">
        <f>IFERROR(__xludf.DUMMYFUNCTION("IFERROR(if(ISBLANK(AQ75),"" "",GOOGLEFINANCE(AP75,""Name"")), """")"),"SKF India Ltd")</f>
        <v>SKF India Ltd</v>
      </c>
      <c r="AS75" s="51">
        <f>IFERROR(__xludf.DUMMYFUNCTION("IFERROR(if(ISBLANK(AQ75),"" "",GOOGLEFINANCE(AP75,""price"")), """")"),1530.0)</f>
        <v>1530</v>
      </c>
      <c r="AT75" s="22">
        <f>IFERROR(__xludf.DUMMYFUNCTION("IFERROR(if(ISBLANK(AQ75),"" "",GOOGLEFINANCE(AP75,""changepct"")), """")"),0.48)</f>
        <v>0.48</v>
      </c>
      <c r="AU75" s="45"/>
      <c r="AV75" s="34" t="s">
        <v>1579</v>
      </c>
      <c r="AW75" s="31" t="s">
        <v>200</v>
      </c>
      <c r="AX75" s="32" t="str">
        <f>IFERROR(__xludf.DUMMYFUNCTION("IFERROR(if(ISBLANK(AW75),"" "",GOOGLEFINANCE(AV75,""Name"")), """")"),"Raghav Productivity Enhancers Ltd")</f>
        <v>Raghav Productivity Enhancers Ltd</v>
      </c>
      <c r="AY75" s="51">
        <f>IFERROR(__xludf.DUMMYFUNCTION("IFERROR(if(ISBLANK(AW75),"" "",GOOGLEFINANCE(AV75,""price"")), """")"),1285.0)</f>
        <v>1285</v>
      </c>
      <c r="AZ75" s="22">
        <f>IFERROR(__xludf.DUMMYFUNCTION("IFERROR(if(ISBLANK(AW75),"" "",GOOGLEFINANCE(AV75,""changepct"")), """")"),-1.3)</f>
        <v>-1.3</v>
      </c>
      <c r="BA75" s="12"/>
      <c r="BB75" s="33" t="s">
        <v>1580</v>
      </c>
      <c r="BC75" s="31" t="s">
        <v>200</v>
      </c>
      <c r="BD75" s="32" t="str">
        <f>IFERROR(__xludf.DUMMYFUNCTION("IFERROR(if(ISBLANK(BC75),"" "",GOOGLEFINANCE(BB75,""Name"")), """")"),"V I P Industries Ltd")</f>
        <v>V I P Industries Ltd</v>
      </c>
      <c r="BE75" s="51">
        <f>IFERROR(__xludf.DUMMYFUNCTION("IFERROR(if(ISBLANK(BC75),"" "",GOOGLEFINANCE(BB75,""price"")), """")"),311.0)</f>
        <v>311</v>
      </c>
      <c r="BF75" s="22">
        <f>IFERROR(__xludf.DUMMYFUNCTION("IFERROR(if(ISBLANK(BC75),"" "",GOOGLEFINANCE(BB75,""changepct"")), """")"),-1.86)</f>
        <v>-1.86</v>
      </c>
      <c r="BG75" s="12"/>
      <c r="BH75" s="35" t="s">
        <v>1581</v>
      </c>
      <c r="BI75" s="31" t="s">
        <v>200</v>
      </c>
      <c r="BJ75" s="32" t="str">
        <f>IFERROR(__xludf.DUMMYFUNCTION("IFERROR(if(ISBLANK(BI75),"" "",GOOGLEFINANCE(BH75,""Name"")), """")"),"Indraprastha Medical Corporation Ltd")</f>
        <v>Indraprastha Medical Corporation Ltd</v>
      </c>
      <c r="BK75" s="51">
        <f>IFERROR(__xludf.DUMMYFUNCTION("IFERROR(if(ISBLANK(BI75),"" "",GOOGLEFINANCE(BH75,""price"")), """")"),377.5)</f>
        <v>377.5</v>
      </c>
      <c r="BL75" s="22">
        <f>IFERROR(__xludf.DUMMYFUNCTION("IFERROR(if(ISBLANK(BI75),"" "",GOOGLEFINANCE(BH75,""changepct"")), """")"),-1.78)</f>
        <v>-1.78</v>
      </c>
      <c r="BM75" s="12"/>
      <c r="BN75" s="33" t="s">
        <v>1582</v>
      </c>
      <c r="BO75" s="31" t="s">
        <v>200</v>
      </c>
      <c r="BP75" s="32" t="str">
        <f>IFERROR(__xludf.DUMMYFUNCTION("IFERROR(if(ISBLANK(BO75),"" "",GOOGLEFINANCE(BN75,""Name"")), """")"),"Mangalam Cement Ltd")</f>
        <v>Mangalam Cement Ltd</v>
      </c>
      <c r="BQ75" s="51">
        <f>IFERROR(__xludf.DUMMYFUNCTION("IFERROR(if(ISBLANK(BO75),"" "",GOOGLEFINANCE(BN75,""price"")), """")"),904.0)</f>
        <v>904</v>
      </c>
      <c r="BR75" s="22">
        <f>IFERROR(__xludf.DUMMYFUNCTION("IFERROR(if(ISBLANK(BO75),"" "",GOOGLEFINANCE(BN75,""changepct"")), """")"),-0.24)</f>
        <v>-0.24</v>
      </c>
      <c r="BS75" s="49"/>
      <c r="BT75" s="36"/>
      <c r="BU75" s="27" t="s">
        <v>1583</v>
      </c>
      <c r="BV75" s="31" t="s">
        <v>200</v>
      </c>
      <c r="BW75" s="32" t="str">
        <f>IFERROR(__xludf.DUMMYFUNCTION("IFERROR(if(ISBLANK(BV75),"" "",GOOGLEFINANCE(BU75,""Name"")), """")"),"La Opala RG Ltd")</f>
        <v>La Opala RG Ltd</v>
      </c>
      <c r="BX75" s="51">
        <f>IFERROR(__xludf.DUMMYFUNCTION("IFERROR(if(ISBLANK(BV75),"" "",GOOGLEFINANCE(BU75,""price"")), """")"),189.0)</f>
        <v>189</v>
      </c>
      <c r="BY75" s="22">
        <f>IFERROR(__xludf.DUMMYFUNCTION("IFERROR(if(ISBLANK(BV75),"" "",GOOGLEFINANCE(BU75,""changepct"")), """")"),-0.94)</f>
        <v>-0.94</v>
      </c>
      <c r="BZ75" s="49"/>
      <c r="CA75" s="37"/>
      <c r="CB75" s="27" t="s">
        <v>1585</v>
      </c>
      <c r="CC75" s="31" t="s">
        <v>200</v>
      </c>
      <c r="CD75" s="32" t="str">
        <f>IFERROR(__xludf.DUMMYFUNCTION("IFERROR(if(ISBLANK(CC75),"" "",GOOGLEFINANCE(CB75,""Name"")), """")"),"Arfin India Ltd")</f>
        <v>Arfin India Ltd</v>
      </c>
      <c r="CE75" s="51">
        <f>IFERROR(__xludf.DUMMYFUNCTION("IFERROR(if(ISBLANK(CC75),"" "",GOOGLEFINANCE(CB75,""price"")), """")"),84.4)</f>
        <v>84.4</v>
      </c>
      <c r="CF75" s="22">
        <f>IFERROR(__xludf.DUMMYFUNCTION("IFERROR(if(ISBLANK(CC75),"" "",GOOGLEFINANCE(CB75,""changepct"")), """")"),-0.8)</f>
        <v>-0.8</v>
      </c>
      <c r="CG75" s="12"/>
      <c r="CH75" s="18" t="s">
        <v>1586</v>
      </c>
      <c r="CI75" s="31" t="s">
        <v>200</v>
      </c>
      <c r="CJ75" s="32" t="str">
        <f>IFERROR(__xludf.DUMMYFUNCTION("IFERROR(if(ISBLANK(CI75),"" "",GOOGLEFINANCE(CH75,""Name"")), """")"),"STL Networks Ltd")</f>
        <v>STL Networks Ltd</v>
      </c>
      <c r="CK75" s="51">
        <f>IFERROR(__xludf.DUMMYFUNCTION("IFERROR(if(ISBLANK(CI75),"" "",GOOGLEFINANCE(CH75,""price"")), """")"),26.29)</f>
        <v>26.29</v>
      </c>
      <c r="CL75" s="22">
        <f>IFERROR(__xludf.DUMMYFUNCTION("IFERROR(if(ISBLANK(CI75),"" "",GOOGLEFINANCE(CH75,""changepct"")), """")"),0.54)</f>
        <v>0.54</v>
      </c>
      <c r="CM75" s="12"/>
      <c r="CN75" s="33" t="s">
        <v>1587</v>
      </c>
      <c r="CO75" s="31" t="s">
        <v>200</v>
      </c>
      <c r="CP75" s="32" t="str">
        <f>IFERROR(__xludf.DUMMYFUNCTION("IFERROR(if(ISBLANK(CO75),"" "",GOOGLEFINANCE(CN75,""Name"")), """")"),"Western Carriers (India) Ltd")</f>
        <v>Western Carriers (India) Ltd</v>
      </c>
      <c r="CQ75" s="51">
        <f>IFERROR(__xludf.DUMMYFUNCTION("IFERROR(if(ISBLANK(CO75),"" "",GOOGLEFINANCE(CN75,""price"")), """")"),85.35)</f>
        <v>85.35</v>
      </c>
      <c r="CR75" s="22">
        <f>IFERROR(__xludf.DUMMYFUNCTION("IFERROR(if(ISBLANK(CO75),"" "",GOOGLEFINANCE(CN75,""changepct"")), """")"),-0.88)</f>
        <v>-0.88</v>
      </c>
      <c r="CS75" s="45"/>
      <c r="CT75" s="33" t="s">
        <v>1588</v>
      </c>
      <c r="CU75" s="31" t="s">
        <v>200</v>
      </c>
      <c r="CV75" s="32" t="str">
        <f>IFERROR(__xludf.DUMMYFUNCTION("IFERROR(if(ISBLANK(CU75),"" "",GOOGLEFINANCE(CT75,""Name"")), """")"),"GeeCee Ventures Ltd")</f>
        <v>GeeCee Ventures Ltd</v>
      </c>
      <c r="CW75" s="51">
        <f>IFERROR(__xludf.DUMMYFUNCTION("IFERROR(if(ISBLANK(CU75),"" "",GOOGLEFINANCE(CT75,""price"")), """")"),378.0)</f>
        <v>378</v>
      </c>
      <c r="CX75" s="22">
        <f>IFERROR(__xludf.DUMMYFUNCTION("IFERROR(if(ISBLANK(CU75),"" "",GOOGLEFINANCE(CT75,""changepct"")), """")"),-1.84)</f>
        <v>-1.84</v>
      </c>
      <c r="CY75" s="17"/>
      <c r="CZ75" s="33" t="s">
        <v>1589</v>
      </c>
      <c r="DA75" s="31" t="s">
        <v>200</v>
      </c>
      <c r="DB75" s="32" t="str">
        <f>IFERROR(__xludf.DUMMYFUNCTION("IFERROR(if(ISBLANK(DA75),"" "",GOOGLEFINANCE(CZ75,""Name"")), """")"),"CSM Technologies Ltd")</f>
        <v>CSM Technologies Ltd</v>
      </c>
      <c r="DC75" s="51">
        <f>IFERROR(__xludf.DUMMYFUNCTION("IFERROR(if(ISBLANK(DA75),"" "",GOOGLEFINANCE(CZ75,""price"")), """")"),102.45)</f>
        <v>102.45</v>
      </c>
      <c r="DD75" s="22">
        <f>IFERROR(__xludf.DUMMYFUNCTION("IFERROR(if(ISBLANK(DA75),"" "",GOOGLEFINANCE(CZ75,""changepct"")), """")"),-0.26)</f>
        <v>-0.26</v>
      </c>
      <c r="DE75" s="45"/>
      <c r="DF75" s="12"/>
    </row>
    <row r="76" ht="11.25" customHeight="1">
      <c r="A76" s="62"/>
      <c r="B76" s="18" t="s">
        <v>1590</v>
      </c>
      <c r="C76" s="31" t="s">
        <v>200</v>
      </c>
      <c r="D76" s="32" t="str">
        <f>IFERROR(__xludf.DUMMYFUNCTION("IFERROR(if(ISBLANK(C76),"" "",GOOGLEFINANCE(B76,""Name"")), """")"),"CG Power and Industrial Solutions Ltd")</f>
        <v>CG Power and Industrial Solutions Ltd</v>
      </c>
      <c r="E76" s="51">
        <f>IFERROR(__xludf.DUMMYFUNCTION("IFERROR(if(ISBLANK(C76),"" "",GOOGLEFINANCE(B76,""price"")), """")"),885.0)</f>
        <v>885</v>
      </c>
      <c r="F76" s="22">
        <f>IFERROR(__xludf.DUMMYFUNCTION("IFERROR(if(ISBLANK(C76),"" "",GOOGLEFINANCE(B76,""changepct"")), """")"),0.45)</f>
        <v>0.45</v>
      </c>
      <c r="G76" s="49"/>
      <c r="H76" s="36"/>
      <c r="I76" s="25" t="s">
        <v>1592</v>
      </c>
      <c r="J76" s="31" t="s">
        <v>200</v>
      </c>
      <c r="K76" s="32" t="str">
        <f>IFERROR(__xludf.DUMMYFUNCTION("IFERROR(if(ISBLANK(J76),"" "",GOOGLEFINANCE(I76,""Name"")), """")"),"Godrej Properties Ltd")</f>
        <v>Godrej Properties Ltd</v>
      </c>
      <c r="L76" s="51">
        <f>IFERROR(__xludf.DUMMYFUNCTION("IFERROR(if(ISBLANK(J76),"" "",GOOGLEFINANCE(I76,""price"")), """")"),2004.0)</f>
        <v>2004</v>
      </c>
      <c r="M76" s="22">
        <f>IFERROR(__xludf.DUMMYFUNCTION("IFERROR(if(ISBLANK(J76),"" "",GOOGLEFINANCE(I76,""changepct"")), """")"),-1.66)</f>
        <v>-1.66</v>
      </c>
      <c r="N76" s="49"/>
      <c r="O76" s="37"/>
      <c r="P76" s="27" t="s">
        <v>1593</v>
      </c>
      <c r="Q76" s="31" t="s">
        <v>200</v>
      </c>
      <c r="R76" s="32" t="str">
        <f>IFERROR(__xludf.DUMMYFUNCTION("IFERROR(if(ISBLANK(Q76),"" "",GOOGLEFINANCE(P76,""Name"")), """")"),"Kirloskar Oil Engines Ltd")</f>
        <v>Kirloskar Oil Engines Ltd</v>
      </c>
      <c r="S76" s="51">
        <f>IFERROR(__xludf.DUMMYFUNCTION("IFERROR(if(ISBLANK(Q76),"" "",GOOGLEFINANCE(P76,""price"")), """")"),2064.0)</f>
        <v>2064</v>
      </c>
      <c r="T76" s="22">
        <f>IFERROR(__xludf.DUMMYFUNCTION("IFERROR(if(ISBLANK(Q76),"" "",GOOGLEFINANCE(P76,""changepct"")), """")"),-1.78)</f>
        <v>-1.78</v>
      </c>
      <c r="U76" s="12"/>
      <c r="V76" s="18" t="s">
        <v>1594</v>
      </c>
      <c r="W76" s="31" t="s">
        <v>200</v>
      </c>
      <c r="X76" s="32" t="str">
        <f>IFERROR(__xludf.DUMMYFUNCTION("IFERROR(if(ISBLANK(W76),"" "",GOOGLEFINANCE(V76,""Name"")), """")"),"Bayer CropScience Ltd")</f>
        <v>Bayer CropScience Ltd</v>
      </c>
      <c r="Y76" s="51">
        <f>IFERROR(__xludf.DUMMYFUNCTION("IFERROR(if(ISBLANK(W76),"" "",GOOGLEFINANCE(V76,""price"")), """")"),4107.7)</f>
        <v>4107.7</v>
      </c>
      <c r="Z76" s="22">
        <f>IFERROR(__xludf.DUMMYFUNCTION("IFERROR(if(ISBLANK(W76),"" "",GOOGLEFINANCE(V76,""changepct"")), """")"),-0.2)</f>
        <v>-0.2</v>
      </c>
      <c r="AA76" s="12"/>
      <c r="AB76" s="18" t="s">
        <v>1595</v>
      </c>
      <c r="AC76" s="31" t="s">
        <v>200</v>
      </c>
      <c r="AD76" s="32" t="str">
        <f>IFERROR(__xludf.DUMMYFUNCTION("IFERROR(if(ISBLANK(AC76),"" "",GOOGLEFINANCE(AB76,""Name"")), """")"),"Vijaya Diagnostic Centre Ltd")</f>
        <v>Vijaya Diagnostic Centre Ltd</v>
      </c>
      <c r="AE76" s="51">
        <f>IFERROR(__xludf.DUMMYFUNCTION("IFERROR(if(ISBLANK(AC76),"" "",GOOGLEFINANCE(AB76,""price"")), """")"),1524.9)</f>
        <v>1524.9</v>
      </c>
      <c r="AF76" s="22">
        <f>IFERROR(__xludf.DUMMYFUNCTION("IFERROR(if(ISBLANK(AC76),"" "",GOOGLEFINANCE(AB76,""changepct"")), """")"),6.77)</f>
        <v>6.77</v>
      </c>
      <c r="AG76" s="45"/>
      <c r="AH76" s="27" t="s">
        <v>1596</v>
      </c>
      <c r="AI76" s="31" t="s">
        <v>200</v>
      </c>
      <c r="AJ76" s="32" t="str">
        <f>IFERROR(__xludf.DUMMYFUNCTION("IFERROR(if(ISBLANK(AI76),"" "",GOOGLEFINANCE(AH76,""Name"")), """")"),"Manorama Industries Ltd")</f>
        <v>Manorama Industries Ltd</v>
      </c>
      <c r="AK76" s="51">
        <f>IFERROR(__xludf.DUMMYFUNCTION("IFERROR(if(ISBLANK(AI76),"" "",GOOGLEFINANCE(AH76,""price"")), """")"),1622.6)</f>
        <v>1622.6</v>
      </c>
      <c r="AL76" s="22">
        <f>IFERROR(__xludf.DUMMYFUNCTION("IFERROR(if(ISBLANK(AI76),"" "",GOOGLEFINANCE(AH76,""changepct"")), """")"),1.55)</f>
        <v>1.55</v>
      </c>
      <c r="AM76" s="30"/>
      <c r="AN76" s="31" t="s">
        <v>200</v>
      </c>
      <c r="AO76" s="32" t="str">
        <f>IFERROR(__xludf.DUMMYFUNCTION("IFERROR(if(ISBLANK(AN76),"" "",GOOGLEFINANCE(AM76,""Name"")), """")"),"")</f>
        <v/>
      </c>
      <c r="AP76" s="33" t="s">
        <v>1598</v>
      </c>
      <c r="AQ76" s="31" t="s">
        <v>200</v>
      </c>
      <c r="AR76" s="32" t="str">
        <f>IFERROR(__xludf.DUMMYFUNCTION("IFERROR(if(ISBLANK(AQ76),"" "",GOOGLEFINANCE(AP76,""Name"")), """")"),"Jyothy Labs Ltd")</f>
        <v>Jyothy Labs Ltd</v>
      </c>
      <c r="AS76" s="51">
        <f>IFERROR(__xludf.DUMMYFUNCTION("IFERROR(if(ISBLANK(AQ76),"" "",GOOGLEFINANCE(AP76,""price"")), """")"),200.0)</f>
        <v>200</v>
      </c>
      <c r="AT76" s="22">
        <f>IFERROR(__xludf.DUMMYFUNCTION("IFERROR(if(ISBLANK(AQ76),"" "",GOOGLEFINANCE(AP76,""changepct"")), """")"),-1.98)</f>
        <v>-1.98</v>
      </c>
      <c r="AU76" s="45"/>
      <c r="AV76" s="34" t="s">
        <v>1599</v>
      </c>
      <c r="AW76" s="31" t="s">
        <v>200</v>
      </c>
      <c r="AX76" s="32" t="str">
        <f>IFERROR(__xludf.DUMMYFUNCTION("IFERROR(if(ISBLANK(AW76),"" "",GOOGLEFINANCE(AV76,""Name"")), """")"),"Innova Captab Ltd")</f>
        <v>Innova Captab Ltd</v>
      </c>
      <c r="AY76" s="51">
        <f>IFERROR(__xludf.DUMMYFUNCTION("IFERROR(if(ISBLANK(AW76),"" "",GOOGLEFINANCE(AV76,""price"")), """")"),1014.5)</f>
        <v>1014.5</v>
      </c>
      <c r="AZ76" s="22">
        <f>IFERROR(__xludf.DUMMYFUNCTION("IFERROR(if(ISBLANK(AW76),"" "",GOOGLEFINANCE(AV76,""changepct"")), """")"),-0.43)</f>
        <v>-0.43</v>
      </c>
      <c r="BA76" s="12"/>
      <c r="BB76" s="33" t="s">
        <v>1600</v>
      </c>
      <c r="BC76" s="31" t="s">
        <v>200</v>
      </c>
      <c r="BD76" s="32" t="str">
        <f>IFERROR(__xludf.DUMMYFUNCTION("IFERROR(if(ISBLANK(BC76),"" "",GOOGLEFINANCE(BB76,""Name"")), """")"),"Rallis India Ltd")</f>
        <v>Rallis India Ltd</v>
      </c>
      <c r="BE76" s="51">
        <f>IFERROR(__xludf.DUMMYFUNCTION("IFERROR(if(ISBLANK(BC76),"" "",GOOGLEFINANCE(BB76,""price"")), """")"),209.14)</f>
        <v>209.14</v>
      </c>
      <c r="BF76" s="22">
        <f>IFERROR(__xludf.DUMMYFUNCTION("IFERROR(if(ISBLANK(BC76),"" "",GOOGLEFINANCE(BB76,""changepct"")), """")"),-1.12)</f>
        <v>-1.12</v>
      </c>
      <c r="BG76" s="12"/>
      <c r="BH76" s="35" t="s">
        <v>1601</v>
      </c>
      <c r="BI76" s="31" t="s">
        <v>200</v>
      </c>
      <c r="BJ76" s="32" t="str">
        <f>IFERROR(__xludf.DUMMYFUNCTION("IFERROR(if(ISBLANK(BI76),"" "",GOOGLEFINANCE(BH76,""Name"")), """")"),"Carysil Ltd")</f>
        <v>Carysil Ltd</v>
      </c>
      <c r="BK76" s="51">
        <f>IFERROR(__xludf.DUMMYFUNCTION("IFERROR(if(ISBLANK(BI76),"" "",GOOGLEFINANCE(BH76,""price"")), """")"),1187.0)</f>
        <v>1187</v>
      </c>
      <c r="BL76" s="22">
        <f>IFERROR(__xludf.DUMMYFUNCTION("IFERROR(if(ISBLANK(BI76),"" "",GOOGLEFINANCE(BH76,""changepct"")), """")"),-0.78)</f>
        <v>-0.78</v>
      </c>
      <c r="BM76" s="12"/>
      <c r="BN76" s="33" t="s">
        <v>1602</v>
      </c>
      <c r="BO76" s="31" t="s">
        <v>200</v>
      </c>
      <c r="BP76" s="32" t="str">
        <f>IFERROR(__xludf.DUMMYFUNCTION("IFERROR(if(ISBLANK(BO76),"" "",GOOGLEFINANCE(BN76,""Name"")), """")"),"Apeejay Surrendra Park Hotels Ltd")</f>
        <v>Apeejay Surrendra Park Hotels Ltd</v>
      </c>
      <c r="BQ76" s="51">
        <f>IFERROR(__xludf.DUMMYFUNCTION("IFERROR(if(ISBLANK(BO76),"" "",GOOGLEFINANCE(BN76,""price"")), """")"),119.24)</f>
        <v>119.24</v>
      </c>
      <c r="BR76" s="22">
        <f>IFERROR(__xludf.DUMMYFUNCTION("IFERROR(if(ISBLANK(BO76),"" "",GOOGLEFINANCE(BN76,""changepct"")), """")"),0.51)</f>
        <v>0.51</v>
      </c>
      <c r="BS76" s="49"/>
      <c r="BT76" s="36"/>
      <c r="BU76" s="27" t="s">
        <v>1604</v>
      </c>
      <c r="BV76" s="31" t="s">
        <v>200</v>
      </c>
      <c r="BW76" s="32" t="str">
        <f>IFERROR(__xludf.DUMMYFUNCTION("IFERROR(if(ISBLANK(BV76),"" "",GOOGLEFINANCE(BU76,""Name"")), """")"),"Bajel Projects Ltd")</f>
        <v>Bajel Projects Ltd</v>
      </c>
      <c r="BX76" s="51">
        <f>IFERROR(__xludf.DUMMYFUNCTION("IFERROR(if(ISBLANK(BV76),"" "",GOOGLEFINANCE(BU76,""price"")), """")"),193.0)</f>
        <v>193</v>
      </c>
      <c r="BY76" s="22">
        <f>IFERROR(__xludf.DUMMYFUNCTION("IFERROR(if(ISBLANK(BV76),"" "",GOOGLEFINANCE(BU76,""changepct"")), """")"),2.08)</f>
        <v>2.08</v>
      </c>
      <c r="BZ76" s="49"/>
      <c r="CA76" s="37"/>
      <c r="CB76" s="27" t="s">
        <v>1605</v>
      </c>
      <c r="CC76" s="31" t="s">
        <v>200</v>
      </c>
      <c r="CD76" s="32" t="str">
        <f>IFERROR(__xludf.DUMMYFUNCTION("IFERROR(if(ISBLANK(CC76),"" "",GOOGLEFINANCE(CB76,""Name"")), """")"),"One Point One Solutions Ltd")</f>
        <v>One Point One Solutions Ltd</v>
      </c>
      <c r="CE76" s="51">
        <f>IFERROR(__xludf.DUMMYFUNCTION("IFERROR(if(ISBLANK(CC76),"" "",GOOGLEFINANCE(CB76,""price"")), """")"),59.2)</f>
        <v>59.2</v>
      </c>
      <c r="CF76" s="22">
        <f>IFERROR(__xludf.DUMMYFUNCTION("IFERROR(if(ISBLANK(CC76),"" "",GOOGLEFINANCE(CB76,""changepct"")), """")"),0.56)</f>
        <v>0.56</v>
      </c>
      <c r="CG76" s="12"/>
      <c r="CH76" s="18" t="s">
        <v>1606</v>
      </c>
      <c r="CI76" s="31" t="s">
        <v>200</v>
      </c>
      <c r="CJ76" s="32" t="str">
        <f>IFERROR(__xludf.DUMMYFUNCTION("IFERROR(if(ISBLANK(CI76),"" "",GOOGLEFINANCE(CH76,""Name"")), """")"),"Menon Bearings Ltd")</f>
        <v>Menon Bearings Ltd</v>
      </c>
      <c r="CK76" s="51">
        <f>IFERROR(__xludf.DUMMYFUNCTION("IFERROR(if(ISBLANK(CI76),"" "",GOOGLEFINANCE(CH76,""price"")), """")"),238.8)</f>
        <v>238.8</v>
      </c>
      <c r="CL76" s="22">
        <f>IFERROR(__xludf.DUMMYFUNCTION("IFERROR(if(ISBLANK(CI76),"" "",GOOGLEFINANCE(CH76,""changepct"")), """")"),0.67)</f>
        <v>0.67</v>
      </c>
      <c r="CM76" s="12"/>
      <c r="CN76" s="33" t="s">
        <v>1607</v>
      </c>
      <c r="CO76" s="31" t="s">
        <v>200</v>
      </c>
      <c r="CP76" s="32" t="str">
        <f>IFERROR(__xludf.DUMMYFUNCTION("IFERROR(if(ISBLANK(CO76),"" "",GOOGLEFINANCE(CN76,""Name"")), """")"),"Ester Industries Ltd")</f>
        <v>Ester Industries Ltd</v>
      </c>
      <c r="CQ76" s="51">
        <f>IFERROR(__xludf.DUMMYFUNCTION("IFERROR(if(ISBLANK(CO76),"" "",GOOGLEFINANCE(CN76,""price"")), """")"),96.7)</f>
        <v>96.7</v>
      </c>
      <c r="CR76" s="22">
        <f>IFERROR(__xludf.DUMMYFUNCTION("IFERROR(if(ISBLANK(CO76),"" "",GOOGLEFINANCE(CN76,""changepct"")), """")"),-7.46)</f>
        <v>-7.46</v>
      </c>
      <c r="CS76" s="45"/>
      <c r="CT76" s="33" t="s">
        <v>1608</v>
      </c>
      <c r="CU76" s="31" t="s">
        <v>200</v>
      </c>
      <c r="CV76" s="32" t="str">
        <f>IFERROR(__xludf.DUMMYFUNCTION("IFERROR(if(ISBLANK(CU76),"" "",GOOGLEFINANCE(CT76,""Name"")), """")"),"Maan Aluminium Ltd")</f>
        <v>Maan Aluminium Ltd</v>
      </c>
      <c r="CW76" s="51">
        <f>IFERROR(__xludf.DUMMYFUNCTION("IFERROR(if(ISBLANK(CU76),"" "",GOOGLEFINANCE(CT76,""price"")), """")"),124.36)</f>
        <v>124.36</v>
      </c>
      <c r="CX76" s="22">
        <f>IFERROR(__xludf.DUMMYFUNCTION("IFERROR(if(ISBLANK(CU76),"" "",GOOGLEFINANCE(CT76,""changepct"")), """")"),0.97)</f>
        <v>0.97</v>
      </c>
      <c r="CY76" s="17"/>
      <c r="CZ76" s="33" t="s">
        <v>1609</v>
      </c>
      <c r="DA76" s="31" t="s">
        <v>200</v>
      </c>
      <c r="DB76" s="32" t="str">
        <f>IFERROR(__xludf.DUMMYFUNCTION("IFERROR(if(ISBLANK(DA76),"" "",GOOGLEFINANCE(CZ76,""Name"")), """")"),"Kiran Vyapar Ltd")</f>
        <v>Kiran Vyapar Ltd</v>
      </c>
      <c r="DC76" s="51">
        <f>IFERROR(__xludf.DUMMYFUNCTION("IFERROR(if(ISBLANK(DA76),"" "",GOOGLEFINANCE(CZ76,""price"")), """")"),196.0)</f>
        <v>196</v>
      </c>
      <c r="DD76" s="22">
        <f>IFERROR(__xludf.DUMMYFUNCTION("IFERROR(if(ISBLANK(DA76),"" "",GOOGLEFINANCE(CZ76,""changepct"")), """")"),-0.42)</f>
        <v>-0.42</v>
      </c>
      <c r="DE76" s="45"/>
      <c r="DF76" s="12"/>
    </row>
    <row r="77" ht="11.25" customHeight="1">
      <c r="A77" s="62"/>
      <c r="B77" s="18" t="s">
        <v>1611</v>
      </c>
      <c r="C77" s="31" t="s">
        <v>200</v>
      </c>
      <c r="D77" s="32" t="str">
        <f>IFERROR(__xludf.DUMMYFUNCTION("IFERROR(if(ISBLANK(C77),"" "",GOOGLEFINANCE(B77,""Name"")), """")"),"Siemens Ltd")</f>
        <v>Siemens Ltd</v>
      </c>
      <c r="E77" s="51">
        <f>IFERROR(__xludf.DUMMYFUNCTION("IFERROR(if(ISBLANK(C77),"" "",GOOGLEFINANCE(B77,""price"")), """")"),4019.0)</f>
        <v>4019</v>
      </c>
      <c r="F77" s="22">
        <f>IFERROR(__xludf.DUMMYFUNCTION("IFERROR(if(ISBLANK(C77),"" "",GOOGLEFINANCE(B77,""changepct"")), """")"),0.2)</f>
        <v>0.2</v>
      </c>
      <c r="G77" s="49"/>
      <c r="H77" s="36"/>
      <c r="I77" s="25" t="s">
        <v>1612</v>
      </c>
      <c r="J77" s="31" t="s">
        <v>200</v>
      </c>
      <c r="K77" s="32" t="str">
        <f>IFERROR(__xludf.DUMMYFUNCTION("IFERROR(if(ISBLANK(J77),"" "",GOOGLEFINANCE(I77,""Name"")), """")"),"Kalyan Jewellers India Ltd")</f>
        <v>Kalyan Jewellers India Ltd</v>
      </c>
      <c r="L77" s="51">
        <f>IFERROR(__xludf.DUMMYFUNCTION("IFERROR(if(ISBLANK(J77),"" "",GOOGLEFINANCE(I77,""price"")), """")"),599.55)</f>
        <v>599.55</v>
      </c>
      <c r="M77" s="22">
        <f>IFERROR(__xludf.DUMMYFUNCTION("IFERROR(if(ISBLANK(J77),"" "",GOOGLEFINANCE(I77,""changepct"")), """")"),-0.44)</f>
        <v>-0.44</v>
      </c>
      <c r="N77" s="49"/>
      <c r="O77" s="37"/>
      <c r="P77" s="27" t="s">
        <v>1613</v>
      </c>
      <c r="Q77" s="31" t="s">
        <v>200</v>
      </c>
      <c r="R77" s="32" t="str">
        <f>IFERROR(__xludf.DUMMYFUNCTION("IFERROR(if(ISBLANK(Q77),"" "",GOOGLEFINANCE(P77,""Name"")), """")"),"Wockhardt Ltd")</f>
        <v>Wockhardt Ltd</v>
      </c>
      <c r="S77" s="51">
        <f>IFERROR(__xludf.DUMMYFUNCTION("IFERROR(if(ISBLANK(Q77),"" "",GOOGLEFINANCE(P77,""price"")), """")"),1845.0)</f>
        <v>1845</v>
      </c>
      <c r="T77" s="22">
        <f>IFERROR(__xludf.DUMMYFUNCTION("IFERROR(if(ISBLANK(Q77),"" "",GOOGLEFINANCE(P77,""changepct"")), """")"),-3.37)</f>
        <v>-3.37</v>
      </c>
      <c r="U77" s="12"/>
      <c r="V77" s="18" t="s">
        <v>1614</v>
      </c>
      <c r="W77" s="31" t="s">
        <v>200</v>
      </c>
      <c r="X77" s="32" t="str">
        <f>IFERROR(__xludf.DUMMYFUNCTION("IFERROR(if(ISBLANK(W77),"" "",GOOGLEFINANCE(V77,""Name"")), """")"),"Brigade Enterprises Limited")</f>
        <v>Brigade Enterprises Limited</v>
      </c>
      <c r="Y77" s="51">
        <f>IFERROR(__xludf.DUMMYFUNCTION("IFERROR(if(ISBLANK(W77),"" "",GOOGLEFINANCE(V77,""price"")), """")"),592.0)</f>
        <v>592</v>
      </c>
      <c r="Z77" s="22">
        <f>IFERROR(__xludf.DUMMYFUNCTION("IFERROR(if(ISBLANK(W77),"" "",GOOGLEFINANCE(V77,""changepct"")), """")"),-2.16)</f>
        <v>-2.16</v>
      </c>
      <c r="AA77" s="12"/>
      <c r="AB77" s="18" t="s">
        <v>1615</v>
      </c>
      <c r="AC77" s="31" t="s">
        <v>200</v>
      </c>
      <c r="AD77" s="32" t="str">
        <f>IFERROR(__xludf.DUMMYFUNCTION("IFERROR(if(ISBLANK(AC77),"" "",GOOGLEFINANCE(AB77,""Name"")), """")"),"Anupam Rasayan India Ltd")</f>
        <v>Anupam Rasayan India Ltd</v>
      </c>
      <c r="AE77" s="51">
        <f>IFERROR(__xludf.DUMMYFUNCTION("IFERROR(if(ISBLANK(AC77),"" "",GOOGLEFINANCE(AB77,""price"")), """")"),1201.9)</f>
        <v>1201.9</v>
      </c>
      <c r="AF77" s="22">
        <f>IFERROR(__xludf.DUMMYFUNCTION("IFERROR(if(ISBLANK(AC77),"" "",GOOGLEFINANCE(AB77,""changepct"")), """")"),-0.61)</f>
        <v>-0.61</v>
      </c>
      <c r="AG77" s="45"/>
      <c r="AH77" s="27" t="s">
        <v>1616</v>
      </c>
      <c r="AI77" s="31" t="s">
        <v>200</v>
      </c>
      <c r="AJ77" s="32" t="str">
        <f>IFERROR(__xludf.DUMMYFUNCTION("IFERROR(if(ISBLANK(AI77),"" "",GOOGLEFINANCE(AH77,""Name"")), """")"),"Paras Defence and Space Technologies Ltd")</f>
        <v>Paras Defence and Space Technologies Ltd</v>
      </c>
      <c r="AK77" s="51">
        <f>IFERROR(__xludf.DUMMYFUNCTION("IFERROR(if(ISBLANK(AI77),"" "",GOOGLEFINANCE(AH77,""price"")), """")"),1282.3)</f>
        <v>1282.3</v>
      </c>
      <c r="AL77" s="22">
        <f>IFERROR(__xludf.DUMMYFUNCTION("IFERROR(if(ISBLANK(AI77),"" "",GOOGLEFINANCE(AH77,""changepct"")), """")"),-0.13)</f>
        <v>-0.13</v>
      </c>
      <c r="AM77" s="30"/>
      <c r="AN77" s="31" t="s">
        <v>200</v>
      </c>
      <c r="AO77" s="32" t="str">
        <f>IFERROR(__xludf.DUMMYFUNCTION("IFERROR(if(ISBLANK(AN77),"" "",GOOGLEFINANCE(AM77,""Name"")), """")"),"")</f>
        <v/>
      </c>
      <c r="AP77" s="33" t="s">
        <v>1618</v>
      </c>
      <c r="AQ77" s="31" t="s">
        <v>200</v>
      </c>
      <c r="AR77" s="32" t="str">
        <f>IFERROR(__xludf.DUMMYFUNCTION("IFERROR(if(ISBLANK(AQ77),"" "",GOOGLEFINANCE(AP77,""Name"")), """")"),"KRN Heat Exchanger and Refrigeration Ltd")</f>
        <v>KRN Heat Exchanger and Refrigeration Ltd</v>
      </c>
      <c r="AS77" s="51">
        <f>IFERROR(__xludf.DUMMYFUNCTION("IFERROR(if(ISBLANK(AQ77),"" "",GOOGLEFINANCE(AP77,""price"")), """")"),1335.0)</f>
        <v>1335</v>
      </c>
      <c r="AT77" s="22">
        <f>IFERROR(__xludf.DUMMYFUNCTION("IFERROR(if(ISBLANK(AQ77),"" "",GOOGLEFINANCE(AP77,""changepct"")), """")"),3.67)</f>
        <v>3.67</v>
      </c>
      <c r="AU77" s="45"/>
      <c r="AV77" s="34" t="s">
        <v>1619</v>
      </c>
      <c r="AW77" s="31" t="s">
        <v>200</v>
      </c>
      <c r="AX77" s="32" t="str">
        <f>IFERROR(__xludf.DUMMYFUNCTION("IFERROR(if(ISBLANK(AW77),"" "",GOOGLEFINANCE(AV77,""Name"")), """")"),"Greaves Cotton Ltd")</f>
        <v>Greaves Cotton Ltd</v>
      </c>
      <c r="AY77" s="51">
        <f>IFERROR(__xludf.DUMMYFUNCTION("IFERROR(if(ISBLANK(AW77),"" "",GOOGLEFINANCE(AV77,""price"")), """")"),193.8)</f>
        <v>193.8</v>
      </c>
      <c r="AZ77" s="22">
        <f>IFERROR(__xludf.DUMMYFUNCTION("IFERROR(if(ISBLANK(AW77),"" "",GOOGLEFINANCE(AV77,""changepct"")), """")"),-2.01)</f>
        <v>-2.01</v>
      </c>
      <c r="BA77" s="12"/>
      <c r="BB77" s="33" t="s">
        <v>1620</v>
      </c>
      <c r="BC77" s="31" t="s">
        <v>200</v>
      </c>
      <c r="BD77" s="32" t="str">
        <f>IFERROR(__xludf.DUMMYFUNCTION("IFERROR(if(ISBLANK(BC77),"" "",GOOGLEFINANCE(BB77,""Name"")), """")"),"Cms Info Systems Ltd")</f>
        <v>Cms Info Systems Ltd</v>
      </c>
      <c r="BE77" s="51">
        <f>IFERROR(__xludf.DUMMYFUNCTION("IFERROR(if(ISBLANK(BC77),"" "",GOOGLEFINANCE(BB77,""price"")), """")"),255.2)</f>
        <v>255.2</v>
      </c>
      <c r="BF77" s="22">
        <f>IFERROR(__xludf.DUMMYFUNCTION("IFERROR(if(ISBLANK(BC77),"" "",GOOGLEFINANCE(BB77,""changepct"")), """")"),-4.1)</f>
        <v>-4.1</v>
      </c>
      <c r="BG77" s="12"/>
      <c r="BH77" s="35" t="s">
        <v>1621</v>
      </c>
      <c r="BI77" s="31" t="s">
        <v>200</v>
      </c>
      <c r="BJ77" s="32" t="str">
        <f>IFERROR(__xludf.DUMMYFUNCTION("IFERROR(if(ISBLANK(BI77),"" "",GOOGLEFINANCE(BH77,""Name"")), """")"),"Ravindra Energy Ltd")</f>
        <v>Ravindra Energy Ltd</v>
      </c>
      <c r="BK77" s="51">
        <f>IFERROR(__xludf.DUMMYFUNCTION("IFERROR(if(ISBLANK(BI77),"" "",GOOGLEFINANCE(BH77,""price"")), """")"),167.0)</f>
        <v>167</v>
      </c>
      <c r="BL77" s="22">
        <f>IFERROR(__xludf.DUMMYFUNCTION("IFERROR(if(ISBLANK(BI77),"" "",GOOGLEFINANCE(BH77,""changepct"")), """")"),-1.18)</f>
        <v>-1.18</v>
      </c>
      <c r="BM77" s="12"/>
      <c r="BN77" s="33" t="s">
        <v>1622</v>
      </c>
      <c r="BO77" s="31" t="s">
        <v>200</v>
      </c>
      <c r="BP77" s="32" t="str">
        <f>IFERROR(__xludf.DUMMYFUNCTION("IFERROR(if(ISBLANK(BO77),"" "",GOOGLEFINANCE(BN77,""Name"")), """")"),"Mufin Green Finance Ltd")</f>
        <v>Mufin Green Finance Ltd</v>
      </c>
      <c r="BQ77" s="51">
        <f>IFERROR(__xludf.DUMMYFUNCTION("IFERROR(if(ISBLANK(BO77),"" "",GOOGLEFINANCE(BN77,""price"")), """")"),135.0)</f>
        <v>135</v>
      </c>
      <c r="BR77" s="22">
        <f>IFERROR(__xludf.DUMMYFUNCTION("IFERROR(if(ISBLANK(BO77),"" "",GOOGLEFINANCE(BN77,""changepct"")), """")"),-0.72)</f>
        <v>-0.72</v>
      </c>
      <c r="BS77" s="49"/>
      <c r="BT77" s="36"/>
      <c r="BU77" s="27" t="s">
        <v>1623</v>
      </c>
      <c r="BV77" s="31" t="s">
        <v>200</v>
      </c>
      <c r="BW77" s="32" t="str">
        <f>IFERROR(__xludf.DUMMYFUNCTION("IFERROR(if(ISBLANK(BV77),"" "",GOOGLEFINANCE(BU77,""Name"")), """")"),"Mukand Ltd")</f>
        <v>Mukand Ltd</v>
      </c>
      <c r="BX77" s="51">
        <f>IFERROR(__xludf.DUMMYFUNCTION("IFERROR(if(ISBLANK(BV77),"" "",GOOGLEFINANCE(BU77,""price"")), """")"),136.0)</f>
        <v>136</v>
      </c>
      <c r="BY77" s="22">
        <f>IFERROR(__xludf.DUMMYFUNCTION("IFERROR(if(ISBLANK(BV77),"" "",GOOGLEFINANCE(BU77,""changepct"")), """")"),-3.28)</f>
        <v>-3.28</v>
      </c>
      <c r="BZ77" s="49"/>
      <c r="CA77" s="37"/>
      <c r="CB77" s="27" t="s">
        <v>1624</v>
      </c>
      <c r="CC77" s="31" t="s">
        <v>200</v>
      </c>
      <c r="CD77" s="32" t="str">
        <f>IFERROR(__xludf.DUMMYFUNCTION("IFERROR(if(ISBLANK(CC77),"" "",GOOGLEFINANCE(CB77,""Name"")), """")"),"Digitide Solutions Ltd")</f>
        <v>Digitide Solutions Ltd</v>
      </c>
      <c r="CE77" s="51">
        <f>IFERROR(__xludf.DUMMYFUNCTION("IFERROR(if(ISBLANK(CC77),"" "",GOOGLEFINANCE(CB77,""price"")), """")"),103.83)</f>
        <v>103.83</v>
      </c>
      <c r="CF77" s="22">
        <f>IFERROR(__xludf.DUMMYFUNCTION("IFERROR(if(ISBLANK(CC77),"" "",GOOGLEFINANCE(CB77,""changepct"")), """")"),1.43)</f>
        <v>1.43</v>
      </c>
      <c r="CG77" s="12"/>
      <c r="CH77" s="18" t="s">
        <v>1626</v>
      </c>
      <c r="CI77" s="31" t="s">
        <v>200</v>
      </c>
      <c r="CJ77" s="32" t="str">
        <f>IFERROR(__xludf.DUMMYFUNCTION("IFERROR(if(ISBLANK(CI77),"" "",GOOGLEFINANCE(CH77,""Name"")), """")"),"Rajputana Stainless Ltd.")</f>
        <v>Rajputana Stainless Ltd.</v>
      </c>
      <c r="CK77" s="51">
        <f>IFERROR(__xludf.DUMMYFUNCTION("IFERROR(if(ISBLANK(CI77),"" "",GOOGLEFINANCE(CH77,""price"")), """")"),158.0)</f>
        <v>158</v>
      </c>
      <c r="CL77" s="22">
        <f>IFERROR(__xludf.DUMMYFUNCTION("IFERROR(if(ISBLANK(CI77),"" "",GOOGLEFINANCE(CH77,""changepct"")), """")"),3.06)</f>
        <v>3.06</v>
      </c>
      <c r="CM77" s="12"/>
      <c r="CN77" s="33" t="s">
        <v>1627</v>
      </c>
      <c r="CO77" s="31" t="s">
        <v>200</v>
      </c>
      <c r="CP77" s="32" t="str">
        <f>IFERROR(__xludf.DUMMYFUNCTION("IFERROR(if(ISBLANK(CO77),"" "",GOOGLEFINANCE(CN77,""Name"")), """")"),"Ifb Agro Industries Ltd")</f>
        <v>Ifb Agro Industries Ltd</v>
      </c>
      <c r="CQ77" s="51">
        <f>IFERROR(__xludf.DUMMYFUNCTION("IFERROR(if(ISBLANK(CO77),"" "",GOOGLEFINANCE(CN77,""price"")), """")"),1021.0)</f>
        <v>1021</v>
      </c>
      <c r="CR77" s="22">
        <f>IFERROR(__xludf.DUMMYFUNCTION("IFERROR(if(ISBLANK(CO77),"" "",GOOGLEFINANCE(CN77,""changepct"")), """")"),3.12)</f>
        <v>3.12</v>
      </c>
      <c r="CS77" s="45"/>
      <c r="CT77" s="33" t="s">
        <v>1628</v>
      </c>
      <c r="CU77" s="63" t="s">
        <v>200</v>
      </c>
      <c r="CV77" s="64" t="str">
        <f>IFERROR(__xludf.DUMMYFUNCTION("IFERROR(if(ISBLANK(CU77),"" "",GOOGLEFINANCE(CT77,""Name"")), """")"),"Premier Polyfilm Ltd(NDA)")</f>
        <v>Premier Polyfilm Ltd(NDA)</v>
      </c>
      <c r="CW77" s="65">
        <f>IFERROR(__xludf.DUMMYFUNCTION("IFERROR(if(ISBLANK(CU77),"" "",GOOGLEFINANCE(CT77,""price"")), """")"),74.87)</f>
        <v>74.87</v>
      </c>
      <c r="CX77" s="66">
        <f>IFERROR(__xludf.DUMMYFUNCTION("IFERROR(if(ISBLANK(CU77),"" "",GOOGLEFINANCE(CT77,""changepct"")), """")"),7.76)</f>
        <v>7.76</v>
      </c>
      <c r="CY77" s="17"/>
      <c r="CZ77" s="33" t="s">
        <v>1630</v>
      </c>
      <c r="DA77" s="31" t="s">
        <v>200</v>
      </c>
      <c r="DB77" s="32" t="str">
        <f>IFERROR(__xludf.DUMMYFUNCTION("IFERROR(if(ISBLANK(DA77),"" "",GOOGLEFINANCE(CZ77,""Name"")), """")"),"Chemfab Alkalis Ltd")</f>
        <v>Chemfab Alkalis Ltd</v>
      </c>
      <c r="DC77" s="51">
        <f>IFERROR(__xludf.DUMMYFUNCTION("IFERROR(if(ISBLANK(DA77),"" "",GOOGLEFINANCE(CZ77,""price"")), """")"),379.7)</f>
        <v>379.7</v>
      </c>
      <c r="DD77" s="22">
        <f>IFERROR(__xludf.DUMMYFUNCTION("IFERROR(if(ISBLANK(DA77),"" "",GOOGLEFINANCE(CZ77,""changepct"")), """")"),0.92)</f>
        <v>0.92</v>
      </c>
      <c r="DE77" s="45"/>
      <c r="DF77" s="12"/>
    </row>
    <row r="78" ht="11.25" customHeight="1">
      <c r="A78" s="62"/>
      <c r="B78" s="18" t="s">
        <v>1631</v>
      </c>
      <c r="C78" s="31" t="s">
        <v>200</v>
      </c>
      <c r="D78" s="32" t="str">
        <f>IFERROR(__xludf.DUMMYFUNCTION("IFERROR(if(ISBLANK(C78),"" "",GOOGLEFINANCE(B78,""Name"")), """")"),"Union Bank of India Ltd")</f>
        <v>Union Bank of India Ltd</v>
      </c>
      <c r="E78" s="51">
        <f>IFERROR(__xludf.DUMMYFUNCTION("IFERROR(if(ISBLANK(C78),"" "",GOOGLEFINANCE(B78,""price"")), """")"),187.0)</f>
        <v>187</v>
      </c>
      <c r="F78" s="22">
        <f>IFERROR(__xludf.DUMMYFUNCTION("IFERROR(if(ISBLANK(C78),"" "",GOOGLEFINANCE(B78,""changepct"")), """")"),2.47)</f>
        <v>2.47</v>
      </c>
      <c r="G78" s="49"/>
      <c r="H78" s="36"/>
      <c r="I78" s="25" t="s">
        <v>1632</v>
      </c>
      <c r="J78" s="31" t="s">
        <v>200</v>
      </c>
      <c r="K78" s="32" t="str">
        <f>IFERROR(__xludf.DUMMYFUNCTION("IFERROR(if(ISBLANK(J78),"" "",GOOGLEFINANCE(I78,""Name"")), """")"),"Glenmark Pharmaceuticals Ltd")</f>
        <v>Glenmark Pharmaceuticals Ltd</v>
      </c>
      <c r="L78" s="51">
        <f>IFERROR(__xludf.DUMMYFUNCTION("IFERROR(if(ISBLANK(J78),"" "",GOOGLEFINANCE(I78,""price"")), """")"),2285.0)</f>
        <v>2285</v>
      </c>
      <c r="M78" s="22">
        <f>IFERROR(__xludf.DUMMYFUNCTION("IFERROR(if(ISBLANK(J78),"" "",GOOGLEFINANCE(I78,""changepct"")), """")"),0.4)</f>
        <v>0.4</v>
      </c>
      <c r="N78" s="49"/>
      <c r="O78" s="37"/>
      <c r="P78" s="27" t="s">
        <v>1634</v>
      </c>
      <c r="Q78" s="31" t="s">
        <v>200</v>
      </c>
      <c r="R78" s="32" t="str">
        <f>IFERROR(__xludf.DUMMYFUNCTION("IFERROR(if(ISBLANK(Q78),"" "",GOOGLEFINANCE(P78,""Name"")), """")"),"Inventurus Knowledge Solutions Ltd")</f>
        <v>Inventurus Knowledge Solutions Ltd</v>
      </c>
      <c r="S78" s="51">
        <f>IFERROR(__xludf.DUMMYFUNCTION("IFERROR(if(ISBLANK(Q78),"" "",GOOGLEFINANCE(P78,""price"")), """")"),1776.2)</f>
        <v>1776.2</v>
      </c>
      <c r="T78" s="22">
        <f>IFERROR(__xludf.DUMMYFUNCTION("IFERROR(if(ISBLANK(Q78),"" "",GOOGLEFINANCE(P78,""changepct"")), """")"),1.79)</f>
        <v>1.79</v>
      </c>
      <c r="U78" s="12"/>
      <c r="V78" s="18" t="s">
        <v>1635</v>
      </c>
      <c r="W78" s="31" t="s">
        <v>200</v>
      </c>
      <c r="X78" s="32" t="str">
        <f>IFERROR(__xludf.DUMMYFUNCTION("IFERROR(if(ISBLANK(W78),"" "",GOOGLEFINANCE(V78,""Name"")), """")"),"Sammaan Capital Ltd")</f>
        <v>Sammaan Capital Ltd</v>
      </c>
      <c r="Y78" s="51">
        <f>IFERROR(__xludf.DUMMYFUNCTION("IFERROR(if(ISBLANK(W78),"" "",GOOGLEFINANCE(V78,""price"")), """")"),160.4)</f>
        <v>160.4</v>
      </c>
      <c r="Z78" s="22">
        <f>IFERROR(__xludf.DUMMYFUNCTION("IFERROR(if(ISBLANK(W78),"" "",GOOGLEFINANCE(V78,""changepct"")), """")"),-1.84)</f>
        <v>-1.84</v>
      </c>
      <c r="AA78" s="12"/>
      <c r="AB78" s="18" t="s">
        <v>1636</v>
      </c>
      <c r="AC78" s="31" t="s">
        <v>200</v>
      </c>
      <c r="AD78" s="32" t="str">
        <f>IFERROR(__xludf.DUMMYFUNCTION("IFERROR(if(ISBLANK(AC78),"" "",GOOGLEFINANCE(AB78,""Name"")), """")"),"V Guard Industries Ltd")</f>
        <v>V Guard Industries Ltd</v>
      </c>
      <c r="AE78" s="51">
        <f>IFERROR(__xludf.DUMMYFUNCTION("IFERROR(if(ISBLANK(AC78),"" "",GOOGLEFINANCE(AB78,""price"")), """")"),332.0)</f>
        <v>332</v>
      </c>
      <c r="AF78" s="22">
        <f>IFERROR(__xludf.DUMMYFUNCTION("IFERROR(if(ISBLANK(AC78),"" "",GOOGLEFINANCE(AB78,""changepct"")), """")"),2.37)</f>
        <v>2.37</v>
      </c>
      <c r="AG78" s="45"/>
      <c r="AH78" s="27" t="s">
        <v>1637</v>
      </c>
      <c r="AI78" s="31" t="s">
        <v>200</v>
      </c>
      <c r="AJ78" s="32" t="str">
        <f>IFERROR(__xludf.DUMMYFUNCTION("IFERROR(if(ISBLANK(AI78),"" "",GOOGLEFINANCE(AH78,""Name"")), """")"),"Intellect Design Arena Ltd")</f>
        <v>Intellect Design Arena Ltd</v>
      </c>
      <c r="AK78" s="51">
        <f>IFERROR(__xludf.DUMMYFUNCTION("IFERROR(if(ISBLANK(AI78),"" "",GOOGLEFINANCE(AH78,""price"")), """")"),703.5)</f>
        <v>703.5</v>
      </c>
      <c r="AL78" s="22">
        <f>IFERROR(__xludf.DUMMYFUNCTION("IFERROR(if(ISBLANK(AI78),"" "",GOOGLEFINANCE(AH78,""changepct"")), """")"),-2.78)</f>
        <v>-2.78</v>
      </c>
      <c r="AM78" s="30"/>
      <c r="AN78" s="31" t="s">
        <v>200</v>
      </c>
      <c r="AO78" s="32" t="str">
        <f>IFERROR(__xludf.DUMMYFUNCTION("IFERROR(if(ISBLANK(AN78),"" "",GOOGLEFINANCE(AM78,""Name"")), """")"),"")</f>
        <v/>
      </c>
      <c r="AP78" s="33" t="s">
        <v>1638</v>
      </c>
      <c r="AQ78" s="31" t="s">
        <v>200</v>
      </c>
      <c r="AR78" s="32" t="str">
        <f>IFERROR(__xludf.DUMMYFUNCTION("IFERROR(if(ISBLANK(AQ78),"" "",GOOGLEFINANCE(AP78,""Name"")), """")"),"Jeena Sikho Lifecare Ltd")</f>
        <v>Jeena Sikho Lifecare Ltd</v>
      </c>
      <c r="AS78" s="51">
        <f>IFERROR(__xludf.DUMMYFUNCTION("IFERROR(if(ISBLANK(AQ78),"" "",GOOGLEFINANCE(AP78,""price"")), """")"),509.0)</f>
        <v>509</v>
      </c>
      <c r="AT78" s="22">
        <f>IFERROR(__xludf.DUMMYFUNCTION("IFERROR(if(ISBLANK(AQ78),"" "",GOOGLEFINANCE(AP78,""changepct"")), """")"),-5.6)</f>
        <v>-5.6</v>
      </c>
      <c r="AU78" s="45"/>
      <c r="AV78" s="34" t="s">
        <v>1639</v>
      </c>
      <c r="AW78" s="31" t="s">
        <v>200</v>
      </c>
      <c r="AX78" s="32" t="str">
        <f>IFERROR(__xludf.DUMMYFUNCTION("IFERROR(if(ISBLANK(AW78),"" "",GOOGLEFINANCE(AV78,""Name"")), """")"),"Neogen Chemicals Ltd")</f>
        <v>Neogen Chemicals Ltd</v>
      </c>
      <c r="AY78" s="51">
        <f>IFERROR(__xludf.DUMMYFUNCTION("IFERROR(if(ISBLANK(AW78),"" "",GOOGLEFINANCE(AV78,""price"")), """")"),2080.0)</f>
        <v>2080</v>
      </c>
      <c r="AZ78" s="22">
        <f>IFERROR(__xludf.DUMMYFUNCTION("IFERROR(if(ISBLANK(AW78),"" "",GOOGLEFINANCE(AV78,""changepct"")), """")"),-0.61)</f>
        <v>-0.61</v>
      </c>
      <c r="BA78" s="12"/>
      <c r="BB78" s="33" t="s">
        <v>1641</v>
      </c>
      <c r="BC78" s="31" t="s">
        <v>200</v>
      </c>
      <c r="BD78" s="32" t="str">
        <f>IFERROR(__xludf.DUMMYFUNCTION("IFERROR(if(ISBLANK(BC78),"" "",GOOGLEFINANCE(BB78,""Name"")), """")"),"Laser Power &amp; Infra Ltd")</f>
        <v>Laser Power &amp; Infra Ltd</v>
      </c>
      <c r="BE78" s="51">
        <f>IFERROR(__xludf.DUMMYFUNCTION("IFERROR(if(ISBLANK(BC78),"" "",GOOGLEFINANCE(BB78,""price"")), """")"),281.0)</f>
        <v>281</v>
      </c>
      <c r="BF78" s="22">
        <f>IFERROR(__xludf.DUMMYFUNCTION("IFERROR(if(ISBLANK(BC78),"" "",GOOGLEFINANCE(BB78,""changepct"")), """")"),-2.78)</f>
        <v>-2.78</v>
      </c>
      <c r="BG78" s="12"/>
      <c r="BH78" s="35" t="s">
        <v>1642</v>
      </c>
      <c r="BI78" s="31" t="s">
        <v>200</v>
      </c>
      <c r="BJ78" s="32" t="str">
        <f>IFERROR(__xludf.DUMMYFUNCTION("IFERROR(if(ISBLANK(BI78),"" "",GOOGLEFINANCE(BH78,""Name"")), """")"),"SMS Pharmaceuticals Ltd")</f>
        <v>SMS Pharmaceuticals Ltd</v>
      </c>
      <c r="BK78" s="51">
        <f>IFERROR(__xludf.DUMMYFUNCTION("IFERROR(if(ISBLANK(BI78),"" "",GOOGLEFINANCE(BH78,""price"")), """")"),374.0)</f>
        <v>374</v>
      </c>
      <c r="BL78" s="22">
        <f>IFERROR(__xludf.DUMMYFUNCTION("IFERROR(if(ISBLANK(BI78),"" "",GOOGLEFINANCE(BH78,""changepct"")), """")"),-1.25)</f>
        <v>-1.25</v>
      </c>
      <c r="BM78" s="12"/>
      <c r="BN78" s="33" t="s">
        <v>1643</v>
      </c>
      <c r="BO78" s="31" t="s">
        <v>200</v>
      </c>
      <c r="BP78" s="32" t="str">
        <f>IFERROR(__xludf.DUMMYFUNCTION("IFERROR(if(ISBLANK(BO78),"" "",GOOGLEFINANCE(BN78,""Name"")), """")"),"Utkarsh Small Finance Bank Ltd")</f>
        <v>Utkarsh Small Finance Bank Ltd</v>
      </c>
      <c r="BQ78" s="51">
        <f>IFERROR(__xludf.DUMMYFUNCTION("IFERROR(if(ISBLANK(BO78),"" "",GOOGLEFINANCE(BN78,""price"")), """")"),14.24)</f>
        <v>14.24</v>
      </c>
      <c r="BR78" s="22">
        <f>IFERROR(__xludf.DUMMYFUNCTION("IFERROR(if(ISBLANK(BO78),"" "",GOOGLEFINANCE(BN78,""changepct"")), """")"),1.71)</f>
        <v>1.71</v>
      </c>
      <c r="BS78" s="49"/>
      <c r="BT78" s="36"/>
      <c r="BU78" s="27" t="s">
        <v>1644</v>
      </c>
      <c r="BV78" s="31" t="s">
        <v>200</v>
      </c>
      <c r="BW78" s="32" t="str">
        <f>IFERROR(__xludf.DUMMYFUNCTION("IFERROR(if(ISBLANK(BV78),"" "",GOOGLEFINANCE(BU78,""Name"")), """")"),"Arman Financial Services Ltd")</f>
        <v>Arman Financial Services Ltd</v>
      </c>
      <c r="BX78" s="51">
        <f>IFERROR(__xludf.DUMMYFUNCTION("IFERROR(if(ISBLANK(BV78),"" "",GOOGLEFINANCE(BU78,""price"")), """")"),2006.6)</f>
        <v>2006.6</v>
      </c>
      <c r="BY78" s="22">
        <f>IFERROR(__xludf.DUMMYFUNCTION("IFERROR(if(ISBLANK(BV78),"" "",GOOGLEFINANCE(BU78,""changepct"")), """")"),0.19)</f>
        <v>0.19</v>
      </c>
      <c r="BZ78" s="49"/>
      <c r="CA78" s="37"/>
      <c r="CB78" s="27" t="s">
        <v>1645</v>
      </c>
      <c r="CC78" s="31" t="s">
        <v>200</v>
      </c>
      <c r="CD78" s="32" t="str">
        <f>IFERROR(__xludf.DUMMYFUNCTION("IFERROR(if(ISBLANK(CC78),"" "",GOOGLEFINANCE(CB78,""Name"")), """")"),"IFGL Refractories Ltd")</f>
        <v>IFGL Refractories Ltd</v>
      </c>
      <c r="CE78" s="51">
        <f>IFERROR(__xludf.DUMMYFUNCTION("IFERROR(if(ISBLANK(CC78),"" "",GOOGLEFINANCE(CB78,""price"")), """")"),212.05)</f>
        <v>212.05</v>
      </c>
      <c r="CF78" s="22">
        <f>IFERROR(__xludf.DUMMYFUNCTION("IFERROR(if(ISBLANK(CC78),"" "",GOOGLEFINANCE(CB78,""changepct"")), """")"),-2.84)</f>
        <v>-2.84</v>
      </c>
      <c r="CG78" s="12"/>
      <c r="CH78" s="18" t="s">
        <v>1647</v>
      </c>
      <c r="CI78" s="31" t="s">
        <v>200</v>
      </c>
      <c r="CJ78" s="32" t="str">
        <f>IFERROR(__xludf.DUMMYFUNCTION("IFERROR(if(ISBLANK(CI78),"" "",GOOGLEFINANCE(CH78,""Name"")), """")"),"Gretex Corporate Services Ltd")</f>
        <v>Gretex Corporate Services Ltd</v>
      </c>
      <c r="CK78" s="51">
        <f>IFERROR(__xludf.DUMMYFUNCTION("IFERROR(if(ISBLANK(CI78),"" "",GOOGLEFINANCE(CH78,""price"")), """")"),498.0)</f>
        <v>498</v>
      </c>
      <c r="CL78" s="22">
        <f>IFERROR(__xludf.DUMMYFUNCTION("IFERROR(if(ISBLANK(CI78),"" "",GOOGLEFINANCE(CH78,""changepct"")), """")"),6.91)</f>
        <v>6.91</v>
      </c>
      <c r="CM78" s="12"/>
      <c r="CN78" s="33" t="s">
        <v>1648</v>
      </c>
      <c r="CO78" s="31" t="s">
        <v>200</v>
      </c>
      <c r="CP78" s="32" t="str">
        <f>IFERROR(__xludf.DUMMYFUNCTION("IFERROR(if(ISBLANK(CO78),"" "",GOOGLEFINANCE(CN78,""Name"")), """")"),"Sterling Tools Ltd")</f>
        <v>Sterling Tools Ltd</v>
      </c>
      <c r="CQ78" s="51">
        <f>IFERROR(__xludf.DUMMYFUNCTION("IFERROR(if(ISBLANK(CO78),"" "",GOOGLEFINANCE(CN78,""price"")), """")"),223.8)</f>
        <v>223.8</v>
      </c>
      <c r="CR78" s="22">
        <f>IFERROR(__xludf.DUMMYFUNCTION("IFERROR(if(ISBLANK(CO78),"" "",GOOGLEFINANCE(CN78,""changepct"")), """")"),0.67)</f>
        <v>0.67</v>
      </c>
      <c r="CS78" s="45"/>
      <c r="CT78" s="33" t="s">
        <v>1649</v>
      </c>
      <c r="CU78" s="63" t="s">
        <v>200</v>
      </c>
      <c r="CV78" s="64" t="str">
        <f>IFERROR(__xludf.DUMMYFUNCTION("IFERROR(if(ISBLANK(CU78),"" "",GOOGLEFINANCE(CT78,""Name"")), """")"),"Viviana Power Tech Ltd")</f>
        <v>Viviana Power Tech Ltd</v>
      </c>
      <c r="CW78" s="65">
        <f>IFERROR(__xludf.DUMMYFUNCTION("IFERROR(if(ISBLANK(CU78),"" "",GOOGLEFINANCE(CT78,""price"")), """")"),718.0)</f>
        <v>718</v>
      </c>
      <c r="CX78" s="66">
        <f>IFERROR(__xludf.DUMMYFUNCTION("IFERROR(if(ISBLANK(CU78),"" "",GOOGLEFINANCE(CT78,""changepct"")), """")"),3.85)</f>
        <v>3.85</v>
      </c>
      <c r="CY78" s="17"/>
      <c r="CZ78" s="33" t="s">
        <v>1650</v>
      </c>
      <c r="DA78" s="31" t="s">
        <v>200</v>
      </c>
      <c r="DB78" s="32" t="str">
        <f>IFERROR(__xludf.DUMMYFUNCTION("IFERROR(if(ISBLANK(DA78),"" "",GOOGLEFINANCE(CZ78,""Name"")), """")"),"Credo Brands Marketing Ltd")</f>
        <v>Credo Brands Marketing Ltd</v>
      </c>
      <c r="DC78" s="51">
        <f>IFERROR(__xludf.DUMMYFUNCTION("IFERROR(if(ISBLANK(DA78),"" "",GOOGLEFINANCE(CZ78,""price"")), """")"),80.1)</f>
        <v>80.1</v>
      </c>
      <c r="DD78" s="22">
        <f>IFERROR(__xludf.DUMMYFUNCTION("IFERROR(if(ISBLANK(DA78),"" "",GOOGLEFINANCE(CZ78,""changepct"")), """")"),-3.8)</f>
        <v>-3.8</v>
      </c>
      <c r="DE78" s="45"/>
      <c r="DF78" s="12"/>
    </row>
    <row r="79" ht="11.25" customHeight="1">
      <c r="A79" s="62"/>
      <c r="B79" s="18" t="s">
        <v>1651</v>
      </c>
      <c r="C79" s="31" t="s">
        <v>200</v>
      </c>
      <c r="D79" s="32" t="str">
        <f>IFERROR(__xludf.DUMMYFUNCTION("IFERROR(if(ISBLANK(C79),"" "",GOOGLEFINANCE(B79,""Name"")), """")"),"Britannia Industries Ltd")</f>
        <v>Britannia Industries Ltd</v>
      </c>
      <c r="E79" s="51">
        <f>IFERROR(__xludf.DUMMYFUNCTION("IFERROR(if(ISBLANK(C79),"" "",GOOGLEFINANCE(B79,""price"")), """")"),5600.0)</f>
        <v>5600</v>
      </c>
      <c r="F79" s="22">
        <f>IFERROR(__xludf.DUMMYFUNCTION("IFERROR(if(ISBLANK(C79),"" "",GOOGLEFINANCE(B79,""changepct"")), """")"),0.04)</f>
        <v>0.04</v>
      </c>
      <c r="G79" s="49"/>
      <c r="H79" s="36"/>
      <c r="I79" s="25" t="s">
        <v>1652</v>
      </c>
      <c r="J79" s="31" t="s">
        <v>200</v>
      </c>
      <c r="K79" s="32" t="str">
        <f>IFERROR(__xludf.DUMMYFUNCTION("IFERROR(if(ISBLANK(J79),"" "",GOOGLEFINANCE(I79,""Name"")), """")"),"SBI Cards and Payment Services Ltd")</f>
        <v>SBI Cards and Payment Services Ltd</v>
      </c>
      <c r="L79" s="51">
        <f>IFERROR(__xludf.DUMMYFUNCTION("IFERROR(if(ISBLANK(J79),"" "",GOOGLEFINANCE(I79,""price"")), """")"),653.95)</f>
        <v>653.95</v>
      </c>
      <c r="M79" s="22">
        <f>IFERROR(__xludf.DUMMYFUNCTION("IFERROR(if(ISBLANK(J79),"" "",GOOGLEFINANCE(I79,""changepct"")), """")"),0.6)</f>
        <v>0.6</v>
      </c>
      <c r="N79" s="49"/>
      <c r="O79" s="37"/>
      <c r="P79" s="27" t="s">
        <v>1653</v>
      </c>
      <c r="Q79" s="31" t="s">
        <v>200</v>
      </c>
      <c r="R79" s="32" t="str">
        <f>IFERROR(__xludf.DUMMYFUNCTION("IFERROR(if(ISBLANK(Q79),"" "",GOOGLEFINANCE(P79,""Name"")), """")"),"Manappuram Finance Ltd")</f>
        <v>Manappuram Finance Ltd</v>
      </c>
      <c r="S79" s="51">
        <f>IFERROR(__xludf.DUMMYFUNCTION("IFERROR(if(ISBLANK(Q79),"" "",GOOGLEFINANCE(P79,""price"")), """")"),354.5)</f>
        <v>354.5</v>
      </c>
      <c r="T79" s="22">
        <f>IFERROR(__xludf.DUMMYFUNCTION("IFERROR(if(ISBLANK(Q79),"" "",GOOGLEFINANCE(P79,""changepct"")), """")"),-1.53)</f>
        <v>-1.53</v>
      </c>
      <c r="U79" s="12"/>
      <c r="V79" s="18" t="s">
        <v>1655</v>
      </c>
      <c r="W79" s="31" t="s">
        <v>200</v>
      </c>
      <c r="X79" s="32" t="str">
        <f>IFERROR(__xludf.DUMMYFUNCTION("IFERROR(if(ISBLANK(W79),"" "",GOOGLEFINANCE(V79,""Name"")), """")"),"Eris Lifesciences Ltd")</f>
        <v>Eris Lifesciences Ltd</v>
      </c>
      <c r="Y79" s="51">
        <f>IFERROR(__xludf.DUMMYFUNCTION("IFERROR(if(ISBLANK(W79),"" "",GOOGLEFINANCE(V79,""price"")), """")"),1350.9)</f>
        <v>1350.9</v>
      </c>
      <c r="Z79" s="22">
        <f>IFERROR(__xludf.DUMMYFUNCTION("IFERROR(if(ISBLANK(W79),"" "",GOOGLEFINANCE(V79,""changepct"")), """")"),-2.83)</f>
        <v>-2.83</v>
      </c>
      <c r="AA79" s="12"/>
      <c r="AB79" s="18" t="s">
        <v>1656</v>
      </c>
      <c r="AC79" s="31" t="s">
        <v>200</v>
      </c>
      <c r="AD79" s="32" t="str">
        <f>IFERROR(__xludf.DUMMYFUNCTION("IFERROR(if(ISBLANK(AC79),"" "",GOOGLEFINANCE(AB79,""Name"")), """")"),"Doms Industries Ltd")</f>
        <v>Doms Industries Ltd</v>
      </c>
      <c r="AE79" s="51">
        <f>IFERROR(__xludf.DUMMYFUNCTION("IFERROR(if(ISBLANK(AC79),"" "",GOOGLEFINANCE(AB79,""price"")), """")"),2238.1)</f>
        <v>2238.1</v>
      </c>
      <c r="AF79" s="22">
        <f>IFERROR(__xludf.DUMMYFUNCTION("IFERROR(if(ISBLANK(AC79),"" "",GOOGLEFINANCE(AB79,""changepct"")), """")"),0.28)</f>
        <v>0.28</v>
      </c>
      <c r="AG79" s="45"/>
      <c r="AH79" s="27" t="s">
        <v>1657</v>
      </c>
      <c r="AI79" s="31" t="s">
        <v>200</v>
      </c>
      <c r="AJ79" s="32" t="str">
        <f>IFERROR(__xludf.DUMMYFUNCTION("IFERROR(if(ISBLANK(AI79),"" "",GOOGLEFINANCE(AH79,""Name"")), """")"),"Saregama India Ltd")</f>
        <v>Saregama India Ltd</v>
      </c>
      <c r="AK79" s="51">
        <f>IFERROR(__xludf.DUMMYFUNCTION("IFERROR(if(ISBLANK(AI79),"" "",GOOGLEFINANCE(AH79,""price"")), """")"),515.3)</f>
        <v>515.3</v>
      </c>
      <c r="AL79" s="22">
        <f>IFERROR(__xludf.DUMMYFUNCTION("IFERROR(if(ISBLANK(AI79),"" "",GOOGLEFINANCE(AH79,""changepct"")), """")"),-2.61)</f>
        <v>-2.61</v>
      </c>
      <c r="AM79" s="30"/>
      <c r="AN79" s="31" t="s">
        <v>200</v>
      </c>
      <c r="AO79" s="32" t="str">
        <f>IFERROR(__xludf.DUMMYFUNCTION("IFERROR(if(ISBLANK(AN79),"" "",GOOGLEFINANCE(AM79,""Name"")), """")"),"")</f>
        <v/>
      </c>
      <c r="AP79" s="33" t="s">
        <v>1658</v>
      </c>
      <c r="AQ79" s="31" t="s">
        <v>200</v>
      </c>
      <c r="AR79" s="32" t="str">
        <f>IFERROR(__xludf.DUMMYFUNCTION("IFERROR(if(ISBLANK(AQ79),"" "",GOOGLEFINANCE(AP79,""Name"")), """")"),"Garware Technical Fibres Ltd")</f>
        <v>Garware Technical Fibres Ltd</v>
      </c>
      <c r="AS79" s="51">
        <f>IFERROR(__xludf.DUMMYFUNCTION("IFERROR(if(ISBLANK(AQ79),"" "",GOOGLEFINANCE(AP79,""price"")), """")"),768.15)</f>
        <v>768.15</v>
      </c>
      <c r="AT79" s="22">
        <f>IFERROR(__xludf.DUMMYFUNCTION("IFERROR(if(ISBLANK(AQ79),"" "",GOOGLEFINANCE(AP79,""changepct"")), """")"),-2.32)</f>
        <v>-2.32</v>
      </c>
      <c r="AU79" s="45"/>
      <c r="AV79" s="34" t="s">
        <v>1659</v>
      </c>
      <c r="AW79" s="31" t="s">
        <v>200</v>
      </c>
      <c r="AX79" s="32" t="str">
        <f>IFERROR(__xludf.DUMMYFUNCTION("IFERROR(if(ISBLANK(AW79),"" "",GOOGLEFINANCE(AV79,""Name"")), """")"),"Avenuesai Ltd")</f>
        <v>Avenuesai Ltd</v>
      </c>
      <c r="AY79" s="51">
        <f>IFERROR(__xludf.DUMMYFUNCTION("IFERROR(if(ISBLANK(AW79),"" "",GOOGLEFINANCE(AV79,""price"")), """")"),16.1)</f>
        <v>16.1</v>
      </c>
      <c r="AZ79" s="22">
        <f>IFERROR(__xludf.DUMMYFUNCTION("IFERROR(if(ISBLANK(AW79),"" "",GOOGLEFINANCE(AV79,""changepct"")), """")"),-1.95)</f>
        <v>-1.95</v>
      </c>
      <c r="BA79" s="12"/>
      <c r="BB79" s="33" t="s">
        <v>1660</v>
      </c>
      <c r="BC79" s="31" t="s">
        <v>200</v>
      </c>
      <c r="BD79" s="32" t="str">
        <f>IFERROR(__xludf.DUMMYFUNCTION("IFERROR(if(ISBLANK(BC79),"" "",GOOGLEFINANCE(BB79,""Name"")), """")"),"Websol Energy System Ltd")</f>
        <v>Websol Energy System Ltd</v>
      </c>
      <c r="BE79" s="51">
        <f>IFERROR(__xludf.DUMMYFUNCTION("IFERROR(if(ISBLANK(BC79),"" "",GOOGLEFINANCE(BB79,""price"")), """")"),85.29)</f>
        <v>85.29</v>
      </c>
      <c r="BF79" s="22">
        <f>IFERROR(__xludf.DUMMYFUNCTION("IFERROR(if(ISBLANK(BC79),"" "",GOOGLEFINANCE(BB79,""changepct"")), """")"),-4.99)</f>
        <v>-4.99</v>
      </c>
      <c r="BG79" s="12"/>
      <c r="BH79" s="35" t="s">
        <v>1662</v>
      </c>
      <c r="BI79" s="31" t="s">
        <v>200</v>
      </c>
      <c r="BJ79" s="32" t="str">
        <f>IFERROR(__xludf.DUMMYFUNCTION("IFERROR(if(ISBLANK(BI79),"" "",GOOGLEFINANCE(BH79,""Name"")), """")"),"Niit Learning Systems Ltd")</f>
        <v>Niit Learning Systems Ltd</v>
      </c>
      <c r="BK79" s="51">
        <f>IFERROR(__xludf.DUMMYFUNCTION("IFERROR(if(ISBLANK(BI79),"" "",GOOGLEFINANCE(BH79,""price"")), """")"),242.01)</f>
        <v>242.01</v>
      </c>
      <c r="BL79" s="22">
        <f>IFERROR(__xludf.DUMMYFUNCTION("IFERROR(if(ISBLANK(BI79),"" "",GOOGLEFINANCE(BH79,""changepct"")), """")"),-1.41)</f>
        <v>-1.41</v>
      </c>
      <c r="BM79" s="12"/>
      <c r="BN79" s="33" t="s">
        <v>1663</v>
      </c>
      <c r="BO79" s="31" t="s">
        <v>200</v>
      </c>
      <c r="BP79" s="32" t="str">
        <f>IFERROR(__xludf.DUMMYFUNCTION("IFERROR(if(ISBLANK(BO79),"" "",GOOGLEFINANCE(BN79,""Name"")), """")"),"Panacea Biotec Ltd")</f>
        <v>Panacea Biotec Ltd</v>
      </c>
      <c r="BQ79" s="51">
        <f>IFERROR(__xludf.DUMMYFUNCTION("IFERROR(if(ISBLANK(BO79),"" "",GOOGLEFINANCE(BN79,""price"")), """")"),398.0)</f>
        <v>398</v>
      </c>
      <c r="BR79" s="22">
        <f>IFERROR(__xludf.DUMMYFUNCTION("IFERROR(if(ISBLANK(BO79),"" "",GOOGLEFINANCE(BN79,""changepct"")), """")"),-1.04)</f>
        <v>-1.04</v>
      </c>
      <c r="BS79" s="49"/>
      <c r="BT79" s="36"/>
      <c r="BU79" s="27" t="s">
        <v>1664</v>
      </c>
      <c r="BV79" s="31" t="s">
        <v>200</v>
      </c>
      <c r="BW79" s="32" t="str">
        <f>IFERROR(__xludf.DUMMYFUNCTION("IFERROR(if(ISBLANK(BV79),"" "",GOOGLEFINANCE(BU79,""Name"")), """")"),"Sanstar Ltd")</f>
        <v>Sanstar Ltd</v>
      </c>
      <c r="BX79" s="51">
        <f>IFERROR(__xludf.DUMMYFUNCTION("IFERROR(if(ISBLANK(BV79),"" "",GOOGLEFINANCE(BU79,""price"")), """")"),112.99)</f>
        <v>112.99</v>
      </c>
      <c r="BY79" s="22">
        <f>IFERROR(__xludf.DUMMYFUNCTION("IFERROR(if(ISBLANK(BV79),"" "",GOOGLEFINANCE(BU79,""changepct"")), """")"),0.99)</f>
        <v>0.99</v>
      </c>
      <c r="BZ79" s="49"/>
      <c r="CA79" s="37"/>
      <c r="CB79" s="27" t="s">
        <v>1665</v>
      </c>
      <c r="CC79" s="31" t="s">
        <v>200</v>
      </c>
      <c r="CD79" s="32" t="str">
        <f>IFERROR(__xludf.DUMMYFUNCTION("IFERROR(if(ISBLANK(CC79),"" "",GOOGLEFINANCE(CB79,""Name"")), """")"),"GPT Infraprojects Ltd")</f>
        <v>GPT Infraprojects Ltd</v>
      </c>
      <c r="CE79" s="51">
        <f>IFERROR(__xludf.DUMMYFUNCTION("IFERROR(if(ISBLANK(CC79),"" "",GOOGLEFINANCE(CB79,""price"")), """")"),117.0)</f>
        <v>117</v>
      </c>
      <c r="CF79" s="22">
        <f>IFERROR(__xludf.DUMMYFUNCTION("IFERROR(if(ISBLANK(CC79),"" "",GOOGLEFINANCE(CB79,""changepct"")), """")"),0.43)</f>
        <v>0.43</v>
      </c>
      <c r="CG79" s="12"/>
      <c r="CH79" s="18" t="s">
        <v>1667</v>
      </c>
      <c r="CI79" s="31" t="s">
        <v>200</v>
      </c>
      <c r="CJ79" s="32" t="str">
        <f>IFERROR(__xludf.DUMMYFUNCTION("IFERROR(if(ISBLANK(CI79),"" "",GOOGLEFINANCE(CH79,""Name"")), """")"),"Laxmi Dental Ltd")</f>
        <v>Laxmi Dental Ltd</v>
      </c>
      <c r="CK79" s="51">
        <f>IFERROR(__xludf.DUMMYFUNCTION("IFERROR(if(ISBLANK(CI79),"" "",GOOGLEFINANCE(CH79,""price"")), """")"),199.11)</f>
        <v>199.11</v>
      </c>
      <c r="CL79" s="22">
        <f>IFERROR(__xludf.DUMMYFUNCTION("IFERROR(if(ISBLANK(CI79),"" "",GOOGLEFINANCE(CH79,""changepct"")), """")"),-5.53)</f>
        <v>-5.53</v>
      </c>
      <c r="CM79" s="12"/>
      <c r="CN79" s="33" t="s">
        <v>1668</v>
      </c>
      <c r="CO79" s="31" t="s">
        <v>200</v>
      </c>
      <c r="CP79" s="32" t="str">
        <f>IFERROR(__xludf.DUMMYFUNCTION("IFERROR(if(ISBLANK(CO79),"" "",GOOGLEFINANCE(CN79,""Name"")), """")"),"Control Print Ltd")</f>
        <v>Control Print Ltd</v>
      </c>
      <c r="CQ79" s="51">
        <f>IFERROR(__xludf.DUMMYFUNCTION("IFERROR(if(ISBLANK(CO79),"" "",GOOGLEFINANCE(CN79,""price"")), """")"),566.5)</f>
        <v>566.5</v>
      </c>
      <c r="CR79" s="22">
        <f>IFERROR(__xludf.DUMMYFUNCTION("IFERROR(if(ISBLANK(CO79),"" "",GOOGLEFINANCE(CN79,""changepct"")), """")"),-0.56)</f>
        <v>-0.56</v>
      </c>
      <c r="CS79" s="45"/>
      <c r="CT79" s="33" t="s">
        <v>1669</v>
      </c>
      <c r="CU79" s="63" t="s">
        <v>200</v>
      </c>
      <c r="CV79" s="64" t="str">
        <f>IFERROR(__xludf.DUMMYFUNCTION("IFERROR(if(ISBLANK(CU79),"" "",GOOGLEFINANCE(CT79,""Name"")), """")"),"State Trading Corporation of India Ltd")</f>
        <v>State Trading Corporation of India Ltd</v>
      </c>
      <c r="CW79" s="65">
        <f>IFERROR(__xludf.DUMMYFUNCTION("IFERROR(if(ISBLANK(CU79),"" "",GOOGLEFINANCE(CT79,""price"")), """")"),117.3)</f>
        <v>117.3</v>
      </c>
      <c r="CX79" s="66">
        <f>IFERROR(__xludf.DUMMYFUNCTION("IFERROR(if(ISBLANK(CU79),"" "",GOOGLEFINANCE(CT79,""changepct"")), """")"),-1.44)</f>
        <v>-1.44</v>
      </c>
      <c r="CY79" s="17"/>
      <c r="CZ79" s="33" t="s">
        <v>1670</v>
      </c>
      <c r="DA79" s="31" t="s">
        <v>200</v>
      </c>
      <c r="DB79" s="32" t="str">
        <f>IFERROR(__xludf.DUMMYFUNCTION("IFERROR(if(ISBLANK(DA79),"" "",GOOGLEFINANCE(CZ79,""Name"")), """")"),"Aptech Ltd")</f>
        <v>Aptech Ltd</v>
      </c>
      <c r="DC79" s="51">
        <f>IFERROR(__xludf.DUMMYFUNCTION("IFERROR(if(ISBLANK(DA79),"" "",GOOGLEFINANCE(CZ79,""price"")), """")"),94.5)</f>
        <v>94.5</v>
      </c>
      <c r="DD79" s="22">
        <f>IFERROR(__xludf.DUMMYFUNCTION("IFERROR(if(ISBLANK(DA79),"" "",GOOGLEFINANCE(CZ79,""changepct"")), """")"),0.06)</f>
        <v>0.06</v>
      </c>
      <c r="DE79" s="45"/>
      <c r="DF79" s="12"/>
    </row>
    <row r="80" ht="11.25" customHeight="1">
      <c r="A80" s="62"/>
      <c r="B80" s="18" t="s">
        <v>1671</v>
      </c>
      <c r="C80" s="31" t="s">
        <v>200</v>
      </c>
      <c r="D80" s="32" t="str">
        <f>IFERROR(__xludf.DUMMYFUNCTION("IFERROR(if(ISBLANK(C80),"" "",GOOGLEFINANCE(B80,""Name"")), """")"),"Punjab National Bank")</f>
        <v>Punjab National Bank</v>
      </c>
      <c r="E80" s="51">
        <f>IFERROR(__xludf.DUMMYFUNCTION("IFERROR(if(ISBLANK(C80),"" "",GOOGLEFINANCE(B80,""price"")), """")"),118.3)</f>
        <v>118.3</v>
      </c>
      <c r="F80" s="22">
        <f>IFERROR(__xludf.DUMMYFUNCTION("IFERROR(if(ISBLANK(C80),"" "",GOOGLEFINANCE(B80,""changepct"")), """")"),3.74)</f>
        <v>3.74</v>
      </c>
      <c r="G80" s="49"/>
      <c r="H80" s="36"/>
      <c r="I80" s="25" t="s">
        <v>1672</v>
      </c>
      <c r="J80" s="31" t="s">
        <v>200</v>
      </c>
      <c r="K80" s="32" t="str">
        <f>IFERROR(__xludf.DUMMYFUNCTION("IFERROR(if(ISBLANK(J80),"" "",GOOGLEFINANCE(I80,""Name"")), """")"),"Bank of India Ltd")</f>
        <v>Bank of India Ltd</v>
      </c>
      <c r="L80" s="51">
        <f>IFERROR(__xludf.DUMMYFUNCTION("IFERROR(if(ISBLANK(J80),"" "",GOOGLEFINANCE(I80,""price"")), """")"),145.41)</f>
        <v>145.41</v>
      </c>
      <c r="M80" s="22">
        <f>IFERROR(__xludf.DUMMYFUNCTION("IFERROR(if(ISBLANK(J80),"" "",GOOGLEFINANCE(I80,""changepct"")), """")"),1.76)</f>
        <v>1.76</v>
      </c>
      <c r="N80" s="49"/>
      <c r="O80" s="37"/>
      <c r="P80" s="27" t="s">
        <v>1673</v>
      </c>
      <c r="Q80" s="31" t="s">
        <v>200</v>
      </c>
      <c r="R80" s="32" t="str">
        <f>IFERROR(__xludf.DUMMYFUNCTION("IFERROR(if(ISBLANK(Q80),"" "",GOOGLEFINANCE(P80,""Name"")), """")"),"Cupid Ltd")</f>
        <v>Cupid Ltd</v>
      </c>
      <c r="S80" s="51">
        <f>IFERROR(__xludf.DUMMYFUNCTION("IFERROR(if(ISBLANK(Q80),"" "",GOOGLEFINANCE(P80,""price"")), """")"),290.0)</f>
        <v>290</v>
      </c>
      <c r="T80" s="22">
        <f>IFERROR(__xludf.DUMMYFUNCTION("IFERROR(if(ISBLANK(Q80),"" "",GOOGLEFINANCE(P80,""changepct"")), """")"),4.83)</f>
        <v>4.83</v>
      </c>
      <c r="U80" s="12"/>
      <c r="V80" s="18" t="s">
        <v>1674</v>
      </c>
      <c r="W80" s="31" t="s">
        <v>200</v>
      </c>
      <c r="X80" s="32" t="str">
        <f>IFERROR(__xludf.DUMMYFUNCTION("IFERROR(if(ISBLANK(W80),"" "",GOOGLEFINANCE(V80,""Name"")), """")"),"Chennai Petroleum Corporation Ltd")</f>
        <v>Chennai Petroleum Corporation Ltd</v>
      </c>
      <c r="Y80" s="51">
        <f>IFERROR(__xludf.DUMMYFUNCTION("IFERROR(if(ISBLANK(W80),"" "",GOOGLEFINANCE(V80,""price"")), """")"),1377.0)</f>
        <v>1377</v>
      </c>
      <c r="Z80" s="22">
        <f>IFERROR(__xludf.DUMMYFUNCTION("IFERROR(if(ISBLANK(W80),"" "",GOOGLEFINANCE(V80,""changepct"")), """")"),-3.44)</f>
        <v>-3.44</v>
      </c>
      <c r="AA80" s="12"/>
      <c r="AB80" s="18" t="s">
        <v>1676</v>
      </c>
      <c r="AC80" s="31" t="s">
        <v>200</v>
      </c>
      <c r="AD80" s="32" t="str">
        <f>IFERROR(__xludf.DUMMYFUNCTION("IFERROR(if(ISBLANK(AC80),"" "",GOOGLEFINANCE(AB80,""Name"")), """")"),"Ingersoll-Rand (India) Ltd")</f>
        <v>Ingersoll-Rand (India) Ltd</v>
      </c>
      <c r="AE80" s="51">
        <f>IFERROR(__xludf.DUMMYFUNCTION("IFERROR(if(ISBLANK(AC80),"" "",GOOGLEFINANCE(AB80,""price"")), """")"),4275.0)</f>
        <v>4275</v>
      </c>
      <c r="AF80" s="22">
        <f>IFERROR(__xludf.DUMMYFUNCTION("IFERROR(if(ISBLANK(AC80),"" "",GOOGLEFINANCE(AB80,""changepct"")), """")"),-0.8)</f>
        <v>-0.8</v>
      </c>
      <c r="AG80" s="45"/>
      <c r="AH80" s="27" t="s">
        <v>1677</v>
      </c>
      <c r="AI80" s="31" t="s">
        <v>200</v>
      </c>
      <c r="AJ80" s="32" t="str">
        <f>IFERROR(__xludf.DUMMYFUNCTION("IFERROR(if(ISBLANK(AI80),"" "",GOOGLEFINANCE(AH80,""Name"")), """")"),"Vedant Fashions Ltd")</f>
        <v>Vedant Fashions Ltd</v>
      </c>
      <c r="AK80" s="51">
        <f>IFERROR(__xludf.DUMMYFUNCTION("IFERROR(if(ISBLANK(AI80),"" "",GOOGLEFINANCE(AH80,""price"")), """")"),518.6)</f>
        <v>518.6</v>
      </c>
      <c r="AL80" s="22">
        <f>IFERROR(__xludf.DUMMYFUNCTION("IFERROR(if(ISBLANK(AI80),"" "",GOOGLEFINANCE(AH80,""changepct"")), """")"),-0.65)</f>
        <v>-0.65</v>
      </c>
      <c r="AM80" s="30"/>
      <c r="AN80" s="31" t="s">
        <v>200</v>
      </c>
      <c r="AO80" s="32" t="str">
        <f>IFERROR(__xludf.DUMMYFUNCTION("IFERROR(if(ISBLANK(AN80),"" "",GOOGLEFINANCE(AM80,""Name"")), """")"),"")</f>
        <v/>
      </c>
      <c r="AP80" s="33" t="s">
        <v>1678</v>
      </c>
      <c r="AQ80" s="31" t="s">
        <v>200</v>
      </c>
      <c r="AR80" s="32" t="str">
        <f>IFERROR(__xludf.DUMMYFUNCTION("IFERROR(if(ISBLANK(AQ80),"" "",GOOGLEFINANCE(AP80,""Name"")), """")"),"Gujarat Pipavav Port Ltd")</f>
        <v>Gujarat Pipavav Port Ltd</v>
      </c>
      <c r="AS80" s="51">
        <f>IFERROR(__xludf.DUMMYFUNCTION("IFERROR(if(ISBLANK(AQ80),"" "",GOOGLEFINANCE(AP80,""price"")), """")"),150.49)</f>
        <v>150.49</v>
      </c>
      <c r="AT80" s="22">
        <f>IFERROR(__xludf.DUMMYFUNCTION("IFERROR(if(ISBLANK(AQ80),"" "",GOOGLEFINANCE(AP80,""changepct"")), """")"),1.59)</f>
        <v>1.59</v>
      </c>
      <c r="AU80" s="45"/>
      <c r="AV80" s="34" t="s">
        <v>1679</v>
      </c>
      <c r="AW80" s="31" t="s">
        <v>200</v>
      </c>
      <c r="AX80" s="32" t="str">
        <f>IFERROR(__xludf.DUMMYFUNCTION("IFERROR(if(ISBLANK(AW80),"" "",GOOGLEFINANCE(AV80,""Name"")), """")"),"Saatvik Green Energy Ltd")</f>
        <v>Saatvik Green Energy Ltd</v>
      </c>
      <c r="AY80" s="51">
        <f>IFERROR(__xludf.DUMMYFUNCTION("IFERROR(if(ISBLANK(AW80),"" "",GOOGLEFINANCE(AV80,""price"")), """")"),433.1)</f>
        <v>433.1</v>
      </c>
      <c r="AZ80" s="22">
        <f>IFERROR(__xludf.DUMMYFUNCTION("IFERROR(if(ISBLANK(AW80),"" "",GOOGLEFINANCE(AV80,""changepct"")), """")"),1.5)</f>
        <v>1.5</v>
      </c>
      <c r="BA80" s="12"/>
      <c r="BB80" s="33" t="s">
        <v>1680</v>
      </c>
      <c r="BC80" s="31" t="s">
        <v>200</v>
      </c>
      <c r="BD80" s="32" t="str">
        <f>IFERROR(__xludf.DUMMYFUNCTION("IFERROR(if(ISBLANK(BC80),"" "",GOOGLEFINANCE(BB80,""Name"")), """")"),"Ram Ratna Wires Ltd")</f>
        <v>Ram Ratna Wires Ltd</v>
      </c>
      <c r="BE80" s="51">
        <f>IFERROR(__xludf.DUMMYFUNCTION("IFERROR(if(ISBLANK(BC80),"" "",GOOGLEFINANCE(BB80,""price"")), """")"),473.5)</f>
        <v>473.5</v>
      </c>
      <c r="BF80" s="22">
        <f>IFERROR(__xludf.DUMMYFUNCTION("IFERROR(if(ISBLANK(BC80),"" "",GOOGLEFINANCE(BB80,""changepct"")), """")"),5.34)</f>
        <v>5.34</v>
      </c>
      <c r="BG80" s="12"/>
      <c r="BH80" s="35" t="s">
        <v>1681</v>
      </c>
      <c r="BI80" s="31" t="s">
        <v>200</v>
      </c>
      <c r="BJ80" s="32" t="str">
        <f>IFERROR(__xludf.DUMMYFUNCTION("IFERROR(if(ISBLANK(BI80),"" "",GOOGLEFINANCE(BH80,""Name"")), """")"),"Shanti Educational Initiatives Ltd")</f>
        <v>Shanti Educational Initiatives Ltd</v>
      </c>
      <c r="BK80" s="51">
        <f>IFERROR(__xludf.DUMMYFUNCTION("IFERROR(if(ISBLANK(BI80),"" "",GOOGLEFINANCE(BH80,""price"")), """")"),206.93)</f>
        <v>206.93</v>
      </c>
      <c r="BL80" s="22">
        <f>IFERROR(__xludf.DUMMYFUNCTION("IFERROR(if(ISBLANK(BI80),"" "",GOOGLEFINANCE(BH80,""changepct"")), """")"),-0.49)</f>
        <v>-0.49</v>
      </c>
      <c r="BM80" s="12"/>
      <c r="BN80" s="33" t="s">
        <v>1682</v>
      </c>
      <c r="BO80" s="31" t="s">
        <v>200</v>
      </c>
      <c r="BP80" s="32" t="str">
        <f>IFERROR(__xludf.DUMMYFUNCTION("IFERROR(if(ISBLANK(BO80),"" "",GOOGLEFINANCE(BN80,""Name"")), """")"),"Stove Kraft Ltd")</f>
        <v>Stove Kraft Ltd</v>
      </c>
      <c r="BQ80" s="51">
        <f>IFERROR(__xludf.DUMMYFUNCTION("IFERROR(if(ISBLANK(BO80),"" "",GOOGLEFINANCE(BN80,""price"")), """")"),799.5)</f>
        <v>799.5</v>
      </c>
      <c r="BR80" s="22">
        <f>IFERROR(__xludf.DUMMYFUNCTION("IFERROR(if(ISBLANK(BO80),"" "",GOOGLEFINANCE(BN80,""changepct"")), """")"),0.84)</f>
        <v>0.84</v>
      </c>
      <c r="BS80" s="49"/>
      <c r="BT80" s="36"/>
      <c r="BU80" s="27" t="s">
        <v>1683</v>
      </c>
      <c r="BV80" s="31" t="s">
        <v>200</v>
      </c>
      <c r="BW80" s="32" t="str">
        <f>IFERROR(__xludf.DUMMYFUNCTION("IFERROR(if(ISBLANK(BV80),"" "",GOOGLEFINANCE(BU80,""Name"")), """")"),"Indoco Remedies Ltd")</f>
        <v>Indoco Remedies Ltd</v>
      </c>
      <c r="BX80" s="51">
        <f>IFERROR(__xludf.DUMMYFUNCTION("IFERROR(if(ISBLANK(BV80),"" "",GOOGLEFINANCE(BU80,""price"")), """")"),220.0)</f>
        <v>220</v>
      </c>
      <c r="BY80" s="22">
        <f>IFERROR(__xludf.DUMMYFUNCTION("IFERROR(if(ISBLANK(BV80),"" "",GOOGLEFINANCE(BU80,""changepct"")), """")"),1.6)</f>
        <v>1.6</v>
      </c>
      <c r="BZ80" s="49"/>
      <c r="CA80" s="37"/>
      <c r="CB80" s="27" t="s">
        <v>1685</v>
      </c>
      <c r="CC80" s="31" t="s">
        <v>200</v>
      </c>
      <c r="CD80" s="32" t="str">
        <f>IFERROR(__xludf.DUMMYFUNCTION("IFERROR(if(ISBLANK(CC80),"" "",GOOGLEFINANCE(CB80,""Name"")), """")"),"Dollar Industries Ltd")</f>
        <v>Dollar Industries Ltd</v>
      </c>
      <c r="CE80" s="51">
        <f>IFERROR(__xludf.DUMMYFUNCTION("IFERROR(if(ISBLANK(CC80),"" "",GOOGLEFINANCE(CB80,""price"")), """")"),278.9)</f>
        <v>278.9</v>
      </c>
      <c r="CF80" s="22">
        <f>IFERROR(__xludf.DUMMYFUNCTION("IFERROR(if(ISBLANK(CC80),"" "",GOOGLEFINANCE(CB80,""changepct"")), """")"),-3.38)</f>
        <v>-3.38</v>
      </c>
      <c r="CG80" s="12"/>
      <c r="CH80" s="18" t="s">
        <v>1686</v>
      </c>
      <c r="CI80" s="31" t="s">
        <v>200</v>
      </c>
      <c r="CJ80" s="32" t="str">
        <f>IFERROR(__xludf.DUMMYFUNCTION("IFERROR(if(ISBLANK(CI80),"" "",GOOGLEFINANCE(CH80,""Name"")), """")"),"Orient Green Power Company Ltd")</f>
        <v>Orient Green Power Company Ltd</v>
      </c>
      <c r="CK80" s="51">
        <f>IFERROR(__xludf.DUMMYFUNCTION("IFERROR(if(ISBLANK(CI80),"" "",GOOGLEFINANCE(CH80,""price"")), """")"),9.55)</f>
        <v>9.55</v>
      </c>
      <c r="CL80" s="22">
        <f>IFERROR(__xludf.DUMMYFUNCTION("IFERROR(if(ISBLANK(CI80),"" "",GOOGLEFINANCE(CH80,""changepct"")), """")"),-1.85)</f>
        <v>-1.85</v>
      </c>
      <c r="CM80" s="12"/>
      <c r="CN80" s="33" t="s">
        <v>1687</v>
      </c>
      <c r="CO80" s="31" t="s">
        <v>200</v>
      </c>
      <c r="CP80" s="32" t="str">
        <f>IFERROR(__xludf.DUMMYFUNCTION("IFERROR(if(ISBLANK(CO80),"" "",GOOGLEFINANCE(CN80,""Name"")), """")"),"Kirloskar Electric Company Ltd")</f>
        <v>Kirloskar Electric Company Ltd</v>
      </c>
      <c r="CQ80" s="51">
        <f>IFERROR(__xludf.DUMMYFUNCTION("IFERROR(if(ISBLANK(CO80),"" "",GOOGLEFINANCE(CN80,""price"")), """")"),145.3)</f>
        <v>145.3</v>
      </c>
      <c r="CR80" s="22">
        <f>IFERROR(__xludf.DUMMYFUNCTION("IFERROR(if(ISBLANK(CO80),"" "",GOOGLEFINANCE(CN80,""changepct"")), """")"),-2.17)</f>
        <v>-2.17</v>
      </c>
      <c r="CS80" s="45"/>
      <c r="CT80" s="33" t="s">
        <v>1688</v>
      </c>
      <c r="CU80" s="63" t="s">
        <v>200</v>
      </c>
      <c r="CV80" s="64" t="str">
        <f>IFERROR(__xludf.DUMMYFUNCTION("IFERROR(if(ISBLANK(CU80),"" "",GOOGLEFINANCE(CT80,""Name"")), """")"),"Gloster Ltd")</f>
        <v>Gloster Ltd</v>
      </c>
      <c r="CW80" s="65">
        <f>IFERROR(__xludf.DUMMYFUNCTION("IFERROR(if(ISBLANK(CU80),"" "",GOOGLEFINANCE(CT80,""price"")), """")"),638.2)</f>
        <v>638.2</v>
      </c>
      <c r="CX80" s="66">
        <f>IFERROR(__xludf.DUMMYFUNCTION("IFERROR(if(ISBLANK(CU80),"" "",GOOGLEFINANCE(CT80,""changepct"")), """")"),-2.22)</f>
        <v>-2.22</v>
      </c>
      <c r="CY80" s="17"/>
      <c r="CZ80" s="33" t="s">
        <v>1689</v>
      </c>
      <c r="DA80" s="31" t="s">
        <v>200</v>
      </c>
      <c r="DB80" s="32" t="str">
        <f>IFERROR(__xludf.DUMMYFUNCTION("IFERROR(if(ISBLANK(DA80),"" "",GOOGLEFINANCE(CZ80,""Name"")), """")"),"Global Education Ltd")</f>
        <v>Global Education Ltd</v>
      </c>
      <c r="DC80" s="51">
        <f>IFERROR(__xludf.DUMMYFUNCTION("IFERROR(if(ISBLANK(DA80),"" "",GOOGLEFINANCE(CZ80,""price"")), """")"),103.0)</f>
        <v>103</v>
      </c>
      <c r="DD80" s="22">
        <f>IFERROR(__xludf.DUMMYFUNCTION("IFERROR(if(ISBLANK(DA80),"" "",GOOGLEFINANCE(CZ80,""changepct"")), """")"),2.88)</f>
        <v>2.88</v>
      </c>
      <c r="DE80" s="45"/>
      <c r="DF80" s="12"/>
    </row>
    <row r="81" ht="11.25" customHeight="1">
      <c r="A81" s="62"/>
      <c r="B81" s="18" t="s">
        <v>1690</v>
      </c>
      <c r="C81" s="31" t="s">
        <v>200</v>
      </c>
      <c r="D81" s="32" t="str">
        <f>IFERROR(__xludf.DUMMYFUNCTION("IFERROR(if(ISBLANK(C81),"" "",GOOGLEFINANCE(B81,""Name"")), """")"),"LTM Ltd")</f>
        <v>LTM Ltd</v>
      </c>
      <c r="E81" s="51">
        <f>IFERROR(__xludf.DUMMYFUNCTION("IFERROR(if(ISBLANK(C81),"" "",GOOGLEFINANCE(B81,""price"")), """")"),4731.9)</f>
        <v>4731.9</v>
      </c>
      <c r="F81" s="22">
        <f>IFERROR(__xludf.DUMMYFUNCTION("IFERROR(if(ISBLANK(C81),"" "",GOOGLEFINANCE(B81,""changepct"")), """")"),-2.44)</f>
        <v>-2.44</v>
      </c>
      <c r="G81" s="49"/>
      <c r="H81" s="36"/>
      <c r="I81" s="25" t="s">
        <v>1692</v>
      </c>
      <c r="J81" s="31" t="s">
        <v>200</v>
      </c>
      <c r="K81" s="32" t="str">
        <f>IFERROR(__xludf.DUMMYFUNCTION("IFERROR(if(ISBLANK(J81),"" "",GOOGLEFINANCE(I81,""Name"")), """")"),"General Insurance Corporation of India")</f>
        <v>General Insurance Corporation of India</v>
      </c>
      <c r="L81" s="51">
        <f>IFERROR(__xludf.DUMMYFUNCTION("IFERROR(if(ISBLANK(J81),"" "",GOOGLEFINANCE(I81,""price"")), """")"),355.5)</f>
        <v>355.5</v>
      </c>
      <c r="M81" s="22">
        <f>IFERROR(__xludf.DUMMYFUNCTION("IFERROR(if(ISBLANK(J81),"" "",GOOGLEFINANCE(I81,""changepct"")), """")"),-0.06)</f>
        <v>-0.06</v>
      </c>
      <c r="N81" s="49"/>
      <c r="O81" s="37"/>
      <c r="P81" s="27" t="s">
        <v>1693</v>
      </c>
      <c r="Q81" s="31" t="s">
        <v>200</v>
      </c>
      <c r="R81" s="32" t="str">
        <f>IFERROR(__xludf.DUMMYFUNCTION("IFERROR(if(ISBLANK(Q81),"" "",GOOGLEFINANCE(P81,""Name"")), """")"),"Tata Technologies Ltd")</f>
        <v>Tata Technologies Ltd</v>
      </c>
      <c r="S81" s="51">
        <f>IFERROR(__xludf.DUMMYFUNCTION("IFERROR(if(ISBLANK(Q81),"" "",GOOGLEFINANCE(P81,""price"")), """")"),840.4)</f>
        <v>840.4</v>
      </c>
      <c r="T81" s="22">
        <f>IFERROR(__xludf.DUMMYFUNCTION("IFERROR(if(ISBLANK(Q81),"" "",GOOGLEFINANCE(P81,""changepct"")), """")"),-2.87)</f>
        <v>-2.87</v>
      </c>
      <c r="U81" s="12"/>
      <c r="V81" s="18" t="s">
        <v>1694</v>
      </c>
      <c r="W81" s="31" t="s">
        <v>200</v>
      </c>
      <c r="X81" s="32" t="str">
        <f>IFERROR(__xludf.DUMMYFUNCTION("IFERROR(if(ISBLANK(W81),"" "",GOOGLEFINANCE(V81,""Name"")), """")"),"Onesource Specialty Pharma Ltd")</f>
        <v>Onesource Specialty Pharma Ltd</v>
      </c>
      <c r="Y81" s="51">
        <f>IFERROR(__xludf.DUMMYFUNCTION("IFERROR(if(ISBLANK(W81),"" "",GOOGLEFINANCE(V81,""price"")), """")"),1533.0)</f>
        <v>1533</v>
      </c>
      <c r="Z81" s="22">
        <f>IFERROR(__xludf.DUMMYFUNCTION("IFERROR(if(ISBLANK(W81),"" "",GOOGLEFINANCE(V81,""changepct"")), """")"),-4.12)</f>
        <v>-4.12</v>
      </c>
      <c r="AA81" s="12"/>
      <c r="AB81" s="18" t="s">
        <v>1696</v>
      </c>
      <c r="AC81" s="31" t="s">
        <v>200</v>
      </c>
      <c r="AD81" s="32" t="str">
        <f>IFERROR(__xludf.DUMMYFUNCTION("IFERROR(if(ISBLANK(AC81),"" "",GOOGLEFINANCE(AB81,""Name"")), """")"),"Prudent Corporate Advisory Services Ltd")</f>
        <v>Prudent Corporate Advisory Services Ltd</v>
      </c>
      <c r="AE81" s="51">
        <f>IFERROR(__xludf.DUMMYFUNCTION("IFERROR(if(ISBLANK(AC81),"" "",GOOGLEFINANCE(AB81,""price"")), """")"),3340.0)</f>
        <v>3340</v>
      </c>
      <c r="AF81" s="22">
        <f>IFERROR(__xludf.DUMMYFUNCTION("IFERROR(if(ISBLANK(AC81),"" "",GOOGLEFINANCE(AB81,""changepct"")), """")"),-1.81)</f>
        <v>-1.81</v>
      </c>
      <c r="AG81" s="45"/>
      <c r="AH81" s="27" t="s">
        <v>1697</v>
      </c>
      <c r="AI81" s="31" t="s">
        <v>200</v>
      </c>
      <c r="AJ81" s="32" t="str">
        <f>IFERROR(__xludf.DUMMYFUNCTION("IFERROR(if(ISBLANK(AI81),"" "",GOOGLEFINANCE(AH81,""Name"")), """")"),"Finolex Industries Ltd")</f>
        <v>Finolex Industries Ltd</v>
      </c>
      <c r="AK81" s="51">
        <f>IFERROR(__xludf.DUMMYFUNCTION("IFERROR(if(ISBLANK(AI81),"" "",GOOGLEFINANCE(AH81,""price"")), """")"),161.18)</f>
        <v>161.18</v>
      </c>
      <c r="AL81" s="22">
        <f>IFERROR(__xludf.DUMMYFUNCTION("IFERROR(if(ISBLANK(AI81),"" "",GOOGLEFINANCE(AH81,""changepct"")), """")"),-0.91)</f>
        <v>-0.91</v>
      </c>
      <c r="AM81" s="30"/>
      <c r="AN81" s="31" t="s">
        <v>200</v>
      </c>
      <c r="AO81" s="32" t="str">
        <f>IFERROR(__xludf.DUMMYFUNCTION("IFERROR(if(ISBLANK(AN81),"" "",GOOGLEFINANCE(AM81,""Name"")), """")"),"")</f>
        <v/>
      </c>
      <c r="AP81" s="33" t="s">
        <v>1698</v>
      </c>
      <c r="AQ81" s="31" t="s">
        <v>200</v>
      </c>
      <c r="AR81" s="32" t="str">
        <f>IFERROR(__xludf.DUMMYFUNCTION("IFERROR(if(ISBLANK(AQ81),"" "",GOOGLEFINANCE(AP81,""Name"")), """")"),"Kwality Wall's (India) Ltd")</f>
        <v>Kwality Wall's (India) Ltd</v>
      </c>
      <c r="AS81" s="51">
        <f>IFERROR(__xludf.DUMMYFUNCTION("IFERROR(if(ISBLANK(AQ81),"" "",GOOGLEFINANCE(AP81,""price"")), """")"),36.45)</f>
        <v>36.45</v>
      </c>
      <c r="AT81" s="22">
        <f>IFERROR(__xludf.DUMMYFUNCTION("IFERROR(if(ISBLANK(AQ81),"" "",GOOGLEFINANCE(AP81,""changepct"")), """")"),4.62)</f>
        <v>4.62</v>
      </c>
      <c r="AU81" s="45"/>
      <c r="AV81" s="34" t="s">
        <v>1699</v>
      </c>
      <c r="AW81" s="31" t="s">
        <v>200</v>
      </c>
      <c r="AX81" s="32" t="str">
        <f>IFERROR(__xludf.DUMMYFUNCTION("IFERROR(if(ISBLANK(AW81),"" "",GOOGLEFINANCE(AV81,""Name"")), """")"),"Ahluwalia Contracts (India) Ltd")</f>
        <v>Ahluwalia Contracts (India) Ltd</v>
      </c>
      <c r="AY81" s="51">
        <f>IFERROR(__xludf.DUMMYFUNCTION("IFERROR(if(ISBLANK(AW81),"" "",GOOGLEFINANCE(AV81,""price"")), """")"),809.5)</f>
        <v>809.5</v>
      </c>
      <c r="AZ81" s="22">
        <f>IFERROR(__xludf.DUMMYFUNCTION("IFERROR(if(ISBLANK(AW81),"" "",GOOGLEFINANCE(AV81,""changepct"")), """")"),-2.93)</f>
        <v>-2.93</v>
      </c>
      <c r="BA81" s="12"/>
      <c r="BB81" s="33" t="s">
        <v>1700</v>
      </c>
      <c r="BC81" s="31" t="s">
        <v>200</v>
      </c>
      <c r="BD81" s="32" t="str">
        <f>IFERROR(__xludf.DUMMYFUNCTION("IFERROR(if(ISBLANK(BC81),"" "",GOOGLEFINANCE(BB81,""Name"")), """")"),"Muthoot Microfin Ltd")</f>
        <v>Muthoot Microfin Ltd</v>
      </c>
      <c r="BE81" s="51">
        <f>IFERROR(__xludf.DUMMYFUNCTION("IFERROR(if(ISBLANK(BC81),"" "",GOOGLEFINANCE(BB81,""price"")), """")"),214.0)</f>
        <v>214</v>
      </c>
      <c r="BF81" s="22">
        <f>IFERROR(__xludf.DUMMYFUNCTION("IFERROR(if(ISBLANK(BC81),"" "",GOOGLEFINANCE(BB81,""changepct"")), """")"),-2.24)</f>
        <v>-2.24</v>
      </c>
      <c r="BG81" s="12"/>
      <c r="BH81" s="35" t="s">
        <v>1701</v>
      </c>
      <c r="BI81" s="31" t="s">
        <v>200</v>
      </c>
      <c r="BJ81" s="32" t="str">
        <f>IFERROR(__xludf.DUMMYFUNCTION("IFERROR(if(ISBLANK(BI81),"" "",GOOGLEFINANCE(BH81,""Name"")), """")"),"Uniparts India Ltd")</f>
        <v>Uniparts India Ltd</v>
      </c>
      <c r="BK81" s="51">
        <f>IFERROR(__xludf.DUMMYFUNCTION("IFERROR(if(ISBLANK(BI81),"" "",GOOGLEFINANCE(BH81,""price"")), """")"),813.65)</f>
        <v>813.65</v>
      </c>
      <c r="BL81" s="22">
        <f>IFERROR(__xludf.DUMMYFUNCTION("IFERROR(if(ISBLANK(BI81),"" "",GOOGLEFINANCE(BH81,""changepct"")), """")"),0.92)</f>
        <v>0.92</v>
      </c>
      <c r="BM81" s="12"/>
      <c r="BN81" s="33" t="s">
        <v>1702</v>
      </c>
      <c r="BO81" s="31" t="s">
        <v>200</v>
      </c>
      <c r="BP81" s="32" t="str">
        <f>IFERROR(__xludf.DUMMYFUNCTION("IFERROR(if(ISBLANK(BO81),"" "",GOOGLEFINANCE(BN81,""Name"")), """")"),"Silver Touch Technologies Ltd")</f>
        <v>Silver Touch Technologies Ltd</v>
      </c>
      <c r="BQ81" s="51">
        <f>IFERROR(__xludf.DUMMYFUNCTION("IFERROR(if(ISBLANK(BO81),"" "",GOOGLEFINANCE(BN81,""price"")), """")"),205.9)</f>
        <v>205.9</v>
      </c>
      <c r="BR81" s="22">
        <f>IFERROR(__xludf.DUMMYFUNCTION("IFERROR(if(ISBLANK(BO81),"" "",GOOGLEFINANCE(BN81,""changepct"")), """")"),-0.3)</f>
        <v>-0.3</v>
      </c>
      <c r="BS81" s="49"/>
      <c r="BT81" s="36"/>
      <c r="BU81" s="27" t="s">
        <v>1704</v>
      </c>
      <c r="BV81" s="31" t="s">
        <v>200</v>
      </c>
      <c r="BW81" s="32" t="str">
        <f>IFERROR(__xludf.DUMMYFUNCTION("IFERROR(if(ISBLANK(BV81),"" "",GOOGLEFINANCE(BU81,""Name"")), """")"),"Ngl Fine Chem Ltd")</f>
        <v>Ngl Fine Chem Ltd</v>
      </c>
      <c r="BX81" s="51">
        <f>IFERROR(__xludf.DUMMYFUNCTION("IFERROR(if(ISBLANK(BV81),"" "",GOOGLEFINANCE(BU81,""price"")), """")"),3425.0)</f>
        <v>3425</v>
      </c>
      <c r="BY81" s="22">
        <f>IFERROR(__xludf.DUMMYFUNCTION("IFERROR(if(ISBLANK(BV81),"" "",GOOGLEFINANCE(BU81,""changepct"")), """")"),-0.66)</f>
        <v>-0.66</v>
      </c>
      <c r="BZ81" s="49"/>
      <c r="CA81" s="37"/>
      <c r="CB81" s="27" t="s">
        <v>1705</v>
      </c>
      <c r="CC81" s="31" t="s">
        <v>200</v>
      </c>
      <c r="CD81" s="32" t="str">
        <f>IFERROR(__xludf.DUMMYFUNCTION("IFERROR(if(ISBLANK(CC81),"" "",GOOGLEFINANCE(CB81,""Name"")), """")"),"Som Distilleries and Breweries Ltd")</f>
        <v>Som Distilleries and Breweries Ltd</v>
      </c>
      <c r="CE81" s="51">
        <f>IFERROR(__xludf.DUMMYFUNCTION("IFERROR(if(ISBLANK(CC81),"" "",GOOGLEFINANCE(CB81,""price"")), """")"),71.9)</f>
        <v>71.9</v>
      </c>
      <c r="CF81" s="22">
        <f>IFERROR(__xludf.DUMMYFUNCTION("IFERROR(if(ISBLANK(CC81),"" "",GOOGLEFINANCE(CB81,""changepct"")), """")"),-2.2)</f>
        <v>-2.2</v>
      </c>
      <c r="CG81" s="12"/>
      <c r="CH81" s="18" t="s">
        <v>1706</v>
      </c>
      <c r="CI81" s="31" t="s">
        <v>200</v>
      </c>
      <c r="CJ81" s="32" t="str">
        <f>IFERROR(__xludf.DUMMYFUNCTION("IFERROR(if(ISBLANK(CI81),"" "",GOOGLEFINANCE(CH81,""Name"")), """")"),"Apex Frozen Foods Ltd")</f>
        <v>Apex Frozen Foods Ltd</v>
      </c>
      <c r="CK81" s="51">
        <f>IFERROR(__xludf.DUMMYFUNCTION("IFERROR(if(ISBLANK(CI81),"" "",GOOGLEFINANCE(CH81,""price"")), """")"),366.95)</f>
        <v>366.95</v>
      </c>
      <c r="CL81" s="22">
        <f>IFERROR(__xludf.DUMMYFUNCTION("IFERROR(if(ISBLANK(CI81),"" "",GOOGLEFINANCE(CH81,""changepct"")), """")"),-2.86)</f>
        <v>-2.86</v>
      </c>
      <c r="CM81" s="12"/>
      <c r="CN81" s="33" t="s">
        <v>1707</v>
      </c>
      <c r="CO81" s="31" t="s">
        <v>200</v>
      </c>
      <c r="CP81" s="32" t="str">
        <f>IFERROR(__xludf.DUMMYFUNCTION("IFERROR(if(ISBLANK(CO81),"" "",GOOGLEFINANCE(CN81,""Name"")), """")"),"TVS Electronics Ltd")</f>
        <v>TVS Electronics Ltd</v>
      </c>
      <c r="CQ81" s="51">
        <f>IFERROR(__xludf.DUMMYFUNCTION("IFERROR(if(ISBLANK(CO81),"" "",GOOGLEFINANCE(CN81,""price"")), """")"),457.0)</f>
        <v>457</v>
      </c>
      <c r="CR81" s="22">
        <f>IFERROR(__xludf.DUMMYFUNCTION("IFERROR(if(ISBLANK(CO81),"" "",GOOGLEFINANCE(CN81,""changepct"")), """")"),-0.51)</f>
        <v>-0.51</v>
      </c>
      <c r="CS81" s="45"/>
      <c r="CT81" s="33" t="s">
        <v>1708</v>
      </c>
      <c r="CU81" s="63" t="s">
        <v>200</v>
      </c>
      <c r="CV81" s="64" t="str">
        <f>IFERROR(__xludf.DUMMYFUNCTION("IFERROR(if(ISBLANK(CU81),"" "",GOOGLEFINANCE(CT81,""Name"")), """")"),"Ganesh Consumer Products Ltd")</f>
        <v>Ganesh Consumer Products Ltd</v>
      </c>
      <c r="CW81" s="65">
        <f>IFERROR(__xludf.DUMMYFUNCTION("IFERROR(if(ISBLANK(CU81),"" "",GOOGLEFINANCE(CT81,""price"")), """")"),162.0)</f>
        <v>162</v>
      </c>
      <c r="CX81" s="66">
        <f>IFERROR(__xludf.DUMMYFUNCTION("IFERROR(if(ISBLANK(CU81),"" "",GOOGLEFINANCE(CT81,""changepct"")), """")"),0.19)</f>
        <v>0.19</v>
      </c>
      <c r="CY81" s="17"/>
      <c r="CZ81" s="33" t="s">
        <v>1710</v>
      </c>
      <c r="DA81" s="31" t="s">
        <v>200</v>
      </c>
      <c r="DB81" s="32" t="str">
        <f>IFERROR(__xludf.DUMMYFUNCTION("IFERROR(if(ISBLANK(DA81),"" "",GOOGLEFINANCE(CZ81,""Name"")), """")"),"Mangalam Global Enterprise Ltd")</f>
        <v>Mangalam Global Enterprise Ltd</v>
      </c>
      <c r="DC81" s="51">
        <f>IFERROR(__xludf.DUMMYFUNCTION("IFERROR(if(ISBLANK(DA81),"" "",GOOGLEFINANCE(CZ81,""price"")), """")"),14.48)</f>
        <v>14.48</v>
      </c>
      <c r="DD81" s="22">
        <f>IFERROR(__xludf.DUMMYFUNCTION("IFERROR(if(ISBLANK(DA81),"" "",GOOGLEFINANCE(CZ81,""changepct"")), """")"),0.98)</f>
        <v>0.98</v>
      </c>
      <c r="DE81" s="45"/>
      <c r="DF81" s="12"/>
    </row>
    <row r="82" ht="11.25" customHeight="1">
      <c r="A82" s="62"/>
      <c r="B82" s="18" t="s">
        <v>1711</v>
      </c>
      <c r="C82" s="31" t="s">
        <v>200</v>
      </c>
      <c r="D82" s="32" t="str">
        <f>IFERROR(__xludf.DUMMYFUNCTION("IFERROR(if(ISBLANK(C82),"" "",GOOGLEFINANCE(B82,""Name"")), """")"),"Apollo Hospitals Enterprise Ltd")</f>
        <v>Apollo Hospitals Enterprise Ltd</v>
      </c>
      <c r="E82" s="51">
        <f>IFERROR(__xludf.DUMMYFUNCTION("IFERROR(if(ISBLANK(C82),"" "",GOOGLEFINANCE(B82,""price"")), """")"),8567.0)</f>
        <v>8567</v>
      </c>
      <c r="F82" s="22">
        <f>IFERROR(__xludf.DUMMYFUNCTION("IFERROR(if(ISBLANK(C82),"" "",GOOGLEFINANCE(B82,""changepct"")), """")"),-2.1)</f>
        <v>-2.1</v>
      </c>
      <c r="G82" s="49"/>
      <c r="H82" s="36"/>
      <c r="I82" s="25" t="s">
        <v>1712</v>
      </c>
      <c r="J82" s="31" t="s">
        <v>200</v>
      </c>
      <c r="K82" s="32" t="str">
        <f>IFERROR(__xludf.DUMMYFUNCTION("IFERROR(if(ISBLANK(J82),"" "",GOOGLEFINANCE(I82,""Name"")), """")"),"Coromandel International Ltd")</f>
        <v>Coromandel International Ltd</v>
      </c>
      <c r="L82" s="51">
        <f>IFERROR(__xludf.DUMMYFUNCTION("IFERROR(if(ISBLANK(J82),"" "",GOOGLEFINANCE(I82,""price"")), """")"),2079.5)</f>
        <v>2079.5</v>
      </c>
      <c r="M82" s="22">
        <f>IFERROR(__xludf.DUMMYFUNCTION("IFERROR(if(ISBLANK(J82),"" "",GOOGLEFINANCE(I82,""changepct"")), """")"),-0.27)</f>
        <v>-0.27</v>
      </c>
      <c r="N82" s="49"/>
      <c r="O82" s="37"/>
      <c r="P82" s="27" t="s">
        <v>1713</v>
      </c>
      <c r="Q82" s="31" t="s">
        <v>200</v>
      </c>
      <c r="R82" s="32" t="str">
        <f>IFERROR(__xludf.DUMMYFUNCTION("IFERROR(if(ISBLANK(Q82),"" "",GOOGLEFINANCE(P82,""Name"")), """")"),"Garden Reach Shipbuilders &amp; Enginers Ltd")</f>
        <v>Garden Reach Shipbuilders &amp; Enginers Ltd</v>
      </c>
      <c r="S82" s="51">
        <f>IFERROR(__xludf.DUMMYFUNCTION("IFERROR(if(ISBLANK(Q82),"" "",GOOGLEFINANCE(P82,""price"")), """")"),2577.7)</f>
        <v>2577.7</v>
      </c>
      <c r="T82" s="22">
        <f>IFERROR(__xludf.DUMMYFUNCTION("IFERROR(if(ISBLANK(Q82),"" "",GOOGLEFINANCE(P82,""changepct"")), """")"),0.09)</f>
        <v>0.09</v>
      </c>
      <c r="U82" s="12"/>
      <c r="V82" s="18" t="s">
        <v>1714</v>
      </c>
      <c r="W82" s="31" t="s">
        <v>200</v>
      </c>
      <c r="X82" s="32" t="str">
        <f>IFERROR(__xludf.DUMMYFUNCTION("IFERROR(if(ISBLANK(W82),"" "",GOOGLEFINANCE(V82,""Name"")), """")"),"Jyoti CNC Automation Ltd")</f>
        <v>Jyoti CNC Automation Ltd</v>
      </c>
      <c r="Y82" s="51">
        <f>IFERROR(__xludf.DUMMYFUNCTION("IFERROR(if(ISBLANK(W82),"" "",GOOGLEFINANCE(V82,""price"")), """")"),819.0)</f>
        <v>819</v>
      </c>
      <c r="Z82" s="22">
        <f>IFERROR(__xludf.DUMMYFUNCTION("IFERROR(if(ISBLANK(W82),"" "",GOOGLEFINANCE(V82,""changepct"")), """")"),1.74)</f>
        <v>1.74</v>
      </c>
      <c r="AA82" s="12"/>
      <c r="AB82" s="18" t="s">
        <v>1715</v>
      </c>
      <c r="AC82" s="31" t="s">
        <v>200</v>
      </c>
      <c r="AD82" s="32" t="str">
        <f>IFERROR(__xludf.DUMMYFUNCTION("IFERROR(if(ISBLANK(AC82),"" "",GOOGLEFINANCE(AB82,""Name"")), """")"),"Shipping Corporation of India Ltd")</f>
        <v>Shipping Corporation of India Ltd</v>
      </c>
      <c r="AE82" s="51">
        <f>IFERROR(__xludf.DUMMYFUNCTION("IFERROR(if(ISBLANK(AC82),"" "",GOOGLEFINANCE(AB82,""price"")), """")"),297.3)</f>
        <v>297.3</v>
      </c>
      <c r="AF82" s="22">
        <f>IFERROR(__xludf.DUMMYFUNCTION("IFERROR(if(ISBLANK(AC82),"" "",GOOGLEFINANCE(AB82,""changepct"")), """")"),1.14)</f>
        <v>1.14</v>
      </c>
      <c r="AG82" s="45"/>
      <c r="AH82" s="27" t="s">
        <v>1716</v>
      </c>
      <c r="AI82" s="31" t="s">
        <v>200</v>
      </c>
      <c r="AJ82" s="32" t="str">
        <f>IFERROR(__xludf.DUMMYFUNCTION("IFERROR(if(ISBLANK(AI82),"" "",GOOGLEFINANCE(AH82,""Name"")), """")"),"Relaxo Footwears Ltd")</f>
        <v>Relaxo Footwears Ltd</v>
      </c>
      <c r="AK82" s="51">
        <f>IFERROR(__xludf.DUMMYFUNCTION("IFERROR(if(ISBLANK(AI82),"" "",GOOGLEFINANCE(AH82,""price"")), """")"),419.0)</f>
        <v>419</v>
      </c>
      <c r="AL82" s="22">
        <f>IFERROR(__xludf.DUMMYFUNCTION("IFERROR(if(ISBLANK(AI82),"" "",GOOGLEFINANCE(AH82,""changepct"")), """")"),-0.63)</f>
        <v>-0.63</v>
      </c>
      <c r="AM82" s="30"/>
      <c r="AN82" s="31" t="s">
        <v>200</v>
      </c>
      <c r="AO82" s="32" t="str">
        <f>IFERROR(__xludf.DUMMYFUNCTION("IFERROR(if(ISBLANK(AN82),"" "",GOOGLEFINANCE(AM82,""Name"")), """")"),"")</f>
        <v/>
      </c>
      <c r="AP82" s="33" t="s">
        <v>1717</v>
      </c>
      <c r="AQ82" s="31" t="s">
        <v>200</v>
      </c>
      <c r="AR82" s="32" t="str">
        <f>IFERROR(__xludf.DUMMYFUNCTION("IFERROR(if(ISBLANK(AQ82),"" "",GOOGLEFINANCE(AP82,""Name"")), """")"),"Piccadily Agro Industries Ltd")</f>
        <v>Piccadily Agro Industries Ltd</v>
      </c>
      <c r="AS82" s="51">
        <f>IFERROR(__xludf.DUMMYFUNCTION("IFERROR(if(ISBLANK(AQ82),"" "",GOOGLEFINANCE(AP82,""price"")), """")"),691.95)</f>
        <v>691.95</v>
      </c>
      <c r="AT82" s="22">
        <f>IFERROR(__xludf.DUMMYFUNCTION("IFERROR(if(ISBLANK(AQ82),"" "",GOOGLEFINANCE(AP82,""changepct"")), """")"),-11.09)</f>
        <v>-11.09</v>
      </c>
      <c r="AU82" s="45"/>
      <c r="AV82" s="34" t="s">
        <v>1719</v>
      </c>
      <c r="AW82" s="31" t="s">
        <v>200</v>
      </c>
      <c r="AX82" s="32" t="str">
        <f>IFERROR(__xludf.DUMMYFUNCTION("IFERROR(if(ISBLANK(AW82),"" "",GOOGLEFINANCE(AV82,""Name"")), """")"),"Rashi Peripherals Ltd")</f>
        <v>Rashi Peripherals Ltd</v>
      </c>
      <c r="AY82" s="51">
        <f>IFERROR(__xludf.DUMMYFUNCTION("IFERROR(if(ISBLANK(AW82),"" "",GOOGLEFINANCE(AV82,""price"")), """")"),848.0)</f>
        <v>848</v>
      </c>
      <c r="AZ82" s="22">
        <f>IFERROR(__xludf.DUMMYFUNCTION("IFERROR(if(ISBLANK(AW82),"" "",GOOGLEFINANCE(AV82,""changepct"")), """")"),-4.48)</f>
        <v>-4.48</v>
      </c>
      <c r="BA82" s="12"/>
      <c r="BB82" s="33" t="s">
        <v>1720</v>
      </c>
      <c r="BC82" s="31" t="s">
        <v>200</v>
      </c>
      <c r="BD82" s="32" t="str">
        <f>IFERROR(__xludf.DUMMYFUNCTION("IFERROR(if(ISBLANK(BC82),"" "",GOOGLEFINANCE(BB82,""Name"")), """")"),"Tatva Chintan Pharma Chem Ltd")</f>
        <v>Tatva Chintan Pharma Chem Ltd</v>
      </c>
      <c r="BE82" s="51">
        <f>IFERROR(__xludf.DUMMYFUNCTION("IFERROR(if(ISBLANK(BC82),"" "",GOOGLEFINANCE(BB82,""price"")), """")"),1722.8)</f>
        <v>1722.8</v>
      </c>
      <c r="BF82" s="22">
        <f>IFERROR(__xludf.DUMMYFUNCTION("IFERROR(if(ISBLANK(BC82),"" "",GOOGLEFINANCE(BB82,""changepct"")), """")"),-3.51)</f>
        <v>-3.51</v>
      </c>
      <c r="BG82" s="12"/>
      <c r="BH82" s="35" t="s">
        <v>1721</v>
      </c>
      <c r="BI82" s="31" t="s">
        <v>200</v>
      </c>
      <c r="BJ82" s="32" t="str">
        <f>IFERROR(__xludf.DUMMYFUNCTION("IFERROR(if(ISBLANK(BI82),"" "",GOOGLEFINANCE(BH82,""Name"")), """")"),"Filatex India Ltd")</f>
        <v>Filatex India Ltd</v>
      </c>
      <c r="BK82" s="51">
        <f>IFERROR(__xludf.DUMMYFUNCTION("IFERROR(if(ISBLANK(BI82),"" "",GOOGLEFINANCE(BH82,""price"")), """")"),83.51)</f>
        <v>83.51</v>
      </c>
      <c r="BL82" s="22">
        <f>IFERROR(__xludf.DUMMYFUNCTION("IFERROR(if(ISBLANK(BI82),"" "",GOOGLEFINANCE(BH82,""changepct"")), """")"),0.47)</f>
        <v>0.47</v>
      </c>
      <c r="BM82" s="12"/>
      <c r="BN82" s="33" t="s">
        <v>1722</v>
      </c>
      <c r="BO82" s="31" t="s">
        <v>200</v>
      </c>
      <c r="BP82" s="32" t="str">
        <f>IFERROR(__xludf.DUMMYFUNCTION("IFERROR(if(ISBLANK(BO82),"" "",GOOGLEFINANCE(BN82,""Name"")), """")"),"Sportking India Ltd")</f>
        <v>Sportking India Ltd</v>
      </c>
      <c r="BQ82" s="51">
        <f>IFERROR(__xludf.DUMMYFUNCTION("IFERROR(if(ISBLANK(BO82),"" "",GOOGLEFINANCE(BN82,""price"")), """")"),203.2)</f>
        <v>203.2</v>
      </c>
      <c r="BR82" s="22">
        <f>IFERROR(__xludf.DUMMYFUNCTION("IFERROR(if(ISBLANK(BO82),"" "",GOOGLEFINANCE(BN82,""changepct"")), """")"),-2.4)</f>
        <v>-2.4</v>
      </c>
      <c r="BS82" s="49"/>
      <c r="BT82" s="36"/>
      <c r="BU82" s="27" t="s">
        <v>1723</v>
      </c>
      <c r="BV82" s="31" t="s">
        <v>200</v>
      </c>
      <c r="BW82" s="32" t="str">
        <f>IFERROR(__xludf.DUMMYFUNCTION("IFERROR(if(ISBLANK(BV82),"" "",GOOGLEFINANCE(BU82,""Name"")), """")"),"DCX Systems Ltd")</f>
        <v>DCX Systems Ltd</v>
      </c>
      <c r="BX82" s="51">
        <f>IFERROR(__xludf.DUMMYFUNCTION("IFERROR(if(ISBLANK(BV82),"" "",GOOGLEFINANCE(BU82,""price"")), """")"),178.0)</f>
        <v>178</v>
      </c>
      <c r="BY82" s="22">
        <f>IFERROR(__xludf.DUMMYFUNCTION("IFERROR(if(ISBLANK(BV82),"" "",GOOGLEFINANCE(BU82,""changepct"")), """")"),-0.01)</f>
        <v>-0.01</v>
      </c>
      <c r="BZ82" s="49"/>
      <c r="CA82" s="37"/>
      <c r="CB82" s="27" t="s">
        <v>1724</v>
      </c>
      <c r="CC82" s="31" t="s">
        <v>200</v>
      </c>
      <c r="CD82" s="32" t="str">
        <f>IFERROR(__xludf.DUMMYFUNCTION("IFERROR(if(ISBLANK(CC82),"" "",GOOGLEFINANCE(CB82,""Name"")), """")"),"Creative Newtech Ltd")</f>
        <v>Creative Newtech Ltd</v>
      </c>
      <c r="CE82" s="51">
        <f>IFERROR(__xludf.DUMMYFUNCTION("IFERROR(if(ISBLANK(CC82),"" "",GOOGLEFINANCE(CB82,""price"")), """")"),1205.0)</f>
        <v>1205</v>
      </c>
      <c r="CF82" s="22">
        <f>IFERROR(__xludf.DUMMYFUNCTION("IFERROR(if(ISBLANK(CC82),"" "",GOOGLEFINANCE(CB82,""changepct"")), """")"),8.01)</f>
        <v>8.01</v>
      </c>
      <c r="CG82" s="12"/>
      <c r="CH82" s="18" t="s">
        <v>1725</v>
      </c>
      <c r="CI82" s="31" t="s">
        <v>200</v>
      </c>
      <c r="CJ82" s="32" t="str">
        <f>IFERROR(__xludf.DUMMYFUNCTION("IFERROR(if(ISBLANK(CI82),"" "",GOOGLEFINANCE(CH82,""Name"")), """")"),"Raj Rayon Industries Ltd")</f>
        <v>Raj Rayon Industries Ltd</v>
      </c>
      <c r="CK82" s="51">
        <f>IFERROR(__xludf.DUMMYFUNCTION("IFERROR(if(ISBLANK(CI82),"" "",GOOGLEFINANCE(CH82,""price"")), """")"),21.7)</f>
        <v>21.7</v>
      </c>
      <c r="CL82" s="22">
        <f>IFERROR(__xludf.DUMMYFUNCTION("IFERROR(if(ISBLANK(CI82),"" "",GOOGLEFINANCE(CH82,""changepct"")), """")"),-1.54)</f>
        <v>-1.54</v>
      </c>
      <c r="CM82" s="12"/>
      <c r="CN82" s="33" t="s">
        <v>1726</v>
      </c>
      <c r="CO82" s="31" t="s">
        <v>200</v>
      </c>
      <c r="CP82" s="32" t="str">
        <f>IFERROR(__xludf.DUMMYFUNCTION("IFERROR(if(ISBLANK(CO82),"" "",GOOGLEFINANCE(CN82,""Name"")), """")"),"Tirupati Forge Ltd")</f>
        <v>Tirupati Forge Ltd</v>
      </c>
      <c r="CQ82" s="51">
        <f>IFERROR(__xludf.DUMMYFUNCTION("IFERROR(if(ISBLANK(CO82),"" "",GOOGLEFINANCE(CN82,""price"")), """")"),66.0)</f>
        <v>66</v>
      </c>
      <c r="CR82" s="22">
        <f>IFERROR(__xludf.DUMMYFUNCTION("IFERROR(if(ISBLANK(CO82),"" "",GOOGLEFINANCE(CN82,""changepct"")), """")"),-3.24)</f>
        <v>-3.24</v>
      </c>
      <c r="CS82" s="45"/>
      <c r="CT82" s="33" t="s">
        <v>1728</v>
      </c>
      <c r="CU82" s="63" t="s">
        <v>200</v>
      </c>
      <c r="CV82" s="64" t="str">
        <f>IFERROR(__xludf.DUMMYFUNCTION("IFERROR(if(ISBLANK(CU82),"" "",GOOGLEFINANCE(CT82,""Name"")), """")"),"BEML Land Assets Ltd")</f>
        <v>BEML Land Assets Ltd</v>
      </c>
      <c r="CW82" s="65">
        <f>IFERROR(__xludf.DUMMYFUNCTION("IFERROR(if(ISBLANK(CU82),"" "",GOOGLEFINANCE(CT82,""price"")), """")"),171.6)</f>
        <v>171.6</v>
      </c>
      <c r="CX82" s="66">
        <f>IFERROR(__xludf.DUMMYFUNCTION("IFERROR(if(ISBLANK(CU82),"" "",GOOGLEFINANCE(CT82,""changepct"")), """")"),-0.09)</f>
        <v>-0.09</v>
      </c>
      <c r="CY82" s="17"/>
      <c r="CZ82" s="33" t="s">
        <v>1729</v>
      </c>
      <c r="DA82" s="31" t="s">
        <v>200</v>
      </c>
      <c r="DB82" s="32" t="str">
        <f>IFERROR(__xludf.DUMMYFUNCTION("IFERROR(if(ISBLANK(DA82),"" "",GOOGLEFINANCE(CZ82,""Name"")), """")"),"Dish TV India Ltd")</f>
        <v>Dish TV India Ltd</v>
      </c>
      <c r="DC82" s="51">
        <f>IFERROR(__xludf.DUMMYFUNCTION("IFERROR(if(ISBLANK(DA82),"" "",GOOGLEFINANCE(CZ82,""price"")), """")"),2.83)</f>
        <v>2.83</v>
      </c>
      <c r="DD82" s="22">
        <f>IFERROR(__xludf.DUMMYFUNCTION("IFERROR(if(ISBLANK(DA82),"" "",GOOGLEFINANCE(CZ82,""changepct"")), """")"),0.71)</f>
        <v>0.71</v>
      </c>
      <c r="DE82" s="45"/>
      <c r="DF82" s="12"/>
    </row>
    <row r="83" ht="11.25" customHeight="1">
      <c r="A83" s="62"/>
      <c r="B83" s="18" t="s">
        <v>1730</v>
      </c>
      <c r="C83" s="31" t="s">
        <v>200</v>
      </c>
      <c r="D83" s="32" t="str">
        <f>IFERROR(__xludf.DUMMYFUNCTION("IFERROR(if(ISBLANK(C83),"" "",GOOGLEFINANCE(B83,""Name"")), """")"),"Bajaj Holdings And Investment Ltd")</f>
        <v>Bajaj Holdings And Investment Ltd</v>
      </c>
      <c r="E83" s="51">
        <f>IFERROR(__xludf.DUMMYFUNCTION("IFERROR(if(ISBLANK(C83),"" "",GOOGLEFINANCE(B83,""price"")), """")"),11411.0)</f>
        <v>11411</v>
      </c>
      <c r="F83" s="22">
        <f>IFERROR(__xludf.DUMMYFUNCTION("IFERROR(if(ISBLANK(C83),"" "",GOOGLEFINANCE(B83,""changepct"")), """")"),-1.2)</f>
        <v>-1.2</v>
      </c>
      <c r="G83" s="49"/>
      <c r="H83" s="36"/>
      <c r="I83" s="25" t="s">
        <v>1732</v>
      </c>
      <c r="J83" s="31" t="s">
        <v>200</v>
      </c>
      <c r="K83" s="32" t="str">
        <f>IFERROR(__xludf.DUMMYFUNCTION("IFERROR(if(ISBLANK(J83),"" "",GOOGLEFINANCE(I83,""Name"")), """")"),"Bank of Maharashtra Ltd")</f>
        <v>Bank of Maharashtra Ltd</v>
      </c>
      <c r="L83" s="51">
        <f>IFERROR(__xludf.DUMMYFUNCTION("IFERROR(if(ISBLANK(J83),"" "",GOOGLEFINANCE(I83,""price"")), """")"),81.9)</f>
        <v>81.9</v>
      </c>
      <c r="M83" s="22">
        <f>IFERROR(__xludf.DUMMYFUNCTION("IFERROR(if(ISBLANK(J83),"" "",GOOGLEFINANCE(I83,""changepct"")), """")"),3.74)</f>
        <v>3.74</v>
      </c>
      <c r="N83" s="49"/>
      <c r="O83" s="37"/>
      <c r="P83" s="27" t="s">
        <v>1733</v>
      </c>
      <c r="Q83" s="31" t="s">
        <v>200</v>
      </c>
      <c r="R83" s="32" t="str">
        <f>IFERROR(__xludf.DUMMYFUNCTION("IFERROR(if(ISBLANK(Q83),"" "",GOOGLEFINANCE(P83,""Name"")), """")"),"Mangalore Refinery and Petrochmcls Ltd")</f>
        <v>Mangalore Refinery and Petrochmcls Ltd</v>
      </c>
      <c r="S83" s="51">
        <f>IFERROR(__xludf.DUMMYFUNCTION("IFERROR(if(ISBLANK(Q83),"" "",GOOGLEFINANCE(P83,""price"")), """")"),174.2)</f>
        <v>174.2</v>
      </c>
      <c r="T83" s="22">
        <f>IFERROR(__xludf.DUMMYFUNCTION("IFERROR(if(ISBLANK(Q83),"" "",GOOGLEFINANCE(P83,""changepct"")), """")"),-3.83)</f>
        <v>-3.83</v>
      </c>
      <c r="U83" s="12"/>
      <c r="V83" s="18" t="s">
        <v>1734</v>
      </c>
      <c r="W83" s="31" t="s">
        <v>200</v>
      </c>
      <c r="X83" s="32" t="str">
        <f>IFERROR(__xludf.DUMMYFUNCTION("IFERROR(if(ISBLANK(W83),"" "",GOOGLEFINANCE(V83,""Name"")), """")"),"Zydus Wellness Ltd")</f>
        <v>Zydus Wellness Ltd</v>
      </c>
      <c r="Y83" s="51">
        <f>IFERROR(__xludf.DUMMYFUNCTION("IFERROR(if(ISBLANK(W83),"" "",GOOGLEFINANCE(V83,""price"")), """")"),506.0)</f>
        <v>506</v>
      </c>
      <c r="Z83" s="22">
        <f>IFERROR(__xludf.DUMMYFUNCTION("IFERROR(if(ISBLANK(W83),"" "",GOOGLEFINANCE(V83,""changepct"")), """")"),-0.02)</f>
        <v>-0.02</v>
      </c>
      <c r="AA83" s="12"/>
      <c r="AB83" s="18" t="s">
        <v>1736</v>
      </c>
      <c r="AC83" s="31" t="s">
        <v>200</v>
      </c>
      <c r="AD83" s="32" t="str">
        <f>IFERROR(__xludf.DUMMYFUNCTION("IFERROR(if(ISBLANK(AC83),"" "",GOOGLEFINANCE(AB83,""Name"")), """")"),"SKF India (Industrial) Ltd")</f>
        <v>SKF India (Industrial) Ltd</v>
      </c>
      <c r="AE83" s="51">
        <f>IFERROR(__xludf.DUMMYFUNCTION("IFERROR(if(ISBLANK(AC83),"" "",GOOGLEFINANCE(AB83,""price"")), """")"),2625.0)</f>
        <v>2625</v>
      </c>
      <c r="AF83" s="22">
        <f>IFERROR(__xludf.DUMMYFUNCTION("IFERROR(if(ISBLANK(AC83),"" "",GOOGLEFINANCE(AB83,""changepct"")), """")"),-3.85)</f>
        <v>-3.85</v>
      </c>
      <c r="AG83" s="45"/>
      <c r="AH83" s="27" t="s">
        <v>1737</v>
      </c>
      <c r="AI83" s="31" t="s">
        <v>200</v>
      </c>
      <c r="AJ83" s="32" t="str">
        <f>IFERROR(__xludf.DUMMYFUNCTION("IFERROR(if(ISBLANK(AI83),"" "",GOOGLEFINANCE(AH83,""Name"")), """")"),"TSF Investments Ltd")</f>
        <v>TSF Investments Ltd</v>
      </c>
      <c r="AK83" s="51">
        <f>IFERROR(__xludf.DUMMYFUNCTION("IFERROR(if(ISBLANK(AI83),"" "",GOOGLEFINANCE(AH83,""price"")), """")"),421.25)</f>
        <v>421.25</v>
      </c>
      <c r="AL83" s="22">
        <f>IFERROR(__xludf.DUMMYFUNCTION("IFERROR(if(ISBLANK(AI83),"" "",GOOGLEFINANCE(AH83,""changepct"")), """")"),-1.76)</f>
        <v>-1.76</v>
      </c>
      <c r="AM83" s="30"/>
      <c r="AN83" s="31" t="s">
        <v>200</v>
      </c>
      <c r="AO83" s="32" t="str">
        <f>IFERROR(__xludf.DUMMYFUNCTION("IFERROR(if(ISBLANK(AN83),"" "",GOOGLEFINANCE(AM83,""Name"")), """")"),"")</f>
        <v/>
      </c>
      <c r="AP83" s="33" t="s">
        <v>1738</v>
      </c>
      <c r="AQ83" s="31" t="s">
        <v>200</v>
      </c>
      <c r="AR83" s="32" t="str">
        <f>IFERROR(__xludf.DUMMYFUNCTION("IFERROR(if(ISBLANK(AQ83),"" "",GOOGLEFINANCE(AP83,""Name"")), """")"),"Omnitech Engineering Ltd")</f>
        <v>Omnitech Engineering Ltd</v>
      </c>
      <c r="AS83" s="51">
        <f>IFERROR(__xludf.DUMMYFUNCTION("IFERROR(if(ISBLANK(AQ83),"" "",GOOGLEFINANCE(AP83,""price"")), """")"),571.9)</f>
        <v>571.9</v>
      </c>
      <c r="AT83" s="22">
        <f>IFERROR(__xludf.DUMMYFUNCTION("IFERROR(if(ISBLANK(AQ83),"" "",GOOGLEFINANCE(AP83,""changepct"")), """")"),-4.4)</f>
        <v>-4.4</v>
      </c>
      <c r="AU83" s="45"/>
      <c r="AV83" s="34" t="s">
        <v>1739</v>
      </c>
      <c r="AW83" s="31" t="s">
        <v>200</v>
      </c>
      <c r="AX83" s="32" t="str">
        <f>IFERROR(__xludf.DUMMYFUNCTION("IFERROR(if(ISBLANK(AW83),"" "",GOOGLEFINANCE(AV83,""Name"")), """")"),"Standard Engineering Technology Ltd")</f>
        <v>Standard Engineering Technology Ltd</v>
      </c>
      <c r="AY83" s="51">
        <f>IFERROR(__xludf.DUMMYFUNCTION("IFERROR(if(ISBLANK(AW83),"" "",GOOGLEFINANCE(AV83,""price"")), """")"),301.0)</f>
        <v>301</v>
      </c>
      <c r="AZ83" s="22">
        <f>IFERROR(__xludf.DUMMYFUNCTION("IFERROR(if(ISBLANK(AW83),"" "",GOOGLEFINANCE(AV83,""changepct"")), """")"),1.24)</f>
        <v>1.24</v>
      </c>
      <c r="BA83" s="12"/>
      <c r="BB83" s="33" t="s">
        <v>1740</v>
      </c>
      <c r="BC83" s="31" t="s">
        <v>200</v>
      </c>
      <c r="BD83" s="32" t="str">
        <f>IFERROR(__xludf.DUMMYFUNCTION("IFERROR(if(ISBLANK(BC83),"" "",GOOGLEFINANCE(BB83,""Name"")), """")"),"Refex Industries Ltd")</f>
        <v>Refex Industries Ltd</v>
      </c>
      <c r="BE83" s="51">
        <f>IFERROR(__xludf.DUMMYFUNCTION("IFERROR(if(ISBLANK(BC83),"" "",GOOGLEFINANCE(BB83,""price"")), """")"),293.8)</f>
        <v>293.8</v>
      </c>
      <c r="BF83" s="22">
        <f>IFERROR(__xludf.DUMMYFUNCTION("IFERROR(if(ISBLANK(BC83),"" "",GOOGLEFINANCE(BB83,""changepct"")), """")"),-0.32)</f>
        <v>-0.32</v>
      </c>
      <c r="BG83" s="12"/>
      <c r="BH83" s="35" t="s">
        <v>1741</v>
      </c>
      <c r="BI83" s="31" t="s">
        <v>200</v>
      </c>
      <c r="BJ83" s="32" t="str">
        <f>IFERROR(__xludf.DUMMYFUNCTION("IFERROR(if(ISBLANK(BI83),"" "",GOOGLEFINANCE(BH83,""Name"")), """")"),"Mayur Uniquoters Ltd")</f>
        <v>Mayur Uniquoters Ltd</v>
      </c>
      <c r="BK83" s="51">
        <f>IFERROR(__xludf.DUMMYFUNCTION("IFERROR(if(ISBLANK(BI83),"" "",GOOGLEFINANCE(BH83,""price"")), """")"),755.0)</f>
        <v>755</v>
      </c>
      <c r="BL83" s="22">
        <f>IFERROR(__xludf.DUMMYFUNCTION("IFERROR(if(ISBLANK(BI83),"" "",GOOGLEFINANCE(BH83,""changepct"")), """")"),-3.09)</f>
        <v>-3.09</v>
      </c>
      <c r="BM83" s="12"/>
      <c r="BN83" s="33" t="s">
        <v>1743</v>
      </c>
      <c r="BO83" s="31" t="s">
        <v>200</v>
      </c>
      <c r="BP83" s="32" t="str">
        <f>IFERROR(__xludf.DUMMYFUNCTION("IFERROR(if(ISBLANK(BO83),"" "",GOOGLEFINANCE(BN83,""Name"")), """")"),"Globus Spirits Ltd")</f>
        <v>Globus Spirits Ltd</v>
      </c>
      <c r="BQ83" s="51">
        <f>IFERROR(__xludf.DUMMYFUNCTION("IFERROR(if(ISBLANK(BO83),"" "",GOOGLEFINANCE(BN83,""price"")), """")"),875.0)</f>
        <v>875</v>
      </c>
      <c r="BR83" s="22">
        <f>IFERROR(__xludf.DUMMYFUNCTION("IFERROR(if(ISBLANK(BO83),"" "",GOOGLEFINANCE(BN83,""changepct"")), """")"),0.56)</f>
        <v>0.56</v>
      </c>
      <c r="BS83" s="49"/>
      <c r="BT83" s="36"/>
      <c r="BU83" s="27" t="s">
        <v>1744</v>
      </c>
      <c r="BV83" s="31" t="s">
        <v>200</v>
      </c>
      <c r="BW83" s="32" t="str">
        <f>IFERROR(__xludf.DUMMYFUNCTION("IFERROR(if(ISBLANK(BV83),"" "",GOOGLEFINANCE(BU83,""Name"")), """")"),"Tinna Rubber and Infrastructure Ltd")</f>
        <v>Tinna Rubber and Infrastructure Ltd</v>
      </c>
      <c r="BX83" s="51">
        <f>IFERROR(__xludf.DUMMYFUNCTION("IFERROR(if(ISBLANK(BV83),"" "",GOOGLEFINANCE(BU83,""price"")), """")"),1089.8)</f>
        <v>1089.8</v>
      </c>
      <c r="BY83" s="22">
        <f>IFERROR(__xludf.DUMMYFUNCTION("IFERROR(if(ISBLANK(BV83),"" "",GOOGLEFINANCE(BU83,""changepct"")), """")"),-4.18)</f>
        <v>-4.18</v>
      </c>
      <c r="BZ83" s="49"/>
      <c r="CA83" s="37"/>
      <c r="CB83" s="27" t="s">
        <v>1745</v>
      </c>
      <c r="CC83" s="31" t="s">
        <v>200</v>
      </c>
      <c r="CD83" s="32" t="str">
        <f>IFERROR(__xludf.DUMMYFUNCTION("IFERROR(if(ISBLANK(CC83),"" "",GOOGLEFINANCE(CB83,""Name"")), """")"),"Amrutanjan Health Care Ltd")</f>
        <v>Amrutanjan Health Care Ltd</v>
      </c>
      <c r="CE83" s="51">
        <f>IFERROR(__xludf.DUMMYFUNCTION("IFERROR(if(ISBLANK(CC83),"" "",GOOGLEFINANCE(CB83,""price"")), """")"),484.0)</f>
        <v>484</v>
      </c>
      <c r="CF83" s="22">
        <f>IFERROR(__xludf.DUMMYFUNCTION("IFERROR(if(ISBLANK(CC83),"" "",GOOGLEFINANCE(CB83,""changepct"")), """")"),-9.32)</f>
        <v>-9.32</v>
      </c>
      <c r="CG83" s="12"/>
      <c r="CH83" s="18" t="s">
        <v>1746</v>
      </c>
      <c r="CI83" s="31" t="s">
        <v>200</v>
      </c>
      <c r="CJ83" s="32" t="str">
        <f>IFERROR(__xludf.DUMMYFUNCTION("IFERROR(if(ISBLANK(CI83),"" "",GOOGLEFINANCE(CH83,""Name"")), """")"),"Lincoln Pharmaceuticals Ltd")</f>
        <v>Lincoln Pharmaceuticals Ltd</v>
      </c>
      <c r="CK83" s="51">
        <f>IFERROR(__xludf.DUMMYFUNCTION("IFERROR(if(ISBLANK(CI83),"" "",GOOGLEFINANCE(CH83,""price"")), """")"),596.0)</f>
        <v>596</v>
      </c>
      <c r="CL83" s="22">
        <f>IFERROR(__xludf.DUMMYFUNCTION("IFERROR(if(ISBLANK(CI83),"" "",GOOGLEFINANCE(CH83,""changepct"")), """")"),-0.08)</f>
        <v>-0.08</v>
      </c>
      <c r="CM83" s="12"/>
      <c r="CN83" s="33" t="s">
        <v>1747</v>
      </c>
      <c r="CO83" s="31" t="s">
        <v>200</v>
      </c>
      <c r="CP83" s="32" t="str">
        <f>IFERROR(__xludf.DUMMYFUNCTION("IFERROR(if(ISBLANK(CO83),"" "",GOOGLEFINANCE(CN83,""Name"")), """")"),"Viceroy Hotels Ltd.")</f>
        <v>Viceroy Hotels Ltd.</v>
      </c>
      <c r="CQ83" s="51">
        <f>IFERROR(__xludf.DUMMYFUNCTION("IFERROR(if(ISBLANK(CO83),"" "",GOOGLEFINANCE(CN83,""price"")), """")"),129.5)</f>
        <v>129.5</v>
      </c>
      <c r="CR83" s="22">
        <f>IFERROR(__xludf.DUMMYFUNCTION("IFERROR(if(ISBLANK(CO83),"" "",GOOGLEFINANCE(CN83,""changepct"")), """")"),-0.32)</f>
        <v>-0.32</v>
      </c>
      <c r="CS83" s="45"/>
      <c r="CT83" s="33" t="s">
        <v>1748</v>
      </c>
      <c r="CU83" s="63" t="s">
        <v>200</v>
      </c>
      <c r="CV83" s="64" t="str">
        <f>IFERROR(__xludf.DUMMYFUNCTION("IFERROR(if(ISBLANK(CU83),"" "",GOOGLEFINANCE(CT83,""Name"")), """")"),"Heranba Industries Ltd")</f>
        <v>Heranba Industries Ltd</v>
      </c>
      <c r="CW83" s="65">
        <f>IFERROR(__xludf.DUMMYFUNCTION("IFERROR(if(ISBLANK(CU83),"" "",GOOGLEFINANCE(CT83,""price"")), """")"),172.0)</f>
        <v>172</v>
      </c>
      <c r="CX83" s="66">
        <f>IFERROR(__xludf.DUMMYFUNCTION("IFERROR(if(ISBLANK(CU83),"" "",GOOGLEFINANCE(CT83,""changepct"")), """")"),-1.13)</f>
        <v>-1.13</v>
      </c>
      <c r="CY83" s="17"/>
      <c r="CZ83" s="33" t="s">
        <v>1749</v>
      </c>
      <c r="DA83" s="31" t="s">
        <v>200</v>
      </c>
      <c r="DB83" s="32" t="str">
        <f>IFERROR(__xludf.DUMMYFUNCTION("IFERROR(if(ISBLANK(DA83),"" "",GOOGLEFINANCE(CZ83,""Name"")), """")"),"Shree Rama Multi-Tech Ltd")</f>
        <v>Shree Rama Multi-Tech Ltd</v>
      </c>
      <c r="DC83" s="51">
        <f>IFERROR(__xludf.DUMMYFUNCTION("IFERROR(if(ISBLANK(DA83),"" "",GOOGLEFINANCE(CZ83,""price"")), """")"),38.85)</f>
        <v>38.85</v>
      </c>
      <c r="DD83" s="22">
        <f>IFERROR(__xludf.DUMMYFUNCTION("IFERROR(if(ISBLANK(DA83),"" "",GOOGLEFINANCE(CZ83,""changepct"")), """")"),2.0)</f>
        <v>2</v>
      </c>
      <c r="DE83" s="45"/>
      <c r="DF83" s="12"/>
    </row>
    <row r="84" ht="11.25" customHeight="1">
      <c r="A84" s="62"/>
      <c r="B84" s="18" t="s">
        <v>1750</v>
      </c>
      <c r="C84" s="31" t="s">
        <v>200</v>
      </c>
      <c r="D84" s="32" t="str">
        <f>IFERROR(__xludf.DUMMYFUNCTION("IFERROR(if(ISBLANK(C84),"" "",GOOGLEFINANCE(B84,""Name"")), """")"),"Bank of Baroda Ltd")</f>
        <v>Bank of Baroda Ltd</v>
      </c>
      <c r="E84" s="51">
        <f>IFERROR(__xludf.DUMMYFUNCTION("IFERROR(if(ISBLANK(C84),"" "",GOOGLEFINANCE(B84,""price"")), """")"),249.9)</f>
        <v>249.9</v>
      </c>
      <c r="F84" s="22">
        <f>IFERROR(__xludf.DUMMYFUNCTION("IFERROR(if(ISBLANK(C84),"" "",GOOGLEFINANCE(B84,""changepct"")), """")"),1.5)</f>
        <v>1.5</v>
      </c>
      <c r="G84" s="49"/>
      <c r="H84" s="36"/>
      <c r="I84" s="25" t="s">
        <v>1751</v>
      </c>
      <c r="J84" s="31" t="s">
        <v>200</v>
      </c>
      <c r="K84" s="32" t="str">
        <f>IFERROR(__xludf.DUMMYFUNCTION("IFERROR(if(ISBLANK(J84),"" "",GOOGLEFINANCE(I84,""Name"")), """")"),"Berger Paints India Ltd")</f>
        <v>Berger Paints India Ltd</v>
      </c>
      <c r="L84" s="51">
        <f>IFERROR(__xludf.DUMMYFUNCTION("IFERROR(if(ISBLANK(J84),"" "",GOOGLEFINANCE(I84,""price"")), """")"),558.0)</f>
        <v>558</v>
      </c>
      <c r="M84" s="22">
        <f>IFERROR(__xludf.DUMMYFUNCTION("IFERROR(if(ISBLANK(J84),"" "",GOOGLEFINANCE(I84,""changepct"")), """")"),4.31)</f>
        <v>4.31</v>
      </c>
      <c r="N84" s="49"/>
      <c r="O84" s="37"/>
      <c r="P84" s="27" t="s">
        <v>1753</v>
      </c>
      <c r="Q84" s="31" t="s">
        <v>200</v>
      </c>
      <c r="R84" s="32" t="str">
        <f>IFERROR(__xludf.DUMMYFUNCTION("IFERROR(if(ISBLANK(Q84),"" "",GOOGLEFINANCE(P84,""Name"")), """")"),"TVS Holdings Ltd")</f>
        <v>TVS Holdings Ltd</v>
      </c>
      <c r="S84" s="51">
        <f>IFERROR(__xludf.DUMMYFUNCTION("IFERROR(if(ISBLANK(Q84),"" "",GOOGLEFINANCE(P84,""price"")), """")"),14593.0)</f>
        <v>14593</v>
      </c>
      <c r="T84" s="22">
        <f>IFERROR(__xludf.DUMMYFUNCTION("IFERROR(if(ISBLANK(Q84),"" "",GOOGLEFINANCE(P84,""changepct"")), """")"),-0.1)</f>
        <v>-0.1</v>
      </c>
      <c r="U84" s="12"/>
      <c r="V84" s="18" t="s">
        <v>1754</v>
      </c>
      <c r="W84" s="31" t="s">
        <v>200</v>
      </c>
      <c r="X84" s="32" t="str">
        <f>IFERROR(__xludf.DUMMYFUNCTION("IFERROR(if(ISBLANK(W84),"" "",GOOGLEFINANCE(V84,""Name"")), """")"),"Choice International Ltd")</f>
        <v>Choice International Ltd</v>
      </c>
      <c r="Y84" s="51">
        <f>IFERROR(__xludf.DUMMYFUNCTION("IFERROR(if(ISBLANK(W84),"" "",GOOGLEFINANCE(V84,""price"")), """")"),814.0)</f>
        <v>814</v>
      </c>
      <c r="Z84" s="22">
        <f>IFERROR(__xludf.DUMMYFUNCTION("IFERROR(if(ISBLANK(W84),"" "",GOOGLEFINANCE(V84,""changepct"")), """")"),-1.02)</f>
        <v>-1.02</v>
      </c>
      <c r="AA84" s="12"/>
      <c r="AB84" s="18" t="s">
        <v>1755</v>
      </c>
      <c r="AC84" s="31" t="s">
        <v>200</v>
      </c>
      <c r="AD84" s="32" t="str">
        <f>IFERROR(__xludf.DUMMYFUNCTION("IFERROR(if(ISBLANK(AC84),"" "",GOOGLEFINANCE(AB84,""Name"")), """")"),"E I D-Parry (India) Ltd")</f>
        <v>E I D-Parry (India) Ltd</v>
      </c>
      <c r="AE84" s="51">
        <f>IFERROR(__xludf.DUMMYFUNCTION("IFERROR(if(ISBLANK(AC84),"" "",GOOGLEFINANCE(AB84,""price"")), """")"),771.0)</f>
        <v>771</v>
      </c>
      <c r="AF84" s="22">
        <f>IFERROR(__xludf.DUMMYFUNCTION("IFERROR(if(ISBLANK(AC84),"" "",GOOGLEFINANCE(AB84,""changepct"")), """")"),-2.22)</f>
        <v>-2.22</v>
      </c>
      <c r="AG84" s="43"/>
      <c r="AH84" s="27" t="s">
        <v>1756</v>
      </c>
      <c r="AI84" s="31" t="s">
        <v>200</v>
      </c>
      <c r="AJ84" s="32" t="str">
        <f>IFERROR(__xludf.DUMMYFUNCTION("IFERROR(if(ISBLANK(AI84),"" "",GOOGLEFINANCE(AH84,""Name"")), """")"),"Voltamp Transformers Limited")</f>
        <v>Voltamp Transformers Limited</v>
      </c>
      <c r="AK84" s="51">
        <f>IFERROR(__xludf.DUMMYFUNCTION("IFERROR(if(ISBLANK(AI84),"" "",GOOGLEFINANCE(AH84,""price"")), """")"),10001.0)</f>
        <v>10001</v>
      </c>
      <c r="AL84" s="22">
        <f>IFERROR(__xludf.DUMMYFUNCTION("IFERROR(if(ISBLANK(AI84),"" "",GOOGLEFINANCE(AH84,""changepct"")), """")"),-0.16)</f>
        <v>-0.16</v>
      </c>
      <c r="AM84" s="30"/>
      <c r="AN84" s="31" t="s">
        <v>200</v>
      </c>
      <c r="AO84" s="32" t="str">
        <f>IFERROR(__xludf.DUMMYFUNCTION("IFERROR(if(ISBLANK(AN84),"" "",GOOGLEFINANCE(AM84,""Name"")), """")"),"")</f>
        <v/>
      </c>
      <c r="AP84" s="33" t="s">
        <v>1757</v>
      </c>
      <c r="AQ84" s="31" t="s">
        <v>200</v>
      </c>
      <c r="AR84" s="32" t="str">
        <f>IFERROR(__xludf.DUMMYFUNCTION("IFERROR(if(ISBLANK(AQ84),"" "",GOOGLEFINANCE(AP84,""Name"")), """")"),"Transport Corporation of India Ltd")</f>
        <v>Transport Corporation of India Ltd</v>
      </c>
      <c r="AS84" s="51">
        <f>IFERROR(__xludf.DUMMYFUNCTION("IFERROR(if(ISBLANK(AQ84),"" "",GOOGLEFINANCE(AP84,""price"")), """")"),913.0)</f>
        <v>913</v>
      </c>
      <c r="AT84" s="22">
        <f>IFERROR(__xludf.DUMMYFUNCTION("IFERROR(if(ISBLANK(AQ84),"" "",GOOGLEFINANCE(AP84,""changepct"")), """")"),-2.39)</f>
        <v>-2.39</v>
      </c>
      <c r="AU84" s="43"/>
      <c r="AV84" s="34" t="s">
        <v>1758</v>
      </c>
      <c r="AW84" s="31" t="s">
        <v>200</v>
      </c>
      <c r="AX84" s="32" t="str">
        <f>IFERROR(__xludf.DUMMYFUNCTION("IFERROR(if(ISBLANK(AW84),"" "",GOOGLEFINANCE(AV84,""Name"")), """")"),"Entero Healthcare Solutions Ltd")</f>
        <v>Entero Healthcare Solutions Ltd</v>
      </c>
      <c r="AY84" s="51">
        <f>IFERROR(__xludf.DUMMYFUNCTION("IFERROR(if(ISBLANK(AW84),"" "",GOOGLEFINANCE(AV84,""price"")), """")"),1425.0)</f>
        <v>1425</v>
      </c>
      <c r="AZ84" s="22">
        <f>IFERROR(__xludf.DUMMYFUNCTION("IFERROR(if(ISBLANK(AW84),"" "",GOOGLEFINANCE(AV84,""changepct"")), """")"),-0.15)</f>
        <v>-0.15</v>
      </c>
      <c r="BA84" s="12"/>
      <c r="BB84" s="33" t="s">
        <v>1759</v>
      </c>
      <c r="BC84" s="31" t="s">
        <v>200</v>
      </c>
      <c r="BD84" s="32" t="str">
        <f>IFERROR(__xludf.DUMMYFUNCTION("IFERROR(if(ISBLANK(BC84),"" "",GOOGLEFINANCE(BB84,""Name"")), """")"),"Wakefit Innovations Ltd")</f>
        <v>Wakefit Innovations Ltd</v>
      </c>
      <c r="BE84" s="51">
        <f>IFERROR(__xludf.DUMMYFUNCTION("IFERROR(if(ISBLANK(BC84),"" "",GOOGLEFINANCE(BB84,""price"")), """")"),123.12)</f>
        <v>123.12</v>
      </c>
      <c r="BF84" s="22">
        <f>IFERROR(__xludf.DUMMYFUNCTION("IFERROR(if(ISBLANK(BC84),"" "",GOOGLEFINANCE(BB84,""changepct"")), """")"),-1.09)</f>
        <v>-1.09</v>
      </c>
      <c r="BG84" s="12"/>
      <c r="BH84" s="35" t="s">
        <v>1761</v>
      </c>
      <c r="BI84" s="31" t="s">
        <v>200</v>
      </c>
      <c r="BJ84" s="32" t="str">
        <f>IFERROR(__xludf.DUMMYFUNCTION("IFERROR(if(ISBLANK(BI84),"" "",GOOGLEFINANCE(BH84,""Name"")), """")"),"Anand Rathi Share and Stock Brokers Ltd")</f>
        <v>Anand Rathi Share and Stock Brokers Ltd</v>
      </c>
      <c r="BK84" s="51">
        <f>IFERROR(__xludf.DUMMYFUNCTION("IFERROR(if(ISBLANK(BI84),"" "",GOOGLEFINANCE(BH84,""price"")), """")"),498.0)</f>
        <v>498</v>
      </c>
      <c r="BL84" s="22">
        <f>IFERROR(__xludf.DUMMYFUNCTION("IFERROR(if(ISBLANK(BI84),"" "",GOOGLEFINANCE(BH84,""changepct"")), """")"),-2.19)</f>
        <v>-2.19</v>
      </c>
      <c r="BM84" s="12"/>
      <c r="BN84" s="33" t="s">
        <v>1762</v>
      </c>
      <c r="BO84" s="31" t="s">
        <v>200</v>
      </c>
      <c r="BP84" s="32" t="str">
        <f>IFERROR(__xludf.DUMMYFUNCTION("IFERROR(if(ISBLANK(BO84),"" "",GOOGLEFINANCE(BN84,""Name"")), """")"),"Advait Energy Transitions Ltd")</f>
        <v>Advait Energy Transitions Ltd</v>
      </c>
      <c r="BQ84" s="51">
        <f>IFERROR(__xludf.DUMMYFUNCTION("IFERROR(if(ISBLANK(BO84),"" "",GOOGLEFINANCE(BN84,""price"")), """")"),2127.0)</f>
        <v>2127</v>
      </c>
      <c r="BR84" s="22">
        <f>IFERROR(__xludf.DUMMYFUNCTION("IFERROR(if(ISBLANK(BO84),"" "",GOOGLEFINANCE(BN84,""changepct"")), """")"),-2.47)</f>
        <v>-2.47</v>
      </c>
      <c r="BS84" s="49"/>
      <c r="BT84" s="36"/>
      <c r="BU84" s="27" t="s">
        <v>1763</v>
      </c>
      <c r="BV84" s="31" t="s">
        <v>200</v>
      </c>
      <c r="BW84" s="32" t="str">
        <f>IFERROR(__xludf.DUMMYFUNCTION("IFERROR(if(ISBLANK(BV84),"" "",GOOGLEFINANCE(BU84,""Name"")), """")"),"Somany Ceramics Ltd")</f>
        <v>Somany Ceramics Ltd</v>
      </c>
      <c r="BX84" s="51">
        <f>IFERROR(__xludf.DUMMYFUNCTION("IFERROR(if(ISBLANK(BV84),"" "",GOOGLEFINANCE(BU84,""price"")), """")"),496.8)</f>
        <v>496.8</v>
      </c>
      <c r="BY84" s="22">
        <f>IFERROR(__xludf.DUMMYFUNCTION("IFERROR(if(ISBLANK(BV84),"" "",GOOGLEFINANCE(BU84,""changepct"")), """")"),-2.64)</f>
        <v>-2.64</v>
      </c>
      <c r="BZ84" s="49"/>
      <c r="CA84" s="37"/>
      <c r="CB84" s="27" t="s">
        <v>1764</v>
      </c>
      <c r="CC84" s="31" t="s">
        <v>200</v>
      </c>
      <c r="CD84" s="32" t="str">
        <f>IFERROR(__xludf.DUMMYFUNCTION("IFERROR(if(ISBLANK(CC84),"" "",GOOGLEFINANCE(CB84,""Name"")), """")"),"RACL Geartech Ltd")</f>
        <v>RACL Geartech Ltd</v>
      </c>
      <c r="CE84" s="51">
        <f>IFERROR(__xludf.DUMMYFUNCTION("IFERROR(if(ISBLANK(CC84),"" "",GOOGLEFINANCE(CB84,""price"")), """")"),1417.0)</f>
        <v>1417</v>
      </c>
      <c r="CF84" s="22">
        <f>IFERROR(__xludf.DUMMYFUNCTION("IFERROR(if(ISBLANK(CC84),"" "",GOOGLEFINANCE(CB84,""changepct"")), """")"),-0.2)</f>
        <v>-0.2</v>
      </c>
      <c r="CG84" s="12"/>
      <c r="CH84" s="18" t="s">
        <v>1765</v>
      </c>
      <c r="CI84" s="31" t="s">
        <v>200</v>
      </c>
      <c r="CJ84" s="32" t="str">
        <f>IFERROR(__xludf.DUMMYFUNCTION("IFERROR(if(ISBLANK(CI84),"" "",GOOGLEFINANCE(CH84,""Name"")), """")"),"Centrum Capital Ltd")</f>
        <v>Centrum Capital Ltd</v>
      </c>
      <c r="CK84" s="51">
        <f>IFERROR(__xludf.DUMMYFUNCTION("IFERROR(if(ISBLANK(CI84),"" "",GOOGLEFINANCE(CH84,""price"")), """")"),25.71)</f>
        <v>25.71</v>
      </c>
      <c r="CL84" s="22">
        <f>IFERROR(__xludf.DUMMYFUNCTION("IFERROR(if(ISBLANK(CI84),"" "",GOOGLEFINANCE(CH84,""changepct"")), """")"),-4.39)</f>
        <v>-4.39</v>
      </c>
      <c r="CM84" s="12"/>
      <c r="CN84" s="33" t="s">
        <v>1766</v>
      </c>
      <c r="CO84" s="31" t="s">
        <v>200</v>
      </c>
      <c r="CP84" s="32" t="str">
        <f>IFERROR(__xludf.DUMMYFUNCTION("IFERROR(if(ISBLANK(CO84),"" "",GOOGLEFINANCE(CN84,""Name"")), """")"),"Dharmaj Crop Guard Ltd")</f>
        <v>Dharmaj Crop Guard Ltd</v>
      </c>
      <c r="CQ84" s="51">
        <f>IFERROR(__xludf.DUMMYFUNCTION("IFERROR(if(ISBLANK(CO84),"" "",GOOGLEFINANCE(CN84,""price"")), """")"),280.2)</f>
        <v>280.2</v>
      </c>
      <c r="CR84" s="22">
        <f>IFERROR(__xludf.DUMMYFUNCTION("IFERROR(if(ISBLANK(CO84),"" "",GOOGLEFINANCE(CN84,""changepct"")), """")"),0.07)</f>
        <v>0.07</v>
      </c>
      <c r="CS84" s="43"/>
      <c r="CT84" s="33" t="s">
        <v>1767</v>
      </c>
      <c r="CU84" s="63" t="s">
        <v>200</v>
      </c>
      <c r="CV84" s="64" t="str">
        <f>IFERROR(__xludf.DUMMYFUNCTION("IFERROR(if(ISBLANK(CU84),"" "",GOOGLEFINANCE(CT84,""Name"")), """")"),"India Power Corporation Ltd")</f>
        <v>India Power Corporation Ltd</v>
      </c>
      <c r="CW84" s="65">
        <f>IFERROR(__xludf.DUMMYFUNCTION("IFERROR(if(ISBLANK(CU84),"" "",GOOGLEFINANCE(CT84,""price"")), """")"),7.35)</f>
        <v>7.35</v>
      </c>
      <c r="CX84" s="66">
        <f>IFERROR(__xludf.DUMMYFUNCTION("IFERROR(if(ISBLANK(CU84),"" "",GOOGLEFINANCE(CT84,""changepct"")), """")"),-2.65)</f>
        <v>-2.65</v>
      </c>
      <c r="CY84" s="17"/>
      <c r="CZ84" s="33" t="s">
        <v>1768</v>
      </c>
      <c r="DA84" s="31" t="s">
        <v>200</v>
      </c>
      <c r="DB84" s="32" t="str">
        <f>IFERROR(__xludf.DUMMYFUNCTION("IFERROR(if(ISBLANK(DA84),"" "",GOOGLEFINANCE(CZ84,""Name"")), """")"),"PTL Enterprises Ltd")</f>
        <v>PTL Enterprises Ltd</v>
      </c>
      <c r="DC84" s="51">
        <f>IFERROR(__xludf.DUMMYFUNCTION("IFERROR(if(ISBLANK(DA84),"" "",GOOGLEFINANCE(CZ84,""price"")), """")"),39.3)</f>
        <v>39.3</v>
      </c>
      <c r="DD84" s="22">
        <f>IFERROR(__xludf.DUMMYFUNCTION("IFERROR(if(ISBLANK(DA84),"" "",GOOGLEFINANCE(CZ84,""changepct"")), """")"),0.92)</f>
        <v>0.92</v>
      </c>
      <c r="DE84" s="43"/>
      <c r="DF84" s="12"/>
    </row>
    <row r="85" ht="11.25" customHeight="1">
      <c r="A85" s="62"/>
      <c r="B85" s="18" t="s">
        <v>1769</v>
      </c>
      <c r="C85" s="31" t="s">
        <v>200</v>
      </c>
      <c r="D85" s="32" t="str">
        <f>IFERROR(__xludf.DUMMYFUNCTION("IFERROR(if(ISBLANK(C85),"" "",GOOGLEFINANCE(B85,""Name"")), """")"),"Muthoot Finance Ltd")</f>
        <v>Muthoot Finance Ltd</v>
      </c>
      <c r="E85" s="51">
        <f>IFERROR(__xludf.DUMMYFUNCTION("IFERROR(if(ISBLANK(C85),"" "",GOOGLEFINANCE(B85,""price"")), """")"),2894.2)</f>
        <v>2894.2</v>
      </c>
      <c r="F85" s="22">
        <f>IFERROR(__xludf.DUMMYFUNCTION("IFERROR(if(ISBLANK(C85),"" "",GOOGLEFINANCE(B85,""changepct"")), """")"),-0.74)</f>
        <v>-0.74</v>
      </c>
      <c r="G85" s="49"/>
      <c r="H85" s="36"/>
      <c r="I85" s="25" t="s">
        <v>1771</v>
      </c>
      <c r="J85" s="31" t="s">
        <v>200</v>
      </c>
      <c r="K85" s="32" t="str">
        <f>IFERROR(__xludf.DUMMYFUNCTION("IFERROR(if(ISBLANK(J85),"" "",GOOGLEFINANCE(I85,""Name"")), """")"),"Jindal Stainless Ltd")</f>
        <v>Jindal Stainless Ltd</v>
      </c>
      <c r="L85" s="51">
        <f>IFERROR(__xludf.DUMMYFUNCTION("IFERROR(if(ISBLANK(J85),"" "",GOOGLEFINANCE(I85,""price"")), """")"),739.95)</f>
        <v>739.95</v>
      </c>
      <c r="M85" s="22">
        <f>IFERROR(__xludf.DUMMYFUNCTION("IFERROR(if(ISBLANK(J85),"" "",GOOGLEFINANCE(I85,""changepct"")), """")"),2.05)</f>
        <v>2.05</v>
      </c>
      <c r="N85" s="49"/>
      <c r="O85" s="37"/>
      <c r="P85" s="27" t="s">
        <v>1772</v>
      </c>
      <c r="Q85" s="31" t="s">
        <v>200</v>
      </c>
      <c r="R85" s="32" t="str">
        <f>IFERROR(__xludf.DUMMYFUNCTION("IFERROR(if(ISBLANK(Q85),"" "",GOOGLEFINANCE(P85,""Name"")), """")"),"HFCL Ltd")</f>
        <v>HFCL Ltd</v>
      </c>
      <c r="S85" s="51">
        <f>IFERROR(__xludf.DUMMYFUNCTION("IFERROR(if(ISBLANK(Q85),"" "",GOOGLEFINANCE(P85,""price"")), """")"),221.05)</f>
        <v>221.05</v>
      </c>
      <c r="T85" s="22">
        <f>IFERROR(__xludf.DUMMYFUNCTION("IFERROR(if(ISBLANK(Q85),"" "",GOOGLEFINANCE(P85,""changepct"")), """")"),3.18)</f>
        <v>3.18</v>
      </c>
      <c r="U85" s="12"/>
      <c r="V85" s="18" t="s">
        <v>1773</v>
      </c>
      <c r="W85" s="31" t="s">
        <v>200</v>
      </c>
      <c r="X85" s="32" t="str">
        <f>IFERROR(__xludf.DUMMYFUNCTION("IFERROR(if(ISBLANK(W85),"" "",GOOGLEFINANCE(V85,""Name"")), """")"),"Castrol India Ltd")</f>
        <v>Castrol India Ltd</v>
      </c>
      <c r="Y85" s="51">
        <f>IFERROR(__xludf.DUMMYFUNCTION("IFERROR(if(ISBLANK(W85),"" "",GOOGLEFINANCE(V85,""price"")), """")"),188.45)</f>
        <v>188.45</v>
      </c>
      <c r="Z85" s="22">
        <f>IFERROR(__xludf.DUMMYFUNCTION("IFERROR(if(ISBLANK(W85),"" "",GOOGLEFINANCE(V85,""changepct"")), """")"),0.87)</f>
        <v>0.87</v>
      </c>
      <c r="AA85" s="12"/>
      <c r="AB85" s="18" t="s">
        <v>1774</v>
      </c>
      <c r="AC85" s="31" t="s">
        <v>200</v>
      </c>
      <c r="AD85" s="32" t="str">
        <f>IFERROR(__xludf.DUMMYFUNCTION("IFERROR(if(ISBLANK(AC85),"" "",GOOGLEFINANCE(AB85,""Name"")), """")"),"Vinati Organics Ltd")</f>
        <v>Vinati Organics Ltd</v>
      </c>
      <c r="AE85" s="51">
        <f>IFERROR(__xludf.DUMMYFUNCTION("IFERROR(if(ISBLANK(AC85),"" "",GOOGLEFINANCE(AB85,""price"")), """")"),1327.0)</f>
        <v>1327</v>
      </c>
      <c r="AF85" s="22">
        <f>IFERROR(__xludf.DUMMYFUNCTION("IFERROR(if(ISBLANK(AC85),"" "",GOOGLEFINANCE(AB85,""changepct"")), """")"),0.89)</f>
        <v>0.89</v>
      </c>
      <c r="AG85" s="13"/>
      <c r="AH85" s="27" t="s">
        <v>1775</v>
      </c>
      <c r="AI85" s="31" t="s">
        <v>200</v>
      </c>
      <c r="AJ85" s="32" t="str">
        <f>IFERROR(__xludf.DUMMYFUNCTION("IFERROR(if(ISBLANK(AI85),"" "",GOOGLEFINANCE(AH85,""Name"")), """")"),"Healthcare Global Enterprises Ltd")</f>
        <v>Healthcare Global Enterprises Ltd</v>
      </c>
      <c r="AK85" s="51">
        <f>IFERROR(__xludf.DUMMYFUNCTION("IFERROR(if(ISBLANK(AI85),"" "",GOOGLEFINANCE(AH85,""price"")), """")"),737.5)</f>
        <v>737.5</v>
      </c>
      <c r="AL85" s="22">
        <f>IFERROR(__xludf.DUMMYFUNCTION("IFERROR(if(ISBLANK(AI85),"" "",GOOGLEFINANCE(AH85,""changepct"")), """")"),-0.2)</f>
        <v>-0.2</v>
      </c>
      <c r="AM85" s="30"/>
      <c r="AN85" s="31" t="s">
        <v>200</v>
      </c>
      <c r="AO85" s="32" t="str">
        <f>IFERROR(__xludf.DUMMYFUNCTION("IFERROR(if(ISBLANK(AN85),"" "",GOOGLEFINANCE(AM85,""Name"")), """")"),"")</f>
        <v/>
      </c>
      <c r="AP85" s="33" t="s">
        <v>1776</v>
      </c>
      <c r="AQ85" s="31" t="s">
        <v>200</v>
      </c>
      <c r="AR85" s="32" t="str">
        <f>IFERROR(__xludf.DUMMYFUNCTION("IFERROR(if(ISBLANK(AQ85),"" "",GOOGLEFINANCE(AP85,""Name"")), """")"),"EPL Ltd")</f>
        <v>EPL Ltd</v>
      </c>
      <c r="AS85" s="51">
        <f>IFERROR(__xludf.DUMMYFUNCTION("IFERROR(if(ISBLANK(AQ85),"" "",GOOGLEFINANCE(AP85,""price"")), """")"),241.96)</f>
        <v>241.96</v>
      </c>
      <c r="AT85" s="22">
        <f>IFERROR(__xludf.DUMMYFUNCTION("IFERROR(if(ISBLANK(AQ85),"" "",GOOGLEFINANCE(AP85,""changepct"")), """")"),2.62)</f>
        <v>2.62</v>
      </c>
      <c r="AU85" s="13"/>
      <c r="AV85" s="34" t="s">
        <v>1777</v>
      </c>
      <c r="AW85" s="31" t="s">
        <v>200</v>
      </c>
      <c r="AX85" s="32" t="str">
        <f>IFERROR(__xludf.DUMMYFUNCTION("IFERROR(if(ISBLANK(AW85),"" "",GOOGLEFINANCE(AV85,""Name"")), """")"),"Smartworks Coworking Spaces Ltd")</f>
        <v>Smartworks Coworking Spaces Ltd</v>
      </c>
      <c r="AY85" s="51">
        <f>IFERROR(__xludf.DUMMYFUNCTION("IFERROR(if(ISBLANK(AW85),"" "",GOOGLEFINANCE(AV85,""price"")), """")"),490.2)</f>
        <v>490.2</v>
      </c>
      <c r="AZ85" s="22">
        <f>IFERROR(__xludf.DUMMYFUNCTION("IFERROR(if(ISBLANK(AW85),"" "",GOOGLEFINANCE(AV85,""changepct"")), """")"),2.53)</f>
        <v>2.53</v>
      </c>
      <c r="BA85" s="12"/>
      <c r="BB85" s="33" t="s">
        <v>1778</v>
      </c>
      <c r="BC85" s="31" t="s">
        <v>200</v>
      </c>
      <c r="BD85" s="32" t="str">
        <f>IFERROR(__xludf.DUMMYFUNCTION("IFERROR(if(ISBLANK(BC85),"" "",GOOGLEFINANCE(BB85,""Name"")), """")"),"Kirloskar Industries Ltd")</f>
        <v>Kirloskar Industries Ltd</v>
      </c>
      <c r="BE85" s="51">
        <f>IFERROR(__xludf.DUMMYFUNCTION("IFERROR(if(ISBLANK(BC85),"" "",GOOGLEFINANCE(BB85,""price"")), """")"),3835.0)</f>
        <v>3835</v>
      </c>
      <c r="BF85" s="22">
        <f>IFERROR(__xludf.DUMMYFUNCTION("IFERROR(if(ISBLANK(BC85),"" "",GOOGLEFINANCE(BB85,""changepct"")), """")"),3.02)</f>
        <v>3.02</v>
      </c>
      <c r="BG85" s="12"/>
      <c r="BH85" s="35" t="s">
        <v>1779</v>
      </c>
      <c r="BI85" s="31" t="s">
        <v>200</v>
      </c>
      <c r="BJ85" s="32" t="str">
        <f>IFERROR(__xludf.DUMMYFUNCTION("IFERROR(if(ISBLANK(BI85),"" "",GOOGLEFINANCE(BH85,""Name"")), """")"),"Rane (Madras) Ltd")</f>
        <v>Rane (Madras) Ltd</v>
      </c>
      <c r="BK85" s="51">
        <f>IFERROR(__xludf.DUMMYFUNCTION("IFERROR(if(ISBLANK(BI85),"" "",GOOGLEFINANCE(BH85,""price"")), """")"),1105.4)</f>
        <v>1105.4</v>
      </c>
      <c r="BL85" s="22">
        <f>IFERROR(__xludf.DUMMYFUNCTION("IFERROR(if(ISBLANK(BI85),"" "",GOOGLEFINANCE(BH85,""changepct"")), """")"),0.92)</f>
        <v>0.92</v>
      </c>
      <c r="BM85" s="12"/>
      <c r="BN85" s="33" t="s">
        <v>1780</v>
      </c>
      <c r="BO85" s="31" t="s">
        <v>200</v>
      </c>
      <c r="BP85" s="32" t="str">
        <f>IFERROR(__xludf.DUMMYFUNCTION("IFERROR(if(ISBLANK(BO85),"" "",GOOGLEFINANCE(BN85,""Name"")), """")"),"Fischer Medical Ventures Ltd")</f>
        <v>Fischer Medical Ventures Ltd</v>
      </c>
      <c r="BQ85" s="51">
        <f>IFERROR(__xludf.DUMMYFUNCTION("IFERROR(if(ISBLANK(BO85),"" "",GOOGLEFINANCE(BN85,""price"")), """")"),37.76)</f>
        <v>37.76</v>
      </c>
      <c r="BR85" s="22">
        <f>IFERROR(__xludf.DUMMYFUNCTION("IFERROR(if(ISBLANK(BO85),"" "",GOOGLEFINANCE(BN85,""changepct"")), """")"),-1.85)</f>
        <v>-1.85</v>
      </c>
      <c r="BS85" s="49"/>
      <c r="BT85" s="36"/>
      <c r="BU85" s="27" t="s">
        <v>1781</v>
      </c>
      <c r="BV85" s="31" t="s">
        <v>200</v>
      </c>
      <c r="BW85" s="32" t="str">
        <f>IFERROR(__xludf.DUMMYFUNCTION("IFERROR(if(ISBLANK(BV85),"" "",GOOGLEFINANCE(BU85,""Name"")), """")"),"TIL Ltd")</f>
        <v>TIL Ltd</v>
      </c>
      <c r="BX85" s="51">
        <f>IFERROR(__xludf.DUMMYFUNCTION("IFERROR(if(ISBLANK(BV85),"" "",GOOGLEFINANCE(BU85,""price"")), """")"),229.0)</f>
        <v>229</v>
      </c>
      <c r="BY85" s="22">
        <f>IFERROR(__xludf.DUMMYFUNCTION("IFERROR(if(ISBLANK(BV85),"" "",GOOGLEFINANCE(BU85,""changepct"")), """")"),0.46)</f>
        <v>0.46</v>
      </c>
      <c r="BZ85" s="49"/>
      <c r="CA85" s="37"/>
      <c r="CB85" s="27" t="s">
        <v>1783</v>
      </c>
      <c r="CC85" s="31" t="s">
        <v>200</v>
      </c>
      <c r="CD85" s="32" t="str">
        <f>IFERROR(__xludf.DUMMYFUNCTION("IFERROR(if(ISBLANK(CC85),"" "",GOOGLEFINANCE(CB85,""Name"")), """")"),"Izmo Ltd")</f>
        <v>Izmo Ltd</v>
      </c>
      <c r="CE85" s="51">
        <f>IFERROR(__xludf.DUMMYFUNCTION("IFERROR(if(ISBLANK(CC85),"" "",GOOGLEFINANCE(CB85,""price"")), """")"),949.9)</f>
        <v>949.9</v>
      </c>
      <c r="CF85" s="22">
        <f>IFERROR(__xludf.DUMMYFUNCTION("IFERROR(if(ISBLANK(CC85),"" "",GOOGLEFINANCE(CB85,""changepct"")), """")"),0.68)</f>
        <v>0.68</v>
      </c>
      <c r="CG85" s="12"/>
      <c r="CH85" s="18" t="s">
        <v>1784</v>
      </c>
      <c r="CI85" s="31" t="s">
        <v>200</v>
      </c>
      <c r="CJ85" s="32" t="str">
        <f>IFERROR(__xludf.DUMMYFUNCTION("IFERROR(if(ISBLANK(CI85),"" "",GOOGLEFINANCE(CH85,""Name"")), """")"),"Arihant Foundations &amp; Housing Ltd.")</f>
        <v>Arihant Foundations &amp; Housing Ltd.</v>
      </c>
      <c r="CK85" s="51">
        <f>IFERROR(__xludf.DUMMYFUNCTION("IFERROR(if(ISBLANK(CI85),"" "",GOOGLEFINANCE(CH85,""price"")), """")"),1100.0)</f>
        <v>1100</v>
      </c>
      <c r="CL85" s="22">
        <f>IFERROR(__xludf.DUMMYFUNCTION("IFERROR(if(ISBLANK(CI85),"" "",GOOGLEFINANCE(CH85,""changepct"")), """")"),-1.72)</f>
        <v>-1.72</v>
      </c>
      <c r="CM85" s="12"/>
      <c r="CN85" s="33" t="s">
        <v>1785</v>
      </c>
      <c r="CO85" s="31" t="s">
        <v>200</v>
      </c>
      <c r="CP85" s="32" t="str">
        <f>IFERROR(__xludf.DUMMYFUNCTION("IFERROR(if(ISBLANK(CO85),"" "",GOOGLEFINANCE(CN85,""Name"")), """")"),"MATRIMONY.COM Ltd")</f>
        <v>MATRIMONY.COM Ltd</v>
      </c>
      <c r="CQ85" s="51">
        <f>IFERROR(__xludf.DUMMYFUNCTION("IFERROR(if(ISBLANK(CO85),"" "",GOOGLEFINANCE(CN85,""price"")), """")"),543.2)</f>
        <v>543.2</v>
      </c>
      <c r="CR85" s="22">
        <f>IFERROR(__xludf.DUMMYFUNCTION("IFERROR(if(ISBLANK(CO85),"" "",GOOGLEFINANCE(CN85,""changepct"")), """")"),1.14)</f>
        <v>1.14</v>
      </c>
      <c r="CS85" s="13"/>
      <c r="CT85" s="33" t="s">
        <v>1786</v>
      </c>
      <c r="CU85" s="63" t="s">
        <v>200</v>
      </c>
      <c r="CV85" s="64" t="str">
        <f>IFERROR(__xludf.DUMMYFUNCTION("IFERROR(if(ISBLANK(CU85),"" "",GOOGLEFINANCE(CT85,""Name"")), """")"),"Everest Industries Ltd")</f>
        <v>Everest Industries Ltd</v>
      </c>
      <c r="CW85" s="65">
        <f>IFERROR(__xludf.DUMMYFUNCTION("IFERROR(if(ISBLANK(CU85),"" "",GOOGLEFINANCE(CT85,""price"")), """")"),471.1)</f>
        <v>471.1</v>
      </c>
      <c r="CX85" s="66">
        <f>IFERROR(__xludf.DUMMYFUNCTION("IFERROR(if(ISBLANK(CU85),"" "",GOOGLEFINANCE(CT85,""changepct"")), """")"),0.04)</f>
        <v>0.04</v>
      </c>
      <c r="CY85" s="17"/>
      <c r="CZ85" s="33" t="s">
        <v>1787</v>
      </c>
      <c r="DA85" s="31" t="s">
        <v>200</v>
      </c>
      <c r="DB85" s="32" t="str">
        <f>IFERROR(__xludf.DUMMYFUNCTION("IFERROR(if(ISBLANK(DA85),"" "",GOOGLEFINANCE(CZ85,""Name"")), """")"),"KN Agri Resources Ltd")</f>
        <v>KN Agri Resources Ltd</v>
      </c>
      <c r="DC85" s="51">
        <f>IFERROR(__xludf.DUMMYFUNCTION("IFERROR(if(ISBLANK(DA85),"" "",GOOGLEFINANCE(CZ85,""price"")), """")"),202.5)</f>
        <v>202.5</v>
      </c>
      <c r="DD85" s="22">
        <f>IFERROR(__xludf.DUMMYFUNCTION("IFERROR(if(ISBLANK(DA85),"" "",GOOGLEFINANCE(CZ85,""changepct"")), """")"),-1.03)</f>
        <v>-1.03</v>
      </c>
      <c r="DE85" s="13"/>
      <c r="DF85" s="12"/>
    </row>
    <row r="86" ht="11.25" customHeight="1">
      <c r="A86" s="62"/>
      <c r="B86" s="18" t="s">
        <v>1788</v>
      </c>
      <c r="C86" s="31" t="s">
        <v>200</v>
      </c>
      <c r="D86" s="32" t="str">
        <f>IFERROR(__xludf.DUMMYFUNCTION("IFERROR(if(ISBLANK(C86),"" "",GOOGLEFINANCE(B86,""Name"")), """")"),"Tata Motors Passenger Vhcls Ltd")</f>
        <v>Tata Motors Passenger Vhcls Ltd</v>
      </c>
      <c r="E86" s="51">
        <f>IFERROR(__xludf.DUMMYFUNCTION("IFERROR(if(ISBLANK(C86),"" "",GOOGLEFINANCE(B86,""price"")), """")"),342.0)</f>
        <v>342</v>
      </c>
      <c r="F86" s="22">
        <f>IFERROR(__xludf.DUMMYFUNCTION("IFERROR(if(ISBLANK(C86),"" "",GOOGLEFINANCE(B86,""changepct"")), """")"),-1.61)</f>
        <v>-1.61</v>
      </c>
      <c r="G86" s="49"/>
      <c r="H86" s="36"/>
      <c r="I86" s="25" t="s">
        <v>1790</v>
      </c>
      <c r="J86" s="31" t="s">
        <v>200</v>
      </c>
      <c r="K86" s="32" t="str">
        <f>IFERROR(__xludf.DUMMYFUNCTION("IFERROR(if(ISBLANK(J86),"" "",GOOGLEFINANCE(I86,""Name"")), """")"),"Abbott India Ltd")</f>
        <v>Abbott India Ltd</v>
      </c>
      <c r="L86" s="51">
        <f>IFERROR(__xludf.DUMMYFUNCTION("IFERROR(if(ISBLANK(J86),"" "",GOOGLEFINANCE(I86,""price"")), """")"),28150.0)</f>
        <v>28150</v>
      </c>
      <c r="M86" s="22">
        <f>IFERROR(__xludf.DUMMYFUNCTION("IFERROR(if(ISBLANK(J86),"" "",GOOGLEFINANCE(I86,""changepct"")), """")"),0.46)</f>
        <v>0.46</v>
      </c>
      <c r="N86" s="49"/>
      <c r="O86" s="37"/>
      <c r="P86" s="27" t="s">
        <v>1791</v>
      </c>
      <c r="Q86" s="31" t="s">
        <v>200</v>
      </c>
      <c r="R86" s="32" t="str">
        <f>IFERROR(__xludf.DUMMYFUNCTION("IFERROR(if(ISBLANK(Q86),"" "",GOOGLEFINANCE(P86,""Name"")), """")"),"R R Kabel Ltd")</f>
        <v>R R Kabel Ltd</v>
      </c>
      <c r="S86" s="51">
        <f>IFERROR(__xludf.DUMMYFUNCTION("IFERROR(if(ISBLANK(Q86),"" "",GOOGLEFINANCE(P86,""price"")), """")"),2789.9)</f>
        <v>2789.9</v>
      </c>
      <c r="T86" s="22">
        <f>IFERROR(__xludf.DUMMYFUNCTION("IFERROR(if(ISBLANK(Q86),"" "",GOOGLEFINANCE(P86,""changepct"")), """")"),-0.81)</f>
        <v>-0.81</v>
      </c>
      <c r="U86" s="12"/>
      <c r="V86" s="18" t="s">
        <v>1792</v>
      </c>
      <c r="W86" s="31" t="s">
        <v>200</v>
      </c>
      <c r="X86" s="32" t="str">
        <f>IFERROR(__xludf.DUMMYFUNCTION("IFERROR(if(ISBLANK(W86),"" "",GOOGLEFINANCE(V86,""Name"")), """")"),"Sarda Energy &amp; Minerals Ltd")</f>
        <v>Sarda Energy &amp; Minerals Ltd</v>
      </c>
      <c r="Y86" s="51">
        <f>IFERROR(__xludf.DUMMYFUNCTION("IFERROR(if(ISBLANK(W86),"" "",GOOGLEFINANCE(V86,""price"")), """")"),490.0)</f>
        <v>490</v>
      </c>
      <c r="Z86" s="22">
        <f>IFERROR(__xludf.DUMMYFUNCTION("IFERROR(if(ISBLANK(W86),"" "",GOOGLEFINANCE(V86,""changepct"")), """")"),-1.18)</f>
        <v>-1.18</v>
      </c>
      <c r="AA86" s="12"/>
      <c r="AB86" s="18" t="s">
        <v>1794</v>
      </c>
      <c r="AC86" s="31" t="s">
        <v>200</v>
      </c>
      <c r="AD86" s="32" t="str">
        <f>IFERROR(__xludf.DUMMYFUNCTION("IFERROR(if(ISBLANK(AC86),"" "",GOOGLEFINANCE(AB86,""Name"")), """")"),"Inox Wind Ltd")</f>
        <v>Inox Wind Ltd</v>
      </c>
      <c r="AE86" s="51">
        <f>IFERROR(__xludf.DUMMYFUNCTION("IFERROR(if(ISBLANK(AC86),"" "",GOOGLEFINANCE(AB86,""price"")), """")"),74.0)</f>
        <v>74</v>
      </c>
      <c r="AF86" s="22">
        <f>IFERROR(__xludf.DUMMYFUNCTION("IFERROR(if(ISBLANK(AC86),"" "",GOOGLEFINANCE(AB86,""changepct"")), """")"),-0.54)</f>
        <v>-0.54</v>
      </c>
      <c r="AG86" s="12"/>
      <c r="AH86" s="27" t="s">
        <v>1795</v>
      </c>
      <c r="AI86" s="31" t="s">
        <v>200</v>
      </c>
      <c r="AJ86" s="32" t="str">
        <f>IFERROR(__xludf.DUMMYFUNCTION("IFERROR(if(ISBLANK(AI86),"" "",GOOGLEFINANCE(AH86,""Name"")), """")"),"SBFC Finance Ltd")</f>
        <v>SBFC Finance Ltd</v>
      </c>
      <c r="AK86" s="51">
        <f>IFERROR(__xludf.DUMMYFUNCTION("IFERROR(if(ISBLANK(AI86),"" "",GOOGLEFINANCE(AH86,""price"")), """")"),94.0)</f>
        <v>94</v>
      </c>
      <c r="AL86" s="22">
        <f>IFERROR(__xludf.DUMMYFUNCTION("IFERROR(if(ISBLANK(AI86),"" "",GOOGLEFINANCE(AH86,""changepct"")), """")"),0.17)</f>
        <v>0.17</v>
      </c>
      <c r="AM86" s="30"/>
      <c r="AN86" s="31" t="s">
        <v>200</v>
      </c>
      <c r="AO86" s="32" t="str">
        <f>IFERROR(__xludf.DUMMYFUNCTION("IFERROR(if(ISBLANK(AN86),"" "",GOOGLEFINANCE(AM86,""Name"")), """")"),"")</f>
        <v/>
      </c>
      <c r="AP86" s="33" t="s">
        <v>1796</v>
      </c>
      <c r="AQ86" s="31" t="s">
        <v>200</v>
      </c>
      <c r="AR86" s="32" t="str">
        <f>IFERROR(__xludf.DUMMYFUNCTION("IFERROR(if(ISBLANK(AQ86),"" "",GOOGLEFINANCE(AP86,""Name"")), """")"),"Kingfa Science and Technolgy (India) Ltd")</f>
        <v>Kingfa Science and Technolgy (India) Ltd</v>
      </c>
      <c r="AS86" s="51">
        <f>IFERROR(__xludf.DUMMYFUNCTION("IFERROR(if(ISBLANK(AQ86),"" "",GOOGLEFINANCE(AP86,""price"")), """")"),5958.0)</f>
        <v>5958</v>
      </c>
      <c r="AT86" s="22">
        <f>IFERROR(__xludf.DUMMYFUNCTION("IFERROR(if(ISBLANK(AQ86),"" "",GOOGLEFINANCE(AP86,""changepct"")), """")"),4.38)</f>
        <v>4.38</v>
      </c>
      <c r="AU86" s="12"/>
      <c r="AV86" s="34" t="s">
        <v>1797</v>
      </c>
      <c r="AW86" s="31" t="s">
        <v>200</v>
      </c>
      <c r="AX86" s="32" t="str">
        <f>IFERROR(__xludf.DUMMYFUNCTION("IFERROR(if(ISBLANK(AW86),"" "",GOOGLEFINANCE(AV86,""Name"")), """")"),"Timex Group India Ltd")</f>
        <v>Timex Group India Ltd</v>
      </c>
      <c r="AY86" s="51">
        <f>IFERROR(__xludf.DUMMYFUNCTION("IFERROR(if(ISBLANK(AW86),"" "",GOOGLEFINANCE(AV86,""price"")), """")"),562.5)</f>
        <v>562.5</v>
      </c>
      <c r="AZ86" s="22">
        <f>IFERROR(__xludf.DUMMYFUNCTION("IFERROR(if(ISBLANK(AW86),"" "",GOOGLEFINANCE(AV86,""changepct"")), """")"),-1.85)</f>
        <v>-1.85</v>
      </c>
      <c r="BA86" s="12"/>
      <c r="BB86" s="33" t="s">
        <v>1798</v>
      </c>
      <c r="BC86" s="31" t="s">
        <v>200</v>
      </c>
      <c r="BD86" s="32" t="str">
        <f>IFERROR(__xludf.DUMMYFUNCTION("IFERROR(if(ISBLANK(BC86),"" "",GOOGLEFINANCE(BB86,""Name"")), """")"),"Vishnu Chemicals Ltd")</f>
        <v>Vishnu Chemicals Ltd</v>
      </c>
      <c r="BE86" s="51">
        <f>IFERROR(__xludf.DUMMYFUNCTION("IFERROR(if(ISBLANK(BC86),"" "",GOOGLEFINANCE(BB86,""price"")), """")"),588.25)</f>
        <v>588.25</v>
      </c>
      <c r="BF86" s="22">
        <f>IFERROR(__xludf.DUMMYFUNCTION("IFERROR(if(ISBLANK(BC86),"" "",GOOGLEFINANCE(BB86,""changepct"")), """")"),0.19)</f>
        <v>0.19</v>
      </c>
      <c r="BG86" s="12"/>
      <c r="BH86" s="35" t="s">
        <v>1799</v>
      </c>
      <c r="BI86" s="31" t="s">
        <v>200</v>
      </c>
      <c r="BJ86" s="32" t="str">
        <f>IFERROR(__xludf.DUMMYFUNCTION("IFERROR(if(ISBLANK(BI86),"" "",GOOGLEFINANCE(BH86,""Name"")), """")"),"Dredging Corporation of India Ltd")</f>
        <v>Dredging Corporation of India Ltd</v>
      </c>
      <c r="BK86" s="51">
        <f>IFERROR(__xludf.DUMMYFUNCTION("IFERROR(if(ISBLANK(BI86),"" "",GOOGLEFINANCE(BH86,""price"")), """")"),1050.0)</f>
        <v>1050</v>
      </c>
      <c r="BL86" s="22">
        <f>IFERROR(__xludf.DUMMYFUNCTION("IFERROR(if(ISBLANK(BI86),"" "",GOOGLEFINANCE(BH86,""changepct"")), """")"),-0.87)</f>
        <v>-0.87</v>
      </c>
      <c r="BM86" s="12"/>
      <c r="BN86" s="33" t="s">
        <v>1800</v>
      </c>
      <c r="BO86" s="31" t="s">
        <v>200</v>
      </c>
      <c r="BP86" s="32" t="str">
        <f>IFERROR(__xludf.DUMMYFUNCTION("IFERROR(if(ISBLANK(BO86),"" "",GOOGLEFINANCE(BN86,""Name"")), """")"),"Talbros Automotive Components Ltd")</f>
        <v>Talbros Automotive Components Ltd</v>
      </c>
      <c r="BQ86" s="51">
        <f>IFERROR(__xludf.DUMMYFUNCTION("IFERROR(if(ISBLANK(BO86),"" "",GOOGLEFINANCE(BN86,""price"")), """")"),420.0)</f>
        <v>420</v>
      </c>
      <c r="BR86" s="22">
        <f>IFERROR(__xludf.DUMMYFUNCTION("IFERROR(if(ISBLANK(BO86),"" "",GOOGLEFINANCE(BN86,""changepct"")), """")"),2.45)</f>
        <v>2.45</v>
      </c>
      <c r="BS86" s="49"/>
      <c r="BT86" s="36"/>
      <c r="BU86" s="27" t="s">
        <v>1802</v>
      </c>
      <c r="BV86" s="31" t="s">
        <v>200</v>
      </c>
      <c r="BW86" s="32" t="str">
        <f>IFERROR(__xludf.DUMMYFUNCTION("IFERROR(if(ISBLANK(BV86),"" "",GOOGLEFINANCE(BU86,""Name"")), """")"),"SBC Exports Ltd")</f>
        <v>SBC Exports Ltd</v>
      </c>
      <c r="BX86" s="51">
        <f>IFERROR(__xludf.DUMMYFUNCTION("IFERROR(if(ISBLANK(BV86),"" "",GOOGLEFINANCE(BU86,""price"")), """")"),40.23)</f>
        <v>40.23</v>
      </c>
      <c r="BY86" s="22">
        <f>IFERROR(__xludf.DUMMYFUNCTION("IFERROR(if(ISBLANK(BV86),"" "",GOOGLEFINANCE(BU86,""changepct"")), """")"),-3.08)</f>
        <v>-3.08</v>
      </c>
      <c r="BZ86" s="49"/>
      <c r="CA86" s="37"/>
      <c r="CB86" s="27" t="s">
        <v>1803</v>
      </c>
      <c r="CC86" s="31" t="s">
        <v>200</v>
      </c>
      <c r="CD86" s="32" t="str">
        <f>IFERROR(__xludf.DUMMYFUNCTION("IFERROR(if(ISBLANK(CC86),"" "",GOOGLEFINANCE(CB86,""Name"")), """")"),"Ugro Capital Ltd")</f>
        <v>Ugro Capital Ltd</v>
      </c>
      <c r="CE86" s="51">
        <f>IFERROR(__xludf.DUMMYFUNCTION("IFERROR(if(ISBLANK(CC86),"" "",GOOGLEFINANCE(CB86,""price"")), """")"),93.79)</f>
        <v>93.79</v>
      </c>
      <c r="CF86" s="22">
        <f>IFERROR(__xludf.DUMMYFUNCTION("IFERROR(if(ISBLANK(CC86),"" "",GOOGLEFINANCE(CB86,""changepct"")), """")"),-1.98)</f>
        <v>-1.98</v>
      </c>
      <c r="CG86" s="12"/>
      <c r="CH86" s="18" t="s">
        <v>1804</v>
      </c>
      <c r="CI86" s="31" t="s">
        <v>200</v>
      </c>
      <c r="CJ86" s="32" t="str">
        <f>IFERROR(__xludf.DUMMYFUNCTION("IFERROR(if(ISBLANK(CI86),"" "",GOOGLEFINANCE(CH86,""Name"")), """")"),"SRM Contractors Ltd")</f>
        <v>SRM Contractors Ltd</v>
      </c>
      <c r="CK86" s="51">
        <f>IFERROR(__xludf.DUMMYFUNCTION("IFERROR(if(ISBLANK(CI86),"" "",GOOGLEFINANCE(CH86,""price"")), """")"),517.75)</f>
        <v>517.75</v>
      </c>
      <c r="CL86" s="22">
        <f>IFERROR(__xludf.DUMMYFUNCTION("IFERROR(if(ISBLANK(CI86),"" "",GOOGLEFINANCE(CH86,""changepct"")), """")"),0.97)</f>
        <v>0.97</v>
      </c>
      <c r="CM86" s="12"/>
      <c r="CN86" s="33" t="s">
        <v>1805</v>
      </c>
      <c r="CO86" s="31" t="s">
        <v>200</v>
      </c>
      <c r="CP86" s="32" t="str">
        <f>IFERROR(__xludf.DUMMYFUNCTION("IFERROR(if(ISBLANK(CO86),"" "",GOOGLEFINANCE(CN86,""Name"")), """")"),"Swelect Energy Systems Ltd")</f>
        <v>Swelect Energy Systems Ltd</v>
      </c>
      <c r="CQ86" s="51">
        <f>IFERROR(__xludf.DUMMYFUNCTION("IFERROR(if(ISBLANK(CO86),"" "",GOOGLEFINANCE(CN86,""price"")), """")"),690.0)</f>
        <v>690</v>
      </c>
      <c r="CR86" s="22">
        <f>IFERROR(__xludf.DUMMYFUNCTION("IFERROR(if(ISBLANK(CO86),"" "",GOOGLEFINANCE(CN86,""changepct"")), """")"),0.15)</f>
        <v>0.15</v>
      </c>
      <c r="CS86" s="12"/>
      <c r="CT86" s="33" t="s">
        <v>1806</v>
      </c>
      <c r="CU86" s="63" t="s">
        <v>200</v>
      </c>
      <c r="CV86" s="64" t="str">
        <f>IFERROR(__xludf.DUMMYFUNCTION("IFERROR(if(ISBLANK(CU86),"" "",GOOGLEFINANCE(CT86,""Name"")), """")"),"DMCC Speciality Chemicals Ltd")</f>
        <v>DMCC Speciality Chemicals Ltd</v>
      </c>
      <c r="CW86" s="65">
        <f>IFERROR(__xludf.DUMMYFUNCTION("IFERROR(if(ISBLANK(CU86),"" "",GOOGLEFINANCE(CT86,""price"")), """")"),302.9)</f>
        <v>302.9</v>
      </c>
      <c r="CX86" s="66">
        <f>IFERROR(__xludf.DUMMYFUNCTION("IFERROR(if(ISBLANK(CU86),"" "",GOOGLEFINANCE(CT86,""changepct"")), """")"),0.25)</f>
        <v>0.25</v>
      </c>
      <c r="CY86" s="17"/>
      <c r="CZ86" s="33" t="s">
        <v>1808</v>
      </c>
      <c r="DA86" s="31" t="s">
        <v>200</v>
      </c>
      <c r="DB86" s="32" t="str">
        <f>IFERROR(__xludf.DUMMYFUNCTION("IFERROR(if(ISBLANK(DA86),"" "",GOOGLEFINANCE(CZ86,""Name"")), """")"),"Pasupati Acrylon Ltd")</f>
        <v>Pasupati Acrylon Ltd</v>
      </c>
      <c r="DC86" s="51">
        <f>IFERROR(__xludf.DUMMYFUNCTION("IFERROR(if(ISBLANK(DA86),"" "",GOOGLEFINANCE(CZ86,""price"")), """")"),60.79)</f>
        <v>60.79</v>
      </c>
      <c r="DD86" s="22">
        <f>IFERROR(__xludf.DUMMYFUNCTION("IFERROR(if(ISBLANK(DA86),"" "",GOOGLEFINANCE(CZ86,""changepct"")), """")"),-4.99)</f>
        <v>-4.99</v>
      </c>
      <c r="DE86" s="12"/>
      <c r="DF86" s="12"/>
    </row>
    <row r="87" ht="11.25" customHeight="1">
      <c r="A87" s="62"/>
      <c r="B87" s="18" t="s">
        <v>1809</v>
      </c>
      <c r="C87" s="31" t="s">
        <v>200</v>
      </c>
      <c r="D87" s="32" t="str">
        <f>IFERROR(__xludf.DUMMYFUNCTION("IFERROR(if(ISBLANK(C87),"" "",GOOGLEFINANCE(B87,""Name"")), """")"),"Lodha Developers Ltd")</f>
        <v>Lodha Developers Ltd</v>
      </c>
      <c r="E87" s="51">
        <f>IFERROR(__xludf.DUMMYFUNCTION("IFERROR(if(ISBLANK(C87),"" "",GOOGLEFINANCE(B87,""price"")), """")"),1203.0)</f>
        <v>1203</v>
      </c>
      <c r="F87" s="22">
        <f>IFERROR(__xludf.DUMMYFUNCTION("IFERROR(if(ISBLANK(C87),"" "",GOOGLEFINANCE(B87,""changepct"")), """")"),-0.74)</f>
        <v>-0.74</v>
      </c>
      <c r="G87" s="49"/>
      <c r="H87" s="36"/>
      <c r="I87" s="25" t="s">
        <v>1810</v>
      </c>
      <c r="J87" s="31" t="s">
        <v>200</v>
      </c>
      <c r="K87" s="32" t="str">
        <f>IFERROR(__xludf.DUMMYFUNCTION("IFERROR(if(ISBLANK(J87),"" "",GOOGLEFINANCE(I87,""Name"")), """")"),"Radico Khaitan Ltd")</f>
        <v>Radico Khaitan Ltd</v>
      </c>
      <c r="L87" s="51">
        <f>IFERROR(__xludf.DUMMYFUNCTION("IFERROR(if(ISBLANK(J87),"" "",GOOGLEFINANCE(I87,""price"")), """")"),4525.0)</f>
        <v>4525</v>
      </c>
      <c r="M87" s="22">
        <f>IFERROR(__xludf.DUMMYFUNCTION("IFERROR(if(ISBLANK(J87),"" "",GOOGLEFINANCE(I87,""changepct"")), """")"),-0.44)</f>
        <v>-0.44</v>
      </c>
      <c r="N87" s="49"/>
      <c r="O87" s="37"/>
      <c r="P87" s="27" t="s">
        <v>1811</v>
      </c>
      <c r="Q87" s="31" t="s">
        <v>200</v>
      </c>
      <c r="R87" s="32" t="str">
        <f>IFERROR(__xludf.DUMMYFUNCTION("IFERROR(if(ISBLANK(Q87),"" "",GOOGLEFINANCE(P87,""Name"")), """")"),"Aditya Birla Sun Life Amc Ltd")</f>
        <v>Aditya Birla Sun Life Amc Ltd</v>
      </c>
      <c r="S87" s="51">
        <f>IFERROR(__xludf.DUMMYFUNCTION("IFERROR(if(ISBLANK(Q87),"" "",GOOGLEFINANCE(P87,""price"")), """")"),1041.5)</f>
        <v>1041.5</v>
      </c>
      <c r="T87" s="22">
        <f>IFERROR(__xludf.DUMMYFUNCTION("IFERROR(if(ISBLANK(Q87),"" "",GOOGLEFINANCE(P87,""changepct"")), """")"),2.14)</f>
        <v>2.14</v>
      </c>
      <c r="U87" s="12"/>
      <c r="V87" s="18" t="s">
        <v>1812</v>
      </c>
      <c r="W87" s="31" t="s">
        <v>200</v>
      </c>
      <c r="X87" s="32" t="str">
        <f>IFERROR(__xludf.DUMMYFUNCTION("IFERROR(if(ISBLANK(W87),"" "",GOOGLEFINANCE(V87,""Name"")), """")"),"JSW Cement Ltd")</f>
        <v>JSW Cement Ltd</v>
      </c>
      <c r="Y87" s="51">
        <f>IFERROR(__xludf.DUMMYFUNCTION("IFERROR(if(ISBLANK(W87),"" "",GOOGLEFINANCE(V87,""price"")), """")"),130.58)</f>
        <v>130.58</v>
      </c>
      <c r="Z87" s="22">
        <f>IFERROR(__xludf.DUMMYFUNCTION("IFERROR(if(ISBLANK(W87),"" "",GOOGLEFINANCE(V87,""changepct"")), """")"),-0.71)</f>
        <v>-0.71</v>
      </c>
      <c r="AA87" s="12"/>
      <c r="AB87" s="18" t="s">
        <v>1813</v>
      </c>
      <c r="AC87" s="31" t="s">
        <v>200</v>
      </c>
      <c r="AD87" s="32" t="str">
        <f>IFERROR(__xludf.DUMMYFUNCTION("IFERROR(if(ISBLANK(AC87),"" "",GOOGLEFINANCE(AB87,""Name"")), """")"),"Vedanta Power Ltd")</f>
        <v>Vedanta Power Ltd</v>
      </c>
      <c r="AE87" s="51">
        <f>IFERROR(__xludf.DUMMYFUNCTION("IFERROR(if(ISBLANK(AC87),"" "",GOOGLEFINANCE(AB87,""price"")), """")"),36.77)</f>
        <v>36.77</v>
      </c>
      <c r="AF87" s="22">
        <f>IFERROR(__xludf.DUMMYFUNCTION("IFERROR(if(ISBLANK(AC87),"" "",GOOGLEFINANCE(AB87,""changepct"")), """")"),0.44)</f>
        <v>0.44</v>
      </c>
      <c r="AG87" s="12"/>
      <c r="AH87" s="27" t="s">
        <v>1815</v>
      </c>
      <c r="AI87" s="31" t="s">
        <v>200</v>
      </c>
      <c r="AJ87" s="32" t="str">
        <f>IFERROR(__xludf.DUMMYFUNCTION("IFERROR(if(ISBLANK(AI87),"" "",GOOGLEFINANCE(AH87,""Name"")), """")"),"Afcons Infrastructure Limited")</f>
        <v>Afcons Infrastructure Limited</v>
      </c>
      <c r="AK87" s="51">
        <f>IFERROR(__xludf.DUMMYFUNCTION("IFERROR(if(ISBLANK(AI87),"" "",GOOGLEFINANCE(AH87,""price"")), """")"),267.95)</f>
        <v>267.95</v>
      </c>
      <c r="AL87" s="22">
        <f>IFERROR(__xludf.DUMMYFUNCTION("IFERROR(if(ISBLANK(AI87),"" "",GOOGLEFINANCE(AH87,""changepct"")), """")"),1.63)</f>
        <v>1.63</v>
      </c>
      <c r="AM87" s="30"/>
      <c r="AN87" s="31" t="s">
        <v>200</v>
      </c>
      <c r="AO87" s="32" t="str">
        <f>IFERROR(__xludf.DUMMYFUNCTION("IFERROR(if(ISBLANK(AN87),"" "",GOOGLEFINANCE(AM87,""Name"")), """")"),"")</f>
        <v/>
      </c>
      <c r="AP87" s="33" t="s">
        <v>1816</v>
      </c>
      <c r="AQ87" s="31" t="s">
        <v>200</v>
      </c>
      <c r="AR87" s="32" t="str">
        <f>IFERROR(__xludf.DUMMYFUNCTION("IFERROR(if(ISBLANK(AQ87),"" "",GOOGLEFINANCE(AP87,""Name"")), """")"),"JK Paper Ltd")</f>
        <v>JK Paper Ltd</v>
      </c>
      <c r="AS87" s="51">
        <f>IFERROR(__xludf.DUMMYFUNCTION("IFERROR(if(ISBLANK(AQ87),"" "",GOOGLEFINANCE(AP87,""price"")), """")"),386.25)</f>
        <v>386.25</v>
      </c>
      <c r="AT87" s="22">
        <f>IFERROR(__xludf.DUMMYFUNCTION("IFERROR(if(ISBLANK(AQ87),"" "",GOOGLEFINANCE(AP87,""changepct"")), """")"),-1.13)</f>
        <v>-1.13</v>
      </c>
      <c r="AU87" s="12"/>
      <c r="AV87" s="34" t="s">
        <v>1817</v>
      </c>
      <c r="AW87" s="31" t="s">
        <v>200</v>
      </c>
      <c r="AX87" s="32" t="str">
        <f>IFERROR(__xludf.DUMMYFUNCTION("IFERROR(if(ISBLANK(AW87),"" "",GOOGLEFINANCE(AV87,""Name"")), """")"),"Prism Johnson Ltd")</f>
        <v>Prism Johnson Ltd</v>
      </c>
      <c r="AY87" s="51">
        <f>IFERROR(__xludf.DUMMYFUNCTION("IFERROR(if(ISBLANK(AW87),"" "",GOOGLEFINANCE(AV87,""price"")), """")"),106.1)</f>
        <v>106.1</v>
      </c>
      <c r="AZ87" s="22">
        <f>IFERROR(__xludf.DUMMYFUNCTION("IFERROR(if(ISBLANK(AW87),"" "",GOOGLEFINANCE(AV87,""changepct"")), """")"),-2.29)</f>
        <v>-2.29</v>
      </c>
      <c r="BA87" s="12"/>
      <c r="BB87" s="33" t="s">
        <v>1818</v>
      </c>
      <c r="BC87" s="31" t="s">
        <v>200</v>
      </c>
      <c r="BD87" s="32" t="str">
        <f>IFERROR(__xludf.DUMMYFUNCTION("IFERROR(if(ISBLANK(BC87),"" "",GOOGLEFINANCE(BB87,""Name"")), """")"),"Savita Oil Technologies Ltd")</f>
        <v>Savita Oil Technologies Ltd</v>
      </c>
      <c r="BE87" s="51">
        <f>IFERROR(__xludf.DUMMYFUNCTION("IFERROR(if(ISBLANK(BC87),"" "",GOOGLEFINANCE(BB87,""price"")), """")"),700.0)</f>
        <v>700</v>
      </c>
      <c r="BF87" s="22">
        <f>IFERROR(__xludf.DUMMYFUNCTION("IFERROR(if(ISBLANK(BC87),"" "",GOOGLEFINANCE(BB87,""changepct"")), """")"),-0.01)</f>
        <v>-0.01</v>
      </c>
      <c r="BG87" s="12"/>
      <c r="BH87" s="35" t="s">
        <v>1819</v>
      </c>
      <c r="BI87" s="31" t="s">
        <v>200</v>
      </c>
      <c r="BJ87" s="32" t="str">
        <f>IFERROR(__xludf.DUMMYFUNCTION("IFERROR(if(ISBLANK(BI87),"" "",GOOGLEFINANCE(BH87,""Name"")), """")"),"Jash Engineering Ltd")</f>
        <v>Jash Engineering Ltd</v>
      </c>
      <c r="BK87" s="51">
        <f>IFERROR(__xludf.DUMMYFUNCTION("IFERROR(if(ISBLANK(BI87),"" "",GOOGLEFINANCE(BH87,""price"")), """")"),490.2)</f>
        <v>490.2</v>
      </c>
      <c r="BL87" s="22">
        <f>IFERROR(__xludf.DUMMYFUNCTION("IFERROR(if(ISBLANK(BI87),"" "",GOOGLEFINANCE(BH87,""changepct"")), """")"),-4.22)</f>
        <v>-4.22</v>
      </c>
      <c r="BM87" s="12"/>
      <c r="BN87" s="33" t="s">
        <v>1820</v>
      </c>
      <c r="BO87" s="31" t="s">
        <v>200</v>
      </c>
      <c r="BP87" s="32" t="str">
        <f>IFERROR(__xludf.DUMMYFUNCTION("IFERROR(if(ISBLANK(BO87),"" "",GOOGLEFINANCE(BN87,""Name"")), """")"),"Ador Welding Ltd")</f>
        <v>Ador Welding Ltd</v>
      </c>
      <c r="BQ87" s="51">
        <f>IFERROR(__xludf.DUMMYFUNCTION("IFERROR(if(ISBLANK(BO87),"" "",GOOGLEFINANCE(BN87,""price"")), """")"),1477.0)</f>
        <v>1477</v>
      </c>
      <c r="BR87" s="22">
        <f>IFERROR(__xludf.DUMMYFUNCTION("IFERROR(if(ISBLANK(BO87),"" "",GOOGLEFINANCE(BN87,""changepct"")), """")"),-1.9)</f>
        <v>-1.9</v>
      </c>
      <c r="BS87" s="49"/>
      <c r="BT87" s="36"/>
      <c r="BU87" s="27" t="s">
        <v>1821</v>
      </c>
      <c r="BV87" s="31" t="s">
        <v>200</v>
      </c>
      <c r="BW87" s="32" t="str">
        <f>IFERROR(__xludf.DUMMYFUNCTION("IFERROR(if(ISBLANK(BV87),"" "",GOOGLEFINANCE(BU87,""Name"")), """")"),"Gocl Corporation Ltd")</f>
        <v>Gocl Corporation Ltd</v>
      </c>
      <c r="BX87" s="51">
        <f>IFERROR(__xludf.DUMMYFUNCTION("IFERROR(if(ISBLANK(BV87),"" "",GOOGLEFINANCE(BU87,""price"")), """")"),432.6)</f>
        <v>432.6</v>
      </c>
      <c r="BY87" s="22">
        <f>IFERROR(__xludf.DUMMYFUNCTION("IFERROR(if(ISBLANK(BV87),"" "",GOOGLEFINANCE(BU87,""changepct"")), """")"),0.71)</f>
        <v>0.71</v>
      </c>
      <c r="BZ87" s="49"/>
      <c r="CA87" s="37"/>
      <c r="CB87" s="27" t="s">
        <v>1822</v>
      </c>
      <c r="CC87" s="31" t="s">
        <v>200</v>
      </c>
      <c r="CD87" s="32" t="str">
        <f>IFERROR(__xludf.DUMMYFUNCTION("IFERROR(if(ISBLANK(CC87),"" "",GOOGLEFINANCE(CB87,""Name"")), """")"),"AYM Syntex Ltd")</f>
        <v>AYM Syntex Ltd</v>
      </c>
      <c r="CE87" s="51">
        <f>IFERROR(__xludf.DUMMYFUNCTION("IFERROR(if(ISBLANK(CC87),"" "",GOOGLEFINANCE(CB87,""price"")), """")"),254.2)</f>
        <v>254.2</v>
      </c>
      <c r="CF87" s="22">
        <f>IFERROR(__xludf.DUMMYFUNCTION("IFERROR(if(ISBLANK(CC87),"" "",GOOGLEFINANCE(CB87,""changepct"")), """")"),-0.64)</f>
        <v>-0.64</v>
      </c>
      <c r="CG87" s="12"/>
      <c r="CH87" s="18" t="s">
        <v>1824</v>
      </c>
      <c r="CI87" s="31" t="s">
        <v>200</v>
      </c>
      <c r="CJ87" s="32" t="str">
        <f>IFERROR(__xludf.DUMMYFUNCTION("IFERROR(if(ISBLANK(CI87),"" "",GOOGLEFINANCE(CH87,""Name"")), """")"),"Genesys International Corporation Ltd")</f>
        <v>Genesys International Corporation Ltd</v>
      </c>
      <c r="CK87" s="51">
        <f>IFERROR(__xludf.DUMMYFUNCTION("IFERROR(if(ISBLANK(CI87),"" "",GOOGLEFINANCE(CH87,""price"")), """")"),208.0)</f>
        <v>208</v>
      </c>
      <c r="CL87" s="22">
        <f>IFERROR(__xludf.DUMMYFUNCTION("IFERROR(if(ISBLANK(CI87),"" "",GOOGLEFINANCE(CH87,""changepct"")), """")"),-3.01)</f>
        <v>-3.01</v>
      </c>
      <c r="CM87" s="12"/>
      <c r="CN87" s="33" t="s">
        <v>1825</v>
      </c>
      <c r="CO87" s="31" t="s">
        <v>200</v>
      </c>
      <c r="CP87" s="32" t="str">
        <f>IFERROR(__xludf.DUMMYFUNCTION("IFERROR(if(ISBLANK(CO87),"" "",GOOGLEFINANCE(CN87,""Name"")), """")"),"Pudumjee Paper Products Ltd")</f>
        <v>Pudumjee Paper Products Ltd</v>
      </c>
      <c r="CQ87" s="51">
        <f>IFERROR(__xludf.DUMMYFUNCTION("IFERROR(if(ISBLANK(CO87),"" "",GOOGLEFINANCE(CN87,""price"")), """")"),90.68)</f>
        <v>90.68</v>
      </c>
      <c r="CR87" s="22">
        <f>IFERROR(__xludf.DUMMYFUNCTION("IFERROR(if(ISBLANK(CO87),"" "",GOOGLEFINANCE(CN87,""changepct"")), """")"),0.86)</f>
        <v>0.86</v>
      </c>
      <c r="CS87" s="12"/>
      <c r="CT87" s="33" t="s">
        <v>1826</v>
      </c>
      <c r="CU87" s="63" t="s">
        <v>200</v>
      </c>
      <c r="CV87" s="64" t="str">
        <f>IFERROR(__xludf.DUMMYFUNCTION("IFERROR(if(ISBLANK(CU87),"" "",GOOGLEFINANCE(CT87,""Name"")), """")"),"Magadh Sugar &amp; Energy Ltd")</f>
        <v>Magadh Sugar &amp; Energy Ltd</v>
      </c>
      <c r="CW87" s="65">
        <f>IFERROR(__xludf.DUMMYFUNCTION("IFERROR(if(ISBLANK(CU87),"" "",GOOGLEFINANCE(CT87,""price"")), """")"),521.0)</f>
        <v>521</v>
      </c>
      <c r="CX87" s="66">
        <f>IFERROR(__xludf.DUMMYFUNCTION("IFERROR(if(ISBLANK(CU87),"" "",GOOGLEFINANCE(CT87,""changepct"")), """")"),-0.9)</f>
        <v>-0.9</v>
      </c>
      <c r="CY87" s="17"/>
      <c r="CZ87" s="33" t="s">
        <v>1827</v>
      </c>
      <c r="DA87" s="31" t="s">
        <v>200</v>
      </c>
      <c r="DB87" s="32" t="str">
        <f>IFERROR(__xludf.DUMMYFUNCTION("IFERROR(if(ISBLANK(DA87),"" "",GOOGLEFINANCE(CZ87,""Name"")), """")"),"Universus Photo Imagings Ltd")</f>
        <v>Universus Photo Imagings Ltd</v>
      </c>
      <c r="DC87" s="51">
        <f>IFERROR(__xludf.DUMMYFUNCTION("IFERROR(if(ISBLANK(DA87),"" "",GOOGLEFINANCE(CZ87,""price"")), """")"),477.65)</f>
        <v>477.65</v>
      </c>
      <c r="DD87" s="22">
        <f>IFERROR(__xludf.DUMMYFUNCTION("IFERROR(if(ISBLANK(DA87),"" "",GOOGLEFINANCE(CZ87,""changepct"")), """")"),4.99)</f>
        <v>4.99</v>
      </c>
      <c r="DE87" s="12"/>
      <c r="DF87" s="12"/>
    </row>
    <row r="88" ht="11.25" customHeight="1">
      <c r="A88" s="62"/>
      <c r="B88" s="18" t="s">
        <v>1828</v>
      </c>
      <c r="C88" s="31" t="s">
        <v>200</v>
      </c>
      <c r="D88" s="32" t="str">
        <f>IFERROR(__xludf.DUMMYFUNCTION("IFERROR(if(ISBLANK(C88),"" "",GOOGLEFINANCE(B88,""Name"")), """")"),"Billionbrains Garage Ventures Ltd")</f>
        <v>Billionbrains Garage Ventures Ltd</v>
      </c>
      <c r="E88" s="51">
        <f>IFERROR(__xludf.DUMMYFUNCTION("IFERROR(if(ISBLANK(C88),"" "",GOOGLEFINANCE(B88,""price"")), """")"),197.3)</f>
        <v>197.3</v>
      </c>
      <c r="F88" s="22">
        <f>IFERROR(__xludf.DUMMYFUNCTION("IFERROR(if(ISBLANK(C88),"" "",GOOGLEFINANCE(B88,""changepct"")), """")"),1.96)</f>
        <v>1.96</v>
      </c>
      <c r="G88" s="49"/>
      <c r="H88" s="36"/>
      <c r="I88" s="25" t="s">
        <v>1829</v>
      </c>
      <c r="J88" s="31" t="s">
        <v>200</v>
      </c>
      <c r="K88" s="32" t="str">
        <f>IFERROR(__xludf.DUMMYFUNCTION("IFERROR(if(ISBLANK(J88),"" "",GOOGLEFINANCE(I88,""Name"")), """")"),"RBL Bank Ltd")</f>
        <v>RBL Bank Ltd</v>
      </c>
      <c r="L88" s="51">
        <f>IFERROR(__xludf.DUMMYFUNCTION("IFERROR(if(ISBLANK(J88),"" "",GOOGLEFINANCE(I88,""price"")), """")"),388.8)</f>
        <v>388.8</v>
      </c>
      <c r="M88" s="22">
        <f>IFERROR(__xludf.DUMMYFUNCTION("IFERROR(if(ISBLANK(J88),"" "",GOOGLEFINANCE(I88,""changepct"")), """")"),-0.23)</f>
        <v>-0.23</v>
      </c>
      <c r="N88" s="49"/>
      <c r="O88" s="37"/>
      <c r="P88" s="27" t="s">
        <v>1830</v>
      </c>
      <c r="Q88" s="31" t="s">
        <v>200</v>
      </c>
      <c r="R88" s="32" t="str">
        <f>IFERROR(__xludf.DUMMYFUNCTION("IFERROR(if(ISBLANK(Q88),"" "",GOOGLEFINANCE(P88,""Name"")), """")"),"Jubilant FoodWorks Ltd")</f>
        <v>Jubilant FoodWorks Ltd</v>
      </c>
      <c r="S88" s="51">
        <f>IFERROR(__xludf.DUMMYFUNCTION("IFERROR(if(ISBLANK(Q88),"" "",GOOGLEFINANCE(P88,""price"")), """")"),481.4)</f>
        <v>481.4</v>
      </c>
      <c r="T88" s="22">
        <f>IFERROR(__xludf.DUMMYFUNCTION("IFERROR(if(ISBLANK(Q88),"" "",GOOGLEFINANCE(P88,""changepct"")), """")"),-1.39)</f>
        <v>-1.39</v>
      </c>
      <c r="U88" s="12"/>
      <c r="V88" s="18" t="s">
        <v>1832</v>
      </c>
      <c r="W88" s="31" t="s">
        <v>200</v>
      </c>
      <c r="X88" s="32" t="str">
        <f>IFERROR(__xludf.DUMMYFUNCTION("IFERROR(if(ISBLANK(W88),"" "",GOOGLEFINANCE(V88,""Name"")), """")"),"ELGI Equipments Ltd")</f>
        <v>ELGI Equipments Ltd</v>
      </c>
      <c r="Y88" s="51">
        <f>IFERROR(__xludf.DUMMYFUNCTION("IFERROR(if(ISBLANK(W88),"" "",GOOGLEFINANCE(V88,""price"")), """")"),572.5)</f>
        <v>572.5</v>
      </c>
      <c r="Z88" s="22">
        <f>IFERROR(__xludf.DUMMYFUNCTION("IFERROR(if(ISBLANK(W88),"" "",GOOGLEFINANCE(V88,""changepct"")), """")"),-0.24)</f>
        <v>-0.24</v>
      </c>
      <c r="AA88" s="12"/>
      <c r="AB88" s="18" t="s">
        <v>1833</v>
      </c>
      <c r="AC88" s="31" t="s">
        <v>200</v>
      </c>
      <c r="AD88" s="32" t="str">
        <f>IFERROR(__xludf.DUMMYFUNCTION("IFERROR(if(ISBLANK(AC88),"" "",GOOGLEFINANCE(AB88,""Name"")), """")"),"Tamilnad Mercantile Bank Ltd")</f>
        <v>Tamilnad Mercantile Bank Ltd</v>
      </c>
      <c r="AE88" s="51">
        <f>IFERROR(__xludf.DUMMYFUNCTION("IFERROR(if(ISBLANK(AC88),"" "",GOOGLEFINANCE(AB88,""price"")), """")"),857.0)</f>
        <v>857</v>
      </c>
      <c r="AF88" s="22">
        <f>IFERROR(__xludf.DUMMYFUNCTION("IFERROR(if(ISBLANK(AC88),"" "",GOOGLEFINANCE(AB88,""changepct"")), """")"),-1.15)</f>
        <v>-1.15</v>
      </c>
      <c r="AG88" s="12"/>
      <c r="AH88" s="27" t="s">
        <v>1834</v>
      </c>
      <c r="AI88" s="31" t="s">
        <v>200</v>
      </c>
      <c r="AJ88" s="32" t="str">
        <f>IFERROR(__xludf.DUMMYFUNCTION("IFERROR(if(ISBLANK(AI88),"" "",GOOGLEFINANCE(AH88,""Name"")), """")"),"Sky Gold and Diamonds Ltd")</f>
        <v>Sky Gold and Diamonds Ltd</v>
      </c>
      <c r="AK88" s="51">
        <f>IFERROR(__xludf.DUMMYFUNCTION("IFERROR(if(ISBLANK(AI88),"" "",GOOGLEFINANCE(AH88,""price"")), """")"),838.0)</f>
        <v>838</v>
      </c>
      <c r="AL88" s="22">
        <f>IFERROR(__xludf.DUMMYFUNCTION("IFERROR(if(ISBLANK(AI88),"" "",GOOGLEFINANCE(AH88,""changepct"")), """")"),6.07)</f>
        <v>6.07</v>
      </c>
      <c r="AM88" s="30"/>
      <c r="AN88" s="31" t="s">
        <v>200</v>
      </c>
      <c r="AO88" s="32" t="str">
        <f>IFERROR(__xludf.DUMMYFUNCTION("IFERROR(if(ISBLANK(AN88),"" "",GOOGLEFINANCE(AM88,""Name"")), """")"),"")</f>
        <v/>
      </c>
      <c r="AP88" s="33" t="s">
        <v>1835</v>
      </c>
      <c r="AQ88" s="31" t="s">
        <v>200</v>
      </c>
      <c r="AR88" s="32" t="str">
        <f>IFERROR(__xludf.DUMMYFUNCTION("IFERROR(if(ISBLANK(AQ88),"" "",GOOGLEFINANCE(AP88,""Name"")), """")"),"Rashtriya Chemicals and Fertilizers Ltd")</f>
        <v>Rashtriya Chemicals and Fertilizers Ltd</v>
      </c>
      <c r="AS88" s="51">
        <f>IFERROR(__xludf.DUMMYFUNCTION("IFERROR(if(ISBLANK(AQ88),"" "",GOOGLEFINANCE(AP88,""price"")), """")"),124.08)</f>
        <v>124.08</v>
      </c>
      <c r="AT88" s="22">
        <f>IFERROR(__xludf.DUMMYFUNCTION("IFERROR(if(ISBLANK(AQ88),"" "",GOOGLEFINANCE(AP88,""changepct"")), """")"),-1.17)</f>
        <v>-1.17</v>
      </c>
      <c r="AU88" s="12"/>
      <c r="AV88" s="34" t="s">
        <v>1836</v>
      </c>
      <c r="AW88" s="31" t="s">
        <v>200</v>
      </c>
      <c r="AX88" s="32" t="str">
        <f>IFERROR(__xludf.DUMMYFUNCTION("IFERROR(if(ISBLANK(AW88),"" "",GOOGLEFINANCE(AV88,""Name"")), """")"),"OnEMI Technology Solutions Ltd")</f>
        <v>OnEMI Technology Solutions Ltd</v>
      </c>
      <c r="AY88" s="51">
        <f>IFERROR(__xludf.DUMMYFUNCTION("IFERROR(if(ISBLANK(AW88),"" "",GOOGLEFINANCE(AV88,""price"")), """")"),291.7)</f>
        <v>291.7</v>
      </c>
      <c r="AZ88" s="22">
        <f>IFERROR(__xludf.DUMMYFUNCTION("IFERROR(if(ISBLANK(AW88),"" "",GOOGLEFINANCE(AV88,""changepct"")), """")"),-1.27)</f>
        <v>-1.27</v>
      </c>
      <c r="BA88" s="12"/>
      <c r="BB88" s="33" t="s">
        <v>1837</v>
      </c>
      <c r="BC88" s="31" t="s">
        <v>200</v>
      </c>
      <c r="BD88" s="32" t="str">
        <f>IFERROR(__xludf.DUMMYFUNCTION("IFERROR(if(ISBLANK(BC88),"" "",GOOGLEFINANCE(BB88,""Name"")), """")"),"Aye Finance Ltd")</f>
        <v>Aye Finance Ltd</v>
      </c>
      <c r="BE88" s="51">
        <f>IFERROR(__xludf.DUMMYFUNCTION("IFERROR(if(ISBLANK(BC88),"" "",GOOGLEFINANCE(BB88,""price"")), """")"),178.0)</f>
        <v>178</v>
      </c>
      <c r="BF88" s="22">
        <f>IFERROR(__xludf.DUMMYFUNCTION("IFERROR(if(ISBLANK(BC88),"" "",GOOGLEFINANCE(BB88,""changepct"")), """")"),-0.44)</f>
        <v>-0.44</v>
      </c>
      <c r="BG88" s="12"/>
      <c r="BH88" s="35" t="s">
        <v>1838</v>
      </c>
      <c r="BI88" s="31" t="s">
        <v>200</v>
      </c>
      <c r="BJ88" s="32" t="str">
        <f>IFERROR(__xludf.DUMMYFUNCTION("IFERROR(if(ISBLANK(BI88),"" "",GOOGLEFINANCE(BH88,""Name"")), """")"),"Network People Services Technologies Ltd")</f>
        <v>Network People Services Technologies Ltd</v>
      </c>
      <c r="BK88" s="51">
        <f>IFERROR(__xludf.DUMMYFUNCTION("IFERROR(if(ISBLANK(BI88),"" "",GOOGLEFINANCE(BH88,""price"")), """")"),1530.0)</f>
        <v>1530</v>
      </c>
      <c r="BL88" s="22">
        <f>IFERROR(__xludf.DUMMYFUNCTION("IFERROR(if(ISBLANK(BI88),"" "",GOOGLEFINANCE(BH88,""changepct"")), """")"),-0.33)</f>
        <v>-0.33</v>
      </c>
      <c r="BM88" s="12"/>
      <c r="BN88" s="33" t="s">
        <v>1840</v>
      </c>
      <c r="BO88" s="31" t="s">
        <v>200</v>
      </c>
      <c r="BP88" s="32" t="str">
        <f>IFERROR(__xludf.DUMMYFUNCTION("IFERROR(if(ISBLANK(BO88),"" "",GOOGLEFINANCE(BN88,""Name"")), """")"),"Rajratan Global Wire Ltd")</f>
        <v>Rajratan Global Wire Ltd</v>
      </c>
      <c r="BQ88" s="51">
        <f>IFERROR(__xludf.DUMMYFUNCTION("IFERROR(if(ISBLANK(BO88),"" "",GOOGLEFINANCE(BN88,""price"")), """")"),520.3)</f>
        <v>520.3</v>
      </c>
      <c r="BR88" s="22">
        <f>IFERROR(__xludf.DUMMYFUNCTION("IFERROR(if(ISBLANK(BO88),"" "",GOOGLEFINANCE(BN88,""changepct"")), """")"),0.33)</f>
        <v>0.33</v>
      </c>
      <c r="BS88" s="49"/>
      <c r="BT88" s="36"/>
      <c r="BU88" s="27" t="s">
        <v>1841</v>
      </c>
      <c r="BV88" s="31" t="s">
        <v>200</v>
      </c>
      <c r="BW88" s="32" t="str">
        <f>IFERROR(__xludf.DUMMYFUNCTION("IFERROR(if(ISBLANK(BV88),"" "",GOOGLEFINANCE(BU88,""Name"")), """")"),"Awfis Space Solutions Ltd")</f>
        <v>Awfis Space Solutions Ltd</v>
      </c>
      <c r="BX88" s="51">
        <f>IFERROR(__xludf.DUMMYFUNCTION("IFERROR(if(ISBLANK(BV88),"" "",GOOGLEFINANCE(BU88,""price"")), """")"),274.0)</f>
        <v>274</v>
      </c>
      <c r="BY88" s="22">
        <f>IFERROR(__xludf.DUMMYFUNCTION("IFERROR(if(ISBLANK(BV88),"" "",GOOGLEFINANCE(BU88,""changepct"")), """")"),2.76)</f>
        <v>2.76</v>
      </c>
      <c r="BZ88" s="49"/>
      <c r="CA88" s="37"/>
      <c r="CB88" s="27" t="s">
        <v>1842</v>
      </c>
      <c r="CC88" s="31" t="s">
        <v>200</v>
      </c>
      <c r="CD88" s="32" t="str">
        <f>IFERROR(__xludf.DUMMYFUNCTION("IFERROR(if(ISBLANK(CC88),"" "",GOOGLEFINANCE(CB88,""Name"")), """")"),"Fermenta Biotech Ltd")</f>
        <v>Fermenta Biotech Ltd</v>
      </c>
      <c r="CE88" s="51">
        <f>IFERROR(__xludf.DUMMYFUNCTION("IFERROR(if(ISBLANK(CC88),"" "",GOOGLEFINANCE(CB88,""price"")), """")"),473.45)</f>
        <v>473.45</v>
      </c>
      <c r="CF88" s="22">
        <f>IFERROR(__xludf.DUMMYFUNCTION("IFERROR(if(ISBLANK(CC88),"" "",GOOGLEFINANCE(CB88,""changepct"")), """")"),-2.15)</f>
        <v>-2.15</v>
      </c>
      <c r="CG88" s="12"/>
      <c r="CH88" s="18" t="s">
        <v>1843</v>
      </c>
      <c r="CI88" s="31" t="s">
        <v>200</v>
      </c>
      <c r="CJ88" s="32" t="str">
        <f>IFERROR(__xludf.DUMMYFUNCTION("IFERROR(if(ISBLANK(CI88),"" "",GOOGLEFINANCE(CH88,""Name"")), """")"),"Sepc Ltd")</f>
        <v>Sepc Ltd</v>
      </c>
      <c r="CK88" s="51">
        <f>IFERROR(__xludf.DUMMYFUNCTION("IFERROR(if(ISBLANK(CI88),"" "",GOOGLEFINANCE(CH88,""price"")), """")"),6.1)</f>
        <v>6.1</v>
      </c>
      <c r="CL88" s="22">
        <f>IFERROR(__xludf.DUMMYFUNCTION("IFERROR(if(ISBLANK(CI88),"" "",GOOGLEFINANCE(CH88,""changepct"")), """")"),0.16)</f>
        <v>0.16</v>
      </c>
      <c r="CM88" s="12"/>
      <c r="CN88" s="33" t="s">
        <v>1845</v>
      </c>
      <c r="CO88" s="31" t="s">
        <v>200</v>
      </c>
      <c r="CP88" s="32" t="str">
        <f>IFERROR(__xludf.DUMMYFUNCTION("IFERROR(if(ISBLANK(CO88),"" "",GOOGLEFINANCE(CN88,""Name"")), """")"),"Sical Logistics Ltd")</f>
        <v>Sical Logistics Ltd</v>
      </c>
      <c r="CQ88" s="51">
        <f>IFERROR(__xludf.DUMMYFUNCTION("IFERROR(if(ISBLANK(CO88),"" "",GOOGLEFINANCE(CN88,""price"")), """")"),112.52)</f>
        <v>112.52</v>
      </c>
      <c r="CR88" s="22">
        <f>IFERROR(__xludf.DUMMYFUNCTION("IFERROR(if(ISBLANK(CO88),"" "",GOOGLEFINANCE(CN88,""changepct"")), """")"),4.99)</f>
        <v>4.99</v>
      </c>
      <c r="CS88" s="12"/>
      <c r="CT88" s="33" t="s">
        <v>1846</v>
      </c>
      <c r="CU88" s="63" t="s">
        <v>200</v>
      </c>
      <c r="CV88" s="64" t="str">
        <f>IFERROR(__xludf.DUMMYFUNCTION("IFERROR(if(ISBLANK(CU88),"" "",GOOGLEFINANCE(CT88,""Name"")), """")"),"United Polyfab Gujarat Ltd")</f>
        <v>United Polyfab Gujarat Ltd</v>
      </c>
      <c r="CW88" s="65">
        <f>IFERROR(__xludf.DUMMYFUNCTION("IFERROR(if(ISBLANK(CU88),"" "",GOOGLEFINANCE(CT88,""price"")), """")"),32.0)</f>
        <v>32</v>
      </c>
      <c r="CX88" s="66">
        <f>IFERROR(__xludf.DUMMYFUNCTION("IFERROR(if(ISBLANK(CU88),"" "",GOOGLEFINANCE(CT88,""changepct"")), """")"),3.03)</f>
        <v>3.03</v>
      </c>
      <c r="CY88" s="17"/>
      <c r="CZ88" s="33" t="s">
        <v>1847</v>
      </c>
      <c r="DA88" s="31" t="s">
        <v>200</v>
      </c>
      <c r="DB88" s="32" t="str">
        <f>IFERROR(__xludf.DUMMYFUNCTION("IFERROR(if(ISBLANK(DA88),"" "",GOOGLEFINANCE(CZ88,""Name"")), """")"),"Modi Naturals Ltd")</f>
        <v>Modi Naturals Ltd</v>
      </c>
      <c r="DC88" s="51">
        <f>IFERROR(__xludf.DUMMYFUNCTION("IFERROR(if(ISBLANK(DA88),"" "",GOOGLEFINANCE(CZ88,""price"")), """")"),390.0)</f>
        <v>390</v>
      </c>
      <c r="DD88" s="22">
        <f>IFERROR(__xludf.DUMMYFUNCTION("IFERROR(if(ISBLANK(DA88),"" "",GOOGLEFINANCE(CZ88,""changepct"")), """")"),-0.54)</f>
        <v>-0.54</v>
      </c>
      <c r="DE88" s="12"/>
      <c r="DF88" s="12"/>
    </row>
    <row r="89" ht="11.25" customHeight="1">
      <c r="A89" s="62"/>
      <c r="B89" s="18" t="s">
        <v>1849</v>
      </c>
      <c r="C89" s="31" t="s">
        <v>200</v>
      </c>
      <c r="D89" s="32" t="str">
        <f>IFERROR(__xludf.DUMMYFUNCTION("IFERROR(if(ISBLANK(C89),"" "",GOOGLEFINANCE(B89,""Name"")), """")"),"Tata Power Company Ltd")</f>
        <v>Tata Power Company Ltd</v>
      </c>
      <c r="E89" s="51">
        <f>IFERROR(__xludf.DUMMYFUNCTION("IFERROR(if(ISBLANK(C89),"" "",GOOGLEFINANCE(B89,""price"")), """")"),378.05)</f>
        <v>378.05</v>
      </c>
      <c r="F89" s="22">
        <f>IFERROR(__xludf.DUMMYFUNCTION("IFERROR(if(ISBLANK(C89),"" "",GOOGLEFINANCE(B89,""changepct"")), """")"),-0.51)</f>
        <v>-0.51</v>
      </c>
      <c r="G89" s="49"/>
      <c r="H89" s="36"/>
      <c r="I89" s="25" t="s">
        <v>1850</v>
      </c>
      <c r="J89" s="31" t="s">
        <v>200</v>
      </c>
      <c r="K89" s="32" t="str">
        <f>IFERROR(__xludf.DUMMYFUNCTION("IFERROR(if(ISBLANK(J89),"" "",GOOGLEFINANCE(I89,""Name"")), """")"),"Apar Industries Ltd")</f>
        <v>Apar Industries Ltd</v>
      </c>
      <c r="L89" s="51">
        <f>IFERROR(__xludf.DUMMYFUNCTION("IFERROR(if(ISBLANK(J89),"" "",GOOGLEFINANCE(I89,""price"")), """")"),18200.0)</f>
        <v>18200</v>
      </c>
      <c r="M89" s="22">
        <f>IFERROR(__xludf.DUMMYFUNCTION("IFERROR(if(ISBLANK(J89),"" "",GOOGLEFINANCE(I89,""changepct"")), """")"),8.67)</f>
        <v>8.67</v>
      </c>
      <c r="N89" s="49"/>
      <c r="O89" s="37"/>
      <c r="P89" s="27" t="s">
        <v>1851</v>
      </c>
      <c r="Q89" s="31" t="s">
        <v>200</v>
      </c>
      <c r="R89" s="32" t="str">
        <f>IFERROR(__xludf.DUMMYFUNCTION("IFERROR(if(ISBLANK(Q89),"" "",GOOGLEFINANCE(P89,""Name"")), """")"),"Cholamandalam Financial Holdings Ltd")</f>
        <v>Cholamandalam Financial Holdings Ltd</v>
      </c>
      <c r="S89" s="51">
        <f>IFERROR(__xludf.DUMMYFUNCTION("IFERROR(if(ISBLANK(Q89),"" "",GOOGLEFINANCE(P89,""price"")), """")"),1578.0)</f>
        <v>1578</v>
      </c>
      <c r="T89" s="22">
        <f>IFERROR(__xludf.DUMMYFUNCTION("IFERROR(if(ISBLANK(Q89),"" "",GOOGLEFINANCE(P89,""changepct"")), """")"),-2.02)</f>
        <v>-2.02</v>
      </c>
      <c r="U89" s="12"/>
      <c r="V89" s="18" t="s">
        <v>1852</v>
      </c>
      <c r="W89" s="31" t="s">
        <v>200</v>
      </c>
      <c r="X89" s="32" t="str">
        <f>IFERROR(__xludf.DUMMYFUNCTION("IFERROR(if(ISBLANK(W89),"" "",GOOGLEFINANCE(V89,""Name"")), """")"),"Gujarat Mineral Development Corpn Ltd")</f>
        <v>Gujarat Mineral Development Corpn Ltd</v>
      </c>
      <c r="Y89" s="51">
        <f>IFERROR(__xludf.DUMMYFUNCTION("IFERROR(if(ISBLANK(W89),"" "",GOOGLEFINANCE(V89,""price"")), """")"),602.45)</f>
        <v>602.45</v>
      </c>
      <c r="Z89" s="22">
        <f>IFERROR(__xludf.DUMMYFUNCTION("IFERROR(if(ISBLANK(W89),"" "",GOOGLEFINANCE(V89,""changepct"")), """")"),-0.09)</f>
        <v>-0.09</v>
      </c>
      <c r="AA89" s="12"/>
      <c r="AB89" s="18" t="s">
        <v>1854</v>
      </c>
      <c r="AC89" s="31" t="s">
        <v>200</v>
      </c>
      <c r="AD89" s="32" t="str">
        <f>IFERROR(__xludf.DUMMYFUNCTION("IFERROR(if(ISBLANK(AC89),"" "",GOOGLEFINANCE(AB89,""Name"")), """")"),"JSW Dulux Ltd")</f>
        <v>JSW Dulux Ltd</v>
      </c>
      <c r="AE89" s="51">
        <f>IFERROR(__xludf.DUMMYFUNCTION("IFERROR(if(ISBLANK(AC89),"" "",GOOGLEFINANCE(AB89,""price"")), """")"),3100.1)</f>
        <v>3100.1</v>
      </c>
      <c r="AF89" s="22">
        <f>IFERROR(__xludf.DUMMYFUNCTION("IFERROR(if(ISBLANK(AC89),"" "",GOOGLEFINANCE(AB89,""changepct"")), """")"),-1.8)</f>
        <v>-1.8</v>
      </c>
      <c r="AG89" s="29"/>
      <c r="AH89" s="27" t="s">
        <v>1855</v>
      </c>
      <c r="AI89" s="31" t="s">
        <v>200</v>
      </c>
      <c r="AJ89" s="32" t="str">
        <f>IFERROR(__xludf.DUMMYFUNCTION("IFERROR(if(ISBLANK(AI89),"" "",GOOGLEFINANCE(AH89,""Name"")), """")"),"Sudeep Pharma Ltd")</f>
        <v>Sudeep Pharma Ltd</v>
      </c>
      <c r="AK89" s="51">
        <f>IFERROR(__xludf.DUMMYFUNCTION("IFERROR(if(ISBLANK(AI89),"" "",GOOGLEFINANCE(AH89,""price"")), """")"),1108.0)</f>
        <v>1108</v>
      </c>
      <c r="AL89" s="22">
        <f>IFERROR(__xludf.DUMMYFUNCTION("IFERROR(if(ISBLANK(AI89),"" "",GOOGLEFINANCE(AH89,""changepct"")), """")"),-0.04)</f>
        <v>-0.04</v>
      </c>
      <c r="AM89" s="30"/>
      <c r="AN89" s="31" t="s">
        <v>200</v>
      </c>
      <c r="AO89" s="32" t="str">
        <f>IFERROR(__xludf.DUMMYFUNCTION("IFERROR(if(ISBLANK(AN89),"" "",GOOGLEFINANCE(AM89,""Name"")), """")"),"")</f>
        <v/>
      </c>
      <c r="AP89" s="33" t="s">
        <v>1856</v>
      </c>
      <c r="AQ89" s="31" t="s">
        <v>200</v>
      </c>
      <c r="AR89" s="32" t="str">
        <f>IFERROR(__xludf.DUMMYFUNCTION("IFERROR(if(ISBLANK(AQ89),"" "",GOOGLEFINANCE(AP89,""Name"")), """")"),"Bengal &amp; Assam Company Ltd")</f>
        <v>Bengal &amp; Assam Company Ltd</v>
      </c>
      <c r="AS89" s="51">
        <f>IFERROR(__xludf.DUMMYFUNCTION("IFERROR(if(ISBLANK(AQ89),"" "",GOOGLEFINANCE(AP89,""price"")), """")"),6217.5)</f>
        <v>6217.5</v>
      </c>
      <c r="AT89" s="22">
        <f>IFERROR(__xludf.DUMMYFUNCTION("IFERROR(if(ISBLANK(AQ89),"" "",GOOGLEFINANCE(AP89,""changepct"")), """")"),0.21)</f>
        <v>0.21</v>
      </c>
      <c r="AU89" s="29"/>
      <c r="AV89" s="34" t="s">
        <v>1857</v>
      </c>
      <c r="AW89" s="31" t="s">
        <v>200</v>
      </c>
      <c r="AX89" s="32" t="str">
        <f>IFERROR(__xludf.DUMMYFUNCTION("IFERROR(if(ISBLANK(AW89),"" "",GOOGLEFINANCE(AV89,""Name"")), """")"),"Balu Forge Industries Ltd")</f>
        <v>Balu Forge Industries Ltd</v>
      </c>
      <c r="AY89" s="51">
        <f>IFERROR(__xludf.DUMMYFUNCTION("IFERROR(if(ISBLANK(AW89),"" "",GOOGLEFINANCE(AV89,""price"")), """")"),463.2)</f>
        <v>463.2</v>
      </c>
      <c r="AZ89" s="22">
        <f>IFERROR(__xludf.DUMMYFUNCTION("IFERROR(if(ISBLANK(AW89),"" "",GOOGLEFINANCE(AV89,""changepct"")), """")"),0.92)</f>
        <v>0.92</v>
      </c>
      <c r="BA89" s="67"/>
      <c r="BB89" s="33" t="s">
        <v>1858</v>
      </c>
      <c r="BC89" s="31" t="s">
        <v>200</v>
      </c>
      <c r="BD89" s="32" t="str">
        <f>IFERROR(__xludf.DUMMYFUNCTION("IFERROR(if(ISBLANK(BC89),"" "",GOOGLEFINANCE(BB89,""Name"")), """")"),"Mahindra Logistics Ltd")</f>
        <v>Mahindra Logistics Ltd</v>
      </c>
      <c r="BE89" s="51">
        <f>IFERROR(__xludf.DUMMYFUNCTION("IFERROR(if(ISBLANK(BC89),"" "",GOOGLEFINANCE(BB89,""price"")), """")"),410.0)</f>
        <v>410</v>
      </c>
      <c r="BF89" s="22">
        <f>IFERROR(__xludf.DUMMYFUNCTION("IFERROR(if(ISBLANK(BC89),"" "",GOOGLEFINANCE(BB89,""changepct"")), """")"),0.16)</f>
        <v>0.16</v>
      </c>
      <c r="BG89" s="67"/>
      <c r="BH89" s="35" t="s">
        <v>1859</v>
      </c>
      <c r="BI89" s="31" t="s">
        <v>200</v>
      </c>
      <c r="BJ89" s="32" t="str">
        <f>IFERROR(__xludf.DUMMYFUNCTION("IFERROR(if(ISBLANK(BI89),"" "",GOOGLEFINANCE(BH89,""Name"")), """")"),"Ganesha Ecosphere Ltd")</f>
        <v>Ganesha Ecosphere Ltd</v>
      </c>
      <c r="BK89" s="51">
        <f>IFERROR(__xludf.DUMMYFUNCTION("IFERROR(if(ISBLANK(BI89),"" "",GOOGLEFINANCE(BH89,""price"")), """")"),1068.0)</f>
        <v>1068</v>
      </c>
      <c r="BL89" s="22">
        <f>IFERROR(__xludf.DUMMYFUNCTION("IFERROR(if(ISBLANK(BI89),"" "",GOOGLEFINANCE(BH89,""changepct"")), """")"),1.8)</f>
        <v>1.8</v>
      </c>
      <c r="BM89" s="67"/>
      <c r="BN89" s="33" t="s">
        <v>1860</v>
      </c>
      <c r="BO89" s="31" t="s">
        <v>200</v>
      </c>
      <c r="BP89" s="32" t="str">
        <f>IFERROR(__xludf.DUMMYFUNCTION("IFERROR(if(ISBLANK(BO89),"" "",GOOGLEFINANCE(BN89,""Name"")), """")"),"Bombay Dyeing and Mfg Co Ltd")</f>
        <v>Bombay Dyeing and Mfg Co Ltd</v>
      </c>
      <c r="BQ89" s="51">
        <f>IFERROR(__xludf.DUMMYFUNCTION("IFERROR(if(ISBLANK(BO89),"" "",GOOGLEFINANCE(BN89,""price"")), """")"),115.98)</f>
        <v>115.98</v>
      </c>
      <c r="BR89" s="22">
        <f>IFERROR(__xludf.DUMMYFUNCTION("IFERROR(if(ISBLANK(BO89),"" "",GOOGLEFINANCE(BN89,""changepct"")), """")"),-0.11)</f>
        <v>-0.11</v>
      </c>
      <c r="BS89" s="67"/>
      <c r="BT89" s="67"/>
      <c r="BU89" s="27" t="s">
        <v>1862</v>
      </c>
      <c r="BV89" s="31" t="s">
        <v>200</v>
      </c>
      <c r="BW89" s="32" t="str">
        <f>IFERROR(__xludf.DUMMYFUNCTION("IFERROR(if(ISBLANK(BV89),"" "",GOOGLEFINANCE(BU89,""Name"")), """")"),"JG Chemicals Ltd")</f>
        <v>JG Chemicals Ltd</v>
      </c>
      <c r="BX89" s="51">
        <f>IFERROR(__xludf.DUMMYFUNCTION("IFERROR(if(ISBLANK(BV89),"" "",GOOGLEFINANCE(BU89,""price"")), """")"),606.0)</f>
        <v>606</v>
      </c>
      <c r="BY89" s="22">
        <f>IFERROR(__xludf.DUMMYFUNCTION("IFERROR(if(ISBLANK(BV89),"" "",GOOGLEFINANCE(BU89,""changepct"")), """")"),-2.63)</f>
        <v>-2.63</v>
      </c>
      <c r="BZ89" s="67"/>
      <c r="CA89" s="67"/>
      <c r="CB89" s="27" t="s">
        <v>1863</v>
      </c>
      <c r="CC89" s="31" t="s">
        <v>200</v>
      </c>
      <c r="CD89" s="32" t="str">
        <f>IFERROR(__xludf.DUMMYFUNCTION("IFERROR(if(ISBLANK(CC89),"" "",GOOGLEFINANCE(CB89,""Name"")), """")"),"Indo Rama Synthetics (India) Ltd")</f>
        <v>Indo Rama Synthetics (India) Ltd</v>
      </c>
      <c r="CE89" s="51">
        <f>IFERROR(__xludf.DUMMYFUNCTION("IFERROR(if(ISBLANK(CC89),"" "",GOOGLEFINANCE(CB89,""price"")), """")"),57.34)</f>
        <v>57.34</v>
      </c>
      <c r="CF89" s="22">
        <f>IFERROR(__xludf.DUMMYFUNCTION("IFERROR(if(ISBLANK(CC89),"" "",GOOGLEFINANCE(CB89,""changepct"")), """")"),-1.22)</f>
        <v>-1.22</v>
      </c>
      <c r="CG89" s="67"/>
      <c r="CH89" s="18" t="s">
        <v>1864</v>
      </c>
      <c r="CI89" s="31" t="s">
        <v>200</v>
      </c>
      <c r="CJ89" s="32" t="str">
        <f>IFERROR(__xludf.DUMMYFUNCTION("IFERROR(if(ISBLANK(CI89),"" "",GOOGLEFINANCE(CH89,""Name"")), """")"),"Bajaj Healthcare Ltd")</f>
        <v>Bajaj Healthcare Ltd</v>
      </c>
      <c r="CK89" s="51">
        <f>IFERROR(__xludf.DUMMYFUNCTION("IFERROR(if(ISBLANK(CI89),"" "",GOOGLEFINANCE(CH89,""price"")), """")"),326.9)</f>
        <v>326.9</v>
      </c>
      <c r="CL89" s="22">
        <f>IFERROR(__xludf.DUMMYFUNCTION("IFERROR(if(ISBLANK(CI89),"" "",GOOGLEFINANCE(CH89,""changepct"")), """")"),-0.52)</f>
        <v>-0.52</v>
      </c>
      <c r="CM89" s="67"/>
      <c r="CN89" s="33" t="s">
        <v>1865</v>
      </c>
      <c r="CO89" s="31" t="s">
        <v>200</v>
      </c>
      <c r="CP89" s="32" t="str">
        <f>IFERROR(__xludf.DUMMYFUNCTION("IFERROR(if(ISBLANK(CO89),"" "",GOOGLEFINANCE(CN89,""Name"")), """")"),"Stanley Lifestyles Ltd")</f>
        <v>Stanley Lifestyles Ltd</v>
      </c>
      <c r="CQ89" s="51">
        <f>IFERROR(__xludf.DUMMYFUNCTION("IFERROR(if(ISBLANK(CO89),"" "",GOOGLEFINANCE(CN89,""price"")), """")"),141.6)</f>
        <v>141.6</v>
      </c>
      <c r="CR89" s="22">
        <f>IFERROR(__xludf.DUMMYFUNCTION("IFERROR(if(ISBLANK(CO89),"" "",GOOGLEFINANCE(CN89,""changepct"")), """")"),-1.31)</f>
        <v>-1.31</v>
      </c>
      <c r="CS89" s="67"/>
      <c r="CT89" s="33" t="s">
        <v>1866</v>
      </c>
      <c r="CU89" s="63" t="s">
        <v>200</v>
      </c>
      <c r="CV89" s="64" t="str">
        <f>IFERROR(__xludf.DUMMYFUNCTION("IFERROR(if(ISBLANK(CU89),"" "",GOOGLEFINANCE(CT89,""Name"")), """")"),"PVP Ventures Ltd")</f>
        <v>PVP Ventures Ltd</v>
      </c>
      <c r="CW89" s="65">
        <f>IFERROR(__xludf.DUMMYFUNCTION("IFERROR(if(ISBLANK(CU89),"" "",GOOGLEFINANCE(CT89,""price"")), """")"),33.99)</f>
        <v>33.99</v>
      </c>
      <c r="CX89" s="66">
        <f>IFERROR(__xludf.DUMMYFUNCTION("IFERROR(if(ISBLANK(CU89),"" "",GOOGLEFINANCE(CT89,""changepct"")), """")"),-1.36)</f>
        <v>-1.36</v>
      </c>
      <c r="CY89" s="67"/>
      <c r="CZ89" s="33" t="s">
        <v>1868</v>
      </c>
      <c r="DA89" s="31" t="s">
        <v>200</v>
      </c>
      <c r="DB89" s="32" t="str">
        <f>IFERROR(__xludf.DUMMYFUNCTION("IFERROR(if(ISBLANK(DA89),"" "",GOOGLEFINANCE(CZ89,""Name"")), """")"),"Mangal Credit and Fincorp Ltd")</f>
        <v>Mangal Credit and Fincorp Ltd</v>
      </c>
      <c r="DC89" s="51">
        <f>IFERROR(__xludf.DUMMYFUNCTION("IFERROR(if(ISBLANK(DA89),"" "",GOOGLEFINANCE(CZ89,""price"")), """")"),246.0)</f>
        <v>246</v>
      </c>
      <c r="DD89" s="22">
        <f>IFERROR(__xludf.DUMMYFUNCTION("IFERROR(if(ISBLANK(DA89),"" "",GOOGLEFINANCE(CZ89,""changepct"")), """")"),-0.43)</f>
        <v>-0.43</v>
      </c>
      <c r="DE89" s="67"/>
      <c r="DF89" s="67"/>
    </row>
    <row r="90" ht="11.25" customHeight="1">
      <c r="A90" s="62"/>
      <c r="B90" s="18" t="s">
        <v>1869</v>
      </c>
      <c r="C90" s="31" t="s">
        <v>200</v>
      </c>
      <c r="D90" s="32" t="str">
        <f>IFERROR(__xludf.DUMMYFUNCTION("IFERROR(if(ISBLANK(C90),"" "",GOOGLEFINANCE(B90,""Name"")), """")"),"Bosch Ltd")</f>
        <v>Bosch Ltd</v>
      </c>
      <c r="E90" s="51">
        <f>IFERROR(__xludf.DUMMYFUNCTION("IFERROR(if(ISBLANK(C90),"" "",GOOGLEFINANCE(B90,""price"")), """")"),46350.0)</f>
        <v>46350</v>
      </c>
      <c r="F90" s="22">
        <f>IFERROR(__xludf.DUMMYFUNCTION("IFERROR(if(ISBLANK(C90),"" "",GOOGLEFINANCE(B90,""changepct"")), """")"),2.58)</f>
        <v>2.58</v>
      </c>
      <c r="G90" s="49"/>
      <c r="H90" s="36"/>
      <c r="I90" s="25" t="s">
        <v>1870</v>
      </c>
      <c r="J90" s="31" t="s">
        <v>200</v>
      </c>
      <c r="K90" s="32" t="str">
        <f>IFERROR(__xludf.DUMMYFUNCTION("IFERROR(if(ISBLANK(J90),"" "",GOOGLEFINANCE(I90,""Name"")), """")"),"Linde India Ltd")</f>
        <v>Linde India Ltd</v>
      </c>
      <c r="L90" s="51">
        <f>IFERROR(__xludf.DUMMYFUNCTION("IFERROR(if(ISBLANK(J90),"" "",GOOGLEFINANCE(I90,""price"")), """")"),6780.0)</f>
        <v>6780</v>
      </c>
      <c r="M90" s="22">
        <f>IFERROR(__xludf.DUMMYFUNCTION("IFERROR(if(ISBLANK(J90),"" "",GOOGLEFINANCE(I90,""changepct"")), """")"),-2.75)</f>
        <v>-2.75</v>
      </c>
      <c r="N90" s="49"/>
      <c r="O90" s="37"/>
      <c r="P90" s="27" t="s">
        <v>1871</v>
      </c>
      <c r="Q90" s="31" t="s">
        <v>200</v>
      </c>
      <c r="R90" s="32" t="str">
        <f>IFERROR(__xludf.DUMMYFUNCTION("IFERROR(if(ISBLANK(Q90),"" "",GOOGLEFINANCE(P90,""Name"")), """")"),"Shyam Metalics and Energy Ltd")</f>
        <v>Shyam Metalics and Energy Ltd</v>
      </c>
      <c r="S90" s="51">
        <f>IFERROR(__xludf.DUMMYFUNCTION("IFERROR(if(ISBLANK(Q90),"" "",GOOGLEFINANCE(P90,""price"")), """")"),989.0)</f>
        <v>989</v>
      </c>
      <c r="T90" s="22">
        <f>IFERROR(__xludf.DUMMYFUNCTION("IFERROR(if(ISBLANK(Q90),"" "",GOOGLEFINANCE(P90,""changepct"")), """")"),0.43)</f>
        <v>0.43</v>
      </c>
      <c r="U90" s="12"/>
      <c r="V90" s="18" t="s">
        <v>1872</v>
      </c>
      <c r="W90" s="31" t="s">
        <v>200</v>
      </c>
      <c r="X90" s="32" t="str">
        <f>IFERROR(__xludf.DUMMYFUNCTION("IFERROR(if(ISBLANK(W90),"" "",GOOGLEFINANCE(V90,""Name"")), """")"),"Ola Electric Mobility Ltd")</f>
        <v>Ola Electric Mobility Ltd</v>
      </c>
      <c r="Y90" s="51">
        <f>IFERROR(__xludf.DUMMYFUNCTION("IFERROR(if(ISBLANK(W90),"" "",GOOGLEFINANCE(V90,""price"")), """")"),39.9)</f>
        <v>39.9</v>
      </c>
      <c r="Z90" s="22">
        <f>IFERROR(__xludf.DUMMYFUNCTION("IFERROR(if(ISBLANK(W90),"" "",GOOGLEFINANCE(V90,""changepct"")), """")"),0.61)</f>
        <v>0.61</v>
      </c>
      <c r="AA90" s="12"/>
      <c r="AB90" s="18" t="s">
        <v>1873</v>
      </c>
      <c r="AC90" s="31" t="s">
        <v>200</v>
      </c>
      <c r="AD90" s="32" t="str">
        <f>IFERROR(__xludf.DUMMYFUNCTION("IFERROR(if(ISBLANK(AC90),"" "",GOOGLEFINANCE(AB90,""Name"")), """")"),"Black Box Ltd")</f>
        <v>Black Box Ltd</v>
      </c>
      <c r="AE90" s="51">
        <f>IFERROR(__xludf.DUMMYFUNCTION("IFERROR(if(ISBLANK(AC90),"" "",GOOGLEFINANCE(AB90,""price"")), """")"),756.6)</f>
        <v>756.6</v>
      </c>
      <c r="AF90" s="22">
        <f>IFERROR(__xludf.DUMMYFUNCTION("IFERROR(if(ISBLANK(AC90),"" "",GOOGLEFINANCE(AB90,""changepct"")), """")"),1.78)</f>
        <v>1.78</v>
      </c>
      <c r="AG90" s="29"/>
      <c r="AH90" s="27" t="s">
        <v>1875</v>
      </c>
      <c r="AI90" s="31" t="s">
        <v>200</v>
      </c>
      <c r="AJ90" s="32" t="str">
        <f>IFERROR(__xludf.DUMMYFUNCTION("IFERROR(if(ISBLANK(AI90),"" "",GOOGLEFINANCE(AH90,""Name"")), """")"),"Blackbuck Ltd")</f>
        <v>Blackbuck Ltd</v>
      </c>
      <c r="AK90" s="51">
        <f>IFERROR(__xludf.DUMMYFUNCTION("IFERROR(if(ISBLANK(AI90),"" "",GOOGLEFINANCE(AH90,""price"")), """")"),571.0)</f>
        <v>571</v>
      </c>
      <c r="AL90" s="22">
        <f>IFERROR(__xludf.DUMMYFUNCTION("IFERROR(if(ISBLANK(AI90),"" "",GOOGLEFINANCE(AH90,""changepct"")), """")"),-0.09)</f>
        <v>-0.09</v>
      </c>
      <c r="AM90" s="30"/>
      <c r="AN90" s="31" t="s">
        <v>200</v>
      </c>
      <c r="AO90" s="32" t="str">
        <f>IFERROR(__xludf.DUMMYFUNCTION("IFERROR(if(ISBLANK(AN90),"" "",GOOGLEFINANCE(AM90,""Name"")), """")"),"")</f>
        <v/>
      </c>
      <c r="AP90" s="33" t="s">
        <v>1876</v>
      </c>
      <c r="AQ90" s="31" t="s">
        <v>200</v>
      </c>
      <c r="AR90" s="32" t="str">
        <f>IFERROR(__xludf.DUMMYFUNCTION("IFERROR(if(ISBLANK(AQ90),"" "",GOOGLEFINANCE(AP90,""Name"")), """")"),"Dynamatic Technologies Ltd")</f>
        <v>Dynamatic Technologies Ltd</v>
      </c>
      <c r="AS90" s="51">
        <f>IFERROR(__xludf.DUMMYFUNCTION("IFERROR(if(ISBLANK(AQ90),"" "",GOOGLEFINANCE(AP90,""price"")), """")"),10652.0)</f>
        <v>10652</v>
      </c>
      <c r="AT90" s="22">
        <f>IFERROR(__xludf.DUMMYFUNCTION("IFERROR(if(ISBLANK(AQ90),"" "",GOOGLEFINANCE(AP90,""changepct"")), """")"),0.49)</f>
        <v>0.49</v>
      </c>
      <c r="AU90" s="29"/>
      <c r="AV90" s="34" t="s">
        <v>1877</v>
      </c>
      <c r="AW90" s="31" t="s">
        <v>200</v>
      </c>
      <c r="AX90" s="32" t="str">
        <f>IFERROR(__xludf.DUMMYFUNCTION("IFERROR(if(ISBLANK(AW90),"" "",GOOGLEFINANCE(AV90,""Name"")), """")"),"Subros Ltd")</f>
        <v>Subros Ltd</v>
      </c>
      <c r="AY90" s="51">
        <f>IFERROR(__xludf.DUMMYFUNCTION("IFERROR(if(ISBLANK(AW90),"" "",GOOGLEFINANCE(AV90,""price"")), """")"),765.0)</f>
        <v>765</v>
      </c>
      <c r="AZ90" s="22">
        <f>IFERROR(__xludf.DUMMYFUNCTION("IFERROR(if(ISBLANK(AW90),"" "",GOOGLEFINANCE(AV90,""changepct"")), """")"),-0.08)</f>
        <v>-0.08</v>
      </c>
      <c r="BA90" s="67"/>
      <c r="BB90" s="33" t="s">
        <v>1878</v>
      </c>
      <c r="BC90" s="31" t="s">
        <v>200</v>
      </c>
      <c r="BD90" s="32" t="str">
        <f>IFERROR(__xludf.DUMMYFUNCTION("IFERROR(if(ISBLANK(BC90),"" "",GOOGLEFINANCE(BB90,""Name"")), """")"),"KDDL Ltd")</f>
        <v>KDDL Ltd</v>
      </c>
      <c r="BE90" s="51">
        <f>IFERROR(__xludf.DUMMYFUNCTION("IFERROR(if(ISBLANK(BC90),"" "",GOOGLEFINANCE(BB90,""price"")), """")"),3871.0)</f>
        <v>3871</v>
      </c>
      <c r="BF90" s="22">
        <f>IFERROR(__xludf.DUMMYFUNCTION("IFERROR(if(ISBLANK(BC90),"" "",GOOGLEFINANCE(BB90,""changepct"")), """")"),0.75)</f>
        <v>0.75</v>
      </c>
      <c r="BG90" s="67"/>
      <c r="BH90" s="35" t="s">
        <v>1879</v>
      </c>
      <c r="BI90" s="31" t="s">
        <v>200</v>
      </c>
      <c r="BJ90" s="32" t="str">
        <f>IFERROR(__xludf.DUMMYFUNCTION("IFERROR(if(ISBLANK(BI90),"" "",GOOGLEFINANCE(BH90,""Name"")), """")"),"Apcotex Industries Ltd")</f>
        <v>Apcotex Industries Ltd</v>
      </c>
      <c r="BK90" s="51">
        <f>IFERROR(__xludf.DUMMYFUNCTION("IFERROR(if(ISBLANK(BI90),"" "",GOOGLEFINANCE(BH90,""price"")), """")"),599.9)</f>
        <v>599.9</v>
      </c>
      <c r="BL90" s="22">
        <f>IFERROR(__xludf.DUMMYFUNCTION("IFERROR(if(ISBLANK(BI90),"" "",GOOGLEFINANCE(BH90,""changepct"")), """")"),-2.76)</f>
        <v>-2.76</v>
      </c>
      <c r="BM90" s="67"/>
      <c r="BN90" s="33" t="s">
        <v>1880</v>
      </c>
      <c r="BO90" s="31" t="s">
        <v>200</v>
      </c>
      <c r="BP90" s="32" t="str">
        <f>IFERROR(__xludf.DUMMYFUNCTION("IFERROR(if(ISBLANK(BO90),"" "",GOOGLEFINANCE(BN90,""Name"")), """")"),"Sundrop Brands Ltd")</f>
        <v>Sundrop Brands Ltd</v>
      </c>
      <c r="BQ90" s="51">
        <f>IFERROR(__xludf.DUMMYFUNCTION("IFERROR(if(ISBLANK(BO90),"" "",GOOGLEFINANCE(BN90,""price"")), """")"),672.9)</f>
        <v>672.9</v>
      </c>
      <c r="BR90" s="22">
        <f>IFERROR(__xludf.DUMMYFUNCTION("IFERROR(if(ISBLANK(BO90),"" "",GOOGLEFINANCE(BN90,""changepct"")), """")"),-0.29)</f>
        <v>-0.29</v>
      </c>
      <c r="BS90" s="67"/>
      <c r="BT90" s="67"/>
      <c r="BU90" s="27" t="s">
        <v>1881</v>
      </c>
      <c r="BV90" s="31" t="s">
        <v>200</v>
      </c>
      <c r="BW90" s="32" t="str">
        <f>IFERROR(__xludf.DUMMYFUNCTION("IFERROR(if(ISBLANK(BV90),"" "",GOOGLEFINANCE(BU90,""Name"")), """")"),"Sakar Healthcare Ltd")</f>
        <v>Sakar Healthcare Ltd</v>
      </c>
      <c r="BX90" s="51">
        <f>IFERROR(__xludf.DUMMYFUNCTION("IFERROR(if(ISBLANK(BV90),"" "",GOOGLEFINANCE(BU90,""price"")), """")"),940.0)</f>
        <v>940</v>
      </c>
      <c r="BY90" s="22">
        <f>IFERROR(__xludf.DUMMYFUNCTION("IFERROR(if(ISBLANK(BV90),"" "",GOOGLEFINANCE(BU90,""changepct"")), """")"),-1.44)</f>
        <v>-1.44</v>
      </c>
      <c r="BZ90" s="67"/>
      <c r="CA90" s="67"/>
      <c r="CB90" s="27" t="s">
        <v>1882</v>
      </c>
      <c r="CC90" s="31" t="s">
        <v>200</v>
      </c>
      <c r="CD90" s="32" t="str">
        <f>IFERROR(__xludf.DUMMYFUNCTION("IFERROR(if(ISBLANK(CC90),"" "",GOOGLEFINANCE(CB90,""Name"")), """")"),"Onida Electronics Ltd")</f>
        <v>Onida Electronics Ltd</v>
      </c>
      <c r="CE90" s="51">
        <f>IFERROR(__xludf.DUMMYFUNCTION("IFERROR(if(ISBLANK(CC90),"" "",GOOGLEFINANCE(CB90,""price"")), """")"),37.5)</f>
        <v>37.5</v>
      </c>
      <c r="CF90" s="22">
        <f>IFERROR(__xludf.DUMMYFUNCTION("IFERROR(if(ISBLANK(CC90),"" "",GOOGLEFINANCE(CB90,""changepct"")), """")"),-2.42)</f>
        <v>-2.42</v>
      </c>
      <c r="CG90" s="67"/>
      <c r="CH90" s="18" t="s">
        <v>1884</v>
      </c>
      <c r="CI90" s="31" t="s">
        <v>200</v>
      </c>
      <c r="CJ90" s="32" t="str">
        <f>IFERROR(__xludf.DUMMYFUNCTION("IFERROR(if(ISBLANK(CI90),"" "",GOOGLEFINANCE(CH90,""Name"")), """")"),"Arihant Superstructures Ltd")</f>
        <v>Arihant Superstructures Ltd</v>
      </c>
      <c r="CK90" s="51">
        <f>IFERROR(__xludf.DUMMYFUNCTION("IFERROR(if(ISBLANK(CI90),"" "",GOOGLEFINANCE(CH90,""price"")), """")"),257.7)</f>
        <v>257.7</v>
      </c>
      <c r="CL90" s="22">
        <f>IFERROR(__xludf.DUMMYFUNCTION("IFERROR(if(ISBLANK(CI90),"" "",GOOGLEFINANCE(CH90,""changepct"")), """")"),-1.06)</f>
        <v>-1.06</v>
      </c>
      <c r="CM90" s="67"/>
      <c r="CN90" s="33" t="s">
        <v>1885</v>
      </c>
      <c r="CO90" s="31" t="s">
        <v>200</v>
      </c>
      <c r="CP90" s="32" t="str">
        <f>IFERROR(__xludf.DUMMYFUNCTION("IFERROR(if(ISBLANK(CO90),"" "",GOOGLEFINANCE(CN90,""Name"")), """")"),"Bombay Super Hybrid Seeds Ltd")</f>
        <v>Bombay Super Hybrid Seeds Ltd</v>
      </c>
      <c r="CQ90" s="51">
        <f>IFERROR(__xludf.DUMMYFUNCTION("IFERROR(if(ISBLANK(CO90),"" "",GOOGLEFINANCE(CN90,""price"")), """")"),90.6)</f>
        <v>90.6</v>
      </c>
      <c r="CR90" s="22">
        <f>IFERROR(__xludf.DUMMYFUNCTION("IFERROR(if(ISBLANK(CO90),"" "",GOOGLEFINANCE(CN90,""changepct"")), """")"),2.56)</f>
        <v>2.56</v>
      </c>
      <c r="CS90" s="67"/>
      <c r="CT90" s="33" t="s">
        <v>1886</v>
      </c>
      <c r="CU90" s="63" t="s">
        <v>200</v>
      </c>
      <c r="CV90" s="64" t="str">
        <f>IFERROR(__xludf.DUMMYFUNCTION("IFERROR(if(ISBLANK(CU90),"" "",GOOGLEFINANCE(CT90,""Name"")), """")"),"Hindustan Media Ventures Ltd")</f>
        <v>Hindustan Media Ventures Ltd</v>
      </c>
      <c r="CW90" s="65">
        <f>IFERROR(__xludf.DUMMYFUNCTION("IFERROR(if(ISBLANK(CU90),"" "",GOOGLEFINANCE(CT90,""price"")), """")"),91.97)</f>
        <v>91.97</v>
      </c>
      <c r="CX90" s="66">
        <f>IFERROR(__xludf.DUMMYFUNCTION("IFERROR(if(ISBLANK(CU90),"" "",GOOGLEFINANCE(CT90,""changepct"")), """")"),0.39)</f>
        <v>0.39</v>
      </c>
      <c r="CY90" s="67"/>
      <c r="CZ90" s="33" t="s">
        <v>1887</v>
      </c>
      <c r="DA90" s="31" t="s">
        <v>200</v>
      </c>
      <c r="DB90" s="32" t="str">
        <f>IFERROR(__xludf.DUMMYFUNCTION("IFERROR(if(ISBLANK(DA90),"" "",GOOGLEFINANCE(CZ90,""Name"")), """")"),"R K Swamy Ltd")</f>
        <v>R K Swamy Ltd</v>
      </c>
      <c r="DC90" s="51">
        <f>IFERROR(__xludf.DUMMYFUNCTION("IFERROR(if(ISBLANK(DA90),"" "",GOOGLEFINANCE(CZ90,""price"")), """")"),101.45)</f>
        <v>101.45</v>
      </c>
      <c r="DD90" s="22">
        <f>IFERROR(__xludf.DUMMYFUNCTION("IFERROR(if(ISBLANK(DA90),"" "",GOOGLEFINANCE(CZ90,""changepct"")), """")"),-3.35)</f>
        <v>-3.35</v>
      </c>
      <c r="DE90" s="67"/>
      <c r="DF90" s="67"/>
    </row>
    <row r="91" ht="11.25" customHeight="1">
      <c r="A91" s="62"/>
      <c r="B91" s="18" t="s">
        <v>1888</v>
      </c>
      <c r="C91" s="31" t="s">
        <v>200</v>
      </c>
      <c r="D91" s="32" t="str">
        <f>IFERROR(__xludf.DUMMYFUNCTION("IFERROR(if(ISBLANK(C91),"" "",GOOGLEFINANCE(B91,""Name"")), """")"),"SBI Funds Management Ltd")</f>
        <v>SBI Funds Management Ltd</v>
      </c>
      <c r="E91" s="51">
        <f>IFERROR(__xludf.DUMMYFUNCTION("IFERROR(if(ISBLANK(C91),"" "",GOOGLEFINANCE(B91,""price"")), """")"),570.0)</f>
        <v>570</v>
      </c>
      <c r="F91" s="22">
        <f>IFERROR(__xludf.DUMMYFUNCTION("IFERROR(if(ISBLANK(C91),"" "",GOOGLEFINANCE(B91,""changepct"")), """")"),0.27)</f>
        <v>0.27</v>
      </c>
      <c r="G91" s="49"/>
      <c r="H91" s="36"/>
      <c r="I91" s="25" t="s">
        <v>1889</v>
      </c>
      <c r="J91" s="31" t="s">
        <v>200</v>
      </c>
      <c r="K91" s="32" t="str">
        <f>IFERROR(__xludf.DUMMYFUNCTION("IFERROR(if(ISBLANK(J91),"" "",GOOGLEFINANCE(I91,""Name"")), """")"),"HDB Financial Services Ltd")</f>
        <v>HDB Financial Services Ltd</v>
      </c>
      <c r="L91" s="51">
        <f>IFERROR(__xludf.DUMMYFUNCTION("IFERROR(if(ISBLANK(J91),"" "",GOOGLEFINANCE(I91,""price"")), """")"),689.5)</f>
        <v>689.5</v>
      </c>
      <c r="M91" s="22">
        <f>IFERROR(__xludf.DUMMYFUNCTION("IFERROR(if(ISBLANK(J91),"" "",GOOGLEFINANCE(I91,""changepct"")), """")"),-0.52)</f>
        <v>-0.52</v>
      </c>
      <c r="N91" s="49"/>
      <c r="O91" s="37"/>
      <c r="P91" s="27" t="s">
        <v>1890</v>
      </c>
      <c r="Q91" s="31" t="s">
        <v>200</v>
      </c>
      <c r="R91" s="32" t="str">
        <f>IFERROR(__xludf.DUMMYFUNCTION("IFERROR(if(ISBLANK(Q91),"" "",GOOGLEFINANCE(P91,""Name"")), """")"),"LIC Housing Finance Ltd")</f>
        <v>LIC Housing Finance Ltd</v>
      </c>
      <c r="S91" s="51">
        <f>IFERROR(__xludf.DUMMYFUNCTION("IFERROR(if(ISBLANK(Q91),"" "",GOOGLEFINANCE(P91,""price"")), """")"),505.9)</f>
        <v>505.9</v>
      </c>
      <c r="T91" s="22">
        <f>IFERROR(__xludf.DUMMYFUNCTION("IFERROR(if(ISBLANK(Q91),"" "",GOOGLEFINANCE(P91,""changepct"")), """")"),0.78)</f>
        <v>0.78</v>
      </c>
      <c r="U91" s="12"/>
      <c r="V91" s="18" t="s">
        <v>1891</v>
      </c>
      <c r="W91" s="31" t="s">
        <v>200</v>
      </c>
      <c r="X91" s="32" t="str">
        <f>IFERROR(__xludf.DUMMYFUNCTION("IFERROR(if(ISBLANK(W91),"" "",GOOGLEFINANCE(V91,""Name"")), """")"),"Chalet Hotels Ltd")</f>
        <v>Chalet Hotels Ltd</v>
      </c>
      <c r="Y91" s="51">
        <f>IFERROR(__xludf.DUMMYFUNCTION("IFERROR(if(ISBLANK(W91),"" "",GOOGLEFINANCE(V91,""price"")), """")"),824.0)</f>
        <v>824</v>
      </c>
      <c r="Z91" s="22">
        <f>IFERROR(__xludf.DUMMYFUNCTION("IFERROR(if(ISBLANK(W91),"" "",GOOGLEFINANCE(V91,""changepct"")), """")"),0.34)</f>
        <v>0.34</v>
      </c>
      <c r="AA91" s="12"/>
      <c r="AB91" s="18" t="s">
        <v>1893</v>
      </c>
      <c r="AC91" s="31" t="s">
        <v>200</v>
      </c>
      <c r="AD91" s="32" t="str">
        <f>IFERROR(__xludf.DUMMYFUNCTION("IFERROR(if(ISBLANK(AC91),"" "",GOOGLEFINANCE(AB91,""Name"")), """")"),"Supreme Petrochem Ltd")</f>
        <v>Supreme Petrochem Ltd</v>
      </c>
      <c r="AE91" s="51">
        <f>IFERROR(__xludf.DUMMYFUNCTION("IFERROR(if(ISBLANK(AC91),"" "",GOOGLEFINANCE(AB91,""price"")), """")"),728.65)</f>
        <v>728.65</v>
      </c>
      <c r="AF91" s="22">
        <f>IFERROR(__xludf.DUMMYFUNCTION("IFERROR(if(ISBLANK(AC91),"" "",GOOGLEFINANCE(AB91,""changepct"")), """")"),6.33)</f>
        <v>6.33</v>
      </c>
      <c r="AG91" s="29"/>
      <c r="AH91" s="27" t="s">
        <v>1894</v>
      </c>
      <c r="AI91" s="31" t="s">
        <v>200</v>
      </c>
      <c r="AJ91" s="32" t="str">
        <f>IFERROR(__xludf.DUMMYFUNCTION("IFERROR(if(ISBLANK(AI91),"" "",GOOGLEFINANCE(AH91,""Name"")), """")"),"BLS International Services Ltd")</f>
        <v>BLS International Services Ltd</v>
      </c>
      <c r="AK91" s="51">
        <f>IFERROR(__xludf.DUMMYFUNCTION("IFERROR(if(ISBLANK(AI91),"" "",GOOGLEFINANCE(AH91,""price"")), """")"),262.75)</f>
        <v>262.75</v>
      </c>
      <c r="AL91" s="22">
        <f>IFERROR(__xludf.DUMMYFUNCTION("IFERROR(if(ISBLANK(AI91),"" "",GOOGLEFINANCE(AH91,""changepct"")), """")"),0.72)</f>
        <v>0.72</v>
      </c>
      <c r="AM91" s="30"/>
      <c r="AN91" s="31" t="s">
        <v>200</v>
      </c>
      <c r="AO91" s="32" t="str">
        <f>IFERROR(__xludf.DUMMYFUNCTION("IFERROR(if(ISBLANK(AN91),"" "",GOOGLEFINANCE(AM91,""Name"")), """")"),"")</f>
        <v/>
      </c>
      <c r="AP91" s="33" t="s">
        <v>1895</v>
      </c>
      <c r="AQ91" s="31" t="s">
        <v>200</v>
      </c>
      <c r="AR91" s="32" t="str">
        <f>IFERROR(__xludf.DUMMYFUNCTION("IFERROR(if(ISBLANK(AQ91),"" "",GOOGLEFINANCE(AP91,""Name"")), """")"),"Madhya Bharat Agro products Ltd")</f>
        <v>Madhya Bharat Agro products Ltd</v>
      </c>
      <c r="AS91" s="51">
        <f>IFERROR(__xludf.DUMMYFUNCTION("IFERROR(if(ISBLANK(AQ91),"" "",GOOGLEFINANCE(AP91,""price"")), """")"),165.99)</f>
        <v>165.99</v>
      </c>
      <c r="AT91" s="22">
        <f>IFERROR(__xludf.DUMMYFUNCTION("IFERROR(if(ISBLANK(AQ91),"" "",GOOGLEFINANCE(AP91,""changepct"")), """")"),0.3)</f>
        <v>0.3</v>
      </c>
      <c r="AU91" s="29"/>
      <c r="AV91" s="34" t="s">
        <v>1896</v>
      </c>
      <c r="AW91" s="31" t="s">
        <v>200</v>
      </c>
      <c r="AX91" s="32" t="str">
        <f>IFERROR(__xludf.DUMMYFUNCTION("IFERROR(if(ISBLANK(AW91),"" "",GOOGLEFINANCE(AV91,""Name"")), """")"),"IFB Industries Ltd")</f>
        <v>IFB Industries Ltd</v>
      </c>
      <c r="AY91" s="51">
        <f>IFERROR(__xludf.DUMMYFUNCTION("IFERROR(if(ISBLANK(AW91),"" "",GOOGLEFINANCE(AV91,""price"")), """")"),1360.0)</f>
        <v>1360</v>
      </c>
      <c r="AZ91" s="22">
        <f>IFERROR(__xludf.DUMMYFUNCTION("IFERROR(if(ISBLANK(AW91),"" "",GOOGLEFINANCE(AV91,""changepct"")), """")"),-1.14)</f>
        <v>-1.14</v>
      </c>
      <c r="BA91" s="67"/>
      <c r="BB91" s="33" t="s">
        <v>1897</v>
      </c>
      <c r="BC91" s="31" t="s">
        <v>200</v>
      </c>
      <c r="BD91" s="32" t="str">
        <f>IFERROR(__xludf.DUMMYFUNCTION("IFERROR(if(ISBLANK(BC91),"" "",GOOGLEFINANCE(BB91,""Name"")), """")"),"Aurionpro Solutions Ltd")</f>
        <v>Aurionpro Solutions Ltd</v>
      </c>
      <c r="BE91" s="51">
        <f>IFERROR(__xludf.DUMMYFUNCTION("IFERROR(if(ISBLANK(BC91),"" "",GOOGLEFINANCE(BB91,""price"")), """")"),720.0)</f>
        <v>720</v>
      </c>
      <c r="BF91" s="22">
        <f>IFERROR(__xludf.DUMMYFUNCTION("IFERROR(if(ISBLANK(BC91),"" "",GOOGLEFINANCE(BB91,""changepct"")), """")"),-0.98)</f>
        <v>-0.98</v>
      </c>
      <c r="BG91" s="67"/>
      <c r="BH91" s="35" t="s">
        <v>1899</v>
      </c>
      <c r="BI91" s="31" t="s">
        <v>200</v>
      </c>
      <c r="BJ91" s="32" t="str">
        <f>IFERROR(__xludf.DUMMYFUNCTION("IFERROR(if(ISBLANK(BI91),"" "",GOOGLEFINANCE(BH91,""Name"")), """")"),"Shanthi Gears Ltd")</f>
        <v>Shanthi Gears Ltd</v>
      </c>
      <c r="BK91" s="51">
        <f>IFERROR(__xludf.DUMMYFUNCTION("IFERROR(if(ISBLANK(BI91),"" "",GOOGLEFINANCE(BH91,""price"")), """")"),400.0)</f>
        <v>400</v>
      </c>
      <c r="BL91" s="22">
        <f>IFERROR(__xludf.DUMMYFUNCTION("IFERROR(if(ISBLANK(BI91),"" "",GOOGLEFINANCE(BH91,""changepct"")), """")"),0.15)</f>
        <v>0.15</v>
      </c>
      <c r="BM91" s="67"/>
      <c r="BN91" s="33" t="s">
        <v>1900</v>
      </c>
      <c r="BO91" s="31" t="s">
        <v>200</v>
      </c>
      <c r="BP91" s="32" t="str">
        <f>IFERROR(__xludf.DUMMYFUNCTION("IFERROR(if(ISBLANK(BO91),"" "",GOOGLEFINANCE(BN91,""Name"")), """")"),"Rajesh Exports Ltd")</f>
        <v>Rajesh Exports Ltd</v>
      </c>
      <c r="BQ91" s="51">
        <f>IFERROR(__xludf.DUMMYFUNCTION("IFERROR(if(ISBLANK(BO91),"" "",GOOGLEFINANCE(BN91,""price"")), """")"),83.1)</f>
        <v>83.1</v>
      </c>
      <c r="BR91" s="22">
        <f>IFERROR(__xludf.DUMMYFUNCTION("IFERROR(if(ISBLANK(BO91),"" "",GOOGLEFINANCE(BN91,""changepct"")), """")"),-0.07)</f>
        <v>-0.07</v>
      </c>
      <c r="BS91" s="67"/>
      <c r="BT91" s="67"/>
      <c r="BU91" s="27" t="s">
        <v>1901</v>
      </c>
      <c r="BV91" s="31" t="s">
        <v>200</v>
      </c>
      <c r="BW91" s="32" t="str">
        <f>IFERROR(__xludf.DUMMYFUNCTION("IFERROR(if(ISBLANK(BV91),"" "",GOOGLEFINANCE(BU91,""Name"")), """")"),"Hinduja Global Solutions Ltd")</f>
        <v>Hinduja Global Solutions Ltd</v>
      </c>
      <c r="BX91" s="51">
        <f>IFERROR(__xludf.DUMMYFUNCTION("IFERROR(if(ISBLANK(BV91),"" "",GOOGLEFINANCE(BU91,""price"")), """")"),405.8)</f>
        <v>405.8</v>
      </c>
      <c r="BY91" s="22">
        <f>IFERROR(__xludf.DUMMYFUNCTION("IFERROR(if(ISBLANK(BV91),"" "",GOOGLEFINANCE(BU91,""changepct"")), """")"),-1.34)</f>
        <v>-1.34</v>
      </c>
      <c r="BZ91" s="67"/>
      <c r="CA91" s="67"/>
      <c r="CB91" s="27" t="s">
        <v>1902</v>
      </c>
      <c r="CC91" s="31" t="s">
        <v>200</v>
      </c>
      <c r="CD91" s="32" t="str">
        <f>IFERROR(__xludf.DUMMYFUNCTION("IFERROR(if(ISBLANK(CC91),"" "",GOOGLEFINANCE(CB91,""Name"")), """")"),"Astec LifeSciences Limited")</f>
        <v>Astec LifeSciences Limited</v>
      </c>
      <c r="CE91" s="51">
        <f>IFERROR(__xludf.DUMMYFUNCTION("IFERROR(if(ISBLANK(CC91),"" "",GOOGLEFINANCE(CB91,""price"")), """")"),610.6)</f>
        <v>610.6</v>
      </c>
      <c r="CF91" s="22">
        <f>IFERROR(__xludf.DUMMYFUNCTION("IFERROR(if(ISBLANK(CC91),"" "",GOOGLEFINANCE(CB91,""changepct"")), """")"),-0.75)</f>
        <v>-0.75</v>
      </c>
      <c r="CG91" s="67"/>
      <c r="CH91" s="18" t="s">
        <v>1904</v>
      </c>
      <c r="CI91" s="31" t="s">
        <v>200</v>
      </c>
      <c r="CJ91" s="32" t="str">
        <f>IFERROR(__xludf.DUMMYFUNCTION("IFERROR(if(ISBLANK(CI91),"" "",GOOGLEFINANCE(CH91,""Name"")), """")"),"ULTRAMARINE &amp; PIGMENTS Ltd")</f>
        <v>ULTRAMARINE &amp; PIGMENTS Ltd</v>
      </c>
      <c r="CK91" s="51">
        <f>IFERROR(__xludf.DUMMYFUNCTION("IFERROR(if(ISBLANK(CI91),"" "",GOOGLEFINANCE(CH91,""price"")), """")"),395.05)</f>
        <v>395.05</v>
      </c>
      <c r="CL91" s="22">
        <f>IFERROR(__xludf.DUMMYFUNCTION("IFERROR(if(ISBLANK(CI91),"" "",GOOGLEFINANCE(CH91,""changepct"")), """")"),1.79)</f>
        <v>1.79</v>
      </c>
      <c r="CM91" s="67"/>
      <c r="CN91" s="33" t="s">
        <v>1905</v>
      </c>
      <c r="CO91" s="31" t="s">
        <v>200</v>
      </c>
      <c r="CP91" s="32" t="str">
        <f>IFERROR(__xludf.DUMMYFUNCTION("IFERROR(if(ISBLANK(CO91),"" "",GOOGLEFINANCE(CN91,""Name"")), """")"),"Excelsoft Technologies Ltd")</f>
        <v>Excelsoft Technologies Ltd</v>
      </c>
      <c r="CQ91" s="51">
        <f>IFERROR(__xludf.DUMMYFUNCTION("IFERROR(if(ISBLANK(CO91),"" "",GOOGLEFINANCE(CN91,""price"")), """")"),75.2)</f>
        <v>75.2</v>
      </c>
      <c r="CR91" s="22">
        <f>IFERROR(__xludf.DUMMYFUNCTION("IFERROR(if(ISBLANK(CO91),"" "",GOOGLEFINANCE(CN91,""changepct"")), """")"),-0.8)</f>
        <v>-0.8</v>
      </c>
      <c r="CS91" s="67"/>
      <c r="CT91" s="33" t="s">
        <v>1906</v>
      </c>
      <c r="CU91" s="63" t="s">
        <v>200</v>
      </c>
      <c r="CV91" s="64" t="str">
        <f>IFERROR(__xludf.DUMMYFUNCTION("IFERROR(if(ISBLANK(CU91),"" "",GOOGLEFINANCE(CT91,""Name"")), """")"),"Subex Ltd")</f>
        <v>Subex Ltd</v>
      </c>
      <c r="CW91" s="65">
        <f>IFERROR(__xludf.DUMMYFUNCTION("IFERROR(if(ISBLANK(CU91),"" "",GOOGLEFINANCE(CT91,""price"")), """")"),13.6)</f>
        <v>13.6</v>
      </c>
      <c r="CX91" s="66">
        <f>IFERROR(__xludf.DUMMYFUNCTION("IFERROR(if(ISBLANK(CU91),"" "",GOOGLEFINANCE(CT91,""changepct"")), """")"),-2.65)</f>
        <v>-2.65</v>
      </c>
      <c r="CY91" s="67"/>
      <c r="CZ91" s="33" t="s">
        <v>1907</v>
      </c>
      <c r="DA91" s="31" t="s">
        <v>200</v>
      </c>
      <c r="DB91" s="32" t="str">
        <f>IFERROR(__xludf.DUMMYFUNCTION("IFERROR(if(ISBLANK(DA91),"" "",GOOGLEFINANCE(CZ91,""Name"")), """")"),"Dhunseri Investments Ltd")</f>
        <v>Dhunseri Investments Ltd</v>
      </c>
      <c r="DC91" s="51">
        <f>IFERROR(__xludf.DUMMYFUNCTION("IFERROR(if(ISBLANK(DA91),"" "",GOOGLEFINANCE(CZ91,""price"")), """")"),980.0)</f>
        <v>980</v>
      </c>
      <c r="DD91" s="22">
        <f>IFERROR(__xludf.DUMMYFUNCTION("IFERROR(if(ISBLANK(DA91),"" "",GOOGLEFINANCE(CZ91,""changepct"")), """")"),1.59)</f>
        <v>1.59</v>
      </c>
      <c r="DE91" s="67"/>
      <c r="DF91" s="67"/>
    </row>
    <row r="92" ht="11.25" customHeight="1">
      <c r="A92" s="62"/>
      <c r="B92" s="18" t="s">
        <v>1908</v>
      </c>
      <c r="C92" s="31" t="s">
        <v>200</v>
      </c>
      <c r="D92" s="32" t="str">
        <f>IFERROR(__xludf.DUMMYFUNCTION("IFERROR(if(ISBLANK(C92),"" "",GOOGLEFINANCE(B92,""Name"")), """")"),"Gail (India) Ltd")</f>
        <v>Gail (India) Ltd</v>
      </c>
      <c r="E92" s="51">
        <f>IFERROR(__xludf.DUMMYFUNCTION("IFERROR(if(ISBLANK(C92),"" "",GOOGLEFINANCE(B92,""price"")), """")"),174.51)</f>
        <v>174.51</v>
      </c>
      <c r="F92" s="22">
        <f>IFERROR(__xludf.DUMMYFUNCTION("IFERROR(if(ISBLANK(C92),"" "",GOOGLEFINANCE(B92,""changepct"")), """")"),-0.47)</f>
        <v>-0.47</v>
      </c>
      <c r="G92" s="49"/>
      <c r="H92" s="36"/>
      <c r="I92" s="25" t="s">
        <v>1910</v>
      </c>
      <c r="J92" s="31" t="s">
        <v>200</v>
      </c>
      <c r="K92" s="32" t="str">
        <f>IFERROR(__xludf.DUMMYFUNCTION("IFERROR(if(ISBLANK(J92),"" "",GOOGLEFINANCE(I92,""Name"")), """")"),"Colgate-Palmolive (India) Ltd")</f>
        <v>Colgate-Palmolive (India) Ltd</v>
      </c>
      <c r="L92" s="51">
        <f>IFERROR(__xludf.DUMMYFUNCTION("IFERROR(if(ISBLANK(J92),"" "",GOOGLEFINANCE(I92,""price"")), """")"),1999.8)</f>
        <v>1999.8</v>
      </c>
      <c r="M92" s="22">
        <f>IFERROR(__xludf.DUMMYFUNCTION("IFERROR(if(ISBLANK(J92),"" "",GOOGLEFINANCE(I92,""changepct"")), """")"),-0.41)</f>
        <v>-0.41</v>
      </c>
      <c r="N92" s="49"/>
      <c r="O92" s="37"/>
      <c r="P92" s="27" t="s">
        <v>1911</v>
      </c>
      <c r="Q92" s="31" t="s">
        <v>200</v>
      </c>
      <c r="R92" s="32" t="str">
        <f>IFERROR(__xludf.DUMMYFUNCTION("IFERROR(if(ISBLANK(Q92),"" "",GOOGLEFINANCE(P92,""Name"")), """")"),"Sterlite Technologies Ltd")</f>
        <v>Sterlite Technologies Ltd</v>
      </c>
      <c r="S92" s="51">
        <f>IFERROR(__xludf.DUMMYFUNCTION("IFERROR(if(ISBLANK(Q92),"" "",GOOGLEFINANCE(P92,""price"")), """")"),651.0)</f>
        <v>651</v>
      </c>
      <c r="T92" s="22">
        <f>IFERROR(__xludf.DUMMYFUNCTION("IFERROR(if(ISBLANK(Q92),"" "",GOOGLEFINANCE(P92,""changepct"")), """")"),5.0)</f>
        <v>5</v>
      </c>
      <c r="U92" s="68"/>
      <c r="V92" s="18" t="s">
        <v>1912</v>
      </c>
      <c r="W92" s="31" t="s">
        <v>200</v>
      </c>
      <c r="X92" s="32" t="str">
        <f>IFERROR(__xludf.DUMMYFUNCTION("IFERROR(if(ISBLANK(W92),"" "",GOOGLEFINANCE(V92,""Name"")), """")"),"Century Plyboards (India) Ltd")</f>
        <v>Century Plyboards (India) Ltd</v>
      </c>
      <c r="Y92" s="51">
        <f>IFERROR(__xludf.DUMMYFUNCTION("IFERROR(if(ISBLANK(W92),"" "",GOOGLEFINANCE(V92,""price"")), """")"),764.7)</f>
        <v>764.7</v>
      </c>
      <c r="Z92" s="22">
        <f>IFERROR(__xludf.DUMMYFUNCTION("IFERROR(if(ISBLANK(W92),"" "",GOOGLEFINANCE(V92,""changepct"")), """")"),-1.51)</f>
        <v>-1.51</v>
      </c>
      <c r="AA92" s="12"/>
      <c r="AB92" s="18" t="s">
        <v>1913</v>
      </c>
      <c r="AC92" s="31" t="s">
        <v>200</v>
      </c>
      <c r="AD92" s="32" t="str">
        <f>IFERROR(__xludf.DUMMYFUNCTION("IFERROR(if(ISBLANK(AC92),"" "",GOOGLEFINANCE(AB92,""Name"")), """")"),"Cartrade Tech Ltd")</f>
        <v>Cartrade Tech Ltd</v>
      </c>
      <c r="AE92" s="51">
        <f>IFERROR(__xludf.DUMMYFUNCTION("IFERROR(if(ISBLANK(AC92),"" "",GOOGLEFINANCE(AB92,""price"")), """")"),2714.9)</f>
        <v>2714.9</v>
      </c>
      <c r="AF92" s="22">
        <f>IFERROR(__xludf.DUMMYFUNCTION("IFERROR(if(ISBLANK(AC92),"" "",GOOGLEFINANCE(AB92,""changepct"")), """")"),-1.76)</f>
        <v>-1.76</v>
      </c>
      <c r="AG92" s="29"/>
      <c r="AH92" s="27" t="s">
        <v>1914</v>
      </c>
      <c r="AI92" s="31" t="s">
        <v>200</v>
      </c>
      <c r="AJ92" s="32" t="str">
        <f>IFERROR(__xludf.DUMMYFUNCTION("IFERROR(if(ISBLANK(AI92),"" "",GOOGLEFINANCE(AH92,""Name"")), """")"),"Sri Lotus Developers and Realty Ltd")</f>
        <v>Sri Lotus Developers and Realty Ltd</v>
      </c>
      <c r="AK92" s="51">
        <f>IFERROR(__xludf.DUMMYFUNCTION("IFERROR(if(ISBLANK(AI92),"" "",GOOGLEFINANCE(AH92,""price"")), """")"),174.0)</f>
        <v>174</v>
      </c>
      <c r="AL92" s="22">
        <f>IFERROR(__xludf.DUMMYFUNCTION("IFERROR(if(ISBLANK(AI92),"" "",GOOGLEFINANCE(AH92,""changepct"")), """")"),3.74)</f>
        <v>3.74</v>
      </c>
      <c r="AM92" s="30"/>
      <c r="AN92" s="31" t="s">
        <v>200</v>
      </c>
      <c r="AO92" s="32" t="str">
        <f>IFERROR(__xludf.DUMMYFUNCTION("IFERROR(if(ISBLANK(AN92),"" "",GOOGLEFINANCE(AM92,""Name"")), """")"),"")</f>
        <v/>
      </c>
      <c r="AP92" s="33" t="s">
        <v>1915</v>
      </c>
      <c r="AQ92" s="31" t="s">
        <v>200</v>
      </c>
      <c r="AR92" s="32" t="str">
        <f>IFERROR(__xludf.DUMMYFUNCTION("IFERROR(if(ISBLANK(AQ92),"" "",GOOGLEFINANCE(AP92,""Name"")), """")"),"JK Lakshmi Cement Ltd")</f>
        <v>JK Lakshmi Cement Ltd</v>
      </c>
      <c r="AS92" s="51">
        <f>IFERROR(__xludf.DUMMYFUNCTION("IFERROR(if(ISBLANK(AQ92),"" "",GOOGLEFINANCE(AP92,""price"")), """")"),548.0)</f>
        <v>548</v>
      </c>
      <c r="AT92" s="22">
        <f>IFERROR(__xludf.DUMMYFUNCTION("IFERROR(if(ISBLANK(AQ92),"" "",GOOGLEFINANCE(AP92,""changepct"")), """")"),-0.23)</f>
        <v>-0.23</v>
      </c>
      <c r="AU92" s="29"/>
      <c r="AV92" s="34" t="s">
        <v>1916</v>
      </c>
      <c r="AW92" s="31" t="s">
        <v>200</v>
      </c>
      <c r="AX92" s="32" t="str">
        <f>IFERROR(__xludf.DUMMYFUNCTION("IFERROR(if(ISBLANK(AW92),"" "",GOOGLEFINANCE(AV92,""Name"")), """")"),"Cyient DLM Ltd")</f>
        <v>Cyient DLM Ltd</v>
      </c>
      <c r="AY92" s="51">
        <f>IFERROR(__xludf.DUMMYFUNCTION("IFERROR(if(ISBLANK(AW92),"" "",GOOGLEFINANCE(AV92,""price"")), """")"),688.0)</f>
        <v>688</v>
      </c>
      <c r="AZ92" s="22">
        <f>IFERROR(__xludf.DUMMYFUNCTION("IFERROR(if(ISBLANK(AW92),"" "",GOOGLEFINANCE(AV92,""changepct"")), """")"),-2.96)</f>
        <v>-2.96</v>
      </c>
      <c r="BA92" s="67"/>
      <c r="BB92" s="33" t="s">
        <v>1917</v>
      </c>
      <c r="BC92" s="31" t="s">
        <v>200</v>
      </c>
      <c r="BD92" s="32" t="str">
        <f>IFERROR(__xludf.DUMMYFUNCTION("IFERROR(if(ISBLANK(BC92),"" "",GOOGLEFINANCE(BB92,""Name"")), """")"),"Tarc Ltd")</f>
        <v>Tarc Ltd</v>
      </c>
      <c r="BE92" s="51">
        <f>IFERROR(__xludf.DUMMYFUNCTION("IFERROR(if(ISBLANK(BC92),"" "",GOOGLEFINANCE(BB92,""price"")), """")"),128.05)</f>
        <v>128.05</v>
      </c>
      <c r="BF92" s="22">
        <f>IFERROR(__xludf.DUMMYFUNCTION("IFERROR(if(ISBLANK(BC92),"" "",GOOGLEFINANCE(BB92,""changepct"")), """")"),-0.72)</f>
        <v>-0.72</v>
      </c>
      <c r="BG92" s="67"/>
      <c r="BH92" s="35" t="s">
        <v>1918</v>
      </c>
      <c r="BI92" s="31" t="s">
        <v>200</v>
      </c>
      <c r="BJ92" s="32" t="str">
        <f>IFERROR(__xludf.DUMMYFUNCTION("IFERROR(if(ISBLANK(BI92),"" "",GOOGLEFINANCE(BH92,""Name"")), """")"),"Steelcast Ltd")</f>
        <v>Steelcast Ltd</v>
      </c>
      <c r="BK92" s="51">
        <f>IFERROR(__xludf.DUMMYFUNCTION("IFERROR(if(ISBLANK(BI92),"" "",GOOGLEFINANCE(BH92,""price"")), """")"),333.2)</f>
        <v>333.2</v>
      </c>
      <c r="BL92" s="22">
        <f>IFERROR(__xludf.DUMMYFUNCTION("IFERROR(if(ISBLANK(BI92),"" "",GOOGLEFINANCE(BH92,""changepct"")), """")"),1.46)</f>
        <v>1.46</v>
      </c>
      <c r="BM92" s="67"/>
      <c r="BN92" s="33" t="s">
        <v>1919</v>
      </c>
      <c r="BO92" s="31" t="s">
        <v>200</v>
      </c>
      <c r="BP92" s="32" t="str">
        <f>IFERROR(__xludf.DUMMYFUNCTION("IFERROR(if(ISBLANK(BO92),"" "",GOOGLEFINANCE(BN92,""Name"")), """")"),"Protean eGov Technologies Ltd")</f>
        <v>Protean eGov Technologies Ltd</v>
      </c>
      <c r="BQ92" s="51">
        <f>IFERROR(__xludf.DUMMYFUNCTION("IFERROR(if(ISBLANK(BO92),"" "",GOOGLEFINANCE(BN92,""price"")), """")"),557.0)</f>
        <v>557</v>
      </c>
      <c r="BR92" s="22">
        <f>IFERROR(__xludf.DUMMYFUNCTION("IFERROR(if(ISBLANK(BO92),"" "",GOOGLEFINANCE(BN92,""changepct"")), """")"),-1.19)</f>
        <v>-1.19</v>
      </c>
      <c r="BS92" s="67"/>
      <c r="BT92" s="67"/>
      <c r="BU92" s="27" t="s">
        <v>1920</v>
      </c>
      <c r="BV92" s="31" t="s">
        <v>200</v>
      </c>
      <c r="BW92" s="32" t="str">
        <f>IFERROR(__xludf.DUMMYFUNCTION("IFERROR(if(ISBLANK(BV92),"" "",GOOGLEFINANCE(BU92,""Name"")), """")"),"IND Swift Laboratories Ltd")</f>
        <v>IND Swift Laboratories Ltd</v>
      </c>
      <c r="BX92" s="51">
        <f>IFERROR(__xludf.DUMMYFUNCTION("IFERROR(if(ISBLANK(BV92),"" "",GOOGLEFINANCE(BU92,""price"")), """")"),301.99)</f>
        <v>301.99</v>
      </c>
      <c r="BY92" s="22">
        <f>IFERROR(__xludf.DUMMYFUNCTION("IFERROR(if(ISBLANK(BV92),"" "",GOOGLEFINANCE(BU92,""changepct"")), """")"),6.08)</f>
        <v>6.08</v>
      </c>
      <c r="BZ92" s="67"/>
      <c r="CA92" s="67"/>
      <c r="CB92" s="27" t="s">
        <v>1921</v>
      </c>
      <c r="CC92" s="31" t="s">
        <v>200</v>
      </c>
      <c r="CD92" s="32" t="str">
        <f>IFERROR(__xludf.DUMMYFUNCTION("IFERROR(if(ISBLANK(CC92),"" "",GOOGLEFINANCE(CB92,""Name"")), """")"),"Macpower CNC Machines Ltd")</f>
        <v>Macpower CNC Machines Ltd</v>
      </c>
      <c r="CE92" s="51">
        <f>IFERROR(__xludf.DUMMYFUNCTION("IFERROR(if(ISBLANK(CC92),"" "",GOOGLEFINANCE(CB92,""price"")), """")"),1739.0)</f>
        <v>1739</v>
      </c>
      <c r="CF92" s="22">
        <f>IFERROR(__xludf.DUMMYFUNCTION("IFERROR(if(ISBLANK(CC92),"" "",GOOGLEFINANCE(CB92,""changepct"")), """")"),-0.87)</f>
        <v>-0.87</v>
      </c>
      <c r="CG92" s="67"/>
      <c r="CH92" s="18" t="s">
        <v>1922</v>
      </c>
      <c r="CI92" s="31" t="s">
        <v>200</v>
      </c>
      <c r="CJ92" s="32" t="str">
        <f>IFERROR(__xludf.DUMMYFUNCTION("IFERROR(if(ISBLANK(CI92),"" "",GOOGLEFINANCE(CH92,""Name"")), """")"),"Reliance Industrial Infrastructure Ltd")</f>
        <v>Reliance Industrial Infrastructure Ltd</v>
      </c>
      <c r="CK92" s="51">
        <f>IFERROR(__xludf.DUMMYFUNCTION("IFERROR(if(ISBLANK(CI92),"" "",GOOGLEFINANCE(CH92,""price"")), """")"),740.25)</f>
        <v>740.25</v>
      </c>
      <c r="CL92" s="22">
        <f>IFERROR(__xludf.DUMMYFUNCTION("IFERROR(if(ISBLANK(CI92),"" "",GOOGLEFINANCE(CH92,""changepct"")), """")"),-0.54)</f>
        <v>-0.54</v>
      </c>
      <c r="CM92" s="67"/>
      <c r="CN92" s="33" t="s">
        <v>1924</v>
      </c>
      <c r="CO92" s="31" t="s">
        <v>200</v>
      </c>
      <c r="CP92" s="32" t="str">
        <f>IFERROR(__xludf.DUMMYFUNCTION("IFERROR(if(ISBLANK(CO92),"" "",GOOGLEFINANCE(CN92,""Name"")), """")"),"Bodal Chemicals Ltd")</f>
        <v>Bodal Chemicals Ltd</v>
      </c>
      <c r="CQ92" s="51">
        <f>IFERROR(__xludf.DUMMYFUNCTION("IFERROR(if(ISBLANK(CO92),"" "",GOOGLEFINANCE(CN92,""price"")), """")"),68.5)</f>
        <v>68.5</v>
      </c>
      <c r="CR92" s="22">
        <f>IFERROR(__xludf.DUMMYFUNCTION("IFERROR(if(ISBLANK(CO92),"" "",GOOGLEFINANCE(CN92,""changepct"")), """")"),-1.08)</f>
        <v>-1.08</v>
      </c>
      <c r="CS92" s="67"/>
      <c r="CT92" s="33" t="s">
        <v>1925</v>
      </c>
      <c r="CU92" s="63" t="s">
        <v>200</v>
      </c>
      <c r="CV92" s="64" t="str">
        <f>IFERROR(__xludf.DUMMYFUNCTION("IFERROR(if(ISBLANK(CU92),"" "",GOOGLEFINANCE(CT92,""Name"")), """")"),"Consolidated Construction Consortium Ltd")</f>
        <v>Consolidated Construction Consortium Ltd</v>
      </c>
      <c r="CW92" s="65">
        <f>IFERROR(__xludf.DUMMYFUNCTION("IFERROR(if(ISBLANK(CU92),"" "",GOOGLEFINANCE(CT92,""price"")), """")"),15.35)</f>
        <v>15.35</v>
      </c>
      <c r="CX92" s="66">
        <f>IFERROR(__xludf.DUMMYFUNCTION("IFERROR(if(ISBLANK(CU92),"" "",GOOGLEFINANCE(CT92,""changepct"")), """")"),-1.35)</f>
        <v>-1.35</v>
      </c>
      <c r="CY92" s="67"/>
      <c r="CZ92" s="33" t="s">
        <v>1926</v>
      </c>
      <c r="DA92" s="31" t="s">
        <v>200</v>
      </c>
      <c r="DB92" s="32" t="str">
        <f>IFERROR(__xludf.DUMMYFUNCTION("IFERROR(if(ISBLANK(DA92),"" "",GOOGLEFINANCE(CZ92,""Name"")), """")"),"Entertainment Network (India) Ltd")</f>
        <v>Entertainment Network (India) Ltd</v>
      </c>
      <c r="DC92" s="51">
        <f>IFERROR(__xludf.DUMMYFUNCTION("IFERROR(if(ISBLANK(DA92),"" "",GOOGLEFINANCE(CZ92,""price"")), """")"),101.31)</f>
        <v>101.31</v>
      </c>
      <c r="DD92" s="22">
        <f>IFERROR(__xludf.DUMMYFUNCTION("IFERROR(if(ISBLANK(DA92),"" "",GOOGLEFINANCE(CZ92,""changepct"")), """")"),-0.28)</f>
        <v>-0.28</v>
      </c>
      <c r="DE92" s="67"/>
      <c r="DF92" s="67"/>
    </row>
    <row r="93" ht="11.25" customHeight="1">
      <c r="A93" s="62"/>
      <c r="B93" s="18" t="s">
        <v>1927</v>
      </c>
      <c r="C93" s="31" t="s">
        <v>200</v>
      </c>
      <c r="D93" s="32" t="str">
        <f>IFERROR(__xludf.DUMMYFUNCTION("IFERROR(if(ISBLANK(C93),"" "",GOOGLEFINANCE(B93,""Name"")), """")"),"HDFC Life Insurance Company Ltd")</f>
        <v>HDFC Life Insurance Company Ltd</v>
      </c>
      <c r="E93" s="51">
        <f>IFERROR(__xludf.DUMMYFUNCTION("IFERROR(if(ISBLANK(C93),"" "",GOOGLEFINANCE(B93,""price"")), """")"),535.8)</f>
        <v>535.8</v>
      </c>
      <c r="F93" s="22">
        <f>IFERROR(__xludf.DUMMYFUNCTION("IFERROR(if(ISBLANK(C93),"" "",GOOGLEFINANCE(B93,""changepct"")), """")"),-0.04)</f>
        <v>-0.04</v>
      </c>
      <c r="G93" s="49"/>
      <c r="H93" s="36"/>
      <c r="I93" s="25" t="s">
        <v>1928</v>
      </c>
      <c r="J93" s="31" t="s">
        <v>200</v>
      </c>
      <c r="K93" s="32" t="str">
        <f>IFERROR(__xludf.DUMMYFUNCTION("IFERROR(if(ISBLANK(J93),"" "",GOOGLEFINANCE(I93,""Name"")), """")"),"MRF Ltd")</f>
        <v>MRF Ltd</v>
      </c>
      <c r="L93" s="51">
        <f>IFERROR(__xludf.DUMMYFUNCTION("IFERROR(if(ISBLANK(J93),"" "",GOOGLEFINANCE(I93,""price"")), """")"),130700.0)</f>
        <v>130700</v>
      </c>
      <c r="M93" s="22">
        <f>IFERROR(__xludf.DUMMYFUNCTION("IFERROR(if(ISBLANK(J93),"" "",GOOGLEFINANCE(I93,""changepct"")), """")"),-0.32)</f>
        <v>-0.32</v>
      </c>
      <c r="N93" s="49"/>
      <c r="O93" s="37"/>
      <c r="P93" s="27" t="s">
        <v>1929</v>
      </c>
      <c r="Q93" s="31" t="s">
        <v>200</v>
      </c>
      <c r="R93" s="32" t="str">
        <f>IFERROR(__xludf.DUMMYFUNCTION("IFERROR(if(ISBLANK(Q93),"" "",GOOGLEFINANCE(P93,""Name"")), """")"),"New India Assurance Company Ltd")</f>
        <v>New India Assurance Company Ltd</v>
      </c>
      <c r="S93" s="51">
        <f>IFERROR(__xludf.DUMMYFUNCTION("IFERROR(if(ISBLANK(Q93),"" "",GOOGLEFINANCE(P93,""price"")), """")"),180.39)</f>
        <v>180.39</v>
      </c>
      <c r="T93" s="22">
        <f>IFERROR(__xludf.DUMMYFUNCTION("IFERROR(if(ISBLANK(Q93),"" "",GOOGLEFINANCE(P93,""changepct"")), """")"),0.57)</f>
        <v>0.57</v>
      </c>
      <c r="U93" s="68"/>
      <c r="V93" s="18" t="s">
        <v>1930</v>
      </c>
      <c r="W93" s="31" t="s">
        <v>200</v>
      </c>
      <c r="X93" s="32" t="str">
        <f>IFERROR(__xludf.DUMMYFUNCTION("IFERROR(if(ISBLANK(W93),"" "",GOOGLEFINANCE(V93,""Name"")), """")"),"Aarti Industries Ltd")</f>
        <v>Aarti Industries Ltd</v>
      </c>
      <c r="Y93" s="51">
        <f>IFERROR(__xludf.DUMMYFUNCTION("IFERROR(if(ISBLANK(W93),"" "",GOOGLEFINANCE(V93,""price"")), """")"),532.95)</f>
        <v>532.95</v>
      </c>
      <c r="Z93" s="22">
        <f>IFERROR(__xludf.DUMMYFUNCTION("IFERROR(if(ISBLANK(W93),"" "",GOOGLEFINANCE(V93,""changepct"")), """")"),5.47)</f>
        <v>5.47</v>
      </c>
      <c r="AA93" s="12"/>
      <c r="AB93" s="18" t="s">
        <v>1931</v>
      </c>
      <c r="AC93" s="31" t="s">
        <v>200</v>
      </c>
      <c r="AD93" s="32" t="str">
        <f>IFERROR(__xludf.DUMMYFUNCTION("IFERROR(if(ISBLANK(AC93),"" "",GOOGLEFINANCE(AB93,""Name"")), """")"),"Aptus Value Housing Finance India Ltd")</f>
        <v>Aptus Value Housing Finance India Ltd</v>
      </c>
      <c r="AE93" s="51">
        <f>IFERROR(__xludf.DUMMYFUNCTION("IFERROR(if(ISBLANK(AC93),"" "",GOOGLEFINANCE(AB93,""price"")), """")"),254.3)</f>
        <v>254.3</v>
      </c>
      <c r="AF93" s="22">
        <f>IFERROR(__xludf.DUMMYFUNCTION("IFERROR(if(ISBLANK(AC93),"" "",GOOGLEFINANCE(AB93,""changepct"")), """")"),-0.93)</f>
        <v>-0.93</v>
      </c>
      <c r="AG93" s="29"/>
      <c r="AH93" s="27" t="s">
        <v>1932</v>
      </c>
      <c r="AI93" s="31" t="s">
        <v>200</v>
      </c>
      <c r="AJ93" s="32" t="str">
        <f>IFERROR(__xludf.DUMMYFUNCTION("IFERROR(if(ISBLANK(AI93),"" "",GOOGLEFINANCE(AH93,""Name"")), """")"),"Reliance Power Ltd")</f>
        <v>Reliance Power Ltd</v>
      </c>
      <c r="AK93" s="51">
        <f>IFERROR(__xludf.DUMMYFUNCTION("IFERROR(if(ISBLANK(AI93),"" "",GOOGLEFINANCE(AH93,""price"")), """")"),23.43)</f>
        <v>23.43</v>
      </c>
      <c r="AL93" s="22">
        <f>IFERROR(__xludf.DUMMYFUNCTION("IFERROR(if(ISBLANK(AI93),"" "",GOOGLEFINANCE(AH93,""changepct"")), """")"),-0.8)</f>
        <v>-0.8</v>
      </c>
      <c r="AM93" s="30"/>
      <c r="AN93" s="31" t="s">
        <v>200</v>
      </c>
      <c r="AO93" s="32" t="str">
        <f>IFERROR(__xludf.DUMMYFUNCTION("IFERROR(if(ISBLANK(AN93),"" "",GOOGLEFINANCE(AM93,""Name"")), """")"),"")</f>
        <v/>
      </c>
      <c r="AP93" s="33" t="s">
        <v>1933</v>
      </c>
      <c r="AQ93" s="31" t="s">
        <v>200</v>
      </c>
      <c r="AR93" s="32" t="str">
        <f>IFERROR(__xludf.DUMMYFUNCTION("IFERROR(if(ISBLANK(AQ93),"" "",GOOGLEFINANCE(AP93,""Name"")), """")"),"Supriya Lifescience Ltd")</f>
        <v>Supriya Lifescience Ltd</v>
      </c>
      <c r="AS93" s="51">
        <f>IFERROR(__xludf.DUMMYFUNCTION("IFERROR(if(ISBLANK(AQ93),"" "",GOOGLEFINANCE(AP93,""price"")), """")"),831.0)</f>
        <v>831</v>
      </c>
      <c r="AT93" s="22">
        <f>IFERROR(__xludf.DUMMYFUNCTION("IFERROR(if(ISBLANK(AQ93),"" "",GOOGLEFINANCE(AP93,""changepct"")), """")"),-2.35)</f>
        <v>-2.35</v>
      </c>
      <c r="AU93" s="29"/>
      <c r="AV93" s="34" t="s">
        <v>1934</v>
      </c>
      <c r="AW93" s="31" t="s">
        <v>200</v>
      </c>
      <c r="AX93" s="32" t="str">
        <f>IFERROR(__xludf.DUMMYFUNCTION("IFERROR(if(ISBLANK(AW93),"" "",GOOGLEFINANCE(AV93,""Name"")), """")"),"Indigo Paints Ltd")</f>
        <v>Indigo Paints Ltd</v>
      </c>
      <c r="AY93" s="51">
        <f>IFERROR(__xludf.DUMMYFUNCTION("IFERROR(if(ISBLANK(AW93),"" "",GOOGLEFINANCE(AV93,""price"")), """")"),1127.0)</f>
        <v>1127</v>
      </c>
      <c r="AZ93" s="22">
        <f>IFERROR(__xludf.DUMMYFUNCTION("IFERROR(if(ISBLANK(AW93),"" "",GOOGLEFINANCE(AV93,""changepct"")), """")"),0.13)</f>
        <v>0.13</v>
      </c>
      <c r="BA93" s="67"/>
      <c r="BB93" s="33" t="s">
        <v>1935</v>
      </c>
      <c r="BC93" s="31" t="s">
        <v>200</v>
      </c>
      <c r="BD93" s="32" t="str">
        <f>IFERROR(__xludf.DUMMYFUNCTION("IFERROR(if(ISBLANK(BC93),"" "",GOOGLEFINANCE(BB93,""Name"")), """")"),"Moschip Technologies Ltd")</f>
        <v>Moschip Technologies Ltd</v>
      </c>
      <c r="BE93" s="51">
        <f>IFERROR(__xludf.DUMMYFUNCTION("IFERROR(if(ISBLANK(BC93),"" "",GOOGLEFINANCE(BB93,""price"")), """")"),205.24)</f>
        <v>205.24</v>
      </c>
      <c r="BF93" s="22">
        <f>IFERROR(__xludf.DUMMYFUNCTION("IFERROR(if(ISBLANK(BC93),"" "",GOOGLEFINANCE(BB93,""changepct"")), """")"),-1.26)</f>
        <v>-1.26</v>
      </c>
      <c r="BG93" s="67"/>
      <c r="BH93" s="35" t="s">
        <v>1936</v>
      </c>
      <c r="BI93" s="31" t="s">
        <v>200</v>
      </c>
      <c r="BJ93" s="32" t="str">
        <f>IFERROR(__xludf.DUMMYFUNCTION("IFERROR(if(ISBLANK(BI93),"" "",GOOGLEFINANCE(BH93,""Name"")), """")"),"Morepen Laboratories Ltd")</f>
        <v>Morepen Laboratories Ltd</v>
      </c>
      <c r="BK93" s="51">
        <f>IFERROR(__xludf.DUMMYFUNCTION("IFERROR(if(ISBLANK(BI93),"" "",GOOGLEFINANCE(BH93,""price"")), """")"),73.45)</f>
        <v>73.45</v>
      </c>
      <c r="BL93" s="22">
        <f>IFERROR(__xludf.DUMMYFUNCTION("IFERROR(if(ISBLANK(BI93),"" "",GOOGLEFINANCE(BH93,""changepct"")), """")"),-4.47)</f>
        <v>-4.47</v>
      </c>
      <c r="BM93" s="67"/>
      <c r="BN93" s="33" t="s">
        <v>1938</v>
      </c>
      <c r="BO93" s="31" t="s">
        <v>200</v>
      </c>
      <c r="BP93" s="32" t="str">
        <f>IFERROR(__xludf.DUMMYFUNCTION("IFERROR(if(ISBLANK(BO93),"" "",GOOGLEFINANCE(BN93,""Name"")), """")"),"Gujarat Industries Power Company Ltd")</f>
        <v>Gujarat Industries Power Company Ltd</v>
      </c>
      <c r="BQ93" s="51">
        <f>IFERROR(__xludf.DUMMYFUNCTION("IFERROR(if(ISBLANK(BO93),"" "",GOOGLEFINANCE(BN93,""price"")), """")"),174.4)</f>
        <v>174.4</v>
      </c>
      <c r="BR93" s="22">
        <f>IFERROR(__xludf.DUMMYFUNCTION("IFERROR(if(ISBLANK(BO93),"" "",GOOGLEFINANCE(BN93,""changepct"")), """")"),5.93)</f>
        <v>5.93</v>
      </c>
      <c r="BS93" s="67"/>
      <c r="BT93" s="67"/>
      <c r="BU93" s="27" t="s">
        <v>1939</v>
      </c>
      <c r="BV93" s="31" t="s">
        <v>200</v>
      </c>
      <c r="BW93" s="32" t="str">
        <f>IFERROR(__xludf.DUMMYFUNCTION("IFERROR(if(ISBLANK(BV93),"" "",GOOGLEFINANCE(BU93,""Name"")), """")"),"Vidya Wires Ltd")</f>
        <v>Vidya Wires Ltd</v>
      </c>
      <c r="BX93" s="51">
        <f>IFERROR(__xludf.DUMMYFUNCTION("IFERROR(if(ISBLANK(BV93),"" "",GOOGLEFINANCE(BU93,""price"")), """")"),92.81)</f>
        <v>92.81</v>
      </c>
      <c r="BY93" s="22">
        <f>IFERROR(__xludf.DUMMYFUNCTION("IFERROR(if(ISBLANK(BV93),"" "",GOOGLEFINANCE(BU93,""changepct"")), """")"),-5.0)</f>
        <v>-5</v>
      </c>
      <c r="BZ93" s="67"/>
      <c r="CA93" s="67"/>
      <c r="CB93" s="27" t="s">
        <v>1940</v>
      </c>
      <c r="CC93" s="31" t="s">
        <v>200</v>
      </c>
      <c r="CD93" s="32" t="str">
        <f>IFERROR(__xludf.DUMMYFUNCTION("IFERROR(if(ISBLANK(CC93),"" "",GOOGLEFINANCE(CB93,""Name"")), """")"),"NINtec Systems Ltd")</f>
        <v>NINtec Systems Ltd</v>
      </c>
      <c r="CE93" s="51">
        <f>IFERROR(__xludf.DUMMYFUNCTION("IFERROR(if(ISBLANK(CC93),"" "",GOOGLEFINANCE(CB93,""price"")), """")"),725.0)</f>
        <v>725</v>
      </c>
      <c r="CF93" s="22">
        <f>IFERROR(__xludf.DUMMYFUNCTION("IFERROR(if(ISBLANK(CC93),"" "",GOOGLEFINANCE(CB93,""changepct"")), """")"),-0.77)</f>
        <v>-0.77</v>
      </c>
      <c r="CG93" s="67"/>
      <c r="CH93" s="18" t="s">
        <v>1941</v>
      </c>
      <c r="CI93" s="31" t="s">
        <v>200</v>
      </c>
      <c r="CJ93" s="32" t="str">
        <f>IFERROR(__xludf.DUMMYFUNCTION("IFERROR(if(ISBLANK(CI93),"" "",GOOGLEFINANCE(CH93,""Name"")), """")"),"Unitech Ltd")</f>
        <v>Unitech Ltd</v>
      </c>
      <c r="CK93" s="51">
        <f>IFERROR(__xludf.DUMMYFUNCTION("IFERROR(if(ISBLANK(CI93),"" "",GOOGLEFINANCE(CH93,""price"")), """")"),4.06)</f>
        <v>4.06</v>
      </c>
      <c r="CL93" s="22">
        <f>IFERROR(__xludf.DUMMYFUNCTION("IFERROR(if(ISBLANK(CI93),"" "",GOOGLEFINANCE(CH93,""changepct"")), """")"),0.0)</f>
        <v>0</v>
      </c>
      <c r="CM93" s="67"/>
      <c r="CN93" s="33" t="s">
        <v>1942</v>
      </c>
      <c r="CO93" s="31" t="s">
        <v>200</v>
      </c>
      <c r="CP93" s="32" t="str">
        <f>IFERROR(__xludf.DUMMYFUNCTION("IFERROR(if(ISBLANK(CO93),"" "",GOOGLEFINANCE(CN93,""Name"")), """")"),"Dhampur Sugar Mills Ltd")</f>
        <v>Dhampur Sugar Mills Ltd</v>
      </c>
      <c r="CQ93" s="51">
        <f>IFERROR(__xludf.DUMMYFUNCTION("IFERROR(if(ISBLANK(CO93),"" "",GOOGLEFINANCE(CN93,""price"")), """")"),159.0)</f>
        <v>159</v>
      </c>
      <c r="CR93" s="22">
        <f>IFERROR(__xludf.DUMMYFUNCTION("IFERROR(if(ISBLANK(CO93),"" "",GOOGLEFINANCE(CN93,""changepct"")), """")"),0.63)</f>
        <v>0.63</v>
      </c>
      <c r="CS93" s="67"/>
      <c r="CT93" s="33" t="s">
        <v>1943</v>
      </c>
      <c r="CU93" s="63" t="s">
        <v>200</v>
      </c>
      <c r="CV93" s="64" t="str">
        <f>IFERROR(__xludf.DUMMYFUNCTION("IFERROR(if(ISBLANK(CU93),"" "",GOOGLEFINANCE(CT93,""Name"")), """")"),"Panache Digilife Ltd")</f>
        <v>Panache Digilife Ltd</v>
      </c>
      <c r="CW93" s="65">
        <f>IFERROR(__xludf.DUMMYFUNCTION("IFERROR(if(ISBLANK(CU93),"" "",GOOGLEFINANCE(CT93,""price"")), """")"),498.0)</f>
        <v>498</v>
      </c>
      <c r="CX93" s="66">
        <f>IFERROR(__xludf.DUMMYFUNCTION("IFERROR(if(ISBLANK(CU93),"" "",GOOGLEFINANCE(CT93,""changepct"")), """")"),-1.0)</f>
        <v>-1</v>
      </c>
      <c r="CY93" s="67"/>
      <c r="CZ93" s="33" t="s">
        <v>1944</v>
      </c>
      <c r="DA93" s="31" t="s">
        <v>200</v>
      </c>
      <c r="DB93" s="32" t="str">
        <f>IFERROR(__xludf.DUMMYFUNCTION("IFERROR(if(ISBLANK(DA93),"" "",GOOGLEFINANCE(CZ93,""Name"")), """")"),"Peninsula Land Ltd")</f>
        <v>Peninsula Land Ltd</v>
      </c>
      <c r="DC93" s="51">
        <f>IFERROR(__xludf.DUMMYFUNCTION("IFERROR(if(ISBLANK(DA93),"" "",GOOGLEFINANCE(CZ93,""price"")), """")"),15.6)</f>
        <v>15.6</v>
      </c>
      <c r="DD93" s="22">
        <f>IFERROR(__xludf.DUMMYFUNCTION("IFERROR(if(ISBLANK(DA93),"" "",GOOGLEFINANCE(CZ93,""changepct"")), """")"),-1.33)</f>
        <v>-1.33</v>
      </c>
      <c r="DE93" s="67"/>
      <c r="DF93" s="67"/>
    </row>
    <row r="94" ht="11.25" customHeight="1">
      <c r="A94" s="62"/>
      <c r="B94" s="18" t="s">
        <v>1945</v>
      </c>
      <c r="C94" s="31" t="s">
        <v>200</v>
      </c>
      <c r="D94" s="32" t="str">
        <f>IFERROR(__xludf.DUMMYFUNCTION("IFERROR(if(ISBLANK(C94),"" "",GOOGLEFINANCE(B94,""Name"")), """")"),"Cipla Ltd")</f>
        <v>Cipla Ltd</v>
      </c>
      <c r="E94" s="51">
        <f>IFERROR(__xludf.DUMMYFUNCTION("IFERROR(if(ISBLANK(C94),"" "",GOOGLEFINANCE(B94,""price"")), """")"),1458.1)</f>
        <v>1458.1</v>
      </c>
      <c r="F94" s="22">
        <f>IFERROR(__xludf.DUMMYFUNCTION("IFERROR(if(ISBLANK(C94),"" "",GOOGLEFINANCE(B94,""changepct"")), """")"),-0.33)</f>
        <v>-0.33</v>
      </c>
      <c r="G94" s="49"/>
      <c r="H94" s="36"/>
      <c r="I94" s="25" t="s">
        <v>1946</v>
      </c>
      <c r="J94" s="31" t="s">
        <v>200</v>
      </c>
      <c r="K94" s="32" t="str">
        <f>IFERROR(__xludf.DUMMYFUNCTION("IFERROR(if(ISBLANK(J94),"" "",GOOGLEFINANCE(I94,""Name"")), """")"),"Mahindra and Mahindra Financial Svcs Ltd")</f>
        <v>Mahindra and Mahindra Financial Svcs Ltd</v>
      </c>
      <c r="L94" s="51">
        <f>IFERROR(__xludf.DUMMYFUNCTION("IFERROR(if(ISBLANK(J94),"" "",GOOGLEFINANCE(I94,""price"")), """")"),395.5)</f>
        <v>395.5</v>
      </c>
      <c r="M94" s="22">
        <f>IFERROR(__xludf.DUMMYFUNCTION("IFERROR(if(ISBLANK(J94),"" "",GOOGLEFINANCE(I94,""changepct"")), """")"),-0.83)</f>
        <v>-0.83</v>
      </c>
      <c r="N94" s="49"/>
      <c r="O94" s="37"/>
      <c r="P94" s="27" t="s">
        <v>1947</v>
      </c>
      <c r="Q94" s="31" t="s">
        <v>200</v>
      </c>
      <c r="R94" s="32" t="str">
        <f>IFERROR(__xludf.DUMMYFUNCTION("IFERROR(if(ISBLANK(Q94),"" "",GOOGLEFINANCE(P94,""Name"")), """")"),"Metro Brands Ltd")</f>
        <v>Metro Brands Ltd</v>
      </c>
      <c r="S94" s="51">
        <f>IFERROR(__xludf.DUMMYFUNCTION("IFERROR(if(ISBLANK(Q94),"" "",GOOGLEFINANCE(P94,""price"")), """")"),937.6)</f>
        <v>937.6</v>
      </c>
      <c r="T94" s="22">
        <f>IFERROR(__xludf.DUMMYFUNCTION("IFERROR(if(ISBLANK(Q94),"" "",GOOGLEFINANCE(P94,""changepct"")), """")"),-1.28)</f>
        <v>-1.28</v>
      </c>
      <c r="U94" s="68"/>
      <c r="V94" s="18" t="s">
        <v>1949</v>
      </c>
      <c r="W94" s="31" t="s">
        <v>200</v>
      </c>
      <c r="X94" s="32" t="str">
        <f>IFERROR(__xludf.DUMMYFUNCTION("IFERROR(if(ISBLANK(W94),"" "",GOOGLEFINANCE(V94,""Name"")), """")"),"Astra Microwave Products Ltd")</f>
        <v>Astra Microwave Products Ltd</v>
      </c>
      <c r="Y94" s="51">
        <f>IFERROR(__xludf.DUMMYFUNCTION("IFERROR(if(ISBLANK(W94),"" "",GOOGLEFINANCE(V94,""price"")), """")"),1673.0)</f>
        <v>1673</v>
      </c>
      <c r="Z94" s="22">
        <f>IFERROR(__xludf.DUMMYFUNCTION("IFERROR(if(ISBLANK(W94),"" "",GOOGLEFINANCE(V94,""changepct"")), """")"),-1.8)</f>
        <v>-1.8</v>
      </c>
      <c r="AA94" s="12"/>
      <c r="AB94" s="18" t="s">
        <v>1950</v>
      </c>
      <c r="AC94" s="31" t="s">
        <v>200</v>
      </c>
      <c r="AD94" s="32" t="str">
        <f>IFERROR(__xludf.DUMMYFUNCTION("IFERROR(if(ISBLANK(AC94),"" "",GOOGLEFINANCE(AB94,""Name"")), """")"),"Swan Defence and Heavy Industries Ltd")</f>
        <v>Swan Defence and Heavy Industries Ltd</v>
      </c>
      <c r="AE94" s="51">
        <f>IFERROR(__xludf.DUMMYFUNCTION("IFERROR(if(ISBLANK(AC94),"" "",GOOGLEFINANCE(AB94,""price"")), """")"),2489.9)</f>
        <v>2489.9</v>
      </c>
      <c r="AF94" s="22">
        <f>IFERROR(__xludf.DUMMYFUNCTION("IFERROR(if(ISBLANK(AC94),"" "",GOOGLEFINANCE(AB94,""changepct"")), """")"),-3.26)</f>
        <v>-3.26</v>
      </c>
      <c r="AG94" s="29"/>
      <c r="AH94" s="27" t="s">
        <v>1951</v>
      </c>
      <c r="AI94" s="31" t="s">
        <v>200</v>
      </c>
      <c r="AJ94" s="32" t="str">
        <f>IFERROR(__xludf.DUMMYFUNCTION("IFERROR(if(ISBLANK(AI94),"" "",GOOGLEFINANCE(AH94,""Name"")), """")"),"Swan Corp Ltd")</f>
        <v>Swan Corp Ltd</v>
      </c>
      <c r="AK94" s="51">
        <f>IFERROR(__xludf.DUMMYFUNCTION("IFERROR(if(ISBLANK(AI94),"" "",GOOGLEFINANCE(AH94,""price"")), """")"),306.7)</f>
        <v>306.7</v>
      </c>
      <c r="AL94" s="22">
        <f>IFERROR(__xludf.DUMMYFUNCTION("IFERROR(if(ISBLANK(AI94),"" "",GOOGLEFINANCE(AH94,""changepct"")), """")"),-1.46)</f>
        <v>-1.46</v>
      </c>
      <c r="AM94" s="30"/>
      <c r="AN94" s="31" t="s">
        <v>200</v>
      </c>
      <c r="AO94" s="32" t="str">
        <f>IFERROR(__xludf.DUMMYFUNCTION("IFERROR(if(ISBLANK(AN94),"" "",GOOGLEFINANCE(AM94,""Name"")), """")"),"")</f>
        <v/>
      </c>
      <c r="AP94" s="33" t="s">
        <v>1952</v>
      </c>
      <c r="AQ94" s="31" t="s">
        <v>200</v>
      </c>
      <c r="AR94" s="32" t="str">
        <f>IFERROR(__xludf.DUMMYFUNCTION("IFERROR(if(ISBLANK(AQ94),"" "",GOOGLEFINANCE(AP94,""Name"")), """")"),"Dilip Buildcon Ltd")</f>
        <v>Dilip Buildcon Ltd</v>
      </c>
      <c r="AS94" s="51">
        <f>IFERROR(__xludf.DUMMYFUNCTION("IFERROR(if(ISBLANK(AQ94),"" "",GOOGLEFINANCE(AP94,""price"")), """")"),414.0)</f>
        <v>414</v>
      </c>
      <c r="AT94" s="22">
        <f>IFERROR(__xludf.DUMMYFUNCTION("IFERROR(if(ISBLANK(AQ94),"" "",GOOGLEFINANCE(AP94,""changepct"")), """")"),-1.94)</f>
        <v>-1.94</v>
      </c>
      <c r="AU94" s="29"/>
      <c r="AV94" s="34" t="s">
        <v>1953</v>
      </c>
      <c r="AW94" s="31" t="s">
        <v>200</v>
      </c>
      <c r="AX94" s="32" t="str">
        <f>IFERROR(__xludf.DUMMYFUNCTION("IFERROR(if(ISBLANK(AW94),"" "",GOOGLEFINANCE(AV94,""Name"")), """")"),"Gulf Oil Lubricants India Ltd")</f>
        <v>Gulf Oil Lubricants India Ltd</v>
      </c>
      <c r="AY94" s="51">
        <f>IFERROR(__xludf.DUMMYFUNCTION("IFERROR(if(ISBLANK(AW94),"" "",GOOGLEFINANCE(AV94,""price"")), """")"),1180.1)</f>
        <v>1180.1</v>
      </c>
      <c r="AZ94" s="22">
        <f>IFERROR(__xludf.DUMMYFUNCTION("IFERROR(if(ISBLANK(AW94),"" "",GOOGLEFINANCE(AV94,""changepct"")), """")"),-0.82)</f>
        <v>-0.82</v>
      </c>
      <c r="BA94" s="67"/>
      <c r="BB94" s="33" t="s">
        <v>1954</v>
      </c>
      <c r="BC94" s="31" t="s">
        <v>200</v>
      </c>
      <c r="BD94" s="32" t="str">
        <f>IFERROR(__xludf.DUMMYFUNCTION("IFERROR(if(ISBLANK(BC94),"" "",GOOGLEFINANCE(BB94,""Name"")), """")"),"IndoStar Capital Finance Ltd")</f>
        <v>IndoStar Capital Finance Ltd</v>
      </c>
      <c r="BE94" s="51">
        <f>IFERROR(__xludf.DUMMYFUNCTION("IFERROR(if(ISBLANK(BC94),"" "",GOOGLEFINANCE(BB94,""price"")), """")"),247.2)</f>
        <v>247.2</v>
      </c>
      <c r="BF94" s="22">
        <f>IFERROR(__xludf.DUMMYFUNCTION("IFERROR(if(ISBLANK(BC94),"" "",GOOGLEFINANCE(BB94,""changepct"")), """")"),-0.54)</f>
        <v>-0.54</v>
      </c>
      <c r="BG94" s="67"/>
      <c r="BH94" s="35" t="s">
        <v>1955</v>
      </c>
      <c r="BI94" s="31" t="s">
        <v>200</v>
      </c>
      <c r="BJ94" s="32" t="str">
        <f>IFERROR(__xludf.DUMMYFUNCTION("IFERROR(if(ISBLANK(BI94),"" "",GOOGLEFINANCE(BH94,""Name"")), """")"),"Euro Pratik Sales Ltd")</f>
        <v>Euro Pratik Sales Ltd</v>
      </c>
      <c r="BK94" s="51">
        <f>IFERROR(__xludf.DUMMYFUNCTION("IFERROR(if(ISBLANK(BI94),"" "",GOOGLEFINANCE(BH94,""price"")), """")"),295.4)</f>
        <v>295.4</v>
      </c>
      <c r="BL94" s="22">
        <f>IFERROR(__xludf.DUMMYFUNCTION("IFERROR(if(ISBLANK(BI94),"" "",GOOGLEFINANCE(BH94,""changepct"")), """")"),-2.51)</f>
        <v>-2.51</v>
      </c>
      <c r="BM94" s="67"/>
      <c r="BN94" s="33" t="s">
        <v>1957</v>
      </c>
      <c r="BO94" s="31" t="s">
        <v>200</v>
      </c>
      <c r="BP94" s="32" t="str">
        <f>IFERROR(__xludf.DUMMYFUNCTION("IFERROR(if(ISBLANK(BO94),"" "",GOOGLEFINANCE(BN94,""Name"")), """")"),"Elitecon International Ltd")</f>
        <v>Elitecon International Ltd</v>
      </c>
      <c r="BQ94" s="51">
        <f>IFERROR(__xludf.DUMMYFUNCTION("IFERROR(if(ISBLANK(BO94),"" "",GOOGLEFINANCE(BN94,""price"")), """")"),16.81)</f>
        <v>16.81</v>
      </c>
      <c r="BR94" s="22">
        <f>IFERROR(__xludf.DUMMYFUNCTION("IFERROR(if(ISBLANK(BO94),"" "",GOOGLEFINANCE(BN94,""changepct"")), """")"),-3.61)</f>
        <v>-3.61</v>
      </c>
      <c r="BS94" s="67"/>
      <c r="BT94" s="67"/>
      <c r="BU94" s="27" t="s">
        <v>1958</v>
      </c>
      <c r="BV94" s="31" t="s">
        <v>200</v>
      </c>
      <c r="BW94" s="32" t="str">
        <f>IFERROR(__xludf.DUMMYFUNCTION("IFERROR(if(ISBLANK(BV94),"" "",GOOGLEFINANCE(BU94,""Name"")), """")"),"MSP Steel &amp; Power Ltd")</f>
        <v>MSP Steel &amp; Power Ltd</v>
      </c>
      <c r="BX94" s="51">
        <f>IFERROR(__xludf.DUMMYFUNCTION("IFERROR(if(ISBLANK(BV94),"" "",GOOGLEFINANCE(BU94,""price"")), """")"),34.95)</f>
        <v>34.95</v>
      </c>
      <c r="BY94" s="22">
        <f>IFERROR(__xludf.DUMMYFUNCTION("IFERROR(if(ISBLANK(BV94),"" "",GOOGLEFINANCE(BU94,""changepct"")), """")"),-1.6)</f>
        <v>-1.6</v>
      </c>
      <c r="BZ94" s="67"/>
      <c r="CA94" s="67"/>
      <c r="CB94" s="27" t="s">
        <v>1959</v>
      </c>
      <c r="CC94" s="31" t="s">
        <v>200</v>
      </c>
      <c r="CD94" s="32" t="str">
        <f>IFERROR(__xludf.DUMMYFUNCTION("IFERROR(if(ISBLANK(CC94),"" "",GOOGLEFINANCE(CB94,""Name"")), """")"),"Texmaco Infrastructure &amp; Holdings Ltd")</f>
        <v>Texmaco Infrastructure &amp; Holdings Ltd</v>
      </c>
      <c r="CE94" s="51">
        <f>IFERROR(__xludf.DUMMYFUNCTION("IFERROR(if(ISBLANK(CC94),"" "",GOOGLEFINANCE(CB94,""price"")), """")"),111.0)</f>
        <v>111</v>
      </c>
      <c r="CF94" s="22">
        <f>IFERROR(__xludf.DUMMYFUNCTION("IFERROR(if(ISBLANK(CC94),"" "",GOOGLEFINANCE(CB94,""changepct"")), """")"),-1.1)</f>
        <v>-1.1</v>
      </c>
      <c r="CG94" s="67"/>
      <c r="CH94" s="18" t="s">
        <v>1960</v>
      </c>
      <c r="CI94" s="31" t="s">
        <v>200</v>
      </c>
      <c r="CJ94" s="32" t="str">
        <f>IFERROR(__xludf.DUMMYFUNCTION("IFERROR(if(ISBLANK(CI94),"" "",GOOGLEFINANCE(CH94,""Name"")), """")"),"GRP Ltd")</f>
        <v>GRP Ltd</v>
      </c>
      <c r="CK94" s="51">
        <f>IFERROR(__xludf.DUMMYFUNCTION("IFERROR(if(ISBLANK(CI94),"" "",GOOGLEFINANCE(CH94,""price"")), """")"),1986.8)</f>
        <v>1986.8</v>
      </c>
      <c r="CL94" s="22">
        <f>IFERROR(__xludf.DUMMYFUNCTION("IFERROR(if(ISBLANK(CI94),"" "",GOOGLEFINANCE(CH94,""changepct"")), """")"),3.16)</f>
        <v>3.16</v>
      </c>
      <c r="CM94" s="67"/>
      <c r="CN94" s="33" t="s">
        <v>1961</v>
      </c>
      <c r="CO94" s="31" t="s">
        <v>200</v>
      </c>
      <c r="CP94" s="32" t="str">
        <f>IFERROR(__xludf.DUMMYFUNCTION("IFERROR(if(ISBLANK(CO94),"" "",GOOGLEFINANCE(CN94,""Name"")), """")"),"Pradeep Metals Ltd")</f>
        <v>Pradeep Metals Ltd</v>
      </c>
      <c r="CQ94" s="51">
        <f>IFERROR(__xludf.DUMMYFUNCTION("IFERROR(if(ISBLANK(CO94),"" "",GOOGLEFINANCE(CN94,""price"")), """")"),503.0)</f>
        <v>503</v>
      </c>
      <c r="CR94" s="22">
        <f>IFERROR(__xludf.DUMMYFUNCTION("IFERROR(if(ISBLANK(CO94),"" "",GOOGLEFINANCE(CN94,""changepct"")), """")"),-2.69)</f>
        <v>-2.69</v>
      </c>
      <c r="CS94" s="67"/>
      <c r="CT94" s="33" t="s">
        <v>1962</v>
      </c>
      <c r="CU94" s="63" t="s">
        <v>200</v>
      </c>
      <c r="CV94" s="64" t="str">
        <f>IFERROR(__xludf.DUMMYFUNCTION("IFERROR(if(ISBLANK(CU94),"" "",GOOGLEFINANCE(CT94,""Name"")), """")"),"Jayant Agro-Organics Ltd")</f>
        <v>Jayant Agro-Organics Ltd</v>
      </c>
      <c r="CW94" s="65">
        <f>IFERROR(__xludf.DUMMYFUNCTION("IFERROR(if(ISBLANK(CU94),"" "",GOOGLEFINANCE(CT94,""price"")), """")"),211.1)</f>
        <v>211.1</v>
      </c>
      <c r="CX94" s="66">
        <f>IFERROR(__xludf.DUMMYFUNCTION("IFERROR(if(ISBLANK(CU94),"" "",GOOGLEFINANCE(CT94,""changepct"")), """")"),-1.49)</f>
        <v>-1.49</v>
      </c>
      <c r="CY94" s="67"/>
      <c r="CZ94" s="33" t="s">
        <v>1963</v>
      </c>
      <c r="DA94" s="31" t="s">
        <v>200</v>
      </c>
      <c r="DB94" s="32" t="str">
        <f>IFERROR(__xludf.DUMMYFUNCTION("IFERROR(if(ISBLANK(DA94),"" "",GOOGLEFINANCE(CZ94,""Name"")), """")"),"Sukhjit Starch And Chemicals Ltd")</f>
        <v>Sukhjit Starch And Chemicals Ltd</v>
      </c>
      <c r="DC94" s="51">
        <f>IFERROR(__xludf.DUMMYFUNCTION("IFERROR(if(ISBLANK(DA94),"" "",GOOGLEFINANCE(CZ94,""price"")), """")"),161.3)</f>
        <v>161.3</v>
      </c>
      <c r="DD94" s="22">
        <f>IFERROR(__xludf.DUMMYFUNCTION("IFERROR(if(ISBLANK(DA94),"" "",GOOGLEFINANCE(CZ94,""changepct"")), """")"),-0.04)</f>
        <v>-0.04</v>
      </c>
      <c r="DE94" s="67"/>
      <c r="DF94" s="67"/>
    </row>
    <row r="95" ht="11.25" customHeight="1">
      <c r="A95" s="62"/>
      <c r="B95" s="18" t="s">
        <v>1964</v>
      </c>
      <c r="C95" s="31" t="s">
        <v>200</v>
      </c>
      <c r="D95" s="32" t="str">
        <f>IFERROR(__xludf.DUMMYFUNCTION("IFERROR(if(ISBLANK(C95),"" "",GOOGLEFINANCE(B95,""Name"")), """")"),"Indian Railway Finance Corp Ltd")</f>
        <v>Indian Railway Finance Corp Ltd</v>
      </c>
      <c r="E95" s="51">
        <f>IFERROR(__xludf.DUMMYFUNCTION("IFERROR(if(ISBLANK(C95),"" "",GOOGLEFINANCE(B95,""price"")), """")"),88.26)</f>
        <v>88.26</v>
      </c>
      <c r="F95" s="22">
        <f>IFERROR(__xludf.DUMMYFUNCTION("IFERROR(if(ISBLANK(C95),"" "",GOOGLEFINANCE(B95,""changepct"")), """")"),0.4)</f>
        <v>0.4</v>
      </c>
      <c r="G95" s="49"/>
      <c r="H95" s="36"/>
      <c r="I95" s="25" t="s">
        <v>1965</v>
      </c>
      <c r="J95" s="31" t="s">
        <v>200</v>
      </c>
      <c r="K95" s="32" t="str">
        <f>IFERROR(__xludf.DUMMYFUNCTION("IFERROR(if(ISBLANK(J95),"" "",GOOGLEFINANCE(I95,""Name"")), """")"),"Fertilisers And Chemicals Travancore Ltd")</f>
        <v>Fertilisers And Chemicals Travancore Ltd</v>
      </c>
      <c r="L95" s="51">
        <f>IFERROR(__xludf.DUMMYFUNCTION("IFERROR(if(ISBLANK(J95),"" "",GOOGLEFINANCE(I95,""price"")), """")"),816.0)</f>
        <v>816</v>
      </c>
      <c r="M95" s="22">
        <f>IFERROR(__xludf.DUMMYFUNCTION("IFERROR(if(ISBLANK(J95),"" "",GOOGLEFINANCE(I95,""changepct"")), """")"),-1.5)</f>
        <v>-1.5</v>
      </c>
      <c r="N95" s="49"/>
      <c r="O95" s="37"/>
      <c r="P95" s="27" t="s">
        <v>1967</v>
      </c>
      <c r="Q95" s="31" t="s">
        <v>200</v>
      </c>
      <c r="R95" s="32" t="str">
        <f>IFERROR(__xludf.DUMMYFUNCTION("IFERROR(if(ISBLANK(Q95),"" "",GOOGLEFINANCE(P95,""Name"")), """")"),"Bandhan Bank Ltd")</f>
        <v>Bandhan Bank Ltd</v>
      </c>
      <c r="S95" s="51">
        <f>IFERROR(__xludf.DUMMYFUNCTION("IFERROR(if(ISBLANK(Q95),"" "",GOOGLEFINANCE(P95,""price"")), """")"),176.45)</f>
        <v>176.45</v>
      </c>
      <c r="T95" s="22">
        <f>IFERROR(__xludf.DUMMYFUNCTION("IFERROR(if(ISBLANK(Q95),"" "",GOOGLEFINANCE(P95,""changepct"")), """")"),1.41)</f>
        <v>1.41</v>
      </c>
      <c r="U95" s="68"/>
      <c r="V95" s="18" t="s">
        <v>1968</v>
      </c>
      <c r="W95" s="31" t="s">
        <v>200</v>
      </c>
      <c r="X95" s="32" t="str">
        <f>IFERROR(__xludf.DUMMYFUNCTION("IFERROR(if(ISBLANK(W95),"" "",GOOGLEFINANCE(V95,""Name"")), """")"),"TD Power Systems Ltd")</f>
        <v>TD Power Systems Ltd</v>
      </c>
      <c r="Y95" s="51">
        <f>IFERROR(__xludf.DUMMYFUNCTION("IFERROR(if(ISBLANK(W95),"" "",GOOGLEFINANCE(V95,""price"")), """")"),1484.0)</f>
        <v>1484</v>
      </c>
      <c r="Z95" s="22">
        <f>IFERROR(__xludf.DUMMYFUNCTION("IFERROR(if(ISBLANK(W95),"" "",GOOGLEFINANCE(V95,""changepct"")), """")"),16.34)</f>
        <v>16.34</v>
      </c>
      <c r="AA95" s="12"/>
      <c r="AB95" s="18" t="s">
        <v>1969</v>
      </c>
      <c r="AC95" s="31" t="s">
        <v>200</v>
      </c>
      <c r="AD95" s="32" t="str">
        <f>IFERROR(__xludf.DUMMYFUNCTION("IFERROR(if(ISBLANK(AC95),"" "",GOOGLEFINANCE(AB95,""Name"")), """")"),"Corona Remedies Ltd")</f>
        <v>Corona Remedies Ltd</v>
      </c>
      <c r="AE95" s="51">
        <f>IFERROR(__xludf.DUMMYFUNCTION("IFERROR(if(ISBLANK(AC95),"" "",GOOGLEFINANCE(AB95,""price"")), """")"),2129.8)</f>
        <v>2129.8</v>
      </c>
      <c r="AF95" s="22">
        <f>IFERROR(__xludf.DUMMYFUNCTION("IFERROR(if(ISBLANK(AC95),"" "",GOOGLEFINANCE(AB95,""changepct"")), """")"),1.34)</f>
        <v>1.34</v>
      </c>
      <c r="AG95" s="29"/>
      <c r="AH95" s="27" t="s">
        <v>1970</v>
      </c>
      <c r="AI95" s="31" t="s">
        <v>200</v>
      </c>
      <c r="AJ95" s="32" t="str">
        <f>IFERROR(__xludf.DUMMYFUNCTION("IFERROR(if(ISBLANK(AI95),"" "",GOOGLEFINANCE(AH95,""Name"")), """")"),"Kirloskar Pneumatic Company Ltd")</f>
        <v>Kirloskar Pneumatic Company Ltd</v>
      </c>
      <c r="AK95" s="51">
        <f>IFERROR(__xludf.DUMMYFUNCTION("IFERROR(if(ISBLANK(AI95),"" "",GOOGLEFINANCE(AH95,""price"")), """")"),1493.5)</f>
        <v>1493.5</v>
      </c>
      <c r="AL95" s="22">
        <f>IFERROR(__xludf.DUMMYFUNCTION("IFERROR(if(ISBLANK(AI95),"" "",GOOGLEFINANCE(AH95,""changepct"")), """")"),0.1)</f>
        <v>0.1</v>
      </c>
      <c r="AM95" s="30"/>
      <c r="AN95" s="31" t="s">
        <v>200</v>
      </c>
      <c r="AO95" s="32" t="str">
        <f>IFERROR(__xludf.DUMMYFUNCTION("IFERROR(if(ISBLANK(AN95),"" "",GOOGLEFINANCE(AM95,""Name"")), """")"),"")</f>
        <v/>
      </c>
      <c r="AP95" s="33" t="s">
        <v>1972</v>
      </c>
      <c r="AQ95" s="31" t="s">
        <v>200</v>
      </c>
      <c r="AR95" s="32" t="str">
        <f>IFERROR(__xludf.DUMMYFUNCTION("IFERROR(if(ISBLANK(AQ95),"" "",GOOGLEFINANCE(AP95,""Name"")), """")"),"Hindustan Foods Ltd(NDA)")</f>
        <v>Hindustan Foods Ltd(NDA)</v>
      </c>
      <c r="AS95" s="51">
        <f>IFERROR(__xludf.DUMMYFUNCTION("IFERROR(if(ISBLANK(AQ95),"" "",GOOGLEFINANCE(AP95,""price"")), """")"),596.0)</f>
        <v>596</v>
      </c>
      <c r="AT95" s="22">
        <f>IFERROR(__xludf.DUMMYFUNCTION("IFERROR(if(ISBLANK(AQ95),"" "",GOOGLEFINANCE(AP95,""changepct"")), """")"),3.08)</f>
        <v>3.08</v>
      </c>
      <c r="AU95" s="40"/>
      <c r="AV95" s="34" t="s">
        <v>1973</v>
      </c>
      <c r="AW95" s="31" t="s">
        <v>200</v>
      </c>
      <c r="AX95" s="32" t="str">
        <f>IFERROR(__xludf.DUMMYFUNCTION("IFERROR(if(ISBLANK(AW95),"" "",GOOGLEFINANCE(AV95,""Name"")), """")"),"Jai Balaji Industries Ltd.")</f>
        <v>Jai Balaji Industries Ltd.</v>
      </c>
      <c r="AY95" s="51">
        <f>IFERROR(__xludf.DUMMYFUNCTION("IFERROR(if(ISBLANK(AW95),"" "",GOOGLEFINANCE(AV95,""price"")), """")"),65.5)</f>
        <v>65.5</v>
      </c>
      <c r="AZ95" s="22">
        <f>IFERROR(__xludf.DUMMYFUNCTION("IFERROR(if(ISBLANK(AW95),"" "",GOOGLEFINANCE(AV95,""changepct"")), """")"),-2.06)</f>
        <v>-2.06</v>
      </c>
      <c r="BA95" s="69"/>
      <c r="BB95" s="33" t="s">
        <v>1974</v>
      </c>
      <c r="BC95" s="31" t="s">
        <v>200</v>
      </c>
      <c r="BD95" s="32" t="str">
        <f>IFERROR(__xludf.DUMMYFUNCTION("IFERROR(if(ISBLANK(BC95),"" "",GOOGLEFINANCE(BB95,""Name"")), """")"),"GHCL Ltd")</f>
        <v>GHCL Ltd</v>
      </c>
      <c r="BE95" s="51">
        <f>IFERROR(__xludf.DUMMYFUNCTION("IFERROR(if(ISBLANK(BC95),"" "",GOOGLEFINANCE(BB95,""price"")), """")"),432.2)</f>
        <v>432.2</v>
      </c>
      <c r="BF95" s="22">
        <f>IFERROR(__xludf.DUMMYFUNCTION("IFERROR(if(ISBLANK(BC95),"" "",GOOGLEFINANCE(BB95,""changepct"")), """")"),-0.01)</f>
        <v>-0.01</v>
      </c>
      <c r="BG95" s="69"/>
      <c r="BH95" s="35" t="s">
        <v>1975</v>
      </c>
      <c r="BI95" s="31" t="s">
        <v>200</v>
      </c>
      <c r="BJ95" s="32" t="str">
        <f>IFERROR(__xludf.DUMMYFUNCTION("IFERROR(if(ISBLANK(BI95),"" "",GOOGLEFINANCE(BH95,""Name"")), """")"),"R Systems International Ltd")</f>
        <v>R Systems International Ltd</v>
      </c>
      <c r="BK95" s="51">
        <f>IFERROR(__xludf.DUMMYFUNCTION("IFERROR(if(ISBLANK(BI95),"" "",GOOGLEFINANCE(BH95,""price"")), """")"),240.3)</f>
        <v>240.3</v>
      </c>
      <c r="BL95" s="22">
        <f>IFERROR(__xludf.DUMMYFUNCTION("IFERROR(if(ISBLANK(BI95),"" "",GOOGLEFINANCE(BH95,""changepct"")), """")"),-1.9)</f>
        <v>-1.9</v>
      </c>
      <c r="BM95" s="69"/>
      <c r="BN95" s="33" t="s">
        <v>1976</v>
      </c>
      <c r="BO95" s="31" t="s">
        <v>200</v>
      </c>
      <c r="BP95" s="32" t="str">
        <f>IFERROR(__xludf.DUMMYFUNCTION("IFERROR(if(ISBLANK(BO95),"" "",GOOGLEFINANCE(BN95,""Name"")), """")"),"Rane Holdings Ltd")</f>
        <v>Rane Holdings Ltd</v>
      </c>
      <c r="BQ95" s="51">
        <f>IFERROR(__xludf.DUMMYFUNCTION("IFERROR(if(ISBLANK(BO95),"" "",GOOGLEFINANCE(BN95,""price"")), """")"),1817.5)</f>
        <v>1817.5</v>
      </c>
      <c r="BR95" s="22">
        <f>IFERROR(__xludf.DUMMYFUNCTION("IFERROR(if(ISBLANK(BO95),"" "",GOOGLEFINANCE(BN95,""changepct"")), """")"),2.33)</f>
        <v>2.33</v>
      </c>
      <c r="BS95" s="69"/>
      <c r="BT95" s="69"/>
      <c r="BU95" s="27" t="s">
        <v>1977</v>
      </c>
      <c r="BV95" s="31" t="s">
        <v>200</v>
      </c>
      <c r="BW95" s="32" t="str">
        <f>IFERROR(__xludf.DUMMYFUNCTION("IFERROR(if(ISBLANK(BV95),"" "",GOOGLEFINANCE(BU95,""Name"")), """")"),"NDR Auto Components Ltd")</f>
        <v>NDR Auto Components Ltd</v>
      </c>
      <c r="BX95" s="51">
        <f>IFERROR(__xludf.DUMMYFUNCTION("IFERROR(if(ISBLANK(BV95),"" "",GOOGLEFINANCE(BU95,""price"")), """")"),808.1)</f>
        <v>808.1</v>
      </c>
      <c r="BY95" s="22">
        <f>IFERROR(__xludf.DUMMYFUNCTION("IFERROR(if(ISBLANK(BV95),"" "",GOOGLEFINANCE(BU95,""changepct"")), """")"),-2.48)</f>
        <v>-2.48</v>
      </c>
      <c r="BZ95" s="69"/>
      <c r="CA95" s="69"/>
      <c r="CB95" s="27" t="s">
        <v>1979</v>
      </c>
      <c r="CC95" s="31" t="s">
        <v>200</v>
      </c>
      <c r="CD95" s="32" t="str">
        <f>IFERROR(__xludf.DUMMYFUNCTION("IFERROR(if(ISBLANK(CC95),"" "",GOOGLEFINANCE(CB95,""Name"")), """")"),"I G Petrochemicals Ltd")</f>
        <v>I G Petrochemicals Ltd</v>
      </c>
      <c r="CE95" s="51">
        <f>IFERROR(__xludf.DUMMYFUNCTION("IFERROR(if(ISBLANK(CC95),"" "",GOOGLEFINANCE(CB95,""price"")), """")"),464.2)</f>
        <v>464.2</v>
      </c>
      <c r="CF95" s="22">
        <f>IFERROR(__xludf.DUMMYFUNCTION("IFERROR(if(ISBLANK(CC95),"" "",GOOGLEFINANCE(CB95,""changepct"")), """")"),-0.47)</f>
        <v>-0.47</v>
      </c>
      <c r="CG95" s="69"/>
      <c r="CH95" s="18" t="s">
        <v>1980</v>
      </c>
      <c r="CI95" s="31" t="s">
        <v>200</v>
      </c>
      <c r="CJ95" s="32" t="str">
        <f>IFERROR(__xludf.DUMMYFUNCTION("IFERROR(if(ISBLANK(CI95),"" "",GOOGLEFINANCE(CH95,""Name"")), """")"),"A K Capital Services Ltd")</f>
        <v>A K Capital Services Ltd</v>
      </c>
      <c r="CK95" s="51">
        <f>IFERROR(__xludf.DUMMYFUNCTION("IFERROR(if(ISBLANK(CI95),"" "",GOOGLEFINANCE(CH95,""price"")), """")"),1770.0)</f>
        <v>1770</v>
      </c>
      <c r="CL95" s="22">
        <f>IFERROR(__xludf.DUMMYFUNCTION("IFERROR(if(ISBLANK(CI95),"" "",GOOGLEFINANCE(CH95,""changepct"")), """")"),3.06)</f>
        <v>3.06</v>
      </c>
      <c r="CM95" s="69"/>
      <c r="CN95" s="33" t="s">
        <v>1981</v>
      </c>
      <c r="CO95" s="31" t="s">
        <v>200</v>
      </c>
      <c r="CP95" s="32" t="str">
        <f>IFERROR(__xludf.DUMMYFUNCTION("IFERROR(if(ISBLANK(CO95),"" "",GOOGLEFINANCE(CN95,""Name"")), """")"),"Mac Charles (India) Ltd")</f>
        <v>Mac Charles (India) Ltd</v>
      </c>
      <c r="CQ95" s="51">
        <f>IFERROR(__xludf.DUMMYFUNCTION("IFERROR(if(ISBLANK(CO95),"" "",GOOGLEFINANCE(CN95,""price"")), """")"),679.95)</f>
        <v>679.95</v>
      </c>
      <c r="CR95" s="22">
        <f>IFERROR(__xludf.DUMMYFUNCTION("IFERROR(if(ISBLANK(CO95),"" "",GOOGLEFINANCE(CN95,""changepct"")), """")"),0.04)</f>
        <v>0.04</v>
      </c>
      <c r="CS95" s="69"/>
      <c r="CT95" s="33" t="s">
        <v>1982</v>
      </c>
      <c r="CU95" s="63" t="s">
        <v>200</v>
      </c>
      <c r="CV95" s="64" t="str">
        <f>IFERROR(__xludf.DUMMYFUNCTION("IFERROR(if(ISBLANK(CU95),"" "",GOOGLEFINANCE(CT95,""Name"")), """")"),"Welspun Investments and Commercials Ltd")</f>
        <v>Welspun Investments and Commercials Ltd</v>
      </c>
      <c r="CW95" s="65">
        <f>IFERROR(__xludf.DUMMYFUNCTION("IFERROR(if(ISBLANK(CU95),"" "",GOOGLEFINANCE(CT95,""price"")), """")"),1835.0)</f>
        <v>1835</v>
      </c>
      <c r="CX95" s="66">
        <f>IFERROR(__xludf.DUMMYFUNCTION("IFERROR(if(ISBLANK(CU95),"" "",GOOGLEFINANCE(CT95,""changepct"")), """")"),1.91)</f>
        <v>1.91</v>
      </c>
      <c r="CY95" s="69"/>
      <c r="CZ95" s="33" t="s">
        <v>1983</v>
      </c>
      <c r="DA95" s="31" t="s">
        <v>200</v>
      </c>
      <c r="DB95" s="32" t="str">
        <f>IFERROR(__xludf.DUMMYFUNCTION("IFERROR(if(ISBLANK(DA95),"" "",GOOGLEFINANCE(CZ95,""Name"")), """")"),"Oswal Agro Mills Ltd")</f>
        <v>Oswal Agro Mills Ltd</v>
      </c>
      <c r="DC95" s="51">
        <f>IFERROR(__xludf.DUMMYFUNCTION("IFERROR(if(ISBLANK(DA95),"" "",GOOGLEFINANCE(CZ95,""price"")), """")"),37.38)</f>
        <v>37.38</v>
      </c>
      <c r="DD95" s="22">
        <f>IFERROR(__xludf.DUMMYFUNCTION("IFERROR(if(ISBLANK(DA95),"" "",GOOGLEFINANCE(CZ95,""changepct"")), """")"),-1.24)</f>
        <v>-1.24</v>
      </c>
      <c r="DE95" s="69"/>
      <c r="DF95" s="69"/>
    </row>
    <row r="96" ht="11.25" customHeight="1">
      <c r="A96" s="62"/>
      <c r="B96" s="18" t="s">
        <v>1984</v>
      </c>
      <c r="C96" s="31" t="s">
        <v>200</v>
      </c>
      <c r="D96" s="32" t="str">
        <f>IFERROR(__xludf.DUMMYFUNCTION("IFERROR(if(ISBLANK(C96),"" "",GOOGLEFINANCE(B96,""Name"")), """")"),"Lloyds Metals And Energy Ltd")</f>
        <v>Lloyds Metals And Energy Ltd</v>
      </c>
      <c r="E96" s="51">
        <f>IFERROR(__xludf.DUMMYFUNCTION("IFERROR(if(ISBLANK(C96),"" "",GOOGLEFINANCE(B96,""price"")), """")"),1905.0)</f>
        <v>1905</v>
      </c>
      <c r="F96" s="22">
        <f>IFERROR(__xludf.DUMMYFUNCTION("IFERROR(if(ISBLANK(C96),"" "",GOOGLEFINANCE(B96,""changepct"")), """")"),-4.09)</f>
        <v>-4.09</v>
      </c>
      <c r="G96" s="49"/>
      <c r="H96" s="70"/>
      <c r="I96" s="25" t="s">
        <v>1986</v>
      </c>
      <c r="J96" s="31" t="s">
        <v>200</v>
      </c>
      <c r="K96" s="32" t="str">
        <f>IFERROR(__xludf.DUMMYFUNCTION("IFERROR(if(ISBLANK(J96),"" "",GOOGLEFINANCE(I96,""Name"")), """")"),"Tube Investments of India Ltd")</f>
        <v>Tube Investments of India Ltd</v>
      </c>
      <c r="L96" s="51">
        <f>IFERROR(__xludf.DUMMYFUNCTION("IFERROR(if(ISBLANK(J96),"" "",GOOGLEFINANCE(I96,""price"")), """")"),2820.0)</f>
        <v>2820</v>
      </c>
      <c r="M96" s="22">
        <f>IFERROR(__xludf.DUMMYFUNCTION("IFERROR(if(ISBLANK(J96),"" "",GOOGLEFINANCE(I96,""changepct"")), """")"),1.44)</f>
        <v>1.44</v>
      </c>
      <c r="N96" s="49"/>
      <c r="O96" s="71"/>
      <c r="P96" s="27" t="s">
        <v>1987</v>
      </c>
      <c r="Q96" s="31" t="s">
        <v>200</v>
      </c>
      <c r="R96" s="32" t="str">
        <f>IFERROR(__xludf.DUMMYFUNCTION("IFERROR(if(ISBLANK(Q96),"" "",GOOGLEFINANCE(P96,""Name"")), """")"),"Central Bank of India Ltd")</f>
        <v>Central Bank of India Ltd</v>
      </c>
      <c r="S96" s="51">
        <f>IFERROR(__xludf.DUMMYFUNCTION("IFERROR(if(ISBLANK(Q96),"" "",GOOGLEFINANCE(P96,""price"")), """")"),31.3)</f>
        <v>31.3</v>
      </c>
      <c r="T96" s="22">
        <f>IFERROR(__xludf.DUMMYFUNCTION("IFERROR(if(ISBLANK(Q96),"" "",GOOGLEFINANCE(P96,""changepct"")), """")"),0.35)</f>
        <v>0.35</v>
      </c>
      <c r="U96" s="68"/>
      <c r="V96" s="18" t="s">
        <v>1988</v>
      </c>
      <c r="W96" s="31" t="s">
        <v>200</v>
      </c>
      <c r="X96" s="32" t="str">
        <f>IFERROR(__xludf.DUMMYFUNCTION("IFERROR(if(ISBLANK(W96),"" "",GOOGLEFINANCE(V96,""Name"")), """")"),"MTAR Technologies Ltd")</f>
        <v>MTAR Technologies Ltd</v>
      </c>
      <c r="Y96" s="51">
        <f>IFERROR(__xludf.DUMMYFUNCTION("IFERROR(if(ISBLANK(W96),"" "",GOOGLEFINANCE(V96,""price"")), """")"),7160.0)</f>
        <v>7160</v>
      </c>
      <c r="Z96" s="22">
        <f>IFERROR(__xludf.DUMMYFUNCTION("IFERROR(if(ISBLANK(W96),"" "",GOOGLEFINANCE(V96,""changepct"")), """")"),3.87)</f>
        <v>3.87</v>
      </c>
      <c r="AA96" s="12"/>
      <c r="AB96" s="18" t="s">
        <v>1989</v>
      </c>
      <c r="AC96" s="31" t="s">
        <v>200</v>
      </c>
      <c r="AD96" s="32" t="str">
        <f>IFERROR(__xludf.DUMMYFUNCTION("IFERROR(if(ISBLANK(AC96),"" "",GOOGLEFINANCE(AB96,""Name"")), """")"),"Graphite India Ltd")</f>
        <v>Graphite India Ltd</v>
      </c>
      <c r="AE96" s="51">
        <f>IFERROR(__xludf.DUMMYFUNCTION("IFERROR(if(ISBLANK(AC96),"" "",GOOGLEFINANCE(AB96,""price"")), """")"),724.0)</f>
        <v>724</v>
      </c>
      <c r="AF96" s="22">
        <f>IFERROR(__xludf.DUMMYFUNCTION("IFERROR(if(ISBLANK(AC96),"" "",GOOGLEFINANCE(AB96,""changepct"")), """")"),-0.94)</f>
        <v>-0.94</v>
      </c>
      <c r="AG96" s="29"/>
      <c r="AH96" s="27" t="s">
        <v>1990</v>
      </c>
      <c r="AI96" s="31" t="s">
        <v>200</v>
      </c>
      <c r="AJ96" s="32" t="str">
        <f>IFERROR(__xludf.DUMMYFUNCTION("IFERROR(if(ISBLANK(AI96),"" "",GOOGLEFINANCE(AH96,""Name"")), """")"),"Pearl Global Industries Ltd")</f>
        <v>Pearl Global Industries Ltd</v>
      </c>
      <c r="AK96" s="51">
        <f>IFERROR(__xludf.DUMMYFUNCTION("IFERROR(if(ISBLANK(AI96),"" "",GOOGLEFINANCE(AH96,""price"")), """")"),2482.0)</f>
        <v>2482</v>
      </c>
      <c r="AL96" s="22">
        <f>IFERROR(__xludf.DUMMYFUNCTION("IFERROR(if(ISBLANK(AI96),"" "",GOOGLEFINANCE(AH96,""changepct"")), """")"),1.93)</f>
        <v>1.93</v>
      </c>
      <c r="AM96" s="30"/>
      <c r="AN96" s="31" t="s">
        <v>200</v>
      </c>
      <c r="AO96" s="32" t="str">
        <f>IFERROR(__xludf.DUMMYFUNCTION("IFERROR(if(ISBLANK(AN96),"" "",GOOGLEFINANCE(AM96,""Name"")), """")"),"")</f>
        <v/>
      </c>
      <c r="AP96" s="33" t="s">
        <v>1991</v>
      </c>
      <c r="AQ96" s="31" t="s">
        <v>200</v>
      </c>
      <c r="AR96" s="32" t="str">
        <f>IFERROR(__xludf.DUMMYFUNCTION("IFERROR(if(ISBLANK(AQ96),"" "",GOOGLEFINANCE(AP96,""Name"")), """")"),"Suprajit Engineering Ltd")</f>
        <v>Suprajit Engineering Ltd</v>
      </c>
      <c r="AS96" s="51">
        <f>IFERROR(__xludf.DUMMYFUNCTION("IFERROR(if(ISBLANK(AQ96),"" "",GOOGLEFINANCE(AP96,""price"")), """")"),525.15)</f>
        <v>525.15</v>
      </c>
      <c r="AT96" s="22">
        <f>IFERROR(__xludf.DUMMYFUNCTION("IFERROR(if(ISBLANK(AQ96),"" "",GOOGLEFINANCE(AP96,""changepct"")), """")"),-1.15)</f>
        <v>-1.15</v>
      </c>
      <c r="AU96" s="40"/>
      <c r="AV96" s="34" t="s">
        <v>1993</v>
      </c>
      <c r="AW96" s="31" t="s">
        <v>200</v>
      </c>
      <c r="AX96" s="32" t="str">
        <f>IFERROR(__xludf.DUMMYFUNCTION("IFERROR(if(ISBLANK(AW96),"" "",GOOGLEFINANCE(AV96,""Name"")), """")"),"Shilchar Technologies Ltd")</f>
        <v>Shilchar Technologies Ltd</v>
      </c>
      <c r="AY96" s="51">
        <f>IFERROR(__xludf.DUMMYFUNCTION("IFERROR(if(ISBLANK(AW96),"" "",GOOGLEFINANCE(AV96,""price"")), """")"),3852.0)</f>
        <v>3852</v>
      </c>
      <c r="AZ96" s="22">
        <f>IFERROR(__xludf.DUMMYFUNCTION("IFERROR(if(ISBLANK(AW96),"" "",GOOGLEFINANCE(AV96,""changepct"")), """")"),-15.93)</f>
        <v>-15.93</v>
      </c>
      <c r="BA96" s="69"/>
      <c r="BB96" s="33" t="s">
        <v>1994</v>
      </c>
      <c r="BC96" s="31" t="s">
        <v>200</v>
      </c>
      <c r="BD96" s="32" t="str">
        <f>IFERROR(__xludf.DUMMYFUNCTION("IFERROR(if(ISBLANK(BC96),"" "",GOOGLEFINANCE(BB96,""Name"")), """")"),"Kaveri Seed Company Ltd")</f>
        <v>Kaveri Seed Company Ltd</v>
      </c>
      <c r="BE96" s="51">
        <f>IFERROR(__xludf.DUMMYFUNCTION("IFERROR(if(ISBLANK(BC96),"" "",GOOGLEFINANCE(BB96,""price"")), """")"),785.0)</f>
        <v>785</v>
      </c>
      <c r="BF96" s="22">
        <f>IFERROR(__xludf.DUMMYFUNCTION("IFERROR(if(ISBLANK(BC96),"" "",GOOGLEFINANCE(BB96,""changepct"")), """")"),-1.75)</f>
        <v>-1.75</v>
      </c>
      <c r="BG96" s="69"/>
      <c r="BH96" s="35" t="s">
        <v>1995</v>
      </c>
      <c r="BI96" s="31" t="s">
        <v>200</v>
      </c>
      <c r="BJ96" s="32" t="str">
        <f>IFERROR(__xludf.DUMMYFUNCTION("IFERROR(if(ISBLANK(BI96),"" "",GOOGLEFINANCE(BH96,""Name"")), """")"),"RPSG Ventures Ltd")</f>
        <v>RPSG Ventures Ltd</v>
      </c>
      <c r="BK96" s="51">
        <f>IFERROR(__xludf.DUMMYFUNCTION("IFERROR(if(ISBLANK(BI96),"" "",GOOGLEFINANCE(BH96,""price"")), """")"),884.25)</f>
        <v>884.25</v>
      </c>
      <c r="BL96" s="22">
        <f>IFERROR(__xludf.DUMMYFUNCTION("IFERROR(if(ISBLANK(BI96),"" "",GOOGLEFINANCE(BH96,""changepct"")), """")"),-2.08)</f>
        <v>-2.08</v>
      </c>
      <c r="BM96" s="69"/>
      <c r="BN96" s="33" t="s">
        <v>1996</v>
      </c>
      <c r="BO96" s="31" t="s">
        <v>200</v>
      </c>
      <c r="BP96" s="32" t="str">
        <f>IFERROR(__xludf.DUMMYFUNCTION("IFERROR(if(ISBLANK(BO96),"" "",GOOGLEFINANCE(BN96,""Name"")), """")"),"Veranda Learning Solutions Ltd")</f>
        <v>Veranda Learning Solutions Ltd</v>
      </c>
      <c r="BQ96" s="51">
        <f>IFERROR(__xludf.DUMMYFUNCTION("IFERROR(if(ISBLANK(BO96),"" "",GOOGLEFINANCE(BN96,""price"")), """")"),250.1)</f>
        <v>250.1</v>
      </c>
      <c r="BR96" s="22">
        <f>IFERROR(__xludf.DUMMYFUNCTION("IFERROR(if(ISBLANK(BO96),"" "",GOOGLEFINANCE(BN96,""changepct"")), """")"),0.79)</f>
        <v>0.79</v>
      </c>
      <c r="BS96" s="69"/>
      <c r="BT96" s="69"/>
      <c r="BU96" s="27" t="s">
        <v>1997</v>
      </c>
      <c r="BV96" s="31" t="s">
        <v>200</v>
      </c>
      <c r="BW96" s="32" t="str">
        <f>IFERROR(__xludf.DUMMYFUNCTION("IFERROR(if(ISBLANK(BV96),"" "",GOOGLEFINANCE(BU96,""Name"")), """")"),"Servotech Renewable Power System Ltd")</f>
        <v>Servotech Renewable Power System Ltd</v>
      </c>
      <c r="BX96" s="51">
        <f>IFERROR(__xludf.DUMMYFUNCTION("IFERROR(if(ISBLANK(BV96),"" "",GOOGLEFINANCE(BU96,""price"")), """")"),83.75)</f>
        <v>83.75</v>
      </c>
      <c r="BY96" s="22">
        <f>IFERROR(__xludf.DUMMYFUNCTION("IFERROR(if(ISBLANK(BV96),"" "",GOOGLEFINANCE(BU96,""changepct"")), """")"),0.46)</f>
        <v>0.46</v>
      </c>
      <c r="BZ96" s="69"/>
      <c r="CA96" s="69"/>
      <c r="CB96" s="27" t="s">
        <v>1998</v>
      </c>
      <c r="CC96" s="31" t="s">
        <v>200</v>
      </c>
      <c r="CD96" s="32" t="str">
        <f>IFERROR(__xludf.DUMMYFUNCTION("IFERROR(if(ISBLANK(CC96),"" "",GOOGLEFINANCE(CB96,""Name"")), """")"),"Associated Alcohols &amp; Breweries Ltd")</f>
        <v>Associated Alcohols &amp; Breweries Ltd</v>
      </c>
      <c r="CE96" s="51">
        <f>IFERROR(__xludf.DUMMYFUNCTION("IFERROR(if(ISBLANK(CC96),"" "",GOOGLEFINANCE(CB96,""price"")), """")"),724.7)</f>
        <v>724.7</v>
      </c>
      <c r="CF96" s="22">
        <f>IFERROR(__xludf.DUMMYFUNCTION("IFERROR(if(ISBLANK(CC96),"" "",GOOGLEFINANCE(CB96,""changepct"")), """")"),-0.76)</f>
        <v>-0.76</v>
      </c>
      <c r="CG96" s="69"/>
      <c r="CH96" s="18" t="s">
        <v>2000</v>
      </c>
      <c r="CI96" s="31" t="s">
        <v>200</v>
      </c>
      <c r="CJ96" s="32" t="str">
        <f>IFERROR(__xludf.DUMMYFUNCTION("IFERROR(if(ISBLANK(CI96),"" "",GOOGLEFINANCE(CH96,""Name"")), """")"),"Manali Petrochemicals Ltd")</f>
        <v>Manali Petrochemicals Ltd</v>
      </c>
      <c r="CK96" s="51">
        <f>IFERROR(__xludf.DUMMYFUNCTION("IFERROR(if(ISBLANK(CI96),"" "",GOOGLEFINANCE(CH96,""price"")), """")"),67.1)</f>
        <v>67.1</v>
      </c>
      <c r="CL96" s="22">
        <f>IFERROR(__xludf.DUMMYFUNCTION("IFERROR(if(ISBLANK(CI96),"" "",GOOGLEFINANCE(CH96,""changepct"")), """")"),2.4)</f>
        <v>2.4</v>
      </c>
      <c r="CM96" s="69"/>
      <c r="CN96" s="33" t="s">
        <v>2001</v>
      </c>
      <c r="CO96" s="31" t="s">
        <v>200</v>
      </c>
      <c r="CP96" s="32" t="str">
        <f>IFERROR(__xludf.DUMMYFUNCTION("IFERROR(if(ISBLANK(CO96),"" "",GOOGLEFINANCE(CN96,""Name"")), """")"),"Finkurve Financial Services Ltd")</f>
        <v>Finkurve Financial Services Ltd</v>
      </c>
      <c r="CQ96" s="51">
        <f>IFERROR(__xludf.DUMMYFUNCTION("IFERROR(if(ISBLANK(CO96),"" "",GOOGLEFINANCE(CN96,""price"")), """")"),61.0)</f>
        <v>61</v>
      </c>
      <c r="CR96" s="22">
        <f>IFERROR(__xludf.DUMMYFUNCTION("IFERROR(if(ISBLANK(CO96),"" "",GOOGLEFINANCE(CN96,""changepct"")), """")"),1.63)</f>
        <v>1.63</v>
      </c>
      <c r="CS96" s="69"/>
      <c r="CT96" s="33" t="s">
        <v>2002</v>
      </c>
      <c r="CU96" s="63" t="s">
        <v>200</v>
      </c>
      <c r="CV96" s="64" t="str">
        <f>IFERROR(__xludf.DUMMYFUNCTION("IFERROR(if(ISBLANK(CU96),"" "",GOOGLEFINANCE(CT96,""Name"")), """")"),"Dwarikesh Sugar Industries Ltd")</f>
        <v>Dwarikesh Sugar Industries Ltd</v>
      </c>
      <c r="CW96" s="65">
        <f>IFERROR(__xludf.DUMMYFUNCTION("IFERROR(if(ISBLANK(CU96),"" "",GOOGLEFINANCE(CT96,""price"")), """")"),41.6)</f>
        <v>41.6</v>
      </c>
      <c r="CX96" s="66">
        <f>IFERROR(__xludf.DUMMYFUNCTION("IFERROR(if(ISBLANK(CU96),"" "",GOOGLEFINANCE(CT96,""changepct"")), """")"),-0.19)</f>
        <v>-0.19</v>
      </c>
      <c r="CY96" s="69"/>
      <c r="CZ96" s="33" t="s">
        <v>2003</v>
      </c>
      <c r="DA96" s="31" t="s">
        <v>200</v>
      </c>
      <c r="DB96" s="32" t="str">
        <f>IFERROR(__xludf.DUMMYFUNCTION("IFERROR(if(ISBLANK(DA96),"" "",GOOGLEFINANCE(CZ96,""Name"")), """")"),"GFL Ltd")</f>
        <v>GFL Ltd</v>
      </c>
      <c r="DC96" s="51">
        <f>IFERROR(__xludf.DUMMYFUNCTION("IFERROR(if(ISBLANK(DA96),"" "",GOOGLEFINANCE(CZ96,""price"")), """")"),48.0)</f>
        <v>48</v>
      </c>
      <c r="DD96" s="22">
        <f>IFERROR(__xludf.DUMMYFUNCTION("IFERROR(if(ISBLANK(DA96),"" "",GOOGLEFINANCE(CZ96,""changepct"")), """")"),1.54)</f>
        <v>1.54</v>
      </c>
      <c r="DE96" s="69"/>
      <c r="DF96" s="69"/>
    </row>
    <row r="97" ht="11.25" customHeight="1">
      <c r="A97" s="62"/>
      <c r="B97" s="18" t="s">
        <v>2004</v>
      </c>
      <c r="C97" s="31" t="s">
        <v>200</v>
      </c>
      <c r="D97" s="32" t="str">
        <f>IFERROR(__xludf.DUMMYFUNCTION("IFERROR(if(ISBLANK(C97),"" "",GOOGLEFINANCE(B97,""Name"")), """")"),"Siemens Energy India Ltd")</f>
        <v>Siemens Energy India Ltd</v>
      </c>
      <c r="E97" s="51">
        <f>IFERROR(__xludf.DUMMYFUNCTION("IFERROR(if(ISBLANK(C97),"" "",GOOGLEFINANCE(B97,""price"")), """")"),3580.0)</f>
        <v>3580</v>
      </c>
      <c r="F97" s="22">
        <f>IFERROR(__xludf.DUMMYFUNCTION("IFERROR(if(ISBLANK(C97),"" "",GOOGLEFINANCE(B97,""changepct"")), """")"),0.45)</f>
        <v>0.45</v>
      </c>
      <c r="G97" s="49"/>
      <c r="H97" s="70"/>
      <c r="I97" s="25" t="s">
        <v>2005</v>
      </c>
      <c r="J97" s="31" t="s">
        <v>200</v>
      </c>
      <c r="K97" s="32" t="str">
        <f>IFERROR(__xludf.DUMMYFUNCTION("IFERROR(if(ISBLANK(J97),"" "",GOOGLEFINANCE(I97,""Name"")), """")"),"Sundaram Finance Ltd")</f>
        <v>Sundaram Finance Ltd</v>
      </c>
      <c r="L97" s="51">
        <f>IFERROR(__xludf.DUMMYFUNCTION("IFERROR(if(ISBLANK(J97),"" "",GOOGLEFINANCE(I97,""price"")), """")"),4514.4)</f>
        <v>4514.4</v>
      </c>
      <c r="M97" s="22">
        <f>IFERROR(__xludf.DUMMYFUNCTION("IFERROR(if(ISBLANK(J97),"" "",GOOGLEFINANCE(I97,""changepct"")), """")"),1.51)</f>
        <v>1.51</v>
      </c>
      <c r="N97" s="49"/>
      <c r="O97" s="71"/>
      <c r="P97" s="27" t="s">
        <v>2006</v>
      </c>
      <c r="Q97" s="31" t="s">
        <v>200</v>
      </c>
      <c r="R97" s="32" t="str">
        <f>IFERROR(__xludf.DUMMYFUNCTION("IFERROR(if(ISBLANK(Q97),"" "",GOOGLEFINANCE(P97,""Name"")), """")"),"Sai Life Sciences Ltd")</f>
        <v>Sai Life Sciences Ltd</v>
      </c>
      <c r="S97" s="51">
        <f>IFERROR(__xludf.DUMMYFUNCTION("IFERROR(if(ISBLANK(Q97),"" "",GOOGLEFINANCE(P97,""price"")), """")"),1462.1)</f>
        <v>1462.1</v>
      </c>
      <c r="T97" s="22">
        <f>IFERROR(__xludf.DUMMYFUNCTION("IFERROR(if(ISBLANK(Q97),"" "",GOOGLEFINANCE(P97,""changepct"")), """")"),1.23)</f>
        <v>1.23</v>
      </c>
      <c r="U97" s="68"/>
      <c r="V97" s="18" t="s">
        <v>2007</v>
      </c>
      <c r="W97" s="31" t="s">
        <v>200</v>
      </c>
      <c r="X97" s="32" t="str">
        <f>IFERROR(__xludf.DUMMYFUNCTION("IFERROR(if(ISBLANK(W97),"" "",GOOGLEFINANCE(V97,""Name"")), """")"),"PG Electroplast Ltd")</f>
        <v>PG Electroplast Ltd</v>
      </c>
      <c r="Y97" s="51">
        <f>IFERROR(__xludf.DUMMYFUNCTION("IFERROR(if(ISBLANK(W97),"" "",GOOGLEFINANCE(V97,""price"")), """")"),612.05)</f>
        <v>612.05</v>
      </c>
      <c r="Z97" s="22">
        <f>IFERROR(__xludf.DUMMYFUNCTION("IFERROR(if(ISBLANK(W97),"" "",GOOGLEFINANCE(V97,""changepct"")), """")"),-0.64)</f>
        <v>-0.64</v>
      </c>
      <c r="AA97" s="12"/>
      <c r="AB97" s="18" t="s">
        <v>2008</v>
      </c>
      <c r="AC97" s="31" t="s">
        <v>200</v>
      </c>
      <c r="AD97" s="32" t="str">
        <f>IFERROR(__xludf.DUMMYFUNCTION("IFERROR(if(ISBLANK(AC97),"" "",GOOGLEFINANCE(AB97,""Name"")), """")"),"Lloyds Engineering Works Ltd")</f>
        <v>Lloyds Engineering Works Ltd</v>
      </c>
      <c r="AE97" s="51">
        <f>IFERROR(__xludf.DUMMYFUNCTION("IFERROR(if(ISBLANK(AC97),"" "",GOOGLEFINANCE(AB97,""price"")), """")"),92.7)</f>
        <v>92.7</v>
      </c>
      <c r="AF97" s="22">
        <f>IFERROR(__xludf.DUMMYFUNCTION("IFERROR(if(ISBLANK(AC97),"" "",GOOGLEFINANCE(AB97,""changepct"")), """")"),-0.37)</f>
        <v>-0.37</v>
      </c>
      <c r="AG97" s="29"/>
      <c r="AH97" s="27" t="s">
        <v>2010</v>
      </c>
      <c r="AI97" s="31" t="s">
        <v>200</v>
      </c>
      <c r="AJ97" s="32" t="str">
        <f>IFERROR(__xludf.DUMMYFUNCTION("IFERROR(if(ISBLANK(AI97),"" "",GOOGLEFINANCE(AH97,""Name"")), """")"),"Waaree Renewable Technologies Ltd")</f>
        <v>Waaree Renewable Technologies Ltd</v>
      </c>
      <c r="AK97" s="51">
        <f>IFERROR(__xludf.DUMMYFUNCTION("IFERROR(if(ISBLANK(AI97),"" "",GOOGLEFINANCE(AH97,""price"")), """")"),896.95)</f>
        <v>896.95</v>
      </c>
      <c r="AL97" s="22">
        <f>IFERROR(__xludf.DUMMYFUNCTION("IFERROR(if(ISBLANK(AI97),"" "",GOOGLEFINANCE(AH97,""changepct"")), """")"),-0.85)</f>
        <v>-0.85</v>
      </c>
      <c r="AM97" s="30"/>
      <c r="AN97" s="31" t="s">
        <v>200</v>
      </c>
      <c r="AO97" s="32" t="str">
        <f>IFERROR(__xludf.DUMMYFUNCTION("IFERROR(if(ISBLANK(AN97),"" "",GOOGLEFINANCE(AM97,""Name"")), """")"),"")</f>
        <v/>
      </c>
      <c r="AP97" s="33" t="s">
        <v>2011</v>
      </c>
      <c r="AQ97" s="31" t="s">
        <v>200</v>
      </c>
      <c r="AR97" s="32" t="str">
        <f>IFERROR(__xludf.DUMMYFUNCTION("IFERROR(if(ISBLANK(AQ97),"" "",GOOGLEFINANCE(AP97,""Name"")), """")"),"Balaji Amines Ltd")</f>
        <v>Balaji Amines Ltd</v>
      </c>
      <c r="AS97" s="51">
        <f>IFERROR(__xludf.DUMMYFUNCTION("IFERROR(if(ISBLANK(AQ97),"" "",GOOGLEFINANCE(AP97,""price"")), """")"),2087.0)</f>
        <v>2087</v>
      </c>
      <c r="AT97" s="22">
        <f>IFERROR(__xludf.DUMMYFUNCTION("IFERROR(if(ISBLANK(AQ97),"" "",GOOGLEFINANCE(AP97,""changepct"")), """")"),-1.73)</f>
        <v>-1.73</v>
      </c>
      <c r="AU97" s="40"/>
      <c r="AV97" s="34" t="s">
        <v>2012</v>
      </c>
      <c r="AW97" s="31" t="s">
        <v>200</v>
      </c>
      <c r="AX97" s="32" t="str">
        <f>IFERROR(__xludf.DUMMYFUNCTION("IFERROR(if(ISBLANK(AW97),"" "",GOOGLEFINANCE(AV97,""Name"")), """")"),"Jamna Auto Industries Ltd")</f>
        <v>Jamna Auto Industries Ltd</v>
      </c>
      <c r="AY97" s="51">
        <f>IFERROR(__xludf.DUMMYFUNCTION("IFERROR(if(ISBLANK(AW97),"" "",GOOGLEFINANCE(AV97,""price"")), """")"),123.9)</f>
        <v>123.9</v>
      </c>
      <c r="AZ97" s="22">
        <f>IFERROR(__xludf.DUMMYFUNCTION("IFERROR(if(ISBLANK(AW97),"" "",GOOGLEFINANCE(AV97,""changepct"")), """")"),-1.28)</f>
        <v>-1.28</v>
      </c>
      <c r="BA97" s="69"/>
      <c r="BB97" s="33" t="s">
        <v>2013</v>
      </c>
      <c r="BC97" s="31" t="s">
        <v>200</v>
      </c>
      <c r="BD97" s="32" t="str">
        <f>IFERROR(__xludf.DUMMYFUNCTION("IFERROR(if(ISBLANK(BC97),"" "",GOOGLEFINANCE(BB97,""Name"")), """")"),"Sanathan Textiles Ltd")</f>
        <v>Sanathan Textiles Ltd</v>
      </c>
      <c r="BE97" s="51">
        <f>IFERROR(__xludf.DUMMYFUNCTION("IFERROR(if(ISBLANK(BC97),"" "",GOOGLEFINANCE(BB97,""price"")), """")"),470.05)</f>
        <v>470.05</v>
      </c>
      <c r="BF97" s="22">
        <f>IFERROR(__xludf.DUMMYFUNCTION("IFERROR(if(ISBLANK(BC97),"" "",GOOGLEFINANCE(BB97,""changepct"")), """")"),-6.25)</f>
        <v>-6.25</v>
      </c>
      <c r="BG97" s="69"/>
      <c r="BH97" s="35" t="s">
        <v>2014</v>
      </c>
      <c r="BI97" s="31" t="s">
        <v>200</v>
      </c>
      <c r="BJ97" s="32" t="str">
        <f>IFERROR(__xludf.DUMMYFUNCTION("IFERROR(if(ISBLANK(BI97),"" "",GOOGLEFINANCE(BH97,""Name"")), """")"),"Monarch Networth Capital Ltd")</f>
        <v>Monarch Networth Capital Ltd</v>
      </c>
      <c r="BK97" s="51">
        <f>IFERROR(__xludf.DUMMYFUNCTION("IFERROR(if(ISBLANK(BI97),"" "",GOOGLEFINANCE(BH97,""price"")), """")"),378.0)</f>
        <v>378</v>
      </c>
      <c r="BL97" s="22">
        <f>IFERROR(__xludf.DUMMYFUNCTION("IFERROR(if(ISBLANK(BI97),"" "",GOOGLEFINANCE(BH97,""changepct"")), """")"),0.47)</f>
        <v>0.47</v>
      </c>
      <c r="BM97" s="69"/>
      <c r="BN97" s="33" t="s">
        <v>2015</v>
      </c>
      <c r="BO97" s="31" t="s">
        <v>200</v>
      </c>
      <c r="BP97" s="32" t="str">
        <f>IFERROR(__xludf.DUMMYFUNCTION("IFERROR(if(ISBLANK(BO97),"" "",GOOGLEFINANCE(BN97,""Name"")), """")"),"S.P.Apparels Ltd")</f>
        <v>S.P.Apparels Ltd</v>
      </c>
      <c r="BQ97" s="51">
        <f>IFERROR(__xludf.DUMMYFUNCTION("IFERROR(if(ISBLANK(BO97),"" "",GOOGLEFINANCE(BN97,""price"")), """")"),978.7)</f>
        <v>978.7</v>
      </c>
      <c r="BR97" s="22">
        <f>IFERROR(__xludf.DUMMYFUNCTION("IFERROR(if(ISBLANK(BO97),"" "",GOOGLEFINANCE(BN97,""changepct"")), """")"),-8.92)</f>
        <v>-8.92</v>
      </c>
      <c r="BS97" s="69"/>
      <c r="BT97" s="69"/>
      <c r="BU97" s="27" t="s">
        <v>2016</v>
      </c>
      <c r="BV97" s="31" t="s">
        <v>200</v>
      </c>
      <c r="BW97" s="32" t="str">
        <f>IFERROR(__xludf.DUMMYFUNCTION("IFERROR(if(ISBLANK(BV97),"" "",GOOGLEFINANCE(BU97,""Name"")), """")"),"Asian Energy Services Ltd")</f>
        <v>Asian Energy Services Ltd</v>
      </c>
      <c r="BX97" s="51">
        <f>IFERROR(__xludf.DUMMYFUNCTION("IFERROR(if(ISBLANK(BV97),"" "",GOOGLEFINANCE(BU97,""price"")), """")"),405.4)</f>
        <v>405.4</v>
      </c>
      <c r="BY97" s="22">
        <f>IFERROR(__xludf.DUMMYFUNCTION("IFERROR(if(ISBLANK(BV97),"" "",GOOGLEFINANCE(BU97,""changepct"")), """")"),0.9)</f>
        <v>0.9</v>
      </c>
      <c r="BZ97" s="69"/>
      <c r="CA97" s="69"/>
      <c r="CB97" s="27" t="s">
        <v>2018</v>
      </c>
      <c r="CC97" s="31" t="s">
        <v>200</v>
      </c>
      <c r="CD97" s="32" t="str">
        <f>IFERROR(__xludf.DUMMYFUNCTION("IFERROR(if(ISBLANK(CC97),"" "",GOOGLEFINANCE(CB97,""Name"")), """")"),"All Time Plastics Ltd")</f>
        <v>All Time Plastics Ltd</v>
      </c>
      <c r="CE97" s="51">
        <f>IFERROR(__xludf.DUMMYFUNCTION("IFERROR(if(ISBLANK(CC97),"" "",GOOGLEFINANCE(CB97,""price"")), """")"),218.6)</f>
        <v>218.6</v>
      </c>
      <c r="CF97" s="22">
        <f>IFERROR(__xludf.DUMMYFUNCTION("IFERROR(if(ISBLANK(CC97),"" "",GOOGLEFINANCE(CB97,""changepct"")), """")"),0.57)</f>
        <v>0.57</v>
      </c>
      <c r="CG97" s="69"/>
      <c r="CH97" s="18" t="s">
        <v>2019</v>
      </c>
      <c r="CI97" s="31" t="s">
        <v>200</v>
      </c>
      <c r="CJ97" s="32" t="str">
        <f>IFERROR(__xludf.DUMMYFUNCTION("IFERROR(if(ISBLANK(CI97),"" "",GOOGLEFINANCE(CH97,""Name"")), """")"),"Andhra Sugars Ltd")</f>
        <v>Andhra Sugars Ltd</v>
      </c>
      <c r="CK97" s="51">
        <f>IFERROR(__xludf.DUMMYFUNCTION("IFERROR(if(ISBLANK(CI97),"" "",GOOGLEFINANCE(CH97,""price"")), """")"),98.5)</f>
        <v>98.5</v>
      </c>
      <c r="CL97" s="22">
        <f>IFERROR(__xludf.DUMMYFUNCTION("IFERROR(if(ISBLANK(CI97),"" "",GOOGLEFINANCE(CH97,""changepct"")), """")"),-0.71)</f>
        <v>-0.71</v>
      </c>
      <c r="CM97" s="69"/>
      <c r="CN97" s="33" t="s">
        <v>2020</v>
      </c>
      <c r="CO97" s="31" t="s">
        <v>200</v>
      </c>
      <c r="CP97" s="32" t="str">
        <f>IFERROR(__xludf.DUMMYFUNCTION("IFERROR(if(ISBLANK(CO97),"" "",GOOGLEFINANCE(CN97,""Name"")), """")"),"Scoda Tubes Ltd")</f>
        <v>Scoda Tubes Ltd</v>
      </c>
      <c r="CQ97" s="51">
        <f>IFERROR(__xludf.DUMMYFUNCTION("IFERROR(if(ISBLANK(CO97),"" "",GOOGLEFINANCE(CN97,""price"")), """")"),134.0)</f>
        <v>134</v>
      </c>
      <c r="CR97" s="22">
        <f>IFERROR(__xludf.DUMMYFUNCTION("IFERROR(if(ISBLANK(CO97),"" "",GOOGLEFINANCE(CN97,""changepct"")), """")"),-4.33)</f>
        <v>-4.33</v>
      </c>
      <c r="CS97" s="69"/>
      <c r="CT97" s="33" t="s">
        <v>2021</v>
      </c>
      <c r="CU97" s="63" t="s">
        <v>200</v>
      </c>
      <c r="CV97" s="64" t="str">
        <f>IFERROR(__xludf.DUMMYFUNCTION("IFERROR(if(ISBLANK(CU97),"" "",GOOGLEFINANCE(CT97,""Name"")), """")"),"Kuantum Papers Ltd")</f>
        <v>Kuantum Papers Ltd</v>
      </c>
      <c r="CW97" s="65">
        <f>IFERROR(__xludf.DUMMYFUNCTION("IFERROR(if(ISBLANK(CU97),"" "",GOOGLEFINANCE(CT97,""price"")), """")"),86.0)</f>
        <v>86</v>
      </c>
      <c r="CX97" s="66">
        <f>IFERROR(__xludf.DUMMYFUNCTION("IFERROR(if(ISBLANK(CU97),"" "",GOOGLEFINANCE(CT97,""changepct"")), """")"),0.17)</f>
        <v>0.17</v>
      </c>
      <c r="CY97" s="69"/>
      <c r="CZ97" s="33" t="s">
        <v>2022</v>
      </c>
      <c r="DA97" s="31" t="s">
        <v>200</v>
      </c>
      <c r="DB97" s="32" t="str">
        <f>IFERROR(__xludf.DUMMYFUNCTION("IFERROR(if(ISBLANK(DA97),"" "",GOOGLEFINANCE(CZ97,""Name"")), """")"),"IRIS RegTech Solutions Ltd")</f>
        <v>IRIS RegTech Solutions Ltd</v>
      </c>
      <c r="DC97" s="51">
        <f>IFERROR(__xludf.DUMMYFUNCTION("IFERROR(if(ISBLANK(DA97),"" "",GOOGLEFINANCE(CZ97,""price"")), """")"),252.0)</f>
        <v>252</v>
      </c>
      <c r="DD97" s="22">
        <f>IFERROR(__xludf.DUMMYFUNCTION("IFERROR(if(ISBLANK(DA97),"" "",GOOGLEFINANCE(CZ97,""changepct"")), """")"),2.29)</f>
        <v>2.29</v>
      </c>
      <c r="DE97" s="69"/>
      <c r="DF97" s="69"/>
    </row>
    <row r="98" ht="11.25" customHeight="1">
      <c r="A98" s="62"/>
      <c r="B98" s="18" t="s">
        <v>2023</v>
      </c>
      <c r="C98" s="31" t="s">
        <v>200</v>
      </c>
      <c r="D98" s="32" t="str">
        <f>IFERROR(__xludf.DUMMYFUNCTION("IFERROR(if(ISBLANK(C98),"" "",GOOGLEFINANCE(B98,""Name"")), """")"),"Zydus Lifesciences Ltd")</f>
        <v>Zydus Lifesciences Ltd</v>
      </c>
      <c r="E98" s="51">
        <f>IFERROR(__xludf.DUMMYFUNCTION("IFERROR(if(ISBLANK(C98),"" "",GOOGLEFINANCE(B98,""price"")), """")"),1200.1)</f>
        <v>1200.1</v>
      </c>
      <c r="F98" s="22">
        <f>IFERROR(__xludf.DUMMYFUNCTION("IFERROR(if(ISBLANK(C98),"" "",GOOGLEFINANCE(B98,""changepct"")), """")"),0.76)</f>
        <v>0.76</v>
      </c>
      <c r="G98" s="49"/>
      <c r="H98" s="70"/>
      <c r="I98" s="25" t="s">
        <v>2025</v>
      </c>
      <c r="J98" s="31" t="s">
        <v>200</v>
      </c>
      <c r="K98" s="32" t="str">
        <f>IFERROR(__xludf.DUMMYFUNCTION("IFERROR(if(ISBLANK(J98),"" "",GOOGLEFINANCE(I98,""Name"")), """")"),"Max Financial Services Ltd")</f>
        <v>Max Financial Services Ltd</v>
      </c>
      <c r="L98" s="51">
        <f>IFERROR(__xludf.DUMMYFUNCTION("IFERROR(if(ISBLANK(J98),"" "",GOOGLEFINANCE(I98,""price"")), """")"),1514.2)</f>
        <v>1514.2</v>
      </c>
      <c r="M98" s="22">
        <f>IFERROR(__xludf.DUMMYFUNCTION("IFERROR(if(ISBLANK(J98),"" "",GOOGLEFINANCE(I98,""changepct"")), """")"),1.01)</f>
        <v>1.01</v>
      </c>
      <c r="N98" s="49"/>
      <c r="O98" s="71"/>
      <c r="P98" s="27" t="s">
        <v>2026</v>
      </c>
      <c r="Q98" s="31" t="s">
        <v>200</v>
      </c>
      <c r="R98" s="32" t="str">
        <f>IFERROR(__xludf.DUMMYFUNCTION("IFERROR(if(ISBLANK(Q98),"" "",GOOGLEFINANCE(P98,""Name"")), """")"),"Procter &amp; Gamble Hygiene &amp; Health Care")</f>
        <v>Procter &amp; Gamble Hygiene &amp; Health Care</v>
      </c>
      <c r="S98" s="51">
        <f>IFERROR(__xludf.DUMMYFUNCTION("IFERROR(if(ISBLANK(Q98),"" "",GOOGLEFINANCE(P98,""price"")), """")"),8450.0)</f>
        <v>8450</v>
      </c>
      <c r="T98" s="22">
        <f>IFERROR(__xludf.DUMMYFUNCTION("IFERROR(if(ISBLANK(Q98),"" "",GOOGLEFINANCE(P98,""changepct"")), """")"),-0.06)</f>
        <v>-0.06</v>
      </c>
      <c r="U98" s="68"/>
      <c r="V98" s="18" t="s">
        <v>2027</v>
      </c>
      <c r="W98" s="31" t="s">
        <v>200</v>
      </c>
      <c r="X98" s="32" t="str">
        <f>IFERROR(__xludf.DUMMYFUNCTION("IFERROR(if(ISBLANK(W98),"" "",GOOGLEFINANCE(V98,""Name"")), """")"),"Chambal Fertilisers and Chemicals Ltd")</f>
        <v>Chambal Fertilisers and Chemicals Ltd</v>
      </c>
      <c r="Y98" s="51">
        <f>IFERROR(__xludf.DUMMYFUNCTION("IFERROR(if(ISBLANK(W98),"" "",GOOGLEFINANCE(V98,""price"")), """")"),442.95)</f>
        <v>442.95</v>
      </c>
      <c r="Z98" s="22">
        <f>IFERROR(__xludf.DUMMYFUNCTION("IFERROR(if(ISBLANK(W98),"" "",GOOGLEFINANCE(V98,""changepct"")), """")"),-0.32)</f>
        <v>-0.32</v>
      </c>
      <c r="AA98" s="12"/>
      <c r="AB98" s="18" t="s">
        <v>2028</v>
      </c>
      <c r="AC98" s="31" t="s">
        <v>200</v>
      </c>
      <c r="AD98" s="32" t="str">
        <f>IFERROR(__xludf.DUMMYFUNCTION("IFERROR(if(ISBLANK(AC98),"" "",GOOGLEFINANCE(AB98,""Name"")), """")"),"Action Construction Equipment Ltd")</f>
        <v>Action Construction Equipment Ltd</v>
      </c>
      <c r="AE98" s="51">
        <f>IFERROR(__xludf.DUMMYFUNCTION("IFERROR(if(ISBLANK(AC98),"" "",GOOGLEFINANCE(AB98,""price"")), """")"),1097.9)</f>
        <v>1097.9</v>
      </c>
      <c r="AF98" s="22">
        <f>IFERROR(__xludf.DUMMYFUNCTION("IFERROR(if(ISBLANK(AC98),"" "",GOOGLEFINANCE(AB98,""changepct"")), """")"),2.29)</f>
        <v>2.29</v>
      </c>
      <c r="AG98" s="40"/>
      <c r="AH98" s="27" t="s">
        <v>2029</v>
      </c>
      <c r="AI98" s="31" t="s">
        <v>200</v>
      </c>
      <c r="AJ98" s="32" t="str">
        <f>IFERROR(__xludf.DUMMYFUNCTION("IFERROR(if(ISBLANK(AI98),"" "",GOOGLEFINANCE(AH98,""Name"")), """")"),"Genus Power Infrastructures Ltd")</f>
        <v>Genus Power Infrastructures Ltd</v>
      </c>
      <c r="AK98" s="51">
        <f>IFERROR(__xludf.DUMMYFUNCTION("IFERROR(if(ISBLANK(AI98),"" "",GOOGLEFINANCE(AH98,""price"")), """")"),304.1)</f>
        <v>304.1</v>
      </c>
      <c r="AL98" s="22">
        <f>IFERROR(__xludf.DUMMYFUNCTION("IFERROR(if(ISBLANK(AI98),"" "",GOOGLEFINANCE(AH98,""changepct"")), """")"),-0.47)</f>
        <v>-0.47</v>
      </c>
      <c r="AM98" s="30"/>
      <c r="AN98" s="31" t="s">
        <v>200</v>
      </c>
      <c r="AO98" s="32" t="str">
        <f>IFERROR(__xludf.DUMMYFUNCTION("IFERROR(if(ISBLANK(AN98),"" "",GOOGLEFINANCE(AM98,""Name"")), """")"),"")</f>
        <v/>
      </c>
      <c r="AP98" s="33" t="s">
        <v>2030</v>
      </c>
      <c r="AQ98" s="31" t="s">
        <v>200</v>
      </c>
      <c r="AR98" s="32" t="str">
        <f>IFERROR(__xludf.DUMMYFUNCTION("IFERROR(if(ISBLANK(AQ98),"" "",GOOGLEFINANCE(AP98,""Name"")), """")"),"Galaxy Surfactants Ltd")</f>
        <v>Galaxy Surfactants Ltd</v>
      </c>
      <c r="AS98" s="51">
        <f>IFERROR(__xludf.DUMMYFUNCTION("IFERROR(if(ISBLANK(AQ98),"" "",GOOGLEFINANCE(AP98,""price"")), """")"),2038.0)</f>
        <v>2038</v>
      </c>
      <c r="AT98" s="22">
        <f>IFERROR(__xludf.DUMMYFUNCTION("IFERROR(if(ISBLANK(AQ98),"" "",GOOGLEFINANCE(AP98,""changepct"")), """")"),-0.25)</f>
        <v>-0.25</v>
      </c>
      <c r="AU98" s="40"/>
      <c r="AV98" s="34" t="s">
        <v>2032</v>
      </c>
      <c r="AW98" s="31" t="s">
        <v>200</v>
      </c>
      <c r="AX98" s="32" t="str">
        <f>IFERROR(__xludf.DUMMYFUNCTION("IFERROR(if(ISBLANK(AW98),"" "",GOOGLEFINANCE(AV98,""Name"")), """")"),"Centum Electronics Ltd")</f>
        <v>Centum Electronics Ltd</v>
      </c>
      <c r="AY98" s="51">
        <f>IFERROR(__xludf.DUMMYFUNCTION("IFERROR(if(ISBLANK(AW98),"" "",GOOGLEFINANCE(AV98,""price"")), """")"),3780.1)</f>
        <v>3780.1</v>
      </c>
      <c r="AZ98" s="22">
        <f>IFERROR(__xludf.DUMMYFUNCTION("IFERROR(if(ISBLANK(AW98),"" "",GOOGLEFINANCE(AV98,""changepct"")), """")"),-1.08)</f>
        <v>-1.08</v>
      </c>
      <c r="BA98" s="69"/>
      <c r="BB98" s="33" t="s">
        <v>2033</v>
      </c>
      <c r="BC98" s="31" t="s">
        <v>200</v>
      </c>
      <c r="BD98" s="32" t="str">
        <f>IFERROR(__xludf.DUMMYFUNCTION("IFERROR(if(ISBLANK(BC98),"" "",GOOGLEFINANCE(BB98,""Name"")), """")"),"Pondy Oxides and Chemicals Ltd")</f>
        <v>Pondy Oxides and Chemicals Ltd</v>
      </c>
      <c r="BE98" s="51">
        <f>IFERROR(__xludf.DUMMYFUNCTION("IFERROR(if(ISBLANK(BC98),"" "",GOOGLEFINANCE(BB98,""price"")), """")"),490.7)</f>
        <v>490.7</v>
      </c>
      <c r="BF98" s="22">
        <f>IFERROR(__xludf.DUMMYFUNCTION("IFERROR(if(ISBLANK(BC98),"" "",GOOGLEFINANCE(BB98,""changepct"")), """")"),-0.45)</f>
        <v>-0.45</v>
      </c>
      <c r="BG98" s="69"/>
      <c r="BH98" s="35" t="s">
        <v>2034</v>
      </c>
      <c r="BI98" s="31" t="s">
        <v>200</v>
      </c>
      <c r="BJ98" s="32" t="str">
        <f>IFERROR(__xludf.DUMMYFUNCTION("IFERROR(if(ISBLANK(BI98),"" "",GOOGLEFINANCE(BH98,""Name"")), """")"),"Chemplast Sanmar Ltd")</f>
        <v>Chemplast Sanmar Ltd</v>
      </c>
      <c r="BK98" s="51">
        <f>IFERROR(__xludf.DUMMYFUNCTION("IFERROR(if(ISBLANK(BI98),"" "",GOOGLEFINANCE(BH98,""price"")), """")"),181.38)</f>
        <v>181.38</v>
      </c>
      <c r="BL98" s="22">
        <f>IFERROR(__xludf.DUMMYFUNCTION("IFERROR(if(ISBLANK(BI98),"" "",GOOGLEFINANCE(BH98,""changepct"")), """")"),5.65)</f>
        <v>5.65</v>
      </c>
      <c r="BM98" s="69"/>
      <c r="BN98" s="33" t="s">
        <v>2035</v>
      </c>
      <c r="BO98" s="31" t="s">
        <v>200</v>
      </c>
      <c r="BP98" s="32" t="str">
        <f>IFERROR(__xludf.DUMMYFUNCTION("IFERROR(if(ISBLANK(BO98),"" "",GOOGLEFINANCE(BN98,""Name"")), """")"),"Eveready Industries India Ltd")</f>
        <v>Eveready Industries India Ltd</v>
      </c>
      <c r="BQ98" s="51">
        <f>IFERROR(__xludf.DUMMYFUNCTION("IFERROR(if(ISBLANK(BO98),"" "",GOOGLEFINANCE(BN98,""price"")), """")"),351.5)</f>
        <v>351.5</v>
      </c>
      <c r="BR98" s="22">
        <f>IFERROR(__xludf.DUMMYFUNCTION("IFERROR(if(ISBLANK(BO98),"" "",GOOGLEFINANCE(BN98,""changepct"")), """")"),-1.64)</f>
        <v>-1.64</v>
      </c>
      <c r="BS98" s="69"/>
      <c r="BT98" s="69"/>
      <c r="BU98" s="27" t="s">
        <v>2036</v>
      </c>
      <c r="BV98" s="31" t="s">
        <v>200</v>
      </c>
      <c r="BW98" s="32" t="str">
        <f>IFERROR(__xludf.DUMMYFUNCTION("IFERROR(if(ISBLANK(BV98),"" "",GOOGLEFINANCE(BU98,""Name"")), """")"),"Algoquant Fintech Ltd")</f>
        <v>Algoquant Fintech Ltd</v>
      </c>
      <c r="BX98" s="51">
        <f>IFERROR(__xludf.DUMMYFUNCTION("IFERROR(if(ISBLANK(BV98),"" "",GOOGLEFINANCE(BU98,""price"")), """")"),67.2)</f>
        <v>67.2</v>
      </c>
      <c r="BY98" s="22">
        <f>IFERROR(__xludf.DUMMYFUNCTION("IFERROR(if(ISBLANK(BV98),"" "",GOOGLEFINANCE(BU98,""changepct"")), """")"),-0.36)</f>
        <v>-0.36</v>
      </c>
      <c r="BZ98" s="69"/>
      <c r="CA98" s="69"/>
      <c r="CB98" s="27" t="s">
        <v>2038</v>
      </c>
      <c r="CC98" s="31" t="s">
        <v>200</v>
      </c>
      <c r="CD98" s="32" t="str">
        <f>IFERROR(__xludf.DUMMYFUNCTION("IFERROR(if(ISBLANK(CC98),"" "",GOOGLEFINANCE(CB98,""Name"")), """")"),"TTK Healthcare Ltd")</f>
        <v>TTK Healthcare Ltd</v>
      </c>
      <c r="CE98" s="51">
        <f>IFERROR(__xludf.DUMMYFUNCTION("IFERROR(if(ISBLANK(CC98),"" "",GOOGLEFINANCE(CB98,""price"")), """")"),1092.0)</f>
        <v>1092</v>
      </c>
      <c r="CF98" s="22">
        <f>IFERROR(__xludf.DUMMYFUNCTION("IFERROR(if(ISBLANK(CC98),"" "",GOOGLEFINANCE(CB98,""changepct"")), """")"),0.62)</f>
        <v>0.62</v>
      </c>
      <c r="CG98" s="69"/>
      <c r="CH98" s="18" t="s">
        <v>2039</v>
      </c>
      <c r="CI98" s="31" t="s">
        <v>200</v>
      </c>
      <c r="CJ98" s="32" t="str">
        <f>IFERROR(__xludf.DUMMYFUNCTION("IFERROR(if(ISBLANK(CI98),"" "",GOOGLEFINANCE(CH98,""Name"")), """")"),"Industrial&amp;Prudential Investment Co Ltd")</f>
        <v>Industrial&amp;Prudential Investment Co Ltd</v>
      </c>
      <c r="CK98" s="51">
        <f>IFERROR(__xludf.DUMMYFUNCTION("IFERROR(if(ISBLANK(CI98),"" "",GOOGLEFINANCE(CH98,""price"")), """")"),6270.0)</f>
        <v>6270</v>
      </c>
      <c r="CL98" s="22">
        <f>IFERROR(__xludf.DUMMYFUNCTION("IFERROR(if(ISBLANK(CI98),"" "",GOOGLEFINANCE(CH98,""changepct"")), """")"),-2.87)</f>
        <v>-2.87</v>
      </c>
      <c r="CM98" s="69"/>
      <c r="CN98" s="33" t="s">
        <v>2041</v>
      </c>
      <c r="CO98" s="31" t="s">
        <v>200</v>
      </c>
      <c r="CP98" s="32" t="str">
        <f>IFERROR(__xludf.DUMMYFUNCTION("IFERROR(if(ISBLANK(CO98),"" "",GOOGLEFINANCE(CN98,""Name"")), """")"),"Likhitha Infrastructure Ltd")</f>
        <v>Likhitha Infrastructure Ltd</v>
      </c>
      <c r="CQ98" s="51">
        <f>IFERROR(__xludf.DUMMYFUNCTION("IFERROR(if(ISBLANK(CO98),"" "",GOOGLEFINANCE(CN98,""price"")), """")"),226.55)</f>
        <v>226.55</v>
      </c>
      <c r="CR98" s="22">
        <f>IFERROR(__xludf.DUMMYFUNCTION("IFERROR(if(ISBLANK(CO98),"" "",GOOGLEFINANCE(CN98,""changepct"")), """")"),-7.0)</f>
        <v>-7</v>
      </c>
      <c r="CS98" s="69"/>
      <c r="CT98" s="33" t="s">
        <v>2042</v>
      </c>
      <c r="CU98" s="63" t="s">
        <v>200</v>
      </c>
      <c r="CV98" s="64" t="str">
        <f>IFERROR(__xludf.DUMMYFUNCTION("IFERROR(if(ISBLANK(CU98),"" "",GOOGLEFINANCE(CT98,""Name"")), """")"),"Manba Finance Ltd")</f>
        <v>Manba Finance Ltd</v>
      </c>
      <c r="CW98" s="65">
        <f>IFERROR(__xludf.DUMMYFUNCTION("IFERROR(if(ISBLANK(CU98),"" "",GOOGLEFINANCE(CT98,""price"")), """")"),130.63)</f>
        <v>130.63</v>
      </c>
      <c r="CX98" s="66">
        <f>IFERROR(__xludf.DUMMYFUNCTION("IFERROR(if(ISBLANK(CU98),"" "",GOOGLEFINANCE(CT98,""changepct"")), """")"),-2.08)</f>
        <v>-2.08</v>
      </c>
      <c r="CY98" s="69"/>
      <c r="CZ98" s="33" t="s">
        <v>2043</v>
      </c>
      <c r="DA98" s="31" t="s">
        <v>200</v>
      </c>
      <c r="DB98" s="32" t="str">
        <f>IFERROR(__xludf.DUMMYFUNCTION("IFERROR(if(ISBLANK(DA98),"" "",GOOGLEFINANCE(CZ98,""Name"")), """")"),"Investment Trust of India Ltd")</f>
        <v>Investment Trust of India Ltd</v>
      </c>
      <c r="DC98" s="51">
        <f>IFERROR(__xludf.DUMMYFUNCTION("IFERROR(if(ISBLANK(DA98),"" "",GOOGLEFINANCE(CZ98,""price"")), """")"),97.7)</f>
        <v>97.7</v>
      </c>
      <c r="DD98" s="22">
        <f>IFERROR(__xludf.DUMMYFUNCTION("IFERROR(if(ISBLANK(DA98),"" "",GOOGLEFINANCE(CZ98,""changepct"")), """")"),0.99)</f>
        <v>0.99</v>
      </c>
      <c r="DE98" s="69"/>
      <c r="DF98" s="69"/>
    </row>
    <row r="99" ht="11.25" customHeight="1">
      <c r="A99" s="62"/>
      <c r="B99" s="18" t="s">
        <v>2044</v>
      </c>
      <c r="C99" s="31" t="s">
        <v>200</v>
      </c>
      <c r="D99" s="32" t="str">
        <f>IFERROR(__xludf.DUMMYFUNCTION("IFERROR(if(ISBLANK(C99),"" "",GOOGLEFINANCE(B99,""Name"")), """")"),"Canara Bank Ltd")</f>
        <v>Canara Bank Ltd</v>
      </c>
      <c r="E99" s="51">
        <f>IFERROR(__xludf.DUMMYFUNCTION("IFERROR(if(ISBLANK(C99),"" "",GOOGLEFINANCE(B99,""price"")), """")"),131.72)</f>
        <v>131.72</v>
      </c>
      <c r="F99" s="22">
        <f>IFERROR(__xludf.DUMMYFUNCTION("IFERROR(if(ISBLANK(C99),"" "",GOOGLEFINANCE(B99,""changepct"")), """")"),1.09)</f>
        <v>1.09</v>
      </c>
      <c r="G99" s="49"/>
      <c r="H99" s="70"/>
      <c r="I99" s="25" t="s">
        <v>2045</v>
      </c>
      <c r="J99" s="31" t="s">
        <v>200</v>
      </c>
      <c r="K99" s="32" t="str">
        <f>IFERROR(__xludf.DUMMYFUNCTION("IFERROR(if(ISBLANK(J99),"" "",GOOGLEFINANCE(I99,""Name"")), """")"),"Thermax Limited")</f>
        <v>Thermax Limited</v>
      </c>
      <c r="L99" s="51">
        <f>IFERROR(__xludf.DUMMYFUNCTION("IFERROR(if(ISBLANK(J99),"" "",GOOGLEFINANCE(I99,""price"")), """")"),4084.0)</f>
        <v>4084</v>
      </c>
      <c r="M99" s="22">
        <f>IFERROR(__xludf.DUMMYFUNCTION("IFERROR(if(ISBLANK(J99),"" "",GOOGLEFINANCE(I99,""changepct"")), """")"),1.45)</f>
        <v>1.45</v>
      </c>
      <c r="N99" s="49"/>
      <c r="O99" s="71"/>
      <c r="P99" s="27" t="s">
        <v>2047</v>
      </c>
      <c r="Q99" s="31" t="s">
        <v>200</v>
      </c>
      <c r="R99" s="32" t="str">
        <f>IFERROR(__xludf.DUMMYFUNCTION("IFERROR(if(ISBLANK(Q99),"" "",GOOGLEFINANCE(P99,""Name"")), """")"),"Central Depository Services (India) Ltd")</f>
        <v>Central Depository Services (India) Ltd</v>
      </c>
      <c r="S99" s="51">
        <f>IFERROR(__xludf.DUMMYFUNCTION("IFERROR(if(ISBLANK(Q99),"" "",GOOGLEFINANCE(P99,""price"")), """")"),1342.1)</f>
        <v>1342.1</v>
      </c>
      <c r="T99" s="22">
        <f>IFERROR(__xludf.DUMMYFUNCTION("IFERROR(if(ISBLANK(Q99),"" "",GOOGLEFINANCE(P99,""changepct"")), """")"),-0.36)</f>
        <v>-0.36</v>
      </c>
      <c r="U99" s="68"/>
      <c r="V99" s="18" t="s">
        <v>2048</v>
      </c>
      <c r="W99" s="31" t="s">
        <v>200</v>
      </c>
      <c r="X99" s="32" t="str">
        <f>IFERROR(__xludf.DUMMYFUNCTION("IFERROR(if(ISBLANK(W99),"" "",GOOGLEFINANCE(V99,""Name"")), """")"),"Emami Ltd")</f>
        <v>Emami Ltd</v>
      </c>
      <c r="Y99" s="51">
        <f>IFERROR(__xludf.DUMMYFUNCTION("IFERROR(if(ISBLANK(W99),"" "",GOOGLEFINANCE(V99,""price"")), """")"),396.35)</f>
        <v>396.35</v>
      </c>
      <c r="Z99" s="22">
        <f>IFERROR(__xludf.DUMMYFUNCTION("IFERROR(if(ISBLANK(W99),"" "",GOOGLEFINANCE(V99,""changepct"")), """")"),-1.48)</f>
        <v>-1.48</v>
      </c>
      <c r="AA99" s="12"/>
      <c r="AB99" s="18" t="s">
        <v>2049</v>
      </c>
      <c r="AC99" s="31" t="s">
        <v>200</v>
      </c>
      <c r="AD99" s="32" t="str">
        <f>IFERROR(__xludf.DUMMYFUNCTION("IFERROR(if(ISBLANK(AC99),"" "",GOOGLEFINANCE(AB99,""Name"")), """")"),"HEG Ltd")</f>
        <v>HEG Ltd</v>
      </c>
      <c r="AE99" s="51">
        <f>IFERROR(__xludf.DUMMYFUNCTION("IFERROR(if(ISBLANK(AC99),"" "",GOOGLEFINANCE(AB99,""price"")), """")"),672.35)</f>
        <v>672.35</v>
      </c>
      <c r="AF99" s="22">
        <f>IFERROR(__xludf.DUMMYFUNCTION("IFERROR(if(ISBLANK(AC99),"" "",GOOGLEFINANCE(AB99,""changepct"")), """")"),-0.87)</f>
        <v>-0.87</v>
      </c>
      <c r="AG99" s="72"/>
      <c r="AH99" s="27" t="s">
        <v>2050</v>
      </c>
      <c r="AI99" s="31" t="s">
        <v>200</v>
      </c>
      <c r="AJ99" s="32" t="str">
        <f>IFERROR(__xludf.DUMMYFUNCTION("IFERROR(if(ISBLANK(AI99),"" "",GOOGLEFINANCE(AH99,""Name"")), """")"),"Strides Pharma Science Ltd")</f>
        <v>Strides Pharma Science Ltd</v>
      </c>
      <c r="AK99" s="51">
        <f>IFERROR(__xludf.DUMMYFUNCTION("IFERROR(if(ISBLANK(AI99),"" "",GOOGLEFINANCE(AH99,""price"")), """")"),990.0)</f>
        <v>990</v>
      </c>
      <c r="AL99" s="22">
        <f>IFERROR(__xludf.DUMMYFUNCTION("IFERROR(if(ISBLANK(AI99),"" "",GOOGLEFINANCE(AH99,""changepct"")), """")"),-1.28)</f>
        <v>-1.28</v>
      </c>
      <c r="AM99" s="22"/>
      <c r="AN99" s="73"/>
      <c r="AO99" s="73"/>
      <c r="AP99" s="33" t="s">
        <v>2051</v>
      </c>
      <c r="AQ99" s="31" t="s">
        <v>200</v>
      </c>
      <c r="AR99" s="32" t="str">
        <f>IFERROR(__xludf.DUMMYFUNCTION("IFERROR(if(ISBLANK(AQ99),"" "",GOOGLEFINANCE(AP99,""Name"")), """")"),"Ethos Ltd")</f>
        <v>Ethos Ltd</v>
      </c>
      <c r="AS99" s="51">
        <f>IFERROR(__xludf.DUMMYFUNCTION("IFERROR(if(ISBLANK(AQ99),"" "",GOOGLEFINANCE(AP99,""price"")), """")"),2801.5)</f>
        <v>2801.5</v>
      </c>
      <c r="AT99" s="22">
        <f>IFERROR(__xludf.DUMMYFUNCTION("IFERROR(if(ISBLANK(AQ99),"" "",GOOGLEFINANCE(AP99,""changepct"")), """")"),-0.98)</f>
        <v>-0.98</v>
      </c>
      <c r="AU99" s="73"/>
      <c r="AV99" s="34" t="s">
        <v>2053</v>
      </c>
      <c r="AW99" s="31" t="s">
        <v>200</v>
      </c>
      <c r="AX99" s="32" t="str">
        <f>IFERROR(__xludf.DUMMYFUNCTION("IFERROR(if(ISBLANK(AW99),"" "",GOOGLEFINANCE(AV99,""Name"")), """")"),"Surya Roshni Ltd")</f>
        <v>Surya Roshni Ltd</v>
      </c>
      <c r="AY99" s="51">
        <f>IFERROR(__xludf.DUMMYFUNCTION("IFERROR(if(ISBLANK(AW99),"" "",GOOGLEFINANCE(AV99,""price"")), """")"),224.5)</f>
        <v>224.5</v>
      </c>
      <c r="AZ99" s="22">
        <f>IFERROR(__xludf.DUMMYFUNCTION("IFERROR(if(ISBLANK(AW99),"" "",GOOGLEFINANCE(AV99,""changepct"")), """")"),-4.8)</f>
        <v>-4.8</v>
      </c>
      <c r="BA99" s="73"/>
      <c r="BB99" s="33" t="s">
        <v>2054</v>
      </c>
      <c r="BC99" s="31" t="s">
        <v>200</v>
      </c>
      <c r="BD99" s="32" t="str">
        <f>IFERROR(__xludf.DUMMYFUNCTION("IFERROR(if(ISBLANK(BC99),"" "",GOOGLEFINANCE(BB99,""Name"")), """")"),"Bajaj Hindusthan Sugar Ltd")</f>
        <v>Bajaj Hindusthan Sugar Ltd</v>
      </c>
      <c r="BE99" s="51">
        <f>IFERROR(__xludf.DUMMYFUNCTION("IFERROR(if(ISBLANK(BC99),"" "",GOOGLEFINANCE(BB99,""price"")), """")"),17.88)</f>
        <v>17.88</v>
      </c>
      <c r="BF99" s="22">
        <f>IFERROR(__xludf.DUMMYFUNCTION("IFERROR(if(ISBLANK(BC99),"" "",GOOGLEFINANCE(BB99,""changepct"")), """")"),-1.0)</f>
        <v>-1</v>
      </c>
      <c r="BG99" s="73"/>
      <c r="BH99" s="35" t="s">
        <v>2055</v>
      </c>
      <c r="BI99" s="31" t="s">
        <v>200</v>
      </c>
      <c r="BJ99" s="32" t="str">
        <f>IFERROR(__xludf.DUMMYFUNCTION("IFERROR(if(ISBLANK(BI99),"" "",GOOGLEFINANCE(BH99,""Name"")), """")"),"Sangam (India) Ltd")</f>
        <v>Sangam (India) Ltd</v>
      </c>
      <c r="BK99" s="51">
        <f>IFERROR(__xludf.DUMMYFUNCTION("IFERROR(if(ISBLANK(BI99),"" "",GOOGLEFINANCE(BH99,""price"")), """")"),580.0)</f>
        <v>580</v>
      </c>
      <c r="BL99" s="22">
        <f>IFERROR(__xludf.DUMMYFUNCTION("IFERROR(if(ISBLANK(BI99),"" "",GOOGLEFINANCE(BH99,""changepct"")), """")"),-0.34)</f>
        <v>-0.34</v>
      </c>
      <c r="BM99" s="73"/>
      <c r="BN99" s="33" t="s">
        <v>2056</v>
      </c>
      <c r="BO99" s="31" t="s">
        <v>200</v>
      </c>
      <c r="BP99" s="32" t="str">
        <f>IFERROR(__xludf.DUMMYFUNCTION("IFERROR(if(ISBLANK(BO99),"" "",GOOGLEFINANCE(BN99,""Name"")), """")"),"Ajmera Realty &amp; Infra India Ltd")</f>
        <v>Ajmera Realty &amp; Infra India Ltd</v>
      </c>
      <c r="BQ99" s="51">
        <f>IFERROR(__xludf.DUMMYFUNCTION("IFERROR(if(ISBLANK(BO99),"" "",GOOGLEFINANCE(BN99,""price"")), """")"),117.62)</f>
        <v>117.62</v>
      </c>
      <c r="BR99" s="22">
        <f>IFERROR(__xludf.DUMMYFUNCTION("IFERROR(if(ISBLANK(BO99),"" "",GOOGLEFINANCE(BN99,""changepct"")), """")"),-3.49)</f>
        <v>-3.49</v>
      </c>
      <c r="BS99" s="73"/>
      <c r="BT99" s="73"/>
      <c r="BU99" s="27" t="s">
        <v>2057</v>
      </c>
      <c r="BV99" s="31" t="s">
        <v>200</v>
      </c>
      <c r="BW99" s="32" t="str">
        <f>IFERROR(__xludf.DUMMYFUNCTION("IFERROR(if(ISBLANK(BV99),"" "",GOOGLEFINANCE(BU99,""Name"")), """")"),"Goodyear India Ltd")</f>
        <v>Goodyear India Ltd</v>
      </c>
      <c r="BX99" s="51">
        <f>IFERROR(__xludf.DUMMYFUNCTION("IFERROR(if(ISBLANK(BV99),"" "",GOOGLEFINANCE(BU99,""price"")), """")"),801.0)</f>
        <v>801</v>
      </c>
      <c r="BY99" s="22">
        <f>IFERROR(__xludf.DUMMYFUNCTION("IFERROR(if(ISBLANK(BV99),"" "",GOOGLEFINANCE(BU99,""changepct"")), """")"),2.92)</f>
        <v>2.92</v>
      </c>
      <c r="BZ99" s="73"/>
      <c r="CA99" s="73"/>
      <c r="CB99" s="27" t="s">
        <v>2059</v>
      </c>
      <c r="CC99" s="31" t="s">
        <v>200</v>
      </c>
      <c r="CD99" s="32" t="str">
        <f>IFERROR(__xludf.DUMMYFUNCTION("IFERROR(if(ISBLANK(CC99),"" "",GOOGLEFINANCE(CB99,""Name"")), """")"),"Kapston Services Ltd")</f>
        <v>Kapston Services Ltd</v>
      </c>
      <c r="CE99" s="51">
        <f>IFERROR(__xludf.DUMMYFUNCTION("IFERROR(if(ISBLANK(CC99),"" "",GOOGLEFINANCE(CB99,""price"")), """")"),584.5)</f>
        <v>584.5</v>
      </c>
      <c r="CF99" s="22">
        <f>IFERROR(__xludf.DUMMYFUNCTION("IFERROR(if(ISBLANK(CC99),"" "",GOOGLEFINANCE(CB99,""changepct"")), """")"),3.75)</f>
        <v>3.75</v>
      </c>
      <c r="CG99" s="73"/>
      <c r="CH99" s="18" t="s">
        <v>2060</v>
      </c>
      <c r="CI99" s="31" t="s">
        <v>200</v>
      </c>
      <c r="CJ99" s="32" t="str">
        <f>IFERROR(__xludf.DUMMYFUNCTION("IFERROR(if(ISBLANK(CI99),"" "",GOOGLEFINANCE(CH99,""Name"")), """")"),"Alicon Castalloy Ltd")</f>
        <v>Alicon Castalloy Ltd</v>
      </c>
      <c r="CK99" s="51">
        <f>IFERROR(__xludf.DUMMYFUNCTION("IFERROR(if(ISBLANK(CI99),"" "",GOOGLEFINANCE(CH99,""price"")), """")"),769.5)</f>
        <v>769.5</v>
      </c>
      <c r="CL99" s="22">
        <f>IFERROR(__xludf.DUMMYFUNCTION("IFERROR(if(ISBLANK(CI99),"" "",GOOGLEFINANCE(CH99,""changepct"")), """")"),5.62)</f>
        <v>5.62</v>
      </c>
      <c r="CM99" s="73"/>
      <c r="CN99" s="33" t="s">
        <v>2061</v>
      </c>
      <c r="CO99" s="31" t="s">
        <v>200</v>
      </c>
      <c r="CP99" s="32" t="str">
        <f>IFERROR(__xludf.DUMMYFUNCTION("IFERROR(if(ISBLANK(CO99),"" "",GOOGLEFINANCE(CN99,""Name"")), """")"),"Modison Ltd")</f>
        <v>Modison Ltd</v>
      </c>
      <c r="CQ99" s="51">
        <f>IFERROR(__xludf.DUMMYFUNCTION("IFERROR(if(ISBLANK(CO99),"" "",GOOGLEFINANCE(CN99,""price"")), """")"),309.0)</f>
        <v>309</v>
      </c>
      <c r="CR99" s="22">
        <f>IFERROR(__xludf.DUMMYFUNCTION("IFERROR(if(ISBLANK(CO99),"" "",GOOGLEFINANCE(CN99,""changepct"")), """")"),0.5)</f>
        <v>0.5</v>
      </c>
      <c r="CS99" s="73"/>
      <c r="CT99" s="33" t="s">
        <v>2062</v>
      </c>
      <c r="CU99" s="63" t="s">
        <v>200</v>
      </c>
      <c r="CV99" s="64" t="str">
        <f>IFERROR(__xludf.DUMMYFUNCTION("IFERROR(if(ISBLANK(CU99),"" "",GOOGLEFINANCE(CT99,""Name"")), """")"),"Innovision Ltd")</f>
        <v>Innovision Ltd</v>
      </c>
      <c r="CW99" s="65">
        <f>IFERROR(__xludf.DUMMYFUNCTION("IFERROR(if(ISBLANK(CU99),"" "",GOOGLEFINANCE(CT99,""price"")), """")"),287.7)</f>
        <v>287.7</v>
      </c>
      <c r="CX99" s="66">
        <f>IFERROR(__xludf.DUMMYFUNCTION("IFERROR(if(ISBLANK(CU99),"" "",GOOGLEFINANCE(CT99,""changepct"")), """")"),0.88)</f>
        <v>0.88</v>
      </c>
      <c r="CY99" s="73"/>
      <c r="CZ99" s="33" t="s">
        <v>2064</v>
      </c>
      <c r="DA99" s="31" t="s">
        <v>200</v>
      </c>
      <c r="DB99" s="32" t="str">
        <f>IFERROR(__xludf.DUMMYFUNCTION("IFERROR(if(ISBLANK(DA99),"" "",GOOGLEFINANCE(CZ99,""Name"")), """")"),"Sayaji Hotels Ltd")</f>
        <v>Sayaji Hotels Ltd</v>
      </c>
      <c r="DC99" s="51">
        <f>IFERROR(__xludf.DUMMYFUNCTION("IFERROR(if(ISBLANK(DA99),"" "",GOOGLEFINANCE(CZ99,""price"")), """")"),328.0)</f>
        <v>328</v>
      </c>
      <c r="DD99" s="22">
        <f>IFERROR(__xludf.DUMMYFUNCTION("IFERROR(if(ISBLANK(DA99),"" "",GOOGLEFINANCE(CZ99,""changepct"")), """")"),4.78)</f>
        <v>4.78</v>
      </c>
      <c r="DE99" s="73"/>
      <c r="DF99" s="73"/>
    </row>
    <row r="100" ht="11.25" customHeight="1">
      <c r="A100" s="62"/>
      <c r="B100" s="18" t="s">
        <v>2065</v>
      </c>
      <c r="C100" s="31" t="s">
        <v>200</v>
      </c>
      <c r="D100" s="32" t="str">
        <f>IFERROR(__xludf.DUMMYFUNCTION("IFERROR(if(ISBLANK(C100),"" "",GOOGLEFINANCE(B100,""Name"")), """")"),"Marico Ltd")</f>
        <v>Marico Ltd</v>
      </c>
      <c r="E100" s="51">
        <f>IFERROR(__xludf.DUMMYFUNCTION("IFERROR(if(ISBLANK(C100),"" "",GOOGLEFINANCE(B100,""price"")), """")"),849.4)</f>
        <v>849.4</v>
      </c>
      <c r="F100" s="22">
        <f>IFERROR(__xludf.DUMMYFUNCTION("IFERROR(if(ISBLANK(C100),"" "",GOOGLEFINANCE(B100,""changepct"")), """")"),-0.65)</f>
        <v>-0.65</v>
      </c>
      <c r="G100" s="49"/>
      <c r="H100" s="70"/>
      <c r="I100" s="25" t="s">
        <v>2066</v>
      </c>
      <c r="J100" s="31" t="s">
        <v>200</v>
      </c>
      <c r="K100" s="32" t="str">
        <f>IFERROR(__xludf.DUMMYFUNCTION("IFERROR(if(ISBLANK(J100),"" "",GOOGLEFINANCE(I100,""Name"")), """")"),"Motilal Oswal Financial Services Ltd")</f>
        <v>Motilal Oswal Financial Services Ltd</v>
      </c>
      <c r="L100" s="51">
        <f>IFERROR(__xludf.DUMMYFUNCTION("IFERROR(if(ISBLANK(J100),"" "",GOOGLEFINANCE(I100,""price"")), """")"),895.7)</f>
        <v>895.7</v>
      </c>
      <c r="M100" s="22">
        <f>IFERROR(__xludf.DUMMYFUNCTION("IFERROR(if(ISBLANK(J100),"" "",GOOGLEFINANCE(I100,""changepct"")), """")"),0.87)</f>
        <v>0.87</v>
      </c>
      <c r="N100" s="49"/>
      <c r="O100" s="71"/>
      <c r="P100" s="27" t="s">
        <v>2067</v>
      </c>
      <c r="Q100" s="31" t="s">
        <v>200</v>
      </c>
      <c r="R100" s="32" t="str">
        <f>IFERROR(__xludf.DUMMYFUNCTION("IFERROR(if(ISBLANK(Q100),"" "",GOOGLEFINANCE(P100,""Name"")), """")"),"ZF Commercial Vehl Cntrl Sytm India Ltd")</f>
        <v>ZF Commercial Vehl Cntrl Sytm India Ltd</v>
      </c>
      <c r="S100" s="51">
        <f>IFERROR(__xludf.DUMMYFUNCTION("IFERROR(if(ISBLANK(Q100),"" "",GOOGLEFINANCE(P100,""price"")), """")"),2612.3)</f>
        <v>2612.3</v>
      </c>
      <c r="T100" s="22">
        <f>IFERROR(__xludf.DUMMYFUNCTION("IFERROR(if(ISBLANK(Q100),"" "",GOOGLEFINANCE(P100,""changepct"")), """")"),-0.1)</f>
        <v>-0.1</v>
      </c>
      <c r="U100" s="68"/>
      <c r="V100" s="18" t="s">
        <v>2068</v>
      </c>
      <c r="W100" s="31" t="s">
        <v>200</v>
      </c>
      <c r="X100" s="32" t="str">
        <f>IFERROR(__xludf.DUMMYFUNCTION("IFERROR(if(ISBLANK(W100),"" "",GOOGLEFINANCE(V100,""Name"")), """")"),"eClerx Services Ltd")</f>
        <v>eClerx Services Ltd</v>
      </c>
      <c r="Y100" s="51">
        <f>IFERROR(__xludf.DUMMYFUNCTION("IFERROR(if(ISBLANK(W100),"" "",GOOGLEFINANCE(V100,""price"")), """")"),1812.0)</f>
        <v>1812</v>
      </c>
      <c r="Z100" s="22">
        <f>IFERROR(__xludf.DUMMYFUNCTION("IFERROR(if(ISBLANK(W100),"" "",GOOGLEFINANCE(V100,""changepct"")), """")"),0.91)</f>
        <v>0.91</v>
      </c>
      <c r="AA100" s="12"/>
      <c r="AB100" s="18" t="s">
        <v>2069</v>
      </c>
      <c r="AC100" s="31" t="s">
        <v>200</v>
      </c>
      <c r="AD100" s="32" t="str">
        <f>IFERROR(__xludf.DUMMYFUNCTION("IFERROR(if(ISBLANK(AC100),"" "",GOOGLEFINANCE(AB100,""Name"")), """")"),"Park Medi World Ltd")</f>
        <v>Park Medi World Ltd</v>
      </c>
      <c r="AE100" s="51">
        <f>IFERROR(__xludf.DUMMYFUNCTION("IFERROR(if(ISBLANK(AC100),"" "",GOOGLEFINANCE(AB100,""price"")), """")"),283.2)</f>
        <v>283.2</v>
      </c>
      <c r="AF100" s="22">
        <f>IFERROR(__xludf.DUMMYFUNCTION("IFERROR(if(ISBLANK(AC100),"" "",GOOGLEFINANCE(AB100,""changepct"")), """")"),0.23)</f>
        <v>0.23</v>
      </c>
      <c r="AG100" s="40"/>
      <c r="AH100" s="27" t="s">
        <v>2070</v>
      </c>
      <c r="AI100" s="31" t="s">
        <v>200</v>
      </c>
      <c r="AJ100" s="32" t="str">
        <f>IFERROR(__xludf.DUMMYFUNCTION("IFERROR(if(ISBLANK(AI100),"" "",GOOGLEFINANCE(AH100,""Name"")), """")"),"Cyient Ltd")</f>
        <v>Cyient Ltd</v>
      </c>
      <c r="AK100" s="51">
        <f>IFERROR(__xludf.DUMMYFUNCTION("IFERROR(if(ISBLANK(AI100),"" "",GOOGLEFINANCE(AH100,""price"")), """")"),842.0)</f>
        <v>842</v>
      </c>
      <c r="AL100" s="22">
        <f>IFERROR(__xludf.DUMMYFUNCTION("IFERROR(if(ISBLANK(AI100),"" "",GOOGLEFINANCE(AH100,""changepct"")), """")"),-1.34)</f>
        <v>-1.34</v>
      </c>
      <c r="AM100" s="22"/>
      <c r="AN100" s="69"/>
      <c r="AO100" s="69"/>
      <c r="AP100" s="33" t="s">
        <v>2071</v>
      </c>
      <c r="AQ100" s="31" t="s">
        <v>200</v>
      </c>
      <c r="AR100" s="32" t="str">
        <f>IFERROR(__xludf.DUMMYFUNCTION("IFERROR(if(ISBLANK(AQ100),"" "",GOOGLEFINANCE(AP100,""Name"")), """")"),"Birla Corporation Ltd")</f>
        <v>Birla Corporation Ltd</v>
      </c>
      <c r="AS100" s="51">
        <f>IFERROR(__xludf.DUMMYFUNCTION("IFERROR(if(ISBLANK(AQ100),"" "",GOOGLEFINANCE(AP100,""price"")), """")"),904.0)</f>
        <v>904</v>
      </c>
      <c r="AT100" s="22">
        <f>IFERROR(__xludf.DUMMYFUNCTION("IFERROR(if(ISBLANK(AQ100),"" "",GOOGLEFINANCE(AP100,""changepct"")), """")"),0.65)</f>
        <v>0.65</v>
      </c>
      <c r="AU100" s="69"/>
      <c r="AV100" s="34" t="s">
        <v>2073</v>
      </c>
      <c r="AW100" s="31" t="s">
        <v>200</v>
      </c>
      <c r="AX100" s="32" t="str">
        <f>IFERROR(__xludf.DUMMYFUNCTION("IFERROR(if(ISBLANK(AW100),"" "",GOOGLEFINANCE(AV100,""Name"")), """")"),"Canara Robeco Asset Management Cmpny Ltd")</f>
        <v>Canara Robeco Asset Management Cmpny Ltd</v>
      </c>
      <c r="AY100" s="51">
        <f>IFERROR(__xludf.DUMMYFUNCTION("IFERROR(if(ISBLANK(AW100),"" "",GOOGLEFINANCE(AV100,""price"")), """")"),257.8)</f>
        <v>257.8</v>
      </c>
      <c r="AZ100" s="22">
        <f>IFERROR(__xludf.DUMMYFUNCTION("IFERROR(if(ISBLANK(AW100),"" "",GOOGLEFINANCE(AV100,""changepct"")), """")"),0.45)</f>
        <v>0.45</v>
      </c>
      <c r="BA100" s="69"/>
      <c r="BB100" s="33" t="s">
        <v>2074</v>
      </c>
      <c r="BC100" s="31" t="s">
        <v>200</v>
      </c>
      <c r="BD100" s="32" t="str">
        <f>IFERROR(__xludf.DUMMYFUNCTION("IFERROR(if(ISBLANK(BC100),"" "",GOOGLEFINANCE(BB100,""Name"")), """")"),"Samhi Hotels Ltd")</f>
        <v>Samhi Hotels Ltd</v>
      </c>
      <c r="BE100" s="51">
        <f>IFERROR(__xludf.DUMMYFUNCTION("IFERROR(if(ISBLANK(BC100),"" "",GOOGLEFINANCE(BB100,""price"")), """")"),164.48)</f>
        <v>164.48</v>
      </c>
      <c r="BF100" s="22">
        <f>IFERROR(__xludf.DUMMYFUNCTION("IFERROR(if(ISBLANK(BC100),"" "",GOOGLEFINANCE(BB100,""changepct"")), """")"),-0.2)</f>
        <v>-0.2</v>
      </c>
      <c r="BG100" s="69"/>
      <c r="BH100" s="35" t="s">
        <v>2075</v>
      </c>
      <c r="BI100" s="31" t="s">
        <v>200</v>
      </c>
      <c r="BJ100" s="32" t="str">
        <f>IFERROR(__xludf.DUMMYFUNCTION("IFERROR(if(ISBLANK(BI100),"" "",GOOGLEFINANCE(BH100,""Name"")), """")"),"Heritage Foods Ltd")</f>
        <v>Heritage Foods Ltd</v>
      </c>
      <c r="BK100" s="51">
        <f>IFERROR(__xludf.DUMMYFUNCTION("IFERROR(if(ISBLANK(BI100),"" "",GOOGLEFINANCE(BH100,""price"")), """")"),360.0)</f>
        <v>360</v>
      </c>
      <c r="BL100" s="22">
        <f>IFERROR(__xludf.DUMMYFUNCTION("IFERROR(if(ISBLANK(BI100),"" "",GOOGLEFINANCE(BH100,""changepct"")), """")"),-0.72)</f>
        <v>-0.72</v>
      </c>
      <c r="BM100" s="69"/>
      <c r="BN100" s="33" t="s">
        <v>2076</v>
      </c>
      <c r="BO100" s="31" t="s">
        <v>200</v>
      </c>
      <c r="BP100" s="32" t="str">
        <f>IFERROR(__xludf.DUMMYFUNCTION("IFERROR(if(ISBLANK(BO100),"" "",GOOGLEFINANCE(BN100,""Name"")), """")"),"Solara Active Pharma Sciences Ltd")</f>
        <v>Solara Active Pharma Sciences Ltd</v>
      </c>
      <c r="BQ100" s="51">
        <f>IFERROR(__xludf.DUMMYFUNCTION("IFERROR(if(ISBLANK(BO100),"" "",GOOGLEFINANCE(BN100,""price"")), """")"),505.6)</f>
        <v>505.6</v>
      </c>
      <c r="BR100" s="22">
        <f>IFERROR(__xludf.DUMMYFUNCTION("IFERROR(if(ISBLANK(BO100),"" "",GOOGLEFINANCE(BN100,""changepct"")), """")"),-0.61)</f>
        <v>-0.61</v>
      </c>
      <c r="BS100" s="69"/>
      <c r="BT100" s="69"/>
      <c r="BU100" s="27" t="s">
        <v>2077</v>
      </c>
      <c r="BV100" s="31" t="s">
        <v>200</v>
      </c>
      <c r="BW100" s="32" t="str">
        <f>IFERROR(__xludf.DUMMYFUNCTION("IFERROR(if(ISBLANK(BV100),"" "",GOOGLEFINANCE(BU100,""Name"")), """")"),"Shipping Corprt of India Lnd and Ast Ltd")</f>
        <v>Shipping Corprt of India Lnd and Ast Ltd</v>
      </c>
      <c r="BX100" s="51">
        <f>IFERROR(__xludf.DUMMYFUNCTION("IFERROR(if(ISBLANK(BV100),"" "",GOOGLEFINANCE(BU100,""price"")), """")"),40.66)</f>
        <v>40.66</v>
      </c>
      <c r="BY100" s="22">
        <f>IFERROR(__xludf.DUMMYFUNCTION("IFERROR(if(ISBLANK(BV100),"" "",GOOGLEFINANCE(BU100,""changepct"")), """")"),-0.59)</f>
        <v>-0.59</v>
      </c>
      <c r="BZ100" s="69"/>
      <c r="CA100" s="69"/>
      <c r="CB100" s="27" t="s">
        <v>2078</v>
      </c>
      <c r="CC100" s="31" t="s">
        <v>200</v>
      </c>
      <c r="CD100" s="32" t="str">
        <f>IFERROR(__xludf.DUMMYFUNCTION("IFERROR(if(ISBLANK(CC100),"" "",GOOGLEFINANCE(CB100,""Name"")), """")"),"Sula Vineyards Ltd")</f>
        <v>Sula Vineyards Ltd</v>
      </c>
      <c r="CE100" s="51">
        <f>IFERROR(__xludf.DUMMYFUNCTION("IFERROR(if(ISBLANK(CC100),"" "",GOOGLEFINANCE(CB100,""price"")), """")"),150.92)</f>
        <v>150.92</v>
      </c>
      <c r="CF100" s="22">
        <f>IFERROR(__xludf.DUMMYFUNCTION("IFERROR(if(ISBLANK(CC100),"" "",GOOGLEFINANCE(CB100,""changepct"")), """")"),-0.91)</f>
        <v>-0.91</v>
      </c>
      <c r="CG100" s="69"/>
      <c r="CH100" s="18" t="s">
        <v>2079</v>
      </c>
      <c r="CI100" s="31" t="s">
        <v>200</v>
      </c>
      <c r="CJ100" s="32" t="str">
        <f>IFERROR(__xludf.DUMMYFUNCTION("IFERROR(if(ISBLANK(CI100),"" "",GOOGLEFINANCE(CH100,""Name"")), """")"),"Investment &amp; Precision Castings Ltd")</f>
        <v>Investment &amp; Precision Castings Ltd</v>
      </c>
      <c r="CK100" s="51">
        <f>IFERROR(__xludf.DUMMYFUNCTION("IFERROR(if(ISBLANK(CI100),"" "",GOOGLEFINANCE(CH100,""price"")), """")"),1138.0)</f>
        <v>1138</v>
      </c>
      <c r="CL100" s="22">
        <f>IFERROR(__xludf.DUMMYFUNCTION("IFERROR(if(ISBLANK(CI100),"" "",GOOGLEFINANCE(CH100,""changepct"")), """")"),-0.26)</f>
        <v>-0.26</v>
      </c>
      <c r="CM100" s="69"/>
      <c r="CN100" s="33" t="s">
        <v>2080</v>
      </c>
      <c r="CO100" s="31" t="s">
        <v>200</v>
      </c>
      <c r="CP100" s="32" t="str">
        <f>IFERROR(__xludf.DUMMYFUNCTION("IFERROR(if(ISBLANK(CO100),"" "",GOOGLEFINANCE(CN100,""Name"")), """")"),"New Delhi Television Ltd")</f>
        <v>New Delhi Television Ltd</v>
      </c>
      <c r="CQ100" s="51">
        <f>IFERROR(__xludf.DUMMYFUNCTION("IFERROR(if(ISBLANK(CO100),"" "",GOOGLEFINANCE(CN100,""price"")), """")"),76.55)</f>
        <v>76.55</v>
      </c>
      <c r="CR100" s="22">
        <f>IFERROR(__xludf.DUMMYFUNCTION("IFERROR(if(ISBLANK(CO100),"" "",GOOGLEFINANCE(CN100,""changepct"")), """")"),-0.52)</f>
        <v>-0.52</v>
      </c>
      <c r="CS100" s="69"/>
      <c r="CT100" s="33" t="s">
        <v>2081</v>
      </c>
      <c r="CU100" s="63" t="s">
        <v>200</v>
      </c>
      <c r="CV100" s="64" t="str">
        <f>IFERROR(__xludf.DUMMYFUNCTION("IFERROR(if(ISBLANK(CU100),"" "",GOOGLEFINANCE(CT100,""Name"")), """")"),"20 Microns Ltd")</f>
        <v>20 Microns Ltd</v>
      </c>
      <c r="CW100" s="65">
        <f>IFERROR(__xludf.DUMMYFUNCTION("IFERROR(if(ISBLANK(CU100),"" "",GOOGLEFINANCE(CT100,""price"")), """")"),183.52)</f>
        <v>183.52</v>
      </c>
      <c r="CX100" s="66">
        <f>IFERROR(__xludf.DUMMYFUNCTION("IFERROR(if(ISBLANK(CU100),"" "",GOOGLEFINANCE(CT100,""changepct"")), """")"),-1.29)</f>
        <v>-1.29</v>
      </c>
      <c r="CY100" s="69"/>
      <c r="CZ100" s="33" t="s">
        <v>2082</v>
      </c>
      <c r="DA100" s="31" t="s">
        <v>200</v>
      </c>
      <c r="DB100" s="32" t="str">
        <f>IFERROR(__xludf.DUMMYFUNCTION("IFERROR(if(ISBLANK(DA100),"" "",GOOGLEFINANCE(CZ100,""Name"")), """")"),"Kanpur Plastipack Limited")</f>
        <v>Kanpur Plastipack Limited</v>
      </c>
      <c r="DC100" s="51">
        <f>IFERROR(__xludf.DUMMYFUNCTION("IFERROR(if(ISBLANK(DA100),"" "",GOOGLEFINANCE(CZ100,""price"")), """")"),234.1)</f>
        <v>234.1</v>
      </c>
      <c r="DD100" s="22">
        <f>IFERROR(__xludf.DUMMYFUNCTION("IFERROR(if(ISBLANK(DA100),"" "",GOOGLEFINANCE(CZ100,""changepct"")), """")"),8.42)</f>
        <v>8.42</v>
      </c>
      <c r="DE100" s="69"/>
      <c r="DF100" s="69"/>
    </row>
    <row r="101" ht="11.25" customHeight="1">
      <c r="A101" s="62"/>
      <c r="B101" s="18" t="s">
        <v>2084</v>
      </c>
      <c r="C101" s="31" t="s">
        <v>200</v>
      </c>
      <c r="D101" s="32" t="str">
        <f>IFERROR(__xludf.DUMMYFUNCTION("IFERROR(if(ISBLANK(C101),"" "",GOOGLEFINANCE(B101,""Name"")), """")"),"Indian Bank")</f>
        <v>Indian Bank</v>
      </c>
      <c r="E101" s="51">
        <f>IFERROR(__xludf.DUMMYFUNCTION("IFERROR(if(ISBLANK(C101),"" "",GOOGLEFINANCE(B101,""price"")), """")"),890.95)</f>
        <v>890.95</v>
      </c>
      <c r="F101" s="22">
        <f>IFERROR(__xludf.DUMMYFUNCTION("IFERROR(if(ISBLANK(C101),"" "",GOOGLEFINANCE(B101,""changepct"")), """")"),1.75)</f>
        <v>1.75</v>
      </c>
      <c r="G101" s="49"/>
      <c r="H101" s="70"/>
      <c r="I101" s="25" t="s">
        <v>2085</v>
      </c>
      <c r="J101" s="31" t="s">
        <v>200</v>
      </c>
      <c r="K101" s="32" t="str">
        <f>IFERROR(__xludf.DUMMYFUNCTION("IFERROR(if(ISBLANK(J101),"" "",GOOGLEFINANCE(I101,""Name"")), """")"),"UPL Ltd")</f>
        <v>UPL Ltd</v>
      </c>
      <c r="L101" s="51">
        <f>IFERROR(__xludf.DUMMYFUNCTION("IFERROR(if(ISBLANK(J101),"" "",GOOGLEFINANCE(I101,""price"")), """")"),568.25)</f>
        <v>568.25</v>
      </c>
      <c r="M101" s="22">
        <f>IFERROR(__xludf.DUMMYFUNCTION("IFERROR(if(ISBLANK(J101),"" "",GOOGLEFINANCE(I101,""changepct"")), """")"),0.04)</f>
        <v>0.04</v>
      </c>
      <c r="N101" s="49"/>
      <c r="O101" s="71"/>
      <c r="P101" s="27" t="s">
        <v>2086</v>
      </c>
      <c r="Q101" s="31" t="s">
        <v>200</v>
      </c>
      <c r="R101" s="32" t="str">
        <f>IFERROR(__xludf.DUMMYFUNCTION("IFERROR(if(ISBLANK(Q101),"" "",GOOGLEFINANCE(P101,""Name"")), """")"),"PNB Housing Finance Ltd.")</f>
        <v>PNB Housing Finance Ltd.</v>
      </c>
      <c r="S101" s="51">
        <f>IFERROR(__xludf.DUMMYFUNCTION("IFERROR(if(ISBLANK(Q101),"" "",GOOGLEFINANCE(P101,""price"")), """")"),1148.6)</f>
        <v>1148.6</v>
      </c>
      <c r="T101" s="22">
        <f>IFERROR(__xludf.DUMMYFUNCTION("IFERROR(if(ISBLANK(Q101),"" "",GOOGLEFINANCE(P101,""changepct"")), """")"),0.57)</f>
        <v>0.57</v>
      </c>
      <c r="U101" s="68"/>
      <c r="V101" s="18" t="s">
        <v>2087</v>
      </c>
      <c r="W101" s="31" t="s">
        <v>200</v>
      </c>
      <c r="X101" s="32" t="str">
        <f>IFERROR(__xludf.DUMMYFUNCTION("IFERROR(if(ISBLANK(W101),"" "",GOOGLEFINANCE(V101,""Name"")), """")"),"Allied Blenders and Distillers Ltd")</f>
        <v>Allied Blenders and Distillers Ltd</v>
      </c>
      <c r="Y101" s="51">
        <f>IFERROR(__xludf.DUMMYFUNCTION("IFERROR(if(ISBLANK(W101),"" "",GOOGLEFINANCE(V101,""price"")), """")"),614.4)</f>
        <v>614.4</v>
      </c>
      <c r="Z101" s="22">
        <f>IFERROR(__xludf.DUMMYFUNCTION("IFERROR(if(ISBLANK(W101),"" "",GOOGLEFINANCE(V101,""changepct"")), """")"),-0.87)</f>
        <v>-0.87</v>
      </c>
      <c r="AA101" s="12"/>
      <c r="AB101" s="18" t="s">
        <v>2088</v>
      </c>
      <c r="AC101" s="31" t="s">
        <v>200</v>
      </c>
      <c r="AD101" s="32" t="str">
        <f>IFERROR(__xludf.DUMMYFUNCTION("IFERROR(if(ISBLANK(AC101),"" "",GOOGLEFINANCE(AB101,""Name"")), """")"),"Vedanta Iron And Steel Limited")</f>
        <v>Vedanta Iron And Steel Limited</v>
      </c>
      <c r="AE101" s="51">
        <f>IFERROR(__xludf.DUMMYFUNCTION("IFERROR(if(ISBLANK(AC101),"" "",GOOGLEFINANCE(AB101,""price"")), """")"),38.93)</f>
        <v>38.93</v>
      </c>
      <c r="AF101" s="22">
        <f>IFERROR(__xludf.DUMMYFUNCTION("IFERROR(if(ISBLANK(AC101),"" "",GOOGLEFINANCE(AB101,""changepct"")), """")"),0.31)</f>
        <v>0.31</v>
      </c>
      <c r="AG101" s="40"/>
      <c r="AH101" s="27" t="s">
        <v>2089</v>
      </c>
      <c r="AI101" s="31" t="s">
        <v>200</v>
      </c>
      <c r="AJ101" s="32" t="str">
        <f>IFERROR(__xludf.DUMMYFUNCTION("IFERROR(if(ISBLANK(AI101),"" "",GOOGLEFINANCE(AH101,""Name"")), """")"),"Elecon Engineering Company Ltd")</f>
        <v>Elecon Engineering Company Ltd</v>
      </c>
      <c r="AK101" s="51">
        <f>IFERROR(__xludf.DUMMYFUNCTION("IFERROR(if(ISBLANK(AI101),"" "",GOOGLEFINANCE(AH101,""price"")), """")"),441.2)</f>
        <v>441.2</v>
      </c>
      <c r="AL101" s="22">
        <f>IFERROR(__xludf.DUMMYFUNCTION("IFERROR(if(ISBLANK(AI101),"" "",GOOGLEFINANCE(AH101,""changepct"")), """")"),1.1)</f>
        <v>1.1</v>
      </c>
      <c r="AM101" s="22"/>
      <c r="AN101" s="69"/>
      <c r="AO101" s="69"/>
      <c r="AP101" s="33" t="s">
        <v>2090</v>
      </c>
      <c r="AQ101" s="31" t="s">
        <v>200</v>
      </c>
      <c r="AR101" s="32" t="str">
        <f>IFERROR(__xludf.DUMMYFUNCTION("IFERROR(if(ISBLANK(AQ101),"" "",GOOGLEFINANCE(AP101,""Name"")), """")"),"Bajaj Consumer Care Ltd")</f>
        <v>Bajaj Consumer Care Ltd</v>
      </c>
      <c r="AS101" s="51">
        <f>IFERROR(__xludf.DUMMYFUNCTION("IFERROR(if(ISBLANK(AQ101),"" "",GOOGLEFINANCE(AP101,""price"")), """")"),534.0)</f>
        <v>534</v>
      </c>
      <c r="AT101" s="22">
        <f>IFERROR(__xludf.DUMMYFUNCTION("IFERROR(if(ISBLANK(AQ101),"" "",GOOGLEFINANCE(AP101,""changepct"")), """")"),-1.28)</f>
        <v>-1.28</v>
      </c>
      <c r="AU101" s="69"/>
      <c r="AV101" s="34" t="s">
        <v>2091</v>
      </c>
      <c r="AW101" s="31" t="s">
        <v>200</v>
      </c>
      <c r="AX101" s="32" t="str">
        <f>IFERROR(__xludf.DUMMYFUNCTION("IFERROR(if(ISBLANK(AW101),"" "",GOOGLEFINANCE(AV101,""Name"")), """")"),"PTC India Ltd")</f>
        <v>PTC India Ltd</v>
      </c>
      <c r="AY101" s="51">
        <f>IFERROR(__xludf.DUMMYFUNCTION("IFERROR(if(ISBLANK(AW101),"" "",GOOGLEFINANCE(AV101,""price"")), """")"),165.9)</f>
        <v>165.9</v>
      </c>
      <c r="AZ101" s="22">
        <f>IFERROR(__xludf.DUMMYFUNCTION("IFERROR(if(ISBLANK(AW101),"" "",GOOGLEFINANCE(AV101,""changepct"")), """")"),-3.52)</f>
        <v>-3.52</v>
      </c>
      <c r="BA101" s="69"/>
      <c r="BB101" s="33" t="s">
        <v>2092</v>
      </c>
      <c r="BC101" s="31" t="s">
        <v>200</v>
      </c>
      <c r="BD101" s="32" t="str">
        <f>IFERROR(__xludf.DUMMYFUNCTION("IFERROR(if(ISBLANK(BC101),"" "",GOOGLEFINANCE(BB101,""Name"")), """")"),"Man Industries (India) Ltd")</f>
        <v>Man Industries (India) Ltd</v>
      </c>
      <c r="BE101" s="51">
        <f>IFERROR(__xludf.DUMMYFUNCTION("IFERROR(if(ISBLANK(BC101),"" "",GOOGLEFINANCE(BB101,""price"")), """")"),591.55)</f>
        <v>591.55</v>
      </c>
      <c r="BF101" s="22">
        <f>IFERROR(__xludf.DUMMYFUNCTION("IFERROR(if(ISBLANK(BC101),"" "",GOOGLEFINANCE(BB101,""changepct"")), """")"),5.8)</f>
        <v>5.8</v>
      </c>
      <c r="BG101" s="69"/>
      <c r="BH101" s="35" t="s">
        <v>2093</v>
      </c>
      <c r="BI101" s="31" t="s">
        <v>200</v>
      </c>
      <c r="BJ101" s="32" t="str">
        <f>IFERROR(__xludf.DUMMYFUNCTION("IFERROR(if(ISBLANK(BI101),"" "",GOOGLEFINANCE(BH101,""Name"")), """")"),"Kewal Kiran Clothing Limited")</f>
        <v>Kewal Kiran Clothing Limited</v>
      </c>
      <c r="BK101" s="51">
        <f>IFERROR(__xludf.DUMMYFUNCTION("IFERROR(if(ISBLANK(BI101),"" "",GOOGLEFINANCE(BH101,""price"")), """")"),533.0)</f>
        <v>533</v>
      </c>
      <c r="BL101" s="22">
        <f>IFERROR(__xludf.DUMMYFUNCTION("IFERROR(if(ISBLANK(BI101),"" "",GOOGLEFINANCE(BH101,""changepct"")), """")"),0.08)</f>
        <v>0.08</v>
      </c>
      <c r="BM101" s="69"/>
      <c r="BN101" s="33" t="s">
        <v>2095</v>
      </c>
      <c r="BO101" s="31" t="s">
        <v>200</v>
      </c>
      <c r="BP101" s="32" t="str">
        <f>IFERROR(__xludf.DUMMYFUNCTION("IFERROR(if(ISBLANK(BO101),"" "",GOOGLEFINANCE(BN101,""Name"")), """")"),"Insolation Energy Ltd")</f>
        <v>Insolation Energy Ltd</v>
      </c>
      <c r="BQ101" s="51">
        <f>IFERROR(__xludf.DUMMYFUNCTION("IFERROR(if(ISBLANK(BO101),"" "",GOOGLEFINANCE(BN101,""price"")), """")"),107.0)</f>
        <v>107</v>
      </c>
      <c r="BR101" s="22">
        <f>IFERROR(__xludf.DUMMYFUNCTION("IFERROR(if(ISBLANK(BO101),"" "",GOOGLEFINANCE(BN101,""changepct"")), """")"),2.85)</f>
        <v>2.85</v>
      </c>
      <c r="BS101" s="69"/>
      <c r="BT101" s="69"/>
      <c r="BU101" s="27" t="s">
        <v>2096</v>
      </c>
      <c r="BV101" s="31" t="s">
        <v>200</v>
      </c>
      <c r="BW101" s="32" t="str">
        <f>IFERROR(__xludf.DUMMYFUNCTION("IFERROR(if(ISBLANK(BV101),"" "",GOOGLEFINANCE(BU101,""Name"")), """")"),"Rico Auto Industries Ltd")</f>
        <v>Rico Auto Industries Ltd</v>
      </c>
      <c r="BX101" s="51">
        <f>IFERROR(__xludf.DUMMYFUNCTION("IFERROR(if(ISBLANK(BV101),"" "",GOOGLEFINANCE(BU101,""price"")), """")"),128.0)</f>
        <v>128</v>
      </c>
      <c r="BY101" s="22">
        <f>IFERROR(__xludf.DUMMYFUNCTION("IFERROR(if(ISBLANK(BV101),"" "",GOOGLEFINANCE(BU101,""changepct"")), """")"),-11.23)</f>
        <v>-11.23</v>
      </c>
      <c r="BZ101" s="69"/>
      <c r="CA101" s="69"/>
      <c r="CB101" s="27" t="s">
        <v>2097</v>
      </c>
      <c r="CC101" s="31" t="s">
        <v>200</v>
      </c>
      <c r="CD101" s="32" t="str">
        <f>IFERROR(__xludf.DUMMYFUNCTION("IFERROR(if(ISBLANK(CC101),"" "",GOOGLEFINANCE(CB101,""Name"")), """")"),"Diffusion Engineers Ltd")</f>
        <v>Diffusion Engineers Ltd</v>
      </c>
      <c r="CE101" s="51">
        <f>IFERROR(__xludf.DUMMYFUNCTION("IFERROR(if(ISBLANK(CC101),"" "",GOOGLEFINANCE(CB101,""price"")), """")"),363.65)</f>
        <v>363.65</v>
      </c>
      <c r="CF101" s="22">
        <f>IFERROR(__xludf.DUMMYFUNCTION("IFERROR(if(ISBLANK(CC101),"" "",GOOGLEFINANCE(CB101,""changepct"")), """")"),-2.47)</f>
        <v>-2.47</v>
      </c>
      <c r="CG101" s="69"/>
      <c r="CH101" s="18" t="s">
        <v>2098</v>
      </c>
      <c r="CI101" s="31" t="s">
        <v>200</v>
      </c>
      <c r="CJ101" s="32" t="str">
        <f>IFERROR(__xludf.DUMMYFUNCTION("IFERROR(if(ISBLANK(CI101),"" "",GOOGLEFINANCE(CH101,""Name"")), """")"),"Amines and Plasticizers Ltd")</f>
        <v>Amines and Plasticizers Ltd</v>
      </c>
      <c r="CK101" s="51">
        <f>IFERROR(__xludf.DUMMYFUNCTION("IFERROR(if(ISBLANK(CI101),"" "",GOOGLEFINANCE(CH101,""price"")), """")"),200.0)</f>
        <v>200</v>
      </c>
      <c r="CL101" s="22">
        <f>IFERROR(__xludf.DUMMYFUNCTION("IFERROR(if(ISBLANK(CI101),"" "",GOOGLEFINANCE(CH101,""changepct"")), """")"),0.3)</f>
        <v>0.3</v>
      </c>
      <c r="CM101" s="69"/>
      <c r="CN101" s="33" t="s">
        <v>2099</v>
      </c>
      <c r="CO101" s="31" t="s">
        <v>200</v>
      </c>
      <c r="CP101" s="32" t="str">
        <f>IFERROR(__xludf.DUMMYFUNCTION("IFERROR(if(ISBLANK(CO101),"" "",GOOGLEFINANCE(CN101,""Name"")), """")"),"Hexa Tradex Ltd")</f>
        <v>Hexa Tradex Ltd</v>
      </c>
      <c r="CQ101" s="51">
        <f>IFERROR(__xludf.DUMMYFUNCTION("IFERROR(if(ISBLANK(CO101),"" "",GOOGLEFINANCE(CN101,""price"")), """")"),157.0)</f>
        <v>157</v>
      </c>
      <c r="CR101" s="22">
        <f>IFERROR(__xludf.DUMMYFUNCTION("IFERROR(if(ISBLANK(CO101),"" "",GOOGLEFINANCE(CN101,""changepct"")), """")"),-0.78)</f>
        <v>-0.78</v>
      </c>
      <c r="CS101" s="69"/>
      <c r="CT101" s="33" t="s">
        <v>2100</v>
      </c>
      <c r="CU101" s="31" t="s">
        <v>200</v>
      </c>
      <c r="CV101" s="32" t="str">
        <f>IFERROR(__xludf.DUMMYFUNCTION("IFERROR(if(ISBLANK(CU101),"" "",GOOGLEFINANCE(CT101,""Name"")), """")"),"TV Today Network Limited")</f>
        <v>TV Today Network Limited</v>
      </c>
      <c r="CW101" s="51">
        <f>IFERROR(__xludf.DUMMYFUNCTION("IFERROR(if(ISBLANK(CU101),"" "",GOOGLEFINANCE(CT101,""price"")), """")"),113.2)</f>
        <v>113.2</v>
      </c>
      <c r="CX101" s="22">
        <f>IFERROR(__xludf.DUMMYFUNCTION("IFERROR(if(ISBLANK(CU101),"" "",GOOGLEFINANCE(CT101,""changepct"")), """")"),-0.83)</f>
        <v>-0.83</v>
      </c>
      <c r="CY101" s="69"/>
      <c r="CZ101" s="33" t="s">
        <v>2101</v>
      </c>
      <c r="DA101" s="31" t="s">
        <v>200</v>
      </c>
      <c r="DB101" s="32" t="str">
        <f>IFERROR(__xludf.DUMMYFUNCTION("IFERROR(if(ISBLANK(DA101),"" "",GOOGLEFINANCE(CZ101,""Name"")), """")"),"Urja Global Ltd")</f>
        <v>Urja Global Ltd</v>
      </c>
      <c r="DC101" s="51">
        <f>IFERROR(__xludf.DUMMYFUNCTION("IFERROR(if(ISBLANK(DA101),"" "",GOOGLEFINANCE(CZ101,""price"")), """")"),9.5)</f>
        <v>9.5</v>
      </c>
      <c r="DD101" s="22">
        <f>IFERROR(__xludf.DUMMYFUNCTION("IFERROR(if(ISBLANK(DA101),"" "",GOOGLEFINANCE(CZ101,""changepct"")), """")"),-1.45)</f>
        <v>-1.45</v>
      </c>
      <c r="DE101" s="69"/>
      <c r="DF101" s="69"/>
    </row>
    <row r="102" ht="11.25" customHeight="1">
      <c r="A102" s="74"/>
      <c r="B102" s="75"/>
      <c r="C102" s="76"/>
      <c r="D102" s="74"/>
      <c r="E102" s="77"/>
      <c r="F102" s="78"/>
      <c r="G102" s="78"/>
      <c r="H102" s="79"/>
      <c r="I102" s="74"/>
      <c r="J102" s="76"/>
      <c r="K102" s="74"/>
      <c r="L102" s="77"/>
      <c r="M102" s="80"/>
      <c r="N102" s="78"/>
      <c r="O102" s="81"/>
      <c r="P102" s="82"/>
      <c r="Q102" s="81"/>
      <c r="R102" s="83"/>
      <c r="S102" s="81"/>
      <c r="T102" s="81"/>
      <c r="U102" s="84"/>
      <c r="V102" s="85"/>
      <c r="W102" s="76"/>
      <c r="X102" s="74"/>
      <c r="Y102" s="77"/>
      <c r="Z102" s="78"/>
      <c r="AA102" s="84"/>
      <c r="AB102" s="75"/>
      <c r="AC102" s="76"/>
      <c r="AD102" s="74"/>
      <c r="AE102" s="77"/>
      <c r="AF102" s="78"/>
      <c r="AG102" s="86"/>
      <c r="AH102" s="87"/>
      <c r="AI102" s="76"/>
      <c r="AJ102" s="74"/>
      <c r="AK102" s="77"/>
      <c r="AL102" s="78"/>
      <c r="AM102" s="78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77" t="str">
        <f>IFERROR(__xludf.DUMMYFUNCTION("IFERROR(if(ISBLANK(AW102),"" "",GOOGLEFINANCE(AV102,""price"")), """")")," ")</f>
        <v> </v>
      </c>
      <c r="AZ102" s="78" t="str">
        <f>IFERROR(__xludf.DUMMYFUNCTION("IFERROR(if(ISBLANK(AW102),"" "",GOOGLEFINANCE(AV102,""changepct"")), """")")," ")</f>
        <v> </v>
      </c>
      <c r="BA102" s="86"/>
      <c r="BB102" s="86"/>
      <c r="BC102" s="86"/>
      <c r="BD102" s="86"/>
      <c r="BE102" s="86"/>
      <c r="BF102" s="86"/>
      <c r="BG102" s="86"/>
      <c r="BH102" s="86"/>
      <c r="BI102" s="86"/>
      <c r="BJ102" s="86"/>
      <c r="BK102" s="86"/>
      <c r="BL102" s="86"/>
      <c r="BM102" s="86"/>
      <c r="BN102" s="86"/>
      <c r="BO102" s="86"/>
      <c r="BP102" s="86"/>
      <c r="BQ102" s="86"/>
      <c r="BR102" s="86"/>
      <c r="BS102" s="86"/>
      <c r="BT102" s="86"/>
      <c r="BU102" s="86"/>
      <c r="BV102" s="86"/>
      <c r="BW102" s="86"/>
      <c r="BX102" s="86"/>
      <c r="BY102" s="86"/>
      <c r="BZ102" s="86"/>
      <c r="CA102" s="86"/>
      <c r="CB102" s="86"/>
      <c r="CC102" s="86"/>
      <c r="CD102" s="86"/>
      <c r="CE102" s="86"/>
      <c r="CF102" s="86"/>
      <c r="CG102" s="86"/>
      <c r="CH102" s="86"/>
      <c r="CI102" s="86"/>
      <c r="CJ102" s="86"/>
      <c r="CK102" s="86"/>
      <c r="CL102" s="86"/>
      <c r="CM102" s="86"/>
      <c r="CN102" s="86"/>
      <c r="CO102" s="86"/>
      <c r="CP102" s="86"/>
      <c r="CQ102" s="86"/>
      <c r="CR102" s="86"/>
      <c r="CS102" s="86"/>
      <c r="CT102" s="86"/>
      <c r="CU102" s="86"/>
      <c r="CV102" s="86"/>
      <c r="CW102" s="86"/>
      <c r="CX102" s="86"/>
      <c r="CY102" s="86"/>
      <c r="CZ102" s="86"/>
      <c r="DA102" s="86"/>
      <c r="DB102" s="86"/>
      <c r="DC102" s="86"/>
      <c r="DD102" s="86"/>
      <c r="DE102" s="86"/>
      <c r="DF102" s="86"/>
    </row>
    <row r="103" ht="11.25" customHeight="1">
      <c r="A103" s="62"/>
      <c r="B103" s="27"/>
      <c r="C103" s="31"/>
      <c r="D103" s="32"/>
      <c r="E103" s="51"/>
      <c r="F103" s="22"/>
      <c r="G103" s="49"/>
      <c r="H103" s="70"/>
      <c r="I103" s="88"/>
      <c r="J103" s="89"/>
      <c r="K103" s="88"/>
      <c r="L103" s="90"/>
      <c r="M103" s="91"/>
      <c r="N103" s="49"/>
      <c r="O103" s="71"/>
      <c r="P103" s="92"/>
      <c r="Q103" s="71"/>
      <c r="R103" s="92"/>
      <c r="S103" s="71"/>
      <c r="T103" s="71"/>
      <c r="U103" s="68"/>
      <c r="V103" s="93"/>
      <c r="W103" s="31"/>
      <c r="X103" s="32"/>
      <c r="Y103" s="51"/>
      <c r="Z103" s="22"/>
      <c r="AA103" s="12"/>
      <c r="AB103" s="27"/>
      <c r="AC103" s="31"/>
      <c r="AD103" s="32"/>
      <c r="AE103" s="51"/>
      <c r="AF103" s="22"/>
      <c r="AG103" s="40"/>
      <c r="AH103" s="94"/>
      <c r="AI103" s="31"/>
      <c r="AJ103" s="32"/>
      <c r="AK103" s="51"/>
      <c r="AL103" s="22"/>
      <c r="AM103" s="40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9"/>
      <c r="BQ103" s="69"/>
      <c r="BR103" s="69"/>
      <c r="BS103" s="69"/>
      <c r="BT103" s="69"/>
      <c r="BU103" s="69"/>
      <c r="BV103" s="69"/>
      <c r="BW103" s="69"/>
      <c r="BX103" s="69"/>
      <c r="BY103" s="69"/>
      <c r="BZ103" s="69"/>
      <c r="CA103" s="69"/>
      <c r="CB103" s="69"/>
      <c r="CC103" s="69"/>
      <c r="CD103" s="69"/>
      <c r="CE103" s="69"/>
      <c r="CF103" s="69"/>
      <c r="CG103" s="69"/>
      <c r="CH103" s="69"/>
      <c r="CI103" s="69"/>
      <c r="CJ103" s="69"/>
      <c r="CK103" s="69"/>
      <c r="CL103" s="69"/>
      <c r="CM103" s="69"/>
      <c r="CN103" s="69"/>
      <c r="CO103" s="69"/>
      <c r="CP103" s="69"/>
      <c r="CQ103" s="69"/>
      <c r="CR103" s="69"/>
      <c r="CS103" s="69"/>
      <c r="CT103" s="69"/>
      <c r="CU103" s="69"/>
      <c r="CV103" s="69"/>
      <c r="CW103" s="69"/>
      <c r="CX103" s="69"/>
      <c r="CY103" s="69"/>
      <c r="CZ103" s="69"/>
      <c r="DA103" s="69"/>
      <c r="DB103" s="69"/>
      <c r="DC103" s="69"/>
      <c r="DD103" s="69"/>
      <c r="DE103" s="69"/>
      <c r="DF103" s="69"/>
    </row>
    <row r="104" ht="11.25" customHeight="1">
      <c r="A104" s="62"/>
      <c r="B104" s="27"/>
      <c r="C104" s="31"/>
      <c r="D104" s="32"/>
      <c r="E104" s="51"/>
      <c r="F104" s="22"/>
      <c r="G104" s="49"/>
      <c r="H104" s="70"/>
      <c r="I104" s="88"/>
      <c r="J104" s="89"/>
      <c r="K104" s="88"/>
      <c r="L104" s="90"/>
      <c r="M104" s="91"/>
      <c r="N104" s="49"/>
      <c r="O104" s="71"/>
      <c r="P104" s="92"/>
      <c r="Q104" s="71"/>
      <c r="R104" s="92"/>
      <c r="S104" s="71"/>
      <c r="T104" s="71"/>
      <c r="U104" s="68"/>
      <c r="V104" s="93"/>
      <c r="W104" s="31"/>
      <c r="X104" s="32"/>
      <c r="Y104" s="51"/>
      <c r="Z104" s="22"/>
      <c r="AA104" s="12"/>
      <c r="AB104" s="27"/>
      <c r="AC104" s="31"/>
      <c r="AD104" s="32"/>
      <c r="AE104" s="51"/>
      <c r="AF104" s="22"/>
      <c r="AG104" s="29"/>
      <c r="AH104" s="94"/>
      <c r="AI104" s="31"/>
      <c r="AJ104" s="32"/>
      <c r="AK104" s="51"/>
      <c r="AL104" s="22"/>
      <c r="AM104" s="29"/>
      <c r="AN104" s="67"/>
      <c r="AO104" s="67"/>
      <c r="AP104" s="34"/>
      <c r="AQ104" s="67"/>
      <c r="AR104" s="67"/>
      <c r="AS104" s="67"/>
      <c r="AT104" s="67"/>
      <c r="AU104" s="67"/>
      <c r="AV104" s="34"/>
      <c r="AW104" s="67"/>
      <c r="AX104" s="67"/>
      <c r="AY104" s="67"/>
      <c r="AZ104" s="67"/>
      <c r="BA104" s="67"/>
      <c r="BB104" s="34"/>
      <c r="BC104" s="67"/>
      <c r="BD104" s="67"/>
      <c r="BE104" s="67"/>
      <c r="BF104" s="67"/>
      <c r="BG104" s="67"/>
      <c r="BH104" s="34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  <c r="DD104" s="67"/>
      <c r="DE104" s="67"/>
      <c r="DF104" s="67"/>
    </row>
    <row r="105" ht="11.25" customHeight="1">
      <c r="A105" s="62"/>
      <c r="B105" s="27"/>
      <c r="C105" s="31"/>
      <c r="D105" s="32"/>
      <c r="E105" s="51"/>
      <c r="F105" s="22"/>
      <c r="G105" s="49"/>
      <c r="H105" s="70"/>
      <c r="I105" s="88"/>
      <c r="J105" s="89"/>
      <c r="K105" s="88"/>
      <c r="L105" s="90"/>
      <c r="M105" s="91"/>
      <c r="N105" s="49"/>
      <c r="O105" s="71"/>
      <c r="P105" s="92"/>
      <c r="Q105" s="71"/>
      <c r="R105" s="92"/>
      <c r="S105" s="71"/>
      <c r="T105" s="71"/>
      <c r="U105" s="68"/>
      <c r="V105" s="93"/>
      <c r="W105" s="31"/>
      <c r="X105" s="32"/>
      <c r="Y105" s="51"/>
      <c r="Z105" s="22"/>
      <c r="AA105" s="12"/>
      <c r="AB105" s="27"/>
      <c r="AC105" s="31"/>
      <c r="AD105" s="32"/>
      <c r="AE105" s="51"/>
      <c r="AF105" s="22"/>
      <c r="AG105" s="29"/>
      <c r="AH105" s="94"/>
      <c r="AI105" s="31"/>
      <c r="AJ105" s="32"/>
      <c r="AK105" s="51"/>
      <c r="AL105" s="22"/>
      <c r="AM105" s="29"/>
      <c r="AN105" s="67"/>
      <c r="AO105" s="67"/>
      <c r="AP105" s="34"/>
      <c r="AQ105" s="67"/>
      <c r="AR105" s="67"/>
      <c r="AS105" s="67"/>
      <c r="AT105" s="67"/>
      <c r="AU105" s="67"/>
      <c r="AV105" s="34"/>
      <c r="AW105" s="67"/>
      <c r="AX105" s="67"/>
      <c r="AY105" s="67"/>
      <c r="AZ105" s="67"/>
      <c r="BA105" s="67"/>
      <c r="BB105" s="34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  <c r="DD105" s="67"/>
      <c r="DE105" s="67"/>
      <c r="DF105" s="67"/>
    </row>
    <row r="106" ht="11.25" customHeight="1">
      <c r="A106" s="62"/>
      <c r="B106" s="27"/>
      <c r="C106" s="31"/>
      <c r="D106" s="32"/>
      <c r="E106" s="51"/>
      <c r="F106" s="22"/>
      <c r="G106" s="49"/>
      <c r="H106" s="70"/>
      <c r="I106" s="88"/>
      <c r="J106" s="89"/>
      <c r="K106" s="88"/>
      <c r="L106" s="90"/>
      <c r="M106" s="91"/>
      <c r="N106" s="49"/>
      <c r="O106" s="71"/>
      <c r="P106" s="92"/>
      <c r="Q106" s="71"/>
      <c r="R106" s="92"/>
      <c r="S106" s="71"/>
      <c r="T106" s="71"/>
      <c r="U106" s="68"/>
      <c r="V106" s="93"/>
      <c r="W106" s="31"/>
      <c r="X106" s="32"/>
      <c r="Y106" s="51"/>
      <c r="Z106" s="22"/>
      <c r="AA106" s="12"/>
      <c r="AB106" s="27"/>
      <c r="AC106" s="31"/>
      <c r="AD106" s="32"/>
      <c r="AE106" s="51"/>
      <c r="AF106" s="22"/>
      <c r="AG106" s="29"/>
      <c r="AH106" s="94"/>
      <c r="AI106" s="31"/>
      <c r="AJ106" s="32"/>
      <c r="AK106" s="51"/>
      <c r="AL106" s="22"/>
      <c r="AM106" s="29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34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  <c r="DD106" s="67"/>
      <c r="DE106" s="67"/>
      <c r="DF106" s="67"/>
    </row>
    <row r="107" ht="11.25" customHeight="1">
      <c r="A107" s="62"/>
      <c r="B107" s="88"/>
      <c r="C107" s="89"/>
      <c r="D107" s="88"/>
      <c r="E107" s="90"/>
      <c r="F107" s="91"/>
      <c r="G107" s="49"/>
      <c r="H107" s="70"/>
      <c r="I107" s="88"/>
      <c r="J107" s="89"/>
      <c r="K107" s="88"/>
      <c r="L107" s="90"/>
      <c r="M107" s="91"/>
      <c r="N107" s="49"/>
      <c r="O107" s="71"/>
      <c r="P107" s="92"/>
      <c r="Q107" s="71"/>
      <c r="R107" s="92"/>
      <c r="S107" s="71"/>
      <c r="T107" s="71"/>
      <c r="U107" s="68"/>
      <c r="V107" s="93"/>
      <c r="W107" s="31"/>
      <c r="X107" s="32"/>
      <c r="Y107" s="51"/>
      <c r="Z107" s="22"/>
      <c r="AA107" s="12"/>
      <c r="AB107" s="27"/>
      <c r="AC107" s="31"/>
      <c r="AD107" s="32"/>
      <c r="AE107" s="51"/>
      <c r="AF107" s="22"/>
      <c r="AG107" s="29"/>
      <c r="AH107" s="94"/>
      <c r="AI107" s="31"/>
      <c r="AJ107" s="32"/>
      <c r="AK107" s="51"/>
      <c r="AL107" s="22"/>
      <c r="AM107" s="29"/>
      <c r="AN107" s="67"/>
      <c r="AO107" s="67"/>
      <c r="AP107" s="34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34"/>
      <c r="BC107" s="67"/>
      <c r="BD107" s="67"/>
      <c r="BE107" s="67"/>
      <c r="BF107" s="67"/>
      <c r="BG107" s="67"/>
      <c r="BH107" s="34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  <c r="DC107" s="67"/>
      <c r="DD107" s="67"/>
      <c r="DE107" s="67"/>
      <c r="DF107" s="67"/>
    </row>
    <row r="108" ht="11.25" customHeight="1">
      <c r="A108" s="62"/>
      <c r="B108" s="88"/>
      <c r="C108" s="89"/>
      <c r="D108" s="88"/>
      <c r="E108" s="90"/>
      <c r="F108" s="91"/>
      <c r="G108" s="49"/>
      <c r="H108" s="70"/>
      <c r="I108" s="88"/>
      <c r="J108" s="89"/>
      <c r="K108" s="88"/>
      <c r="L108" s="90"/>
      <c r="M108" s="91"/>
      <c r="N108" s="49"/>
      <c r="O108" s="71"/>
      <c r="P108" s="92"/>
      <c r="Q108" s="71"/>
      <c r="R108" s="92"/>
      <c r="S108" s="71"/>
      <c r="T108" s="71"/>
      <c r="U108" s="68"/>
      <c r="V108" s="93"/>
      <c r="W108" s="31"/>
      <c r="X108" s="32"/>
      <c r="Y108" s="51"/>
      <c r="Z108" s="22"/>
      <c r="AA108" s="12"/>
      <c r="AB108" s="27"/>
      <c r="AC108" s="31"/>
      <c r="AD108" s="32"/>
      <c r="AE108" s="51"/>
      <c r="AF108" s="22"/>
      <c r="AG108" s="29"/>
      <c r="AH108" s="94"/>
      <c r="AI108" s="31"/>
      <c r="AJ108" s="32"/>
      <c r="AK108" s="51"/>
      <c r="AL108" s="22"/>
      <c r="AM108" s="29"/>
      <c r="AN108" s="67"/>
      <c r="AO108" s="67"/>
      <c r="AP108" s="34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34"/>
      <c r="BC108" s="67"/>
      <c r="BD108" s="67"/>
      <c r="BE108" s="67"/>
      <c r="BF108" s="67"/>
      <c r="BG108" s="67"/>
      <c r="BH108" s="34"/>
      <c r="BI108" s="67"/>
      <c r="BJ108" s="67"/>
      <c r="BK108" s="67"/>
      <c r="BL108" s="67"/>
      <c r="BM108" s="67"/>
      <c r="BN108" s="67"/>
      <c r="BO108" s="67"/>
      <c r="BP108" s="67"/>
      <c r="BQ108" s="67"/>
      <c r="BR108" s="67"/>
      <c r="BS108" s="67"/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/>
      <c r="CF108" s="67"/>
      <c r="CG108" s="67"/>
      <c r="CH108" s="67"/>
      <c r="CI108" s="67"/>
      <c r="CJ108" s="67"/>
      <c r="CK108" s="67"/>
      <c r="CL108" s="67"/>
      <c r="CM108" s="67"/>
      <c r="CN108" s="67"/>
      <c r="CO108" s="67"/>
      <c r="CP108" s="67"/>
      <c r="CQ108" s="67"/>
      <c r="CR108" s="67"/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  <c r="DC108" s="67"/>
      <c r="DD108" s="67"/>
      <c r="DE108" s="67"/>
      <c r="DF108" s="67"/>
    </row>
    <row r="109" ht="11.25" customHeight="1">
      <c r="A109" s="62"/>
      <c r="B109" s="88"/>
      <c r="C109" s="89"/>
      <c r="D109" s="88"/>
      <c r="E109" s="90"/>
      <c r="F109" s="91"/>
      <c r="G109" s="49"/>
      <c r="H109" s="70"/>
      <c r="I109" s="88"/>
      <c r="J109" s="89"/>
      <c r="K109" s="88"/>
      <c r="L109" s="90"/>
      <c r="M109" s="91"/>
      <c r="N109" s="49"/>
      <c r="O109" s="71"/>
      <c r="P109" s="92"/>
      <c r="Q109" s="71"/>
      <c r="R109" s="92"/>
      <c r="S109" s="71"/>
      <c r="T109" s="71"/>
      <c r="U109" s="68"/>
      <c r="V109" s="93"/>
      <c r="W109" s="31"/>
      <c r="X109" s="32"/>
      <c r="Y109" s="51"/>
      <c r="Z109" s="22"/>
      <c r="AA109" s="12"/>
      <c r="AB109" s="27"/>
      <c r="AC109" s="31"/>
      <c r="AD109" s="32"/>
      <c r="AE109" s="51"/>
      <c r="AF109" s="22"/>
      <c r="AG109" s="29"/>
      <c r="AH109" s="93"/>
      <c r="AI109" s="31"/>
      <c r="AJ109" s="32"/>
      <c r="AK109" s="51"/>
      <c r="AL109" s="22"/>
      <c r="AM109" s="29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34"/>
      <c r="BC109" s="67"/>
      <c r="BD109" s="67"/>
      <c r="BE109" s="67"/>
      <c r="BF109" s="67"/>
      <c r="BG109" s="67"/>
      <c r="BH109" s="34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67"/>
      <c r="DD109" s="67"/>
      <c r="DE109" s="67"/>
      <c r="DF109" s="67"/>
    </row>
    <row r="110" ht="11.25" customHeight="1">
      <c r="A110" s="62"/>
      <c r="B110" s="88"/>
      <c r="C110" s="89"/>
      <c r="D110" s="88"/>
      <c r="E110" s="90"/>
      <c r="F110" s="91"/>
      <c r="G110" s="49"/>
      <c r="H110" s="70"/>
      <c r="I110" s="88"/>
      <c r="J110" s="89"/>
      <c r="K110" s="88"/>
      <c r="L110" s="90"/>
      <c r="M110" s="91"/>
      <c r="N110" s="49"/>
      <c r="O110" s="71"/>
      <c r="P110" s="92"/>
      <c r="Q110" s="71"/>
      <c r="R110" s="92"/>
      <c r="S110" s="71"/>
      <c r="T110" s="71"/>
      <c r="U110" s="68"/>
      <c r="V110" s="93"/>
      <c r="W110" s="31"/>
      <c r="X110" s="32"/>
      <c r="Y110" s="51"/>
      <c r="Z110" s="22"/>
      <c r="AA110" s="12"/>
      <c r="AB110" s="27"/>
      <c r="AC110" s="31"/>
      <c r="AD110" s="32"/>
      <c r="AE110" s="51"/>
      <c r="AF110" s="22"/>
      <c r="AG110" s="29"/>
      <c r="AH110" s="93"/>
      <c r="AI110" s="31"/>
      <c r="AJ110" s="32"/>
      <c r="AK110" s="51"/>
      <c r="AL110" s="22"/>
      <c r="AM110" s="29"/>
      <c r="AN110" s="67"/>
      <c r="AO110" s="67"/>
      <c r="AP110" s="2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34"/>
      <c r="BC110" s="67"/>
      <c r="BD110" s="67"/>
      <c r="BE110" s="67"/>
      <c r="BF110" s="67"/>
      <c r="BG110" s="67"/>
      <c r="BH110" s="34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67"/>
    </row>
    <row r="111" ht="11.25" customHeight="1">
      <c r="A111" s="62"/>
      <c r="B111" s="88"/>
      <c r="C111" s="89"/>
      <c r="D111" s="88"/>
      <c r="E111" s="90"/>
      <c r="F111" s="91"/>
      <c r="G111" s="49"/>
      <c r="H111" s="70"/>
      <c r="I111" s="88"/>
      <c r="J111" s="89"/>
      <c r="K111" s="88"/>
      <c r="L111" s="90"/>
      <c r="M111" s="91"/>
      <c r="N111" s="49"/>
      <c r="O111" s="71"/>
      <c r="P111" s="92"/>
      <c r="Q111" s="71"/>
      <c r="R111" s="92"/>
      <c r="S111" s="71"/>
      <c r="T111" s="71"/>
      <c r="U111" s="68"/>
      <c r="V111" s="93"/>
      <c r="W111" s="31"/>
      <c r="X111" s="32"/>
      <c r="Y111" s="51"/>
      <c r="Z111" s="22"/>
      <c r="AA111" s="12"/>
      <c r="AB111" s="27"/>
      <c r="AC111" s="31"/>
      <c r="AD111" s="32"/>
      <c r="AE111" s="51"/>
      <c r="AF111" s="22"/>
      <c r="AG111" s="29"/>
      <c r="AH111" s="93"/>
      <c r="AI111" s="31"/>
      <c r="AJ111" s="32"/>
      <c r="AK111" s="51"/>
      <c r="AL111" s="22"/>
      <c r="AM111" s="29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34"/>
      <c r="BC111" s="67"/>
      <c r="BD111" s="67"/>
      <c r="BE111" s="67"/>
      <c r="BF111" s="67"/>
      <c r="BG111" s="67"/>
      <c r="BH111" s="34"/>
      <c r="BI111" s="67"/>
      <c r="BJ111" s="67"/>
      <c r="BK111" s="67"/>
      <c r="BL111" s="67"/>
      <c r="BM111" s="67"/>
      <c r="BN111" s="67"/>
      <c r="BO111" s="67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  <c r="DC111" s="67"/>
      <c r="DD111" s="67"/>
      <c r="DE111" s="67"/>
      <c r="DF111" s="67"/>
    </row>
    <row r="112" ht="11.25" customHeight="1">
      <c r="A112" s="62"/>
      <c r="B112" s="88"/>
      <c r="C112" s="89"/>
      <c r="D112" s="88"/>
      <c r="E112" s="90"/>
      <c r="F112" s="91"/>
      <c r="G112" s="49"/>
      <c r="H112" s="70"/>
      <c r="I112" s="88"/>
      <c r="J112" s="89"/>
      <c r="K112" s="88"/>
      <c r="L112" s="90"/>
      <c r="M112" s="91"/>
      <c r="N112" s="49"/>
      <c r="O112" s="71"/>
      <c r="P112" s="92"/>
      <c r="Q112" s="71"/>
      <c r="R112" s="92"/>
      <c r="S112" s="71"/>
      <c r="T112" s="71"/>
      <c r="U112" s="68"/>
      <c r="V112" s="93"/>
      <c r="W112" s="31"/>
      <c r="X112" s="32"/>
      <c r="Y112" s="51"/>
      <c r="Z112" s="22"/>
      <c r="AA112" s="12"/>
      <c r="AB112" s="27"/>
      <c r="AC112" s="31"/>
      <c r="AD112" s="32"/>
      <c r="AE112" s="51"/>
      <c r="AF112" s="22"/>
      <c r="AG112" s="29"/>
      <c r="AH112" s="93"/>
      <c r="AI112" s="31"/>
      <c r="AJ112" s="32"/>
      <c r="AK112" s="51"/>
      <c r="AL112" s="22"/>
      <c r="AM112" s="29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34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C112" s="67"/>
      <c r="DD112" s="67"/>
      <c r="DE112" s="67"/>
      <c r="DF112" s="67"/>
    </row>
    <row r="113" ht="11.25" customHeight="1">
      <c r="A113" s="62"/>
      <c r="B113" s="88"/>
      <c r="C113" s="89"/>
      <c r="D113" s="88"/>
      <c r="E113" s="90"/>
      <c r="F113" s="91"/>
      <c r="G113" s="49"/>
      <c r="H113" s="70"/>
      <c r="I113" s="88"/>
      <c r="J113" s="89"/>
      <c r="K113" s="88"/>
      <c r="L113" s="90"/>
      <c r="M113" s="91"/>
      <c r="N113" s="49"/>
      <c r="O113" s="71"/>
      <c r="P113" s="92"/>
      <c r="Q113" s="71"/>
      <c r="R113" s="92"/>
      <c r="S113" s="71"/>
      <c r="T113" s="71"/>
      <c r="U113" s="68"/>
      <c r="V113" s="93"/>
      <c r="W113" s="31"/>
      <c r="X113" s="32"/>
      <c r="Y113" s="51"/>
      <c r="Z113" s="22"/>
      <c r="AA113" s="12"/>
      <c r="AB113" s="27"/>
      <c r="AC113" s="31"/>
      <c r="AD113" s="32"/>
      <c r="AE113" s="51"/>
      <c r="AF113" s="22"/>
      <c r="AG113" s="29"/>
      <c r="AH113" s="93"/>
      <c r="AI113" s="31"/>
      <c r="AJ113" s="32"/>
      <c r="AK113" s="51"/>
      <c r="AL113" s="22"/>
      <c r="AM113" s="29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34"/>
      <c r="BC113" s="67"/>
      <c r="BD113" s="67"/>
      <c r="BE113" s="67"/>
      <c r="BF113" s="67"/>
      <c r="BG113" s="67"/>
      <c r="BH113" s="34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C113" s="67"/>
      <c r="DD113" s="67"/>
      <c r="DE113" s="67"/>
      <c r="DF113" s="67"/>
    </row>
    <row r="114" ht="11.25" customHeight="1">
      <c r="A114" s="62"/>
      <c r="B114" s="88"/>
      <c r="C114" s="89"/>
      <c r="D114" s="88"/>
      <c r="E114" s="90"/>
      <c r="F114" s="91"/>
      <c r="G114" s="49"/>
      <c r="H114" s="70"/>
      <c r="I114" s="88"/>
      <c r="J114" s="89"/>
      <c r="K114" s="88"/>
      <c r="L114" s="90"/>
      <c r="M114" s="91"/>
      <c r="N114" s="49"/>
      <c r="O114" s="71"/>
      <c r="P114" s="92"/>
      <c r="Q114" s="71"/>
      <c r="R114" s="92"/>
      <c r="S114" s="71"/>
      <c r="T114" s="71"/>
      <c r="U114" s="68"/>
      <c r="V114" s="93"/>
      <c r="W114" s="31"/>
      <c r="X114" s="32"/>
      <c r="Y114" s="51"/>
      <c r="Z114" s="22"/>
      <c r="AA114" s="12"/>
      <c r="AB114" s="27"/>
      <c r="AC114" s="31"/>
      <c r="AD114" s="32"/>
      <c r="AE114" s="51"/>
      <c r="AF114" s="22"/>
      <c r="AG114" s="29"/>
      <c r="AH114" s="93"/>
      <c r="AI114" s="31"/>
      <c r="AJ114" s="32"/>
      <c r="AK114" s="51"/>
      <c r="AL114" s="22"/>
      <c r="AM114" s="29"/>
      <c r="AN114" s="67"/>
      <c r="AO114" s="67"/>
      <c r="AP114" s="67"/>
      <c r="AQ114" s="67"/>
      <c r="AR114" s="67"/>
      <c r="AS114" s="67"/>
      <c r="AT114" s="67"/>
      <c r="AU114" s="67"/>
      <c r="AV114" s="34"/>
      <c r="AW114" s="67"/>
      <c r="AX114" s="67"/>
      <c r="AY114" s="67"/>
      <c r="AZ114" s="67"/>
      <c r="BA114" s="67"/>
      <c r="BB114" s="34"/>
      <c r="BC114" s="67"/>
      <c r="BD114" s="67"/>
      <c r="BE114" s="67"/>
      <c r="BF114" s="67"/>
      <c r="BG114" s="67"/>
      <c r="BH114" s="34"/>
      <c r="BI114" s="67"/>
      <c r="BJ114" s="67"/>
      <c r="BK114" s="67"/>
      <c r="BL114" s="67"/>
      <c r="BM114" s="67"/>
      <c r="BN114" s="67"/>
      <c r="BO114" s="67"/>
      <c r="BP114" s="67"/>
      <c r="BQ114" s="67"/>
      <c r="BR114" s="67"/>
      <c r="BS114" s="67"/>
      <c r="BT114" s="67"/>
      <c r="BU114" s="67"/>
      <c r="BV114" s="67"/>
      <c r="BW114" s="67"/>
      <c r="BX114" s="67"/>
      <c r="BY114" s="67"/>
      <c r="BZ114" s="67"/>
      <c r="CA114" s="67"/>
      <c r="CB114" s="67"/>
      <c r="CC114" s="67"/>
      <c r="CD114" s="67"/>
      <c r="CE114" s="67"/>
      <c r="CF114" s="67"/>
      <c r="CG114" s="67"/>
      <c r="CH114" s="67"/>
      <c r="CI114" s="67"/>
      <c r="CJ114" s="67"/>
      <c r="CK114" s="67"/>
      <c r="CL114" s="67"/>
      <c r="CM114" s="67"/>
      <c r="CN114" s="67"/>
      <c r="CO114" s="67"/>
      <c r="CP114" s="67"/>
      <c r="CQ114" s="67"/>
      <c r="CR114" s="67"/>
      <c r="CS114" s="67"/>
      <c r="CT114" s="67"/>
      <c r="CU114" s="67"/>
      <c r="CV114" s="67"/>
      <c r="CW114" s="67"/>
      <c r="CX114" s="67"/>
      <c r="CY114" s="67"/>
      <c r="CZ114" s="67"/>
      <c r="DA114" s="67"/>
      <c r="DB114" s="67"/>
      <c r="DC114" s="67"/>
      <c r="DD114" s="67"/>
      <c r="DE114" s="67"/>
      <c r="DF114" s="67"/>
    </row>
    <row r="115" ht="11.25" customHeight="1">
      <c r="A115" s="62"/>
      <c r="B115" s="88"/>
      <c r="C115" s="89"/>
      <c r="D115" s="88"/>
      <c r="E115" s="90"/>
      <c r="F115" s="91"/>
      <c r="G115" s="49"/>
      <c r="H115" s="70"/>
      <c r="I115" s="88"/>
      <c r="J115" s="89"/>
      <c r="K115" s="88"/>
      <c r="L115" s="90"/>
      <c r="M115" s="91"/>
      <c r="N115" s="49"/>
      <c r="O115" s="71"/>
      <c r="P115" s="92"/>
      <c r="Q115" s="71"/>
      <c r="R115" s="92"/>
      <c r="S115" s="71"/>
      <c r="T115" s="71"/>
      <c r="U115" s="68"/>
      <c r="V115" s="93"/>
      <c r="W115" s="31"/>
      <c r="X115" s="32"/>
      <c r="Y115" s="51"/>
      <c r="Z115" s="22"/>
      <c r="AA115" s="12"/>
      <c r="AB115" s="27"/>
      <c r="AC115" s="31"/>
      <c r="AD115" s="32"/>
      <c r="AE115" s="51"/>
      <c r="AF115" s="22"/>
      <c r="AG115" s="29"/>
      <c r="AH115" s="93"/>
      <c r="AI115" s="31"/>
      <c r="AJ115" s="32"/>
      <c r="AK115" s="51"/>
      <c r="AL115" s="22"/>
      <c r="AM115" s="29"/>
      <c r="AN115" s="67"/>
      <c r="AO115" s="67"/>
      <c r="AP115" s="67"/>
      <c r="AQ115" s="67"/>
      <c r="AR115" s="67"/>
      <c r="AS115" s="67"/>
      <c r="AT115" s="67"/>
      <c r="AU115" s="67"/>
      <c r="AV115" s="34"/>
      <c r="AW115" s="67"/>
      <c r="AX115" s="67"/>
      <c r="AY115" s="67"/>
      <c r="AZ115" s="67"/>
      <c r="BA115" s="67"/>
      <c r="BB115" s="34"/>
      <c r="BC115" s="67"/>
      <c r="BD115" s="67"/>
      <c r="BE115" s="67"/>
      <c r="BF115" s="67"/>
      <c r="BG115" s="67"/>
      <c r="BH115" s="34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BS115" s="67"/>
      <c r="BT115" s="67"/>
      <c r="BU115" s="67"/>
      <c r="BV115" s="67"/>
      <c r="BW115" s="67"/>
      <c r="BX115" s="67"/>
      <c r="BY115" s="67"/>
      <c r="BZ115" s="67"/>
      <c r="CA115" s="67"/>
      <c r="CB115" s="67"/>
      <c r="CC115" s="67"/>
      <c r="CD115" s="67"/>
      <c r="CE115" s="67"/>
      <c r="CF115" s="67"/>
      <c r="CG115" s="67"/>
      <c r="CH115" s="67"/>
      <c r="CI115" s="67"/>
      <c r="CJ115" s="67"/>
      <c r="CK115" s="67"/>
      <c r="CL115" s="67"/>
      <c r="CM115" s="67"/>
      <c r="CN115" s="67"/>
      <c r="CO115" s="67"/>
      <c r="CP115" s="67"/>
      <c r="CQ115" s="67"/>
      <c r="CR115" s="67"/>
      <c r="CS115" s="67"/>
      <c r="CT115" s="67"/>
      <c r="CU115" s="67"/>
      <c r="CV115" s="67"/>
      <c r="CW115" s="67"/>
      <c r="CX115" s="67"/>
      <c r="CY115" s="67"/>
      <c r="CZ115" s="67"/>
      <c r="DA115" s="67"/>
      <c r="DB115" s="67"/>
      <c r="DC115" s="67"/>
      <c r="DD115" s="67"/>
      <c r="DE115" s="67"/>
      <c r="DF115" s="67"/>
    </row>
    <row r="116" ht="11.25" customHeight="1">
      <c r="A116" s="62"/>
      <c r="B116" s="88"/>
      <c r="C116" s="89"/>
      <c r="D116" s="88"/>
      <c r="E116" s="90"/>
      <c r="F116" s="91"/>
      <c r="G116" s="49"/>
      <c r="H116" s="70"/>
      <c r="I116" s="88"/>
      <c r="J116" s="89"/>
      <c r="K116" s="88"/>
      <c r="L116" s="90"/>
      <c r="M116" s="91"/>
      <c r="N116" s="49"/>
      <c r="O116" s="71"/>
      <c r="P116" s="92"/>
      <c r="Q116" s="71"/>
      <c r="R116" s="92"/>
      <c r="S116" s="71"/>
      <c r="T116" s="71"/>
      <c r="U116" s="68"/>
      <c r="V116" s="93"/>
      <c r="W116" s="31"/>
      <c r="X116" s="32"/>
      <c r="Y116" s="51"/>
      <c r="Z116" s="22"/>
      <c r="AA116" s="12"/>
      <c r="AB116" s="27"/>
      <c r="AC116" s="31"/>
      <c r="AD116" s="32"/>
      <c r="AE116" s="51"/>
      <c r="AF116" s="22"/>
      <c r="AG116" s="29"/>
      <c r="AH116" s="93"/>
      <c r="AI116" s="31"/>
      <c r="AJ116" s="32"/>
      <c r="AK116" s="51"/>
      <c r="AL116" s="22"/>
      <c r="AM116" s="29"/>
      <c r="AN116" s="67"/>
      <c r="AO116" s="67"/>
      <c r="AP116" s="67"/>
      <c r="AQ116" s="67"/>
      <c r="AR116" s="67"/>
      <c r="AS116" s="67"/>
      <c r="AT116" s="67"/>
      <c r="AU116" s="67"/>
      <c r="AV116" s="34"/>
      <c r="AW116" s="67"/>
      <c r="AX116" s="67"/>
      <c r="AY116" s="67"/>
      <c r="AZ116" s="67"/>
      <c r="BA116" s="67"/>
      <c r="BB116" s="34"/>
      <c r="BC116" s="67"/>
      <c r="BD116" s="67"/>
      <c r="BE116" s="67"/>
      <c r="BF116" s="67"/>
      <c r="BG116" s="67"/>
      <c r="BH116" s="34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  <c r="CR116" s="67"/>
      <c r="CS116" s="67"/>
      <c r="CT116" s="67"/>
      <c r="CU116" s="67"/>
      <c r="CV116" s="67"/>
      <c r="CW116" s="67"/>
      <c r="CX116" s="67"/>
      <c r="CY116" s="67"/>
      <c r="CZ116" s="67"/>
      <c r="DA116" s="67"/>
      <c r="DB116" s="67"/>
      <c r="DC116" s="67"/>
      <c r="DD116" s="67"/>
      <c r="DE116" s="67"/>
      <c r="DF116" s="67"/>
    </row>
    <row r="117" ht="11.25" customHeight="1">
      <c r="A117" s="62"/>
      <c r="B117" s="88"/>
      <c r="C117" s="89"/>
      <c r="D117" s="88"/>
      <c r="E117" s="90"/>
      <c r="F117" s="91"/>
      <c r="G117" s="49"/>
      <c r="H117" s="70"/>
      <c r="I117" s="88"/>
      <c r="J117" s="89"/>
      <c r="K117" s="88"/>
      <c r="L117" s="90"/>
      <c r="M117" s="91"/>
      <c r="N117" s="49"/>
      <c r="O117" s="71"/>
      <c r="P117" s="92"/>
      <c r="Q117" s="71"/>
      <c r="R117" s="92"/>
      <c r="S117" s="71"/>
      <c r="T117" s="71"/>
      <c r="U117" s="68"/>
      <c r="V117" s="93"/>
      <c r="W117" s="31"/>
      <c r="X117" s="32"/>
      <c r="Y117" s="51"/>
      <c r="Z117" s="22"/>
      <c r="AA117" s="12"/>
      <c r="AB117" s="27"/>
      <c r="AC117" s="31"/>
      <c r="AD117" s="32"/>
      <c r="AE117" s="51"/>
      <c r="AF117" s="22"/>
      <c r="AG117" s="29"/>
      <c r="AH117" s="93"/>
      <c r="AI117" s="31"/>
      <c r="AJ117" s="32"/>
      <c r="AK117" s="51"/>
      <c r="AL117" s="22"/>
      <c r="AM117" s="29"/>
      <c r="AN117" s="67"/>
      <c r="AO117" s="67"/>
      <c r="AP117" s="67"/>
      <c r="AQ117" s="67"/>
      <c r="AR117" s="67"/>
      <c r="AS117" s="67"/>
      <c r="AT117" s="67"/>
      <c r="AU117" s="67"/>
      <c r="AV117" s="34"/>
      <c r="AW117" s="67"/>
      <c r="AX117" s="67"/>
      <c r="AY117" s="67"/>
      <c r="AZ117" s="67"/>
      <c r="BA117" s="67"/>
      <c r="BB117" s="34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7"/>
      <c r="CA117" s="67"/>
      <c r="CB117" s="67"/>
      <c r="CC117" s="67"/>
      <c r="CD117" s="67"/>
      <c r="CE117" s="67"/>
      <c r="CF117" s="67"/>
      <c r="CG117" s="67"/>
      <c r="CH117" s="67"/>
      <c r="CI117" s="67"/>
      <c r="CJ117" s="67"/>
      <c r="CK117" s="67"/>
      <c r="CL117" s="67"/>
      <c r="CM117" s="67"/>
      <c r="CN117" s="67"/>
      <c r="CO117" s="67"/>
      <c r="CP117" s="67"/>
      <c r="CQ117" s="67"/>
      <c r="CR117" s="67"/>
      <c r="CS117" s="67"/>
      <c r="CT117" s="67"/>
      <c r="CU117" s="67"/>
      <c r="CV117" s="67"/>
      <c r="CW117" s="67"/>
      <c r="CX117" s="67"/>
      <c r="CY117" s="67"/>
      <c r="CZ117" s="67"/>
      <c r="DA117" s="67"/>
      <c r="DB117" s="67"/>
      <c r="DC117" s="67"/>
      <c r="DD117" s="67"/>
      <c r="DE117" s="67"/>
      <c r="DF117" s="67"/>
    </row>
    <row r="118" ht="11.25" customHeight="1">
      <c r="A118" s="62"/>
      <c r="B118" s="88"/>
      <c r="C118" s="89"/>
      <c r="D118" s="88"/>
      <c r="E118" s="90"/>
      <c r="F118" s="91"/>
      <c r="G118" s="49"/>
      <c r="H118" s="70"/>
      <c r="I118" s="88"/>
      <c r="J118" s="89"/>
      <c r="K118" s="88"/>
      <c r="L118" s="90"/>
      <c r="M118" s="91"/>
      <c r="N118" s="49"/>
      <c r="O118" s="71"/>
      <c r="P118" s="92"/>
      <c r="Q118" s="71"/>
      <c r="R118" s="92"/>
      <c r="S118" s="71"/>
      <c r="T118" s="71"/>
      <c r="U118" s="68"/>
      <c r="V118" s="93"/>
      <c r="W118" s="31"/>
      <c r="X118" s="32"/>
      <c r="Y118" s="51"/>
      <c r="Z118" s="22"/>
      <c r="AA118" s="12"/>
      <c r="AB118" s="27"/>
      <c r="AC118" s="31"/>
      <c r="AD118" s="32"/>
      <c r="AE118" s="51"/>
      <c r="AF118" s="22"/>
      <c r="AG118" s="29"/>
      <c r="AH118" s="93"/>
      <c r="AI118" s="31"/>
      <c r="AJ118" s="32"/>
      <c r="AK118" s="51"/>
      <c r="AL118" s="22"/>
      <c r="AM118" s="29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34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  <c r="BW118" s="67"/>
      <c r="BX118" s="67"/>
      <c r="BY118" s="67"/>
      <c r="BZ118" s="67"/>
      <c r="CA118" s="67"/>
      <c r="CB118" s="67"/>
      <c r="CC118" s="67"/>
      <c r="CD118" s="67"/>
      <c r="CE118" s="67"/>
      <c r="CF118" s="67"/>
      <c r="CG118" s="67"/>
      <c r="CH118" s="67"/>
      <c r="CI118" s="67"/>
      <c r="CJ118" s="67"/>
      <c r="CK118" s="67"/>
      <c r="CL118" s="67"/>
      <c r="CM118" s="67"/>
      <c r="CN118" s="67"/>
      <c r="CO118" s="67"/>
      <c r="CP118" s="67"/>
      <c r="CQ118" s="67"/>
      <c r="CR118" s="67"/>
      <c r="CS118" s="67"/>
      <c r="CT118" s="67"/>
      <c r="CU118" s="67"/>
      <c r="CV118" s="67"/>
      <c r="CW118" s="67"/>
      <c r="CX118" s="67"/>
      <c r="CY118" s="67"/>
      <c r="CZ118" s="67"/>
      <c r="DA118" s="67"/>
      <c r="DB118" s="67"/>
      <c r="DC118" s="67"/>
      <c r="DD118" s="67"/>
      <c r="DE118" s="67"/>
      <c r="DF118" s="67"/>
    </row>
    <row r="119" ht="11.25" customHeight="1">
      <c r="A119" s="62"/>
      <c r="B119" s="88"/>
      <c r="C119" s="89"/>
      <c r="D119" s="88"/>
      <c r="E119" s="90"/>
      <c r="F119" s="91"/>
      <c r="G119" s="49"/>
      <c r="H119" s="70"/>
      <c r="I119" s="88"/>
      <c r="J119" s="89"/>
      <c r="K119" s="88"/>
      <c r="L119" s="90"/>
      <c r="M119" s="91"/>
      <c r="N119" s="49"/>
      <c r="O119" s="71"/>
      <c r="P119" s="92"/>
      <c r="Q119" s="71"/>
      <c r="R119" s="92"/>
      <c r="S119" s="71"/>
      <c r="T119" s="71"/>
      <c r="U119" s="68"/>
      <c r="V119" s="93"/>
      <c r="W119" s="31"/>
      <c r="X119" s="32"/>
      <c r="Y119" s="51"/>
      <c r="Z119" s="22"/>
      <c r="AA119" s="12"/>
      <c r="AB119" s="27"/>
      <c r="AC119" s="31"/>
      <c r="AD119" s="32"/>
      <c r="AE119" s="51"/>
      <c r="AF119" s="22"/>
      <c r="AG119" s="29"/>
      <c r="AH119" s="93"/>
      <c r="AI119" s="31"/>
      <c r="AJ119" s="32"/>
      <c r="AK119" s="51"/>
      <c r="AL119" s="22"/>
      <c r="AM119" s="29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34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  <c r="BW119" s="67"/>
      <c r="BX119" s="67"/>
      <c r="BY119" s="67"/>
      <c r="BZ119" s="67"/>
      <c r="CA119" s="67"/>
      <c r="CB119" s="67"/>
      <c r="CC119" s="67"/>
      <c r="CD119" s="67"/>
      <c r="CE119" s="67"/>
      <c r="CF119" s="67"/>
      <c r="CG119" s="67"/>
      <c r="CH119" s="67"/>
      <c r="CI119" s="67"/>
      <c r="CJ119" s="67"/>
      <c r="CK119" s="67"/>
      <c r="CL119" s="67"/>
      <c r="CM119" s="67"/>
      <c r="CN119" s="67"/>
      <c r="CO119" s="67"/>
      <c r="CP119" s="67"/>
      <c r="CQ119" s="67"/>
      <c r="CR119" s="67"/>
      <c r="CS119" s="67"/>
      <c r="CT119" s="67"/>
      <c r="CU119" s="67"/>
      <c r="CV119" s="67"/>
      <c r="CW119" s="67"/>
      <c r="CX119" s="67"/>
      <c r="CY119" s="67"/>
      <c r="CZ119" s="67"/>
      <c r="DA119" s="67"/>
      <c r="DB119" s="67"/>
      <c r="DC119" s="67"/>
      <c r="DD119" s="67"/>
      <c r="DE119" s="67"/>
      <c r="DF119" s="67"/>
    </row>
    <row r="120" ht="11.25" customHeight="1">
      <c r="A120" s="62"/>
      <c r="B120" s="88"/>
      <c r="C120" s="89"/>
      <c r="D120" s="88"/>
      <c r="E120" s="90"/>
      <c r="F120" s="91"/>
      <c r="G120" s="49"/>
      <c r="H120" s="70"/>
      <c r="I120" s="88"/>
      <c r="J120" s="89"/>
      <c r="K120" s="88"/>
      <c r="L120" s="90"/>
      <c r="M120" s="91"/>
      <c r="N120" s="49"/>
      <c r="O120" s="71"/>
      <c r="P120" s="92"/>
      <c r="Q120" s="71"/>
      <c r="R120" s="92"/>
      <c r="S120" s="71"/>
      <c r="T120" s="71"/>
      <c r="U120" s="68"/>
      <c r="V120" s="93"/>
      <c r="W120" s="31"/>
      <c r="X120" s="32"/>
      <c r="Y120" s="51"/>
      <c r="Z120" s="22"/>
      <c r="AA120" s="12"/>
      <c r="AB120" s="27"/>
      <c r="AC120" s="31"/>
      <c r="AD120" s="32"/>
      <c r="AE120" s="51"/>
      <c r="AF120" s="22"/>
      <c r="AG120" s="29"/>
      <c r="AH120" s="93"/>
      <c r="AI120" s="31"/>
      <c r="AJ120" s="32"/>
      <c r="AK120" s="51"/>
      <c r="AL120" s="22"/>
      <c r="AM120" s="29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34"/>
      <c r="BI120" s="67"/>
      <c r="BJ120" s="67"/>
      <c r="BK120" s="67"/>
      <c r="BL120" s="67"/>
      <c r="BM120" s="67"/>
      <c r="BN120" s="67"/>
      <c r="BO120" s="67"/>
      <c r="BP120" s="67"/>
      <c r="BQ120" s="67"/>
      <c r="BR120" s="67"/>
      <c r="BS120" s="67"/>
      <c r="BT120" s="67"/>
      <c r="BU120" s="67"/>
      <c r="BV120" s="67"/>
      <c r="BW120" s="67"/>
      <c r="BX120" s="67"/>
      <c r="BY120" s="67"/>
      <c r="BZ120" s="67"/>
      <c r="CA120" s="67"/>
      <c r="CB120" s="67"/>
      <c r="CC120" s="67"/>
      <c r="CD120" s="67"/>
      <c r="CE120" s="67"/>
      <c r="CF120" s="67"/>
      <c r="CG120" s="67"/>
      <c r="CH120" s="67"/>
      <c r="CI120" s="67"/>
      <c r="CJ120" s="67"/>
      <c r="CK120" s="67"/>
      <c r="CL120" s="67"/>
      <c r="CM120" s="67"/>
      <c r="CN120" s="67"/>
      <c r="CO120" s="67"/>
      <c r="CP120" s="67"/>
      <c r="CQ120" s="67"/>
      <c r="CR120" s="67"/>
      <c r="CS120" s="67"/>
      <c r="CT120" s="67"/>
      <c r="CU120" s="67"/>
      <c r="CV120" s="67"/>
      <c r="CW120" s="67"/>
      <c r="CX120" s="67"/>
      <c r="CY120" s="67"/>
      <c r="CZ120" s="67"/>
      <c r="DA120" s="67"/>
      <c r="DB120" s="67"/>
      <c r="DC120" s="67"/>
      <c r="DD120" s="67"/>
      <c r="DE120" s="67"/>
      <c r="DF120" s="67"/>
    </row>
    <row r="121" ht="11.25" customHeight="1">
      <c r="A121" s="62"/>
      <c r="B121" s="88"/>
      <c r="C121" s="89"/>
      <c r="D121" s="88"/>
      <c r="E121" s="90"/>
      <c r="F121" s="91"/>
      <c r="G121" s="49"/>
      <c r="H121" s="70"/>
      <c r="I121" s="88"/>
      <c r="J121" s="89"/>
      <c r="K121" s="88"/>
      <c r="L121" s="90"/>
      <c r="M121" s="91"/>
      <c r="N121" s="49"/>
      <c r="O121" s="71"/>
      <c r="P121" s="92"/>
      <c r="Q121" s="71"/>
      <c r="R121" s="92"/>
      <c r="S121" s="71"/>
      <c r="T121" s="71"/>
      <c r="U121" s="68"/>
      <c r="V121" s="93"/>
      <c r="W121" s="31"/>
      <c r="X121" s="32"/>
      <c r="Y121" s="51"/>
      <c r="Z121" s="22"/>
      <c r="AA121" s="12"/>
      <c r="AB121" s="27"/>
      <c r="AC121" s="31"/>
      <c r="AD121" s="32"/>
      <c r="AE121" s="51"/>
      <c r="AF121" s="22"/>
      <c r="AG121" s="29"/>
      <c r="AH121" s="93"/>
      <c r="AI121" s="31"/>
      <c r="AJ121" s="32"/>
      <c r="AK121" s="51"/>
      <c r="AL121" s="22"/>
      <c r="AM121" s="29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34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BS121" s="67"/>
      <c r="BT121" s="6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67"/>
      <c r="CU121" s="67"/>
      <c r="CV121" s="67"/>
      <c r="CW121" s="67"/>
      <c r="CX121" s="67"/>
      <c r="CY121" s="67"/>
      <c r="CZ121" s="67"/>
      <c r="DA121" s="67"/>
      <c r="DB121" s="67"/>
      <c r="DC121" s="67"/>
      <c r="DD121" s="67"/>
      <c r="DE121" s="67"/>
      <c r="DF121" s="67"/>
    </row>
    <row r="122" ht="11.25" customHeight="1">
      <c r="A122" s="62"/>
      <c r="B122" s="88"/>
      <c r="C122" s="89"/>
      <c r="D122" s="88"/>
      <c r="E122" s="90"/>
      <c r="F122" s="91"/>
      <c r="G122" s="49"/>
      <c r="H122" s="70"/>
      <c r="I122" s="88"/>
      <c r="J122" s="89"/>
      <c r="K122" s="88"/>
      <c r="L122" s="90"/>
      <c r="M122" s="91"/>
      <c r="N122" s="49"/>
      <c r="O122" s="71"/>
      <c r="P122" s="92"/>
      <c r="Q122" s="71"/>
      <c r="R122" s="92"/>
      <c r="S122" s="71"/>
      <c r="T122" s="71"/>
      <c r="U122" s="68"/>
      <c r="V122" s="93"/>
      <c r="W122" s="31"/>
      <c r="X122" s="32"/>
      <c r="Y122" s="51"/>
      <c r="Z122" s="22"/>
      <c r="AA122" s="12"/>
      <c r="AB122" s="27"/>
      <c r="AC122" s="31"/>
      <c r="AD122" s="32"/>
      <c r="AE122" s="51"/>
      <c r="AF122" s="22"/>
      <c r="AG122" s="29"/>
      <c r="AH122" s="93"/>
      <c r="AI122" s="31"/>
      <c r="AJ122" s="32"/>
      <c r="AK122" s="51"/>
      <c r="AL122" s="22"/>
      <c r="AM122" s="29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34"/>
      <c r="BI122" s="67"/>
      <c r="BJ122" s="67"/>
      <c r="BK122" s="67"/>
      <c r="BL122" s="67"/>
      <c r="BM122" s="67"/>
      <c r="BN122" s="67"/>
      <c r="BO122" s="67"/>
      <c r="BP122" s="67"/>
      <c r="BQ122" s="67"/>
      <c r="BR122" s="67"/>
      <c r="BS122" s="67"/>
      <c r="BT122" s="67"/>
      <c r="BU122" s="67"/>
      <c r="BV122" s="67"/>
      <c r="BW122" s="67"/>
      <c r="BX122" s="67"/>
      <c r="BY122" s="67"/>
      <c r="BZ122" s="67"/>
      <c r="CA122" s="67"/>
      <c r="CB122" s="67"/>
      <c r="CC122" s="67"/>
      <c r="CD122" s="67"/>
      <c r="CE122" s="67"/>
      <c r="CF122" s="67"/>
      <c r="CG122" s="67"/>
      <c r="CH122" s="67"/>
      <c r="CI122" s="67"/>
      <c r="CJ122" s="67"/>
      <c r="CK122" s="67"/>
      <c r="CL122" s="67"/>
      <c r="CM122" s="67"/>
      <c r="CN122" s="67"/>
      <c r="CO122" s="67"/>
      <c r="CP122" s="67"/>
      <c r="CQ122" s="67"/>
      <c r="CR122" s="67"/>
      <c r="CS122" s="67"/>
      <c r="CT122" s="67"/>
      <c r="CU122" s="67"/>
      <c r="CV122" s="67"/>
      <c r="CW122" s="67"/>
      <c r="CX122" s="67"/>
      <c r="CY122" s="67"/>
      <c r="CZ122" s="67"/>
      <c r="DA122" s="67"/>
      <c r="DB122" s="67"/>
      <c r="DC122" s="67"/>
      <c r="DD122" s="67"/>
      <c r="DE122" s="67"/>
      <c r="DF122" s="67"/>
    </row>
    <row r="123" ht="11.25" customHeight="1">
      <c r="A123" s="62"/>
      <c r="B123" s="88"/>
      <c r="C123" s="89"/>
      <c r="D123" s="88"/>
      <c r="E123" s="90"/>
      <c r="F123" s="91"/>
      <c r="G123" s="49"/>
      <c r="H123" s="70"/>
      <c r="I123" s="88"/>
      <c r="J123" s="89"/>
      <c r="K123" s="88"/>
      <c r="L123" s="90"/>
      <c r="M123" s="91"/>
      <c r="N123" s="49"/>
      <c r="O123" s="71"/>
      <c r="P123" s="92"/>
      <c r="Q123" s="71"/>
      <c r="R123" s="92"/>
      <c r="S123" s="71"/>
      <c r="T123" s="71"/>
      <c r="U123" s="68"/>
      <c r="V123" s="93"/>
      <c r="W123" s="31"/>
      <c r="X123" s="32"/>
      <c r="Y123" s="51"/>
      <c r="Z123" s="22"/>
      <c r="AA123" s="12"/>
      <c r="AB123" s="27"/>
      <c r="AC123" s="31"/>
      <c r="AD123" s="32"/>
      <c r="AE123" s="51"/>
      <c r="AF123" s="22"/>
      <c r="AG123" s="29"/>
      <c r="AH123" s="93"/>
      <c r="AI123" s="31"/>
      <c r="AJ123" s="32"/>
      <c r="AK123" s="51"/>
      <c r="AL123" s="22"/>
      <c r="AM123" s="29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34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</row>
    <row r="124" ht="11.25" customHeight="1">
      <c r="A124" s="62"/>
      <c r="B124" s="88"/>
      <c r="C124" s="89"/>
      <c r="D124" s="88"/>
      <c r="E124" s="90"/>
      <c r="F124" s="91"/>
      <c r="G124" s="49"/>
      <c r="H124" s="70"/>
      <c r="I124" s="88"/>
      <c r="J124" s="89"/>
      <c r="K124" s="88"/>
      <c r="L124" s="90"/>
      <c r="M124" s="91"/>
      <c r="N124" s="49"/>
      <c r="O124" s="71"/>
      <c r="P124" s="92"/>
      <c r="Q124" s="71"/>
      <c r="R124" s="92"/>
      <c r="S124" s="71"/>
      <c r="T124" s="71"/>
      <c r="U124" s="68"/>
      <c r="V124" s="93"/>
      <c r="W124" s="31"/>
      <c r="X124" s="32"/>
      <c r="Y124" s="51"/>
      <c r="Z124" s="22"/>
      <c r="AA124" s="12"/>
      <c r="AB124" s="27"/>
      <c r="AC124" s="31"/>
      <c r="AD124" s="32"/>
      <c r="AE124" s="51"/>
      <c r="AF124" s="22"/>
      <c r="AG124" s="29"/>
      <c r="AH124" s="93"/>
      <c r="AI124" s="31"/>
      <c r="AJ124" s="32"/>
      <c r="AK124" s="51"/>
      <c r="AL124" s="22"/>
      <c r="AM124" s="29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67"/>
      <c r="CU124" s="67"/>
      <c r="CV124" s="67"/>
      <c r="CW124" s="67"/>
      <c r="CX124" s="67"/>
      <c r="CY124" s="67"/>
      <c r="CZ124" s="67"/>
      <c r="DA124" s="67"/>
      <c r="DB124" s="67"/>
      <c r="DC124" s="67"/>
      <c r="DD124" s="67"/>
      <c r="DE124" s="67"/>
      <c r="DF124" s="67"/>
    </row>
    <row r="125" ht="11.25" customHeight="1">
      <c r="A125" s="62"/>
      <c r="B125" s="88"/>
      <c r="C125" s="89"/>
      <c r="D125" s="88"/>
      <c r="E125" s="90"/>
      <c r="F125" s="91"/>
      <c r="G125" s="49"/>
      <c r="H125" s="70"/>
      <c r="I125" s="88"/>
      <c r="J125" s="89"/>
      <c r="K125" s="88"/>
      <c r="L125" s="90"/>
      <c r="M125" s="91"/>
      <c r="N125" s="49"/>
      <c r="O125" s="71"/>
      <c r="P125" s="92"/>
      <c r="Q125" s="71"/>
      <c r="R125" s="92"/>
      <c r="S125" s="71"/>
      <c r="T125" s="71"/>
      <c r="U125" s="68"/>
      <c r="V125" s="93"/>
      <c r="W125" s="31"/>
      <c r="X125" s="32"/>
      <c r="Y125" s="51"/>
      <c r="Z125" s="22"/>
      <c r="AA125" s="12"/>
      <c r="AB125" s="27"/>
      <c r="AC125" s="31"/>
      <c r="AD125" s="32"/>
      <c r="AE125" s="51"/>
      <c r="AF125" s="22"/>
      <c r="AG125" s="29"/>
      <c r="AH125" s="93"/>
      <c r="AI125" s="31"/>
      <c r="AJ125" s="32"/>
      <c r="AK125" s="51"/>
      <c r="AL125" s="22"/>
      <c r="AM125" s="29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  <c r="DC125" s="67"/>
      <c r="DD125" s="67"/>
      <c r="DE125" s="67"/>
      <c r="DF125" s="67"/>
    </row>
    <row r="126" ht="11.25" customHeight="1">
      <c r="A126" s="62"/>
      <c r="B126" s="88"/>
      <c r="C126" s="89"/>
      <c r="D126" s="88"/>
      <c r="E126" s="90"/>
      <c r="F126" s="91"/>
      <c r="G126" s="49"/>
      <c r="H126" s="70"/>
      <c r="I126" s="88"/>
      <c r="J126" s="89"/>
      <c r="K126" s="88"/>
      <c r="L126" s="90"/>
      <c r="M126" s="91"/>
      <c r="N126" s="49"/>
      <c r="O126" s="71"/>
      <c r="P126" s="92"/>
      <c r="Q126" s="71"/>
      <c r="R126" s="92"/>
      <c r="S126" s="71"/>
      <c r="T126" s="71"/>
      <c r="U126" s="68"/>
      <c r="V126" s="93"/>
      <c r="W126" s="31"/>
      <c r="X126" s="32"/>
      <c r="Y126" s="51"/>
      <c r="Z126" s="22"/>
      <c r="AA126" s="12"/>
      <c r="AB126" s="27"/>
      <c r="AC126" s="31"/>
      <c r="AD126" s="32"/>
      <c r="AE126" s="51"/>
      <c r="AF126" s="22"/>
      <c r="AG126" s="29"/>
      <c r="AH126" s="93"/>
      <c r="AI126" s="31"/>
      <c r="AJ126" s="32"/>
      <c r="AK126" s="51"/>
      <c r="AL126" s="22"/>
      <c r="AM126" s="29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67"/>
      <c r="CL126" s="67"/>
      <c r="CM126" s="67"/>
      <c r="CN126" s="67"/>
      <c r="CO126" s="67"/>
      <c r="CP126" s="67"/>
      <c r="CQ126" s="67"/>
      <c r="CR126" s="67"/>
      <c r="CS126" s="67"/>
      <c r="CT126" s="67"/>
      <c r="CU126" s="67"/>
      <c r="CV126" s="67"/>
      <c r="CW126" s="67"/>
      <c r="CX126" s="67"/>
      <c r="CY126" s="67"/>
      <c r="CZ126" s="67"/>
      <c r="DA126" s="67"/>
      <c r="DB126" s="67"/>
      <c r="DC126" s="67"/>
      <c r="DD126" s="67"/>
      <c r="DE126" s="67"/>
      <c r="DF126" s="67"/>
    </row>
    <row r="127" ht="11.25" customHeight="1">
      <c r="A127" s="62"/>
      <c r="B127" s="88"/>
      <c r="C127" s="89"/>
      <c r="D127" s="88"/>
      <c r="E127" s="90"/>
      <c r="F127" s="91"/>
      <c r="G127" s="49"/>
      <c r="H127" s="70"/>
      <c r="I127" s="88"/>
      <c r="J127" s="89"/>
      <c r="K127" s="88"/>
      <c r="L127" s="90"/>
      <c r="M127" s="91"/>
      <c r="N127" s="49"/>
      <c r="O127" s="71"/>
      <c r="P127" s="92"/>
      <c r="Q127" s="71"/>
      <c r="R127" s="92"/>
      <c r="S127" s="71"/>
      <c r="T127" s="71"/>
      <c r="U127" s="68"/>
      <c r="V127" s="93"/>
      <c r="W127" s="31"/>
      <c r="X127" s="32"/>
      <c r="Y127" s="51"/>
      <c r="Z127" s="22"/>
      <c r="AA127" s="12"/>
      <c r="AB127" s="27"/>
      <c r="AC127" s="31"/>
      <c r="AD127" s="32"/>
      <c r="AE127" s="51"/>
      <c r="AF127" s="22"/>
      <c r="AG127" s="29"/>
      <c r="AH127" s="93"/>
      <c r="AI127" s="31"/>
      <c r="AJ127" s="32"/>
      <c r="AK127" s="51"/>
      <c r="AL127" s="22"/>
      <c r="AM127" s="29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67"/>
      <c r="CL127" s="67"/>
      <c r="CM127" s="67"/>
      <c r="CN127" s="67"/>
      <c r="CO127" s="67"/>
      <c r="CP127" s="67"/>
      <c r="CQ127" s="67"/>
      <c r="CR127" s="67"/>
      <c r="CS127" s="67"/>
      <c r="CT127" s="67"/>
      <c r="CU127" s="67"/>
      <c r="CV127" s="67"/>
      <c r="CW127" s="67"/>
      <c r="CX127" s="67"/>
      <c r="CY127" s="67"/>
      <c r="CZ127" s="67"/>
      <c r="DA127" s="67"/>
      <c r="DB127" s="67"/>
      <c r="DC127" s="67"/>
      <c r="DD127" s="67"/>
      <c r="DE127" s="67"/>
      <c r="DF127" s="67"/>
    </row>
    <row r="128" ht="11.25" customHeight="1">
      <c r="A128" s="62"/>
      <c r="B128" s="88"/>
      <c r="C128" s="89"/>
      <c r="D128" s="88"/>
      <c r="E128" s="90"/>
      <c r="F128" s="91"/>
      <c r="G128" s="49"/>
      <c r="H128" s="70"/>
      <c r="I128" s="88"/>
      <c r="J128" s="89"/>
      <c r="K128" s="88"/>
      <c r="L128" s="90"/>
      <c r="M128" s="91"/>
      <c r="N128" s="49"/>
      <c r="O128" s="71"/>
      <c r="P128" s="92"/>
      <c r="Q128" s="71"/>
      <c r="R128" s="92"/>
      <c r="S128" s="71"/>
      <c r="T128" s="71"/>
      <c r="U128" s="68"/>
      <c r="V128" s="93"/>
      <c r="W128" s="31"/>
      <c r="X128" s="32"/>
      <c r="Y128" s="51"/>
      <c r="Z128" s="22"/>
      <c r="AA128" s="12"/>
      <c r="AB128" s="27"/>
      <c r="AC128" s="31"/>
      <c r="AD128" s="32"/>
      <c r="AE128" s="51"/>
      <c r="AF128" s="22"/>
      <c r="AG128" s="29"/>
      <c r="AH128" s="93"/>
      <c r="AI128" s="31"/>
      <c r="AJ128" s="32"/>
      <c r="AK128" s="51"/>
      <c r="AL128" s="22"/>
      <c r="AM128" s="29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67"/>
      <c r="CL128" s="67"/>
      <c r="CM128" s="67"/>
      <c r="CN128" s="67"/>
      <c r="CO128" s="67"/>
      <c r="CP128" s="67"/>
      <c r="CQ128" s="67"/>
      <c r="CR128" s="67"/>
      <c r="CS128" s="67"/>
      <c r="CT128" s="67"/>
      <c r="CU128" s="67"/>
      <c r="CV128" s="67"/>
      <c r="CW128" s="67"/>
      <c r="CX128" s="67"/>
      <c r="CY128" s="67"/>
      <c r="CZ128" s="67"/>
      <c r="DA128" s="67"/>
      <c r="DB128" s="67"/>
      <c r="DC128" s="67"/>
      <c r="DD128" s="67"/>
      <c r="DE128" s="67"/>
      <c r="DF128" s="67"/>
    </row>
    <row r="129" ht="11.25" customHeight="1">
      <c r="A129" s="62"/>
      <c r="B129" s="88"/>
      <c r="C129" s="89"/>
      <c r="D129" s="88"/>
      <c r="E129" s="90"/>
      <c r="F129" s="91"/>
      <c r="G129" s="49"/>
      <c r="H129" s="70"/>
      <c r="I129" s="88"/>
      <c r="J129" s="89"/>
      <c r="K129" s="88"/>
      <c r="L129" s="90"/>
      <c r="M129" s="91"/>
      <c r="N129" s="49"/>
      <c r="O129" s="71"/>
      <c r="P129" s="92"/>
      <c r="Q129" s="71"/>
      <c r="R129" s="92"/>
      <c r="S129" s="71"/>
      <c r="T129" s="71"/>
      <c r="U129" s="68"/>
      <c r="V129" s="93"/>
      <c r="W129" s="31"/>
      <c r="X129" s="32"/>
      <c r="Y129" s="51"/>
      <c r="Z129" s="22"/>
      <c r="AA129" s="12"/>
      <c r="AB129" s="27"/>
      <c r="AC129" s="31"/>
      <c r="AD129" s="32"/>
      <c r="AE129" s="51"/>
      <c r="AF129" s="22"/>
      <c r="AG129" s="29"/>
      <c r="AH129" s="93"/>
      <c r="AI129" s="31"/>
      <c r="AJ129" s="32"/>
      <c r="AK129" s="51"/>
      <c r="AL129" s="22"/>
      <c r="AM129" s="29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67"/>
      <c r="CU129" s="67"/>
      <c r="CV129" s="67"/>
      <c r="CW129" s="67"/>
      <c r="CX129" s="67"/>
      <c r="CY129" s="67"/>
      <c r="CZ129" s="67"/>
      <c r="DA129" s="67"/>
      <c r="DB129" s="67"/>
      <c r="DC129" s="67"/>
      <c r="DD129" s="67"/>
      <c r="DE129" s="67"/>
      <c r="DF129" s="67"/>
    </row>
    <row r="130" ht="11.25" customHeight="1">
      <c r="A130" s="62"/>
      <c r="B130" s="88"/>
      <c r="C130" s="89"/>
      <c r="D130" s="88"/>
      <c r="E130" s="90"/>
      <c r="F130" s="91"/>
      <c r="G130" s="49"/>
      <c r="H130" s="70"/>
      <c r="I130" s="88"/>
      <c r="J130" s="89"/>
      <c r="K130" s="88"/>
      <c r="L130" s="90"/>
      <c r="M130" s="91"/>
      <c r="N130" s="49"/>
      <c r="O130" s="71"/>
      <c r="P130" s="92"/>
      <c r="Q130" s="71"/>
      <c r="R130" s="92"/>
      <c r="S130" s="71"/>
      <c r="T130" s="71"/>
      <c r="U130" s="68"/>
      <c r="V130" s="93"/>
      <c r="W130" s="31"/>
      <c r="X130" s="32"/>
      <c r="Y130" s="51"/>
      <c r="Z130" s="22"/>
      <c r="AA130" s="12"/>
      <c r="AB130" s="27"/>
      <c r="AC130" s="31"/>
      <c r="AD130" s="32"/>
      <c r="AE130" s="51"/>
      <c r="AF130" s="22"/>
      <c r="AG130" s="29"/>
      <c r="AH130" s="93"/>
      <c r="AI130" s="31"/>
      <c r="AJ130" s="32"/>
      <c r="AK130" s="51"/>
      <c r="AL130" s="22"/>
      <c r="AM130" s="29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  <c r="BM130" s="67"/>
      <c r="BN130" s="67"/>
      <c r="BO130" s="67"/>
      <c r="BP130" s="67"/>
      <c r="BQ130" s="67"/>
      <c r="BR130" s="67"/>
      <c r="BS130" s="67"/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/>
      <c r="CI130" s="67"/>
      <c r="CJ130" s="67"/>
      <c r="CK130" s="67"/>
      <c r="CL130" s="67"/>
      <c r="CM130" s="67"/>
      <c r="CN130" s="67"/>
      <c r="CO130" s="67"/>
      <c r="CP130" s="67"/>
      <c r="CQ130" s="67"/>
      <c r="CR130" s="67"/>
      <c r="CS130" s="67"/>
      <c r="CT130" s="67"/>
      <c r="CU130" s="67"/>
      <c r="CV130" s="67"/>
      <c r="CW130" s="67"/>
      <c r="CX130" s="67"/>
      <c r="CY130" s="67"/>
      <c r="CZ130" s="67"/>
      <c r="DA130" s="67"/>
      <c r="DB130" s="67"/>
      <c r="DC130" s="67"/>
      <c r="DD130" s="67"/>
      <c r="DE130" s="67"/>
      <c r="DF130" s="67"/>
    </row>
    <row r="131" ht="11.25" customHeight="1">
      <c r="A131" s="62"/>
      <c r="B131" s="88"/>
      <c r="C131" s="89"/>
      <c r="D131" s="88"/>
      <c r="E131" s="90"/>
      <c r="F131" s="91"/>
      <c r="G131" s="49"/>
      <c r="H131" s="70"/>
      <c r="I131" s="88"/>
      <c r="J131" s="89"/>
      <c r="K131" s="88"/>
      <c r="L131" s="90"/>
      <c r="M131" s="91"/>
      <c r="N131" s="49"/>
      <c r="O131" s="71"/>
      <c r="P131" s="92"/>
      <c r="Q131" s="71"/>
      <c r="R131" s="92"/>
      <c r="S131" s="71"/>
      <c r="T131" s="71"/>
      <c r="U131" s="68"/>
      <c r="V131" s="93"/>
      <c r="W131" s="31"/>
      <c r="X131" s="32"/>
      <c r="Y131" s="51"/>
      <c r="Z131" s="22"/>
      <c r="AA131" s="12"/>
      <c r="AB131" s="27"/>
      <c r="AC131" s="31"/>
      <c r="AD131" s="32"/>
      <c r="AE131" s="51"/>
      <c r="AF131" s="22"/>
      <c r="AG131" s="29"/>
      <c r="AH131" s="93"/>
      <c r="AI131" s="31"/>
      <c r="AJ131" s="32"/>
      <c r="AK131" s="51"/>
      <c r="AL131" s="22"/>
      <c r="AM131" s="29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/>
      <c r="BR131" s="67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67"/>
      <c r="CL131" s="67"/>
      <c r="CM131" s="67"/>
      <c r="CN131" s="67"/>
      <c r="CO131" s="67"/>
      <c r="CP131" s="67"/>
      <c r="CQ131" s="67"/>
      <c r="CR131" s="67"/>
      <c r="CS131" s="67"/>
      <c r="CT131" s="67"/>
      <c r="CU131" s="67"/>
      <c r="CV131" s="67"/>
      <c r="CW131" s="67"/>
      <c r="CX131" s="67"/>
      <c r="CY131" s="67"/>
      <c r="CZ131" s="67"/>
      <c r="DA131" s="67"/>
      <c r="DB131" s="67"/>
      <c r="DC131" s="67"/>
      <c r="DD131" s="67"/>
      <c r="DE131" s="67"/>
      <c r="DF131" s="67"/>
    </row>
    <row r="132" ht="11.25" customHeight="1">
      <c r="A132" s="62"/>
      <c r="B132" s="88"/>
      <c r="C132" s="89"/>
      <c r="D132" s="88"/>
      <c r="E132" s="90"/>
      <c r="F132" s="91"/>
      <c r="G132" s="49"/>
      <c r="H132" s="70"/>
      <c r="I132" s="88"/>
      <c r="J132" s="89"/>
      <c r="K132" s="88"/>
      <c r="L132" s="90"/>
      <c r="M132" s="91"/>
      <c r="N132" s="49"/>
      <c r="O132" s="71"/>
      <c r="P132" s="92"/>
      <c r="Q132" s="71"/>
      <c r="R132" s="92"/>
      <c r="S132" s="71"/>
      <c r="T132" s="71"/>
      <c r="U132" s="68"/>
      <c r="V132" s="93"/>
      <c r="W132" s="31"/>
      <c r="X132" s="32"/>
      <c r="Y132" s="51"/>
      <c r="Z132" s="22"/>
      <c r="AA132" s="12"/>
      <c r="AB132" s="27"/>
      <c r="AC132" s="31"/>
      <c r="AD132" s="32"/>
      <c r="AE132" s="51"/>
      <c r="AF132" s="22"/>
      <c r="AG132" s="29"/>
      <c r="AH132" s="93"/>
      <c r="AI132" s="31"/>
      <c r="AJ132" s="32"/>
      <c r="AK132" s="51"/>
      <c r="AL132" s="22"/>
      <c r="AM132" s="29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  <c r="DC132" s="67"/>
      <c r="DD132" s="67"/>
      <c r="DE132" s="67"/>
      <c r="DF132" s="67"/>
    </row>
    <row r="133" ht="11.25" customHeight="1">
      <c r="A133" s="62"/>
      <c r="B133" s="88"/>
      <c r="C133" s="89"/>
      <c r="D133" s="88"/>
      <c r="E133" s="90"/>
      <c r="F133" s="91"/>
      <c r="G133" s="49"/>
      <c r="H133" s="70"/>
      <c r="I133" s="88"/>
      <c r="J133" s="89"/>
      <c r="K133" s="88"/>
      <c r="L133" s="90"/>
      <c r="M133" s="91"/>
      <c r="N133" s="49"/>
      <c r="O133" s="71"/>
      <c r="P133" s="92"/>
      <c r="Q133" s="71"/>
      <c r="R133" s="92"/>
      <c r="S133" s="71"/>
      <c r="T133" s="71"/>
      <c r="U133" s="68"/>
      <c r="V133" s="93"/>
      <c r="W133" s="31"/>
      <c r="X133" s="32"/>
      <c r="Y133" s="51"/>
      <c r="Z133" s="22"/>
      <c r="AA133" s="12"/>
      <c r="AB133" s="27"/>
      <c r="AC133" s="31"/>
      <c r="AD133" s="32"/>
      <c r="AE133" s="51"/>
      <c r="AF133" s="22"/>
      <c r="AG133" s="29"/>
      <c r="AH133" s="93"/>
      <c r="AI133" s="31"/>
      <c r="AJ133" s="32"/>
      <c r="AK133" s="51"/>
      <c r="AL133" s="22"/>
      <c r="AM133" s="29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67"/>
      <c r="CU133" s="67"/>
      <c r="CV133" s="67"/>
      <c r="CW133" s="67"/>
      <c r="CX133" s="67"/>
      <c r="CY133" s="67"/>
      <c r="CZ133" s="67"/>
      <c r="DA133" s="67"/>
      <c r="DB133" s="67"/>
      <c r="DC133" s="67"/>
      <c r="DD133" s="67"/>
      <c r="DE133" s="67"/>
      <c r="DF133" s="67"/>
    </row>
    <row r="134" ht="11.25" customHeight="1">
      <c r="A134" s="62"/>
      <c r="B134" s="88"/>
      <c r="C134" s="89"/>
      <c r="D134" s="88"/>
      <c r="E134" s="90"/>
      <c r="F134" s="91"/>
      <c r="G134" s="49"/>
      <c r="H134" s="70"/>
      <c r="I134" s="88"/>
      <c r="J134" s="89"/>
      <c r="K134" s="88"/>
      <c r="L134" s="90"/>
      <c r="M134" s="91"/>
      <c r="N134" s="49"/>
      <c r="O134" s="71"/>
      <c r="P134" s="92"/>
      <c r="Q134" s="71"/>
      <c r="R134" s="92"/>
      <c r="S134" s="71"/>
      <c r="T134" s="71"/>
      <c r="U134" s="68"/>
      <c r="V134" s="93"/>
      <c r="W134" s="31"/>
      <c r="X134" s="32"/>
      <c r="Y134" s="51"/>
      <c r="Z134" s="22"/>
      <c r="AA134" s="12"/>
      <c r="AB134" s="27"/>
      <c r="AC134" s="31"/>
      <c r="AD134" s="32"/>
      <c r="AE134" s="51"/>
      <c r="AF134" s="22"/>
      <c r="AG134" s="29"/>
      <c r="AH134" s="93"/>
      <c r="AI134" s="31"/>
      <c r="AJ134" s="32"/>
      <c r="AK134" s="51"/>
      <c r="AL134" s="22"/>
      <c r="AM134" s="29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  <c r="BM134" s="67"/>
      <c r="BN134" s="67"/>
      <c r="BO134" s="67"/>
      <c r="BP134" s="67"/>
      <c r="BQ134" s="67"/>
      <c r="BR134" s="67"/>
      <c r="BS134" s="67"/>
      <c r="BT134" s="67"/>
      <c r="BU134" s="67"/>
      <c r="BV134" s="67"/>
      <c r="BW134" s="67"/>
      <c r="BX134" s="67"/>
      <c r="BY134" s="67"/>
      <c r="BZ134" s="67"/>
      <c r="CA134" s="67"/>
      <c r="CB134" s="67"/>
      <c r="CC134" s="67"/>
      <c r="CD134" s="67"/>
      <c r="CE134" s="67"/>
      <c r="CF134" s="67"/>
      <c r="CG134" s="67"/>
      <c r="CH134" s="67"/>
      <c r="CI134" s="67"/>
      <c r="CJ134" s="67"/>
      <c r="CK134" s="67"/>
      <c r="CL134" s="67"/>
      <c r="CM134" s="67"/>
      <c r="CN134" s="67"/>
      <c r="CO134" s="67"/>
      <c r="CP134" s="67"/>
      <c r="CQ134" s="67"/>
      <c r="CR134" s="67"/>
      <c r="CS134" s="67"/>
      <c r="CT134" s="67"/>
      <c r="CU134" s="67"/>
      <c r="CV134" s="67"/>
      <c r="CW134" s="67"/>
      <c r="CX134" s="67"/>
      <c r="CY134" s="67"/>
      <c r="CZ134" s="67"/>
      <c r="DA134" s="67"/>
      <c r="DB134" s="67"/>
      <c r="DC134" s="67"/>
      <c r="DD134" s="67"/>
      <c r="DE134" s="67"/>
      <c r="DF134" s="67"/>
    </row>
    <row r="135" ht="11.25" customHeight="1">
      <c r="A135" s="62"/>
      <c r="B135" s="88"/>
      <c r="C135" s="89"/>
      <c r="D135" s="88"/>
      <c r="E135" s="90"/>
      <c r="F135" s="91"/>
      <c r="G135" s="49"/>
      <c r="H135" s="70"/>
      <c r="I135" s="88"/>
      <c r="J135" s="89"/>
      <c r="K135" s="88"/>
      <c r="L135" s="90"/>
      <c r="M135" s="91"/>
      <c r="N135" s="49"/>
      <c r="O135" s="71"/>
      <c r="P135" s="92"/>
      <c r="Q135" s="71"/>
      <c r="R135" s="92"/>
      <c r="S135" s="71"/>
      <c r="T135" s="71"/>
      <c r="U135" s="68"/>
      <c r="V135" s="93"/>
      <c r="W135" s="31"/>
      <c r="X135" s="32"/>
      <c r="Y135" s="51"/>
      <c r="Z135" s="22"/>
      <c r="AA135" s="12"/>
      <c r="AB135" s="27"/>
      <c r="AC135" s="31"/>
      <c r="AD135" s="32"/>
      <c r="AE135" s="51"/>
      <c r="AF135" s="22"/>
      <c r="AG135" s="29"/>
      <c r="AH135" s="93"/>
      <c r="AI135" s="31"/>
      <c r="AJ135" s="32"/>
      <c r="AK135" s="51"/>
      <c r="AL135" s="22"/>
      <c r="AM135" s="29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R135" s="67"/>
      <c r="BS135" s="67"/>
      <c r="BT135" s="67"/>
      <c r="BU135" s="67"/>
      <c r="BV135" s="67"/>
      <c r="BW135" s="67"/>
      <c r="BX135" s="67"/>
      <c r="BY135" s="67"/>
      <c r="BZ135" s="67"/>
      <c r="CA135" s="67"/>
      <c r="CB135" s="67"/>
      <c r="CC135" s="67"/>
      <c r="CD135" s="67"/>
      <c r="CE135" s="67"/>
      <c r="CF135" s="67"/>
      <c r="CG135" s="67"/>
      <c r="CH135" s="67"/>
      <c r="CI135" s="67"/>
      <c r="CJ135" s="67"/>
      <c r="CK135" s="67"/>
      <c r="CL135" s="67"/>
      <c r="CM135" s="67"/>
      <c r="CN135" s="67"/>
      <c r="CO135" s="67"/>
      <c r="CP135" s="67"/>
      <c r="CQ135" s="67"/>
      <c r="CR135" s="67"/>
      <c r="CS135" s="67"/>
      <c r="CT135" s="67"/>
      <c r="CU135" s="67"/>
      <c r="CV135" s="67"/>
      <c r="CW135" s="67"/>
      <c r="CX135" s="67"/>
      <c r="CY135" s="67"/>
      <c r="CZ135" s="67"/>
      <c r="DA135" s="67"/>
      <c r="DB135" s="67"/>
      <c r="DC135" s="67"/>
      <c r="DD135" s="67"/>
      <c r="DE135" s="67"/>
      <c r="DF135" s="67"/>
    </row>
    <row r="136" ht="11.25" customHeight="1">
      <c r="A136" s="62"/>
      <c r="B136" s="88"/>
      <c r="C136" s="89"/>
      <c r="D136" s="88"/>
      <c r="E136" s="90"/>
      <c r="F136" s="91"/>
      <c r="G136" s="49"/>
      <c r="H136" s="70"/>
      <c r="I136" s="88"/>
      <c r="J136" s="89"/>
      <c r="K136" s="88"/>
      <c r="L136" s="90"/>
      <c r="M136" s="91"/>
      <c r="N136" s="49"/>
      <c r="O136" s="71"/>
      <c r="P136" s="92"/>
      <c r="Q136" s="71"/>
      <c r="R136" s="92"/>
      <c r="S136" s="71"/>
      <c r="T136" s="71"/>
      <c r="U136" s="68"/>
      <c r="V136" s="93"/>
      <c r="W136" s="31"/>
      <c r="X136" s="32"/>
      <c r="Y136" s="51"/>
      <c r="Z136" s="22"/>
      <c r="AA136" s="12"/>
      <c r="AB136" s="27"/>
      <c r="AC136" s="31"/>
      <c r="AD136" s="32"/>
      <c r="AE136" s="51"/>
      <c r="AF136" s="22"/>
      <c r="AG136" s="29"/>
      <c r="AH136" s="93"/>
      <c r="AI136" s="31"/>
      <c r="AJ136" s="32"/>
      <c r="AK136" s="51"/>
      <c r="AL136" s="22"/>
      <c r="AM136" s="29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67"/>
      <c r="CL136" s="67"/>
      <c r="CM136" s="67"/>
      <c r="CN136" s="67"/>
      <c r="CO136" s="67"/>
      <c r="CP136" s="67"/>
      <c r="CQ136" s="67"/>
      <c r="CR136" s="67"/>
      <c r="CS136" s="67"/>
      <c r="CT136" s="67"/>
      <c r="CU136" s="67"/>
      <c r="CV136" s="67"/>
      <c r="CW136" s="67"/>
      <c r="CX136" s="67"/>
      <c r="CY136" s="67"/>
      <c r="CZ136" s="67"/>
      <c r="DA136" s="67"/>
      <c r="DB136" s="67"/>
      <c r="DC136" s="67"/>
      <c r="DD136" s="67"/>
      <c r="DE136" s="67"/>
      <c r="DF136" s="67"/>
    </row>
    <row r="137" ht="11.25" customHeight="1">
      <c r="A137" s="62"/>
      <c r="B137" s="88"/>
      <c r="C137" s="89"/>
      <c r="D137" s="88"/>
      <c r="E137" s="90"/>
      <c r="F137" s="91"/>
      <c r="G137" s="49"/>
      <c r="H137" s="70"/>
      <c r="I137" s="88"/>
      <c r="J137" s="89"/>
      <c r="K137" s="88"/>
      <c r="L137" s="90"/>
      <c r="M137" s="91"/>
      <c r="N137" s="49"/>
      <c r="O137" s="71"/>
      <c r="P137" s="92"/>
      <c r="Q137" s="71"/>
      <c r="R137" s="92"/>
      <c r="S137" s="71"/>
      <c r="T137" s="71"/>
      <c r="U137" s="68"/>
      <c r="V137" s="93"/>
      <c r="W137" s="31"/>
      <c r="X137" s="32"/>
      <c r="Y137" s="51"/>
      <c r="Z137" s="22"/>
      <c r="AA137" s="12"/>
      <c r="AB137" s="27"/>
      <c r="AC137" s="31"/>
      <c r="AD137" s="32"/>
      <c r="AE137" s="51"/>
      <c r="AF137" s="22"/>
      <c r="AG137" s="29"/>
      <c r="AH137" s="93"/>
      <c r="AI137" s="31"/>
      <c r="AJ137" s="32"/>
      <c r="AK137" s="51"/>
      <c r="AL137" s="22"/>
      <c r="AM137" s="29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/>
      <c r="BR137" s="67"/>
      <c r="BS137" s="67"/>
      <c r="BT137" s="67"/>
      <c r="BU137" s="67"/>
      <c r="BV137" s="67"/>
      <c r="BW137" s="67"/>
      <c r="BX137" s="67"/>
      <c r="BY137" s="67"/>
      <c r="BZ137" s="67"/>
      <c r="CA137" s="67"/>
      <c r="CB137" s="67"/>
      <c r="CC137" s="67"/>
      <c r="CD137" s="67"/>
      <c r="CE137" s="67"/>
      <c r="CF137" s="67"/>
      <c r="CG137" s="67"/>
      <c r="CH137" s="67"/>
      <c r="CI137" s="67"/>
      <c r="CJ137" s="67"/>
      <c r="CK137" s="67"/>
      <c r="CL137" s="67"/>
      <c r="CM137" s="67"/>
      <c r="CN137" s="67"/>
      <c r="CO137" s="67"/>
      <c r="CP137" s="67"/>
      <c r="CQ137" s="67"/>
      <c r="CR137" s="67"/>
      <c r="CS137" s="67"/>
      <c r="CT137" s="67"/>
      <c r="CU137" s="67"/>
      <c r="CV137" s="67"/>
      <c r="CW137" s="67"/>
      <c r="CX137" s="67"/>
      <c r="CY137" s="67"/>
      <c r="CZ137" s="67"/>
      <c r="DA137" s="67"/>
      <c r="DB137" s="67"/>
      <c r="DC137" s="67"/>
      <c r="DD137" s="67"/>
      <c r="DE137" s="67"/>
      <c r="DF137" s="67"/>
    </row>
    <row r="138" ht="11.25" customHeight="1">
      <c r="A138" s="62"/>
      <c r="B138" s="88"/>
      <c r="C138" s="89"/>
      <c r="D138" s="88"/>
      <c r="E138" s="90"/>
      <c r="F138" s="91"/>
      <c r="G138" s="49"/>
      <c r="H138" s="70"/>
      <c r="I138" s="88"/>
      <c r="J138" s="89"/>
      <c r="K138" s="88"/>
      <c r="L138" s="90"/>
      <c r="M138" s="91"/>
      <c r="N138" s="49"/>
      <c r="O138" s="71"/>
      <c r="P138" s="92"/>
      <c r="Q138" s="71"/>
      <c r="R138" s="92"/>
      <c r="S138" s="71"/>
      <c r="T138" s="71"/>
      <c r="U138" s="68"/>
      <c r="V138" s="93"/>
      <c r="W138" s="31"/>
      <c r="X138" s="32"/>
      <c r="Y138" s="51"/>
      <c r="Z138" s="22"/>
      <c r="AA138" s="12"/>
      <c r="AB138" s="27"/>
      <c r="AC138" s="31"/>
      <c r="AD138" s="32"/>
      <c r="AE138" s="51"/>
      <c r="AF138" s="22"/>
      <c r="AG138" s="29"/>
      <c r="AH138" s="93"/>
      <c r="AI138" s="31"/>
      <c r="AJ138" s="32"/>
      <c r="AK138" s="51"/>
      <c r="AL138" s="22"/>
      <c r="AM138" s="29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  <c r="BM138" s="67"/>
      <c r="BN138" s="67"/>
      <c r="BO138" s="67"/>
      <c r="BP138" s="67"/>
      <c r="BQ138" s="67"/>
      <c r="BR138" s="67"/>
      <c r="BS138" s="67"/>
      <c r="BT138" s="67"/>
      <c r="BU138" s="67"/>
      <c r="BV138" s="67"/>
      <c r="BW138" s="67"/>
      <c r="BX138" s="67"/>
      <c r="BY138" s="67"/>
      <c r="BZ138" s="67"/>
      <c r="CA138" s="67"/>
      <c r="CB138" s="67"/>
      <c r="CC138" s="67"/>
      <c r="CD138" s="67"/>
      <c r="CE138" s="67"/>
      <c r="CF138" s="67"/>
      <c r="CG138" s="67"/>
      <c r="CH138" s="67"/>
      <c r="CI138" s="67"/>
      <c r="CJ138" s="67"/>
      <c r="CK138" s="67"/>
      <c r="CL138" s="67"/>
      <c r="CM138" s="67"/>
      <c r="CN138" s="67"/>
      <c r="CO138" s="67"/>
      <c r="CP138" s="67"/>
      <c r="CQ138" s="67"/>
      <c r="CR138" s="67"/>
      <c r="CS138" s="67"/>
      <c r="CT138" s="67"/>
      <c r="CU138" s="67"/>
      <c r="CV138" s="67"/>
      <c r="CW138" s="67"/>
      <c r="CX138" s="67"/>
      <c r="CY138" s="67"/>
      <c r="CZ138" s="67"/>
      <c r="DA138" s="67"/>
      <c r="DB138" s="67"/>
      <c r="DC138" s="67"/>
      <c r="DD138" s="67"/>
      <c r="DE138" s="67"/>
      <c r="DF138" s="67"/>
    </row>
    <row r="139" ht="11.25" customHeight="1">
      <c r="A139" s="62"/>
      <c r="B139" s="88"/>
      <c r="C139" s="89"/>
      <c r="D139" s="88"/>
      <c r="E139" s="90"/>
      <c r="F139" s="91"/>
      <c r="G139" s="49"/>
      <c r="H139" s="70"/>
      <c r="I139" s="88"/>
      <c r="J139" s="89"/>
      <c r="K139" s="88"/>
      <c r="L139" s="90"/>
      <c r="M139" s="91"/>
      <c r="N139" s="49"/>
      <c r="O139" s="71"/>
      <c r="P139" s="92"/>
      <c r="Q139" s="71"/>
      <c r="R139" s="92"/>
      <c r="S139" s="71"/>
      <c r="T139" s="71"/>
      <c r="U139" s="68"/>
      <c r="V139" s="95"/>
      <c r="W139" s="96"/>
      <c r="X139" s="97"/>
      <c r="Y139" s="97"/>
      <c r="Z139" s="68"/>
      <c r="AA139" s="12"/>
      <c r="AB139" s="27"/>
      <c r="AC139" s="31"/>
      <c r="AD139" s="32"/>
      <c r="AE139" s="51"/>
      <c r="AF139" s="22"/>
      <c r="AG139" s="29"/>
      <c r="AH139" s="93"/>
      <c r="AI139" s="31"/>
      <c r="AJ139" s="32"/>
      <c r="AK139" s="51"/>
      <c r="AL139" s="22"/>
      <c r="AM139" s="29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BS139" s="67"/>
      <c r="BT139" s="67"/>
      <c r="BU139" s="67"/>
      <c r="BV139" s="67"/>
      <c r="BW139" s="67"/>
      <c r="BX139" s="67"/>
      <c r="BY139" s="67"/>
      <c r="BZ139" s="67"/>
      <c r="CA139" s="67"/>
      <c r="CB139" s="67"/>
      <c r="CC139" s="67"/>
      <c r="CD139" s="67"/>
      <c r="CE139" s="67"/>
      <c r="CF139" s="67"/>
      <c r="CG139" s="67"/>
      <c r="CH139" s="67"/>
      <c r="CI139" s="67"/>
      <c r="CJ139" s="67"/>
      <c r="CK139" s="67"/>
      <c r="CL139" s="67"/>
      <c r="CM139" s="67"/>
      <c r="CN139" s="67"/>
      <c r="CO139" s="67"/>
      <c r="CP139" s="67"/>
      <c r="CQ139" s="67"/>
      <c r="CR139" s="67"/>
      <c r="CS139" s="67"/>
      <c r="CT139" s="67"/>
      <c r="CU139" s="67"/>
      <c r="CV139" s="67"/>
      <c r="CW139" s="67"/>
      <c r="CX139" s="67"/>
      <c r="CY139" s="67"/>
      <c r="CZ139" s="67"/>
      <c r="DA139" s="67"/>
      <c r="DB139" s="67"/>
      <c r="DC139" s="67"/>
      <c r="DD139" s="67"/>
      <c r="DE139" s="67"/>
      <c r="DF139" s="67"/>
    </row>
    <row r="140" ht="11.25" customHeight="1">
      <c r="A140" s="62"/>
      <c r="B140" s="88"/>
      <c r="C140" s="89"/>
      <c r="D140" s="88"/>
      <c r="E140" s="90"/>
      <c r="F140" s="91"/>
      <c r="G140" s="49"/>
      <c r="H140" s="70"/>
      <c r="I140" s="88"/>
      <c r="J140" s="89"/>
      <c r="K140" s="88"/>
      <c r="L140" s="90"/>
      <c r="M140" s="91"/>
      <c r="N140" s="49"/>
      <c r="O140" s="71"/>
      <c r="P140" s="92"/>
      <c r="Q140" s="71"/>
      <c r="R140" s="92"/>
      <c r="S140" s="71"/>
      <c r="T140" s="71"/>
      <c r="U140" s="68"/>
      <c r="V140" s="95"/>
      <c r="W140" s="96"/>
      <c r="X140" s="97"/>
      <c r="Y140" s="97"/>
      <c r="Z140" s="68"/>
      <c r="AA140" s="12"/>
      <c r="AB140" s="27"/>
      <c r="AC140" s="31"/>
      <c r="AD140" s="32"/>
      <c r="AE140" s="51"/>
      <c r="AF140" s="22"/>
      <c r="AG140" s="29"/>
      <c r="AH140" s="93"/>
      <c r="AI140" s="31"/>
      <c r="AJ140" s="32"/>
      <c r="AK140" s="51"/>
      <c r="AL140" s="22"/>
      <c r="AM140" s="29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  <c r="BM140" s="67"/>
      <c r="BN140" s="67"/>
      <c r="BO140" s="67"/>
      <c r="BP140" s="67"/>
      <c r="BQ140" s="67"/>
      <c r="BR140" s="67"/>
      <c r="BS140" s="67"/>
      <c r="BT140" s="67"/>
      <c r="BU140" s="67"/>
      <c r="BV140" s="67"/>
      <c r="BW140" s="67"/>
      <c r="BX140" s="67"/>
      <c r="BY140" s="67"/>
      <c r="BZ140" s="67"/>
      <c r="CA140" s="67"/>
      <c r="CB140" s="67"/>
      <c r="CC140" s="67"/>
      <c r="CD140" s="67"/>
      <c r="CE140" s="67"/>
      <c r="CF140" s="67"/>
      <c r="CG140" s="67"/>
      <c r="CH140" s="67"/>
      <c r="CI140" s="67"/>
      <c r="CJ140" s="67"/>
      <c r="CK140" s="67"/>
      <c r="CL140" s="67"/>
      <c r="CM140" s="67"/>
      <c r="CN140" s="67"/>
      <c r="CO140" s="67"/>
      <c r="CP140" s="67"/>
      <c r="CQ140" s="67"/>
      <c r="CR140" s="67"/>
      <c r="CS140" s="67"/>
      <c r="CT140" s="67"/>
      <c r="CU140" s="67"/>
      <c r="CV140" s="67"/>
      <c r="CW140" s="67"/>
      <c r="CX140" s="67"/>
      <c r="CY140" s="67"/>
      <c r="CZ140" s="67"/>
      <c r="DA140" s="67"/>
      <c r="DB140" s="67"/>
      <c r="DC140" s="67"/>
      <c r="DD140" s="67"/>
      <c r="DE140" s="67"/>
      <c r="DF140" s="67"/>
    </row>
    <row r="141" ht="11.25" customHeight="1">
      <c r="A141" s="62"/>
      <c r="B141" s="88"/>
      <c r="C141" s="89"/>
      <c r="D141" s="88"/>
      <c r="E141" s="90"/>
      <c r="F141" s="91"/>
      <c r="G141" s="49"/>
      <c r="H141" s="70"/>
      <c r="I141" s="88"/>
      <c r="J141" s="89"/>
      <c r="K141" s="88"/>
      <c r="L141" s="90"/>
      <c r="M141" s="91"/>
      <c r="N141" s="49"/>
      <c r="O141" s="71"/>
      <c r="P141" s="92"/>
      <c r="Q141" s="71"/>
      <c r="R141" s="92"/>
      <c r="S141" s="71"/>
      <c r="T141" s="71"/>
      <c r="U141" s="68"/>
      <c r="V141" s="95"/>
      <c r="W141" s="96"/>
      <c r="X141" s="97"/>
      <c r="Y141" s="97"/>
      <c r="Z141" s="68"/>
      <c r="AA141" s="12"/>
      <c r="AB141" s="27"/>
      <c r="AC141" s="31"/>
      <c r="AD141" s="32"/>
      <c r="AE141" s="51"/>
      <c r="AF141" s="22"/>
      <c r="AG141" s="29"/>
      <c r="AH141" s="93"/>
      <c r="AI141" s="31"/>
      <c r="AJ141" s="32"/>
      <c r="AK141" s="51"/>
      <c r="AL141" s="22"/>
      <c r="AM141" s="29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/>
      <c r="CO141" s="67"/>
      <c r="CP141" s="67"/>
      <c r="CQ141" s="67"/>
      <c r="CR141" s="67"/>
      <c r="CS141" s="67"/>
      <c r="CT141" s="67"/>
      <c r="CU141" s="67"/>
      <c r="CV141" s="67"/>
      <c r="CW141" s="67"/>
      <c r="CX141" s="67"/>
      <c r="CY141" s="67"/>
      <c r="CZ141" s="67"/>
      <c r="DA141" s="67"/>
      <c r="DB141" s="67"/>
      <c r="DC141" s="67"/>
      <c r="DD141" s="67"/>
      <c r="DE141" s="67"/>
      <c r="DF141" s="67"/>
    </row>
    <row r="142" ht="11.25" customHeight="1">
      <c r="A142" s="62"/>
      <c r="B142" s="88"/>
      <c r="C142" s="89"/>
      <c r="D142" s="88"/>
      <c r="E142" s="90"/>
      <c r="F142" s="91"/>
      <c r="G142" s="49"/>
      <c r="H142" s="70"/>
      <c r="I142" s="88"/>
      <c r="J142" s="89"/>
      <c r="K142" s="88"/>
      <c r="L142" s="90"/>
      <c r="M142" s="91"/>
      <c r="N142" s="49"/>
      <c r="O142" s="71"/>
      <c r="P142" s="92"/>
      <c r="Q142" s="71"/>
      <c r="R142" s="92"/>
      <c r="S142" s="71"/>
      <c r="T142" s="71"/>
      <c r="U142" s="68"/>
      <c r="V142" s="95"/>
      <c r="W142" s="96"/>
      <c r="X142" s="97"/>
      <c r="Y142" s="97"/>
      <c r="Z142" s="68"/>
      <c r="AA142" s="12"/>
      <c r="AB142" s="27"/>
      <c r="AC142" s="31"/>
      <c r="AD142" s="32"/>
      <c r="AE142" s="51"/>
      <c r="AF142" s="22"/>
      <c r="AG142" s="29"/>
      <c r="AH142" s="93"/>
      <c r="AI142" s="31"/>
      <c r="AJ142" s="32"/>
      <c r="AK142" s="51"/>
      <c r="AL142" s="22"/>
      <c r="AM142" s="29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  <c r="BP142" s="67"/>
      <c r="BQ142" s="67"/>
      <c r="BR142" s="67"/>
      <c r="BS142" s="67"/>
      <c r="BT142" s="67"/>
      <c r="BU142" s="67"/>
      <c r="BV142" s="67"/>
      <c r="BW142" s="67"/>
      <c r="BX142" s="67"/>
      <c r="BY142" s="67"/>
      <c r="BZ142" s="67"/>
      <c r="CA142" s="67"/>
      <c r="CB142" s="67"/>
      <c r="CC142" s="67"/>
      <c r="CD142" s="67"/>
      <c r="CE142" s="67"/>
      <c r="CF142" s="67"/>
      <c r="CG142" s="67"/>
      <c r="CH142" s="67"/>
      <c r="CI142" s="67"/>
      <c r="CJ142" s="67"/>
      <c r="CK142" s="67"/>
      <c r="CL142" s="67"/>
      <c r="CM142" s="67"/>
      <c r="CN142" s="67"/>
      <c r="CO142" s="67"/>
      <c r="CP142" s="67"/>
      <c r="CQ142" s="67"/>
      <c r="CR142" s="67"/>
      <c r="CS142" s="67"/>
      <c r="CT142" s="67"/>
      <c r="CU142" s="67"/>
      <c r="CV142" s="67"/>
      <c r="CW142" s="67"/>
      <c r="CX142" s="67"/>
      <c r="CY142" s="67"/>
      <c r="CZ142" s="67"/>
      <c r="DA142" s="67"/>
      <c r="DB142" s="67"/>
      <c r="DC142" s="67"/>
      <c r="DD142" s="67"/>
      <c r="DE142" s="67"/>
      <c r="DF142" s="67"/>
    </row>
    <row r="143" ht="11.25" customHeight="1">
      <c r="A143" s="62"/>
      <c r="B143" s="88"/>
      <c r="C143" s="89"/>
      <c r="D143" s="88"/>
      <c r="E143" s="90"/>
      <c r="F143" s="91"/>
      <c r="G143" s="49"/>
      <c r="H143" s="70"/>
      <c r="I143" s="88"/>
      <c r="J143" s="89"/>
      <c r="K143" s="88"/>
      <c r="L143" s="90"/>
      <c r="M143" s="91"/>
      <c r="N143" s="49"/>
      <c r="O143" s="71"/>
      <c r="P143" s="92"/>
      <c r="Q143" s="71"/>
      <c r="R143" s="92"/>
      <c r="S143" s="71"/>
      <c r="T143" s="71"/>
      <c r="U143" s="68"/>
      <c r="V143" s="95"/>
      <c r="W143" s="96"/>
      <c r="X143" s="97"/>
      <c r="Y143" s="97"/>
      <c r="Z143" s="68"/>
      <c r="AA143" s="12"/>
      <c r="AB143" s="27"/>
      <c r="AC143" s="31"/>
      <c r="AD143" s="32"/>
      <c r="AE143" s="51"/>
      <c r="AF143" s="22"/>
      <c r="AG143" s="29"/>
      <c r="AH143" s="93"/>
      <c r="AI143" s="31"/>
      <c r="AJ143" s="32"/>
      <c r="AK143" s="51"/>
      <c r="AL143" s="22"/>
      <c r="AM143" s="29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  <c r="BM143" s="67"/>
      <c r="BN143" s="67"/>
      <c r="BO143" s="67"/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7"/>
      <c r="CA143" s="67"/>
      <c r="CB143" s="67"/>
      <c r="CC143" s="67"/>
      <c r="CD143" s="67"/>
      <c r="CE143" s="67"/>
      <c r="CF143" s="67"/>
      <c r="CG143" s="67"/>
      <c r="CH143" s="67"/>
      <c r="CI143" s="67"/>
      <c r="CJ143" s="67"/>
      <c r="CK143" s="67"/>
      <c r="CL143" s="67"/>
      <c r="CM143" s="67"/>
      <c r="CN143" s="67"/>
      <c r="CO143" s="67"/>
      <c r="CP143" s="67"/>
      <c r="CQ143" s="67"/>
      <c r="CR143" s="67"/>
      <c r="CS143" s="67"/>
      <c r="CT143" s="67"/>
      <c r="CU143" s="67"/>
      <c r="CV143" s="67"/>
      <c r="CW143" s="67"/>
      <c r="CX143" s="67"/>
      <c r="CY143" s="67"/>
      <c r="CZ143" s="67"/>
      <c r="DA143" s="67"/>
      <c r="DB143" s="67"/>
      <c r="DC143" s="67"/>
      <c r="DD143" s="67"/>
      <c r="DE143" s="67"/>
      <c r="DF143" s="67"/>
    </row>
    <row r="144" ht="11.25" customHeight="1">
      <c r="A144" s="61"/>
      <c r="B144" s="98"/>
      <c r="C144" s="89"/>
      <c r="D144" s="88"/>
      <c r="E144" s="90"/>
      <c r="F144" s="91"/>
      <c r="G144" s="49"/>
      <c r="H144" s="70"/>
      <c r="I144" s="98"/>
      <c r="J144" s="89"/>
      <c r="K144" s="88"/>
      <c r="L144" s="90"/>
      <c r="M144" s="91"/>
      <c r="N144" s="49"/>
      <c r="O144" s="71"/>
      <c r="P144" s="92"/>
      <c r="Q144" s="71"/>
      <c r="R144" s="92"/>
      <c r="S144" s="71"/>
      <c r="T144" s="71"/>
      <c r="U144" s="68"/>
      <c r="V144" s="95"/>
      <c r="W144" s="96"/>
      <c r="X144" s="97"/>
      <c r="Y144" s="97"/>
      <c r="Z144" s="68"/>
      <c r="AA144" s="12"/>
      <c r="AB144" s="27"/>
      <c r="AC144" s="31"/>
      <c r="AD144" s="32"/>
      <c r="AE144" s="51"/>
      <c r="AF144" s="22"/>
      <c r="AG144" s="29"/>
      <c r="AH144" s="93"/>
      <c r="AI144" s="31"/>
      <c r="AJ144" s="32"/>
      <c r="AK144" s="51"/>
      <c r="AL144" s="22"/>
      <c r="AM144" s="29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  <c r="CY144" s="67"/>
      <c r="CZ144" s="67"/>
      <c r="DA144" s="67"/>
      <c r="DB144" s="67"/>
      <c r="DC144" s="67"/>
      <c r="DD144" s="67"/>
      <c r="DE144" s="67"/>
      <c r="DF144" s="67"/>
    </row>
    <row r="145" ht="11.25" customHeight="1">
      <c r="A145" s="62"/>
      <c r="B145" s="88"/>
      <c r="C145" s="89"/>
      <c r="D145" s="88"/>
      <c r="E145" s="90"/>
      <c r="F145" s="91"/>
      <c r="G145" s="49"/>
      <c r="H145" s="70"/>
      <c r="I145" s="88"/>
      <c r="J145" s="89"/>
      <c r="K145" s="88"/>
      <c r="L145" s="90"/>
      <c r="M145" s="91"/>
      <c r="N145" s="49"/>
      <c r="O145" s="71"/>
      <c r="P145" s="92"/>
      <c r="Q145" s="71"/>
      <c r="R145" s="92"/>
      <c r="S145" s="71"/>
      <c r="T145" s="71"/>
      <c r="U145" s="68"/>
      <c r="V145" s="95"/>
      <c r="W145" s="96"/>
      <c r="X145" s="97"/>
      <c r="Y145" s="97"/>
      <c r="Z145" s="68"/>
      <c r="AA145" s="12"/>
      <c r="AB145" s="27"/>
      <c r="AC145" s="31"/>
      <c r="AD145" s="32"/>
      <c r="AE145" s="51"/>
      <c r="AF145" s="22"/>
      <c r="AG145" s="29"/>
      <c r="AH145" s="93"/>
      <c r="AI145" s="31"/>
      <c r="AJ145" s="32"/>
      <c r="AK145" s="51"/>
      <c r="AL145" s="22"/>
      <c r="AM145" s="29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7"/>
      <c r="CA145" s="67"/>
      <c r="CB145" s="67"/>
      <c r="CC145" s="67"/>
      <c r="CD145" s="67"/>
      <c r="CE145" s="67"/>
      <c r="CF145" s="67"/>
      <c r="CG145" s="67"/>
      <c r="CH145" s="67"/>
      <c r="CI145" s="67"/>
      <c r="CJ145" s="67"/>
      <c r="CK145" s="67"/>
      <c r="CL145" s="67"/>
      <c r="CM145" s="67"/>
      <c r="CN145" s="67"/>
      <c r="CO145" s="67"/>
      <c r="CP145" s="67"/>
      <c r="CQ145" s="67"/>
      <c r="CR145" s="67"/>
      <c r="CS145" s="67"/>
      <c r="CT145" s="67"/>
      <c r="CU145" s="67"/>
      <c r="CV145" s="67"/>
      <c r="CW145" s="67"/>
      <c r="CX145" s="67"/>
      <c r="CY145" s="67"/>
      <c r="CZ145" s="67"/>
      <c r="DA145" s="67"/>
      <c r="DB145" s="67"/>
      <c r="DC145" s="67"/>
      <c r="DD145" s="67"/>
      <c r="DE145" s="67"/>
      <c r="DF145" s="67"/>
    </row>
    <row r="146" ht="11.25" customHeight="1">
      <c r="A146" s="62"/>
      <c r="B146" s="88"/>
      <c r="C146" s="89"/>
      <c r="D146" s="88"/>
      <c r="E146" s="90"/>
      <c r="F146" s="91"/>
      <c r="G146" s="49"/>
      <c r="H146" s="70"/>
      <c r="I146" s="88"/>
      <c r="J146" s="89"/>
      <c r="K146" s="88"/>
      <c r="L146" s="90"/>
      <c r="M146" s="91"/>
      <c r="N146" s="49"/>
      <c r="O146" s="71"/>
      <c r="P146" s="92"/>
      <c r="Q146" s="71"/>
      <c r="R146" s="92"/>
      <c r="S146" s="71"/>
      <c r="T146" s="71"/>
      <c r="U146" s="68"/>
      <c r="V146" s="95"/>
      <c r="W146" s="96"/>
      <c r="X146" s="97"/>
      <c r="Y146" s="97"/>
      <c r="Z146" s="68"/>
      <c r="AA146" s="12"/>
      <c r="AB146" s="27"/>
      <c r="AC146" s="31"/>
      <c r="AD146" s="32"/>
      <c r="AE146" s="51"/>
      <c r="AF146" s="22"/>
      <c r="AG146" s="29"/>
      <c r="AH146" s="93"/>
      <c r="AI146" s="31"/>
      <c r="AJ146" s="32"/>
      <c r="AK146" s="51"/>
      <c r="AL146" s="22"/>
      <c r="AM146" s="29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/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/>
      <c r="CF146" s="67"/>
      <c r="CG146" s="67"/>
      <c r="CH146" s="67"/>
      <c r="CI146" s="67"/>
      <c r="CJ146" s="67"/>
      <c r="CK146" s="67"/>
      <c r="CL146" s="67"/>
      <c r="CM146" s="67"/>
      <c r="CN146" s="67"/>
      <c r="CO146" s="67"/>
      <c r="CP146" s="67"/>
      <c r="CQ146" s="67"/>
      <c r="CR146" s="67"/>
      <c r="CS146" s="67"/>
      <c r="CT146" s="67"/>
      <c r="CU146" s="67"/>
      <c r="CV146" s="67"/>
      <c r="CW146" s="67"/>
      <c r="CX146" s="67"/>
      <c r="CY146" s="67"/>
      <c r="CZ146" s="67"/>
      <c r="DA146" s="67"/>
      <c r="DB146" s="67"/>
      <c r="DC146" s="67"/>
      <c r="DD146" s="67"/>
      <c r="DE146" s="67"/>
      <c r="DF146" s="67"/>
    </row>
    <row r="147" ht="11.25" customHeight="1">
      <c r="A147" s="62"/>
      <c r="B147" s="88"/>
      <c r="C147" s="89"/>
      <c r="D147" s="88"/>
      <c r="E147" s="90"/>
      <c r="F147" s="91"/>
      <c r="G147" s="49"/>
      <c r="H147" s="70"/>
      <c r="I147" s="88"/>
      <c r="J147" s="89"/>
      <c r="K147" s="88"/>
      <c r="L147" s="90"/>
      <c r="M147" s="91"/>
      <c r="N147" s="49"/>
      <c r="O147" s="71"/>
      <c r="P147" s="92"/>
      <c r="Q147" s="71"/>
      <c r="R147" s="92"/>
      <c r="S147" s="71"/>
      <c r="T147" s="71"/>
      <c r="U147" s="68"/>
      <c r="V147" s="95"/>
      <c r="W147" s="96"/>
      <c r="X147" s="97"/>
      <c r="Y147" s="97"/>
      <c r="Z147" s="68"/>
      <c r="AA147" s="12"/>
      <c r="AB147" s="27"/>
      <c r="AC147" s="31"/>
      <c r="AD147" s="32"/>
      <c r="AE147" s="51"/>
      <c r="AF147" s="22"/>
      <c r="AG147" s="29"/>
      <c r="AH147" s="93"/>
      <c r="AI147" s="31"/>
      <c r="AJ147" s="32"/>
      <c r="AK147" s="51"/>
      <c r="AL147" s="22"/>
      <c r="AM147" s="29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7"/>
      <c r="CA147" s="67"/>
      <c r="CB147" s="67"/>
      <c r="CC147" s="67"/>
      <c r="CD147" s="67"/>
      <c r="CE147" s="67"/>
      <c r="CF147" s="67"/>
      <c r="CG147" s="67"/>
      <c r="CH147" s="67"/>
      <c r="CI147" s="67"/>
      <c r="CJ147" s="67"/>
      <c r="CK147" s="67"/>
      <c r="CL147" s="67"/>
      <c r="CM147" s="67"/>
      <c r="CN147" s="67"/>
      <c r="CO147" s="67"/>
      <c r="CP147" s="67"/>
      <c r="CQ147" s="67"/>
      <c r="CR147" s="67"/>
      <c r="CS147" s="67"/>
      <c r="CT147" s="67"/>
      <c r="CU147" s="67"/>
      <c r="CV147" s="67"/>
      <c r="CW147" s="67"/>
      <c r="CX147" s="67"/>
      <c r="CY147" s="67"/>
      <c r="CZ147" s="67"/>
      <c r="DA147" s="67"/>
      <c r="DB147" s="67"/>
      <c r="DC147" s="67"/>
      <c r="DD147" s="67"/>
      <c r="DE147" s="67"/>
      <c r="DF147" s="67"/>
    </row>
    <row r="148" ht="11.25" customHeight="1">
      <c r="A148" s="62"/>
      <c r="B148" s="88"/>
      <c r="C148" s="89"/>
      <c r="D148" s="88"/>
      <c r="E148" s="90"/>
      <c r="F148" s="91"/>
      <c r="G148" s="49"/>
      <c r="H148" s="70"/>
      <c r="I148" s="88"/>
      <c r="J148" s="89"/>
      <c r="K148" s="88"/>
      <c r="L148" s="90"/>
      <c r="M148" s="91"/>
      <c r="N148" s="49"/>
      <c r="O148" s="71"/>
      <c r="P148" s="92"/>
      <c r="Q148" s="71"/>
      <c r="R148" s="92"/>
      <c r="S148" s="71"/>
      <c r="T148" s="71"/>
      <c r="U148" s="68"/>
      <c r="V148" s="95"/>
      <c r="W148" s="96"/>
      <c r="X148" s="97"/>
      <c r="Y148" s="97"/>
      <c r="Z148" s="68"/>
      <c r="AA148" s="12"/>
      <c r="AB148" s="27"/>
      <c r="AC148" s="31"/>
      <c r="AD148" s="32"/>
      <c r="AE148" s="51"/>
      <c r="AF148" s="22"/>
      <c r="AG148" s="29"/>
      <c r="AH148" s="93"/>
      <c r="AI148" s="31"/>
      <c r="AJ148" s="32"/>
      <c r="AK148" s="51"/>
      <c r="AL148" s="22"/>
      <c r="AM148" s="29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67"/>
      <c r="BQ148" s="67"/>
      <c r="BR148" s="67"/>
      <c r="BS148" s="67"/>
      <c r="BT148" s="67"/>
      <c r="BU148" s="67"/>
      <c r="BV148" s="67"/>
      <c r="BW148" s="67"/>
      <c r="BX148" s="67"/>
      <c r="BY148" s="67"/>
      <c r="BZ148" s="67"/>
      <c r="CA148" s="67"/>
      <c r="CB148" s="67"/>
      <c r="CC148" s="67"/>
      <c r="CD148" s="67"/>
      <c r="CE148" s="67"/>
      <c r="CF148" s="67"/>
      <c r="CG148" s="67"/>
      <c r="CH148" s="67"/>
      <c r="CI148" s="67"/>
      <c r="CJ148" s="67"/>
      <c r="CK148" s="67"/>
      <c r="CL148" s="67"/>
      <c r="CM148" s="67"/>
      <c r="CN148" s="67"/>
      <c r="CO148" s="67"/>
      <c r="CP148" s="67"/>
      <c r="CQ148" s="67"/>
      <c r="CR148" s="67"/>
      <c r="CS148" s="67"/>
      <c r="CT148" s="67"/>
      <c r="CU148" s="67"/>
      <c r="CV148" s="67"/>
      <c r="CW148" s="67"/>
      <c r="CX148" s="67"/>
      <c r="CY148" s="67"/>
      <c r="CZ148" s="67"/>
      <c r="DA148" s="67"/>
      <c r="DB148" s="67"/>
      <c r="DC148" s="67"/>
      <c r="DD148" s="67"/>
      <c r="DE148" s="67"/>
      <c r="DF148" s="67"/>
    </row>
    <row r="149" ht="11.25" customHeight="1">
      <c r="A149" s="62"/>
      <c r="B149" s="88"/>
      <c r="C149" s="89"/>
      <c r="D149" s="88"/>
      <c r="E149" s="90"/>
      <c r="F149" s="91"/>
      <c r="G149" s="49"/>
      <c r="H149" s="70"/>
      <c r="I149" s="88"/>
      <c r="J149" s="89"/>
      <c r="K149" s="88"/>
      <c r="L149" s="90"/>
      <c r="M149" s="91"/>
      <c r="N149" s="49"/>
      <c r="O149" s="71"/>
      <c r="P149" s="92"/>
      <c r="Q149" s="71"/>
      <c r="R149" s="92"/>
      <c r="S149" s="71"/>
      <c r="T149" s="71"/>
      <c r="U149" s="68"/>
      <c r="V149" s="95"/>
      <c r="W149" s="96"/>
      <c r="X149" s="97"/>
      <c r="Y149" s="97"/>
      <c r="Z149" s="68"/>
      <c r="AA149" s="12"/>
      <c r="AB149" s="27"/>
      <c r="AC149" s="31"/>
      <c r="AD149" s="32"/>
      <c r="AE149" s="51"/>
      <c r="AF149" s="22"/>
      <c r="AG149" s="29"/>
      <c r="AH149" s="93"/>
      <c r="AI149" s="31"/>
      <c r="AJ149" s="32"/>
      <c r="AK149" s="51"/>
      <c r="AL149" s="22"/>
      <c r="AM149" s="29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R149" s="67"/>
      <c r="BS149" s="67"/>
      <c r="BT149" s="67"/>
      <c r="BU149" s="67"/>
      <c r="BV149" s="67"/>
      <c r="BW149" s="67"/>
      <c r="BX149" s="67"/>
      <c r="BY149" s="67"/>
      <c r="BZ149" s="67"/>
      <c r="CA149" s="67"/>
      <c r="CB149" s="67"/>
      <c r="CC149" s="67"/>
      <c r="CD149" s="67"/>
      <c r="CE149" s="67"/>
      <c r="CF149" s="67"/>
      <c r="CG149" s="67"/>
      <c r="CH149" s="67"/>
      <c r="CI149" s="67"/>
      <c r="CJ149" s="67"/>
      <c r="CK149" s="67"/>
      <c r="CL149" s="67"/>
      <c r="CM149" s="67"/>
      <c r="CN149" s="67"/>
      <c r="CO149" s="67"/>
      <c r="CP149" s="67"/>
      <c r="CQ149" s="67"/>
      <c r="CR149" s="67"/>
      <c r="CS149" s="67"/>
      <c r="CT149" s="67"/>
      <c r="CU149" s="67"/>
      <c r="CV149" s="67"/>
      <c r="CW149" s="67"/>
      <c r="CX149" s="67"/>
      <c r="CY149" s="67"/>
      <c r="CZ149" s="67"/>
      <c r="DA149" s="67"/>
      <c r="DB149" s="67"/>
      <c r="DC149" s="67"/>
      <c r="DD149" s="67"/>
      <c r="DE149" s="67"/>
      <c r="DF149" s="67"/>
    </row>
    <row r="150" ht="11.25" customHeight="1">
      <c r="A150" s="62"/>
      <c r="B150" s="88"/>
      <c r="C150" s="89"/>
      <c r="D150" s="88"/>
      <c r="E150" s="90"/>
      <c r="F150" s="91"/>
      <c r="G150" s="49"/>
      <c r="H150" s="70"/>
      <c r="I150" s="88"/>
      <c r="J150" s="89"/>
      <c r="K150" s="88"/>
      <c r="L150" s="90"/>
      <c r="M150" s="91"/>
      <c r="N150" s="49"/>
      <c r="O150" s="71"/>
      <c r="P150" s="92"/>
      <c r="Q150" s="71"/>
      <c r="R150" s="92"/>
      <c r="S150" s="71"/>
      <c r="T150" s="71"/>
      <c r="U150" s="68"/>
      <c r="V150" s="95"/>
      <c r="W150" s="96"/>
      <c r="X150" s="97"/>
      <c r="Y150" s="97"/>
      <c r="Z150" s="68"/>
      <c r="AA150" s="12"/>
      <c r="AB150" s="99"/>
      <c r="AC150" s="31"/>
      <c r="AD150" s="32"/>
      <c r="AE150" s="51"/>
      <c r="AF150" s="22"/>
      <c r="AG150" s="29"/>
      <c r="AH150" s="93"/>
      <c r="AI150" s="31"/>
      <c r="AJ150" s="32"/>
      <c r="AK150" s="51"/>
      <c r="AL150" s="22"/>
      <c r="AM150" s="29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/>
      <c r="BR150" s="67"/>
      <c r="BS150" s="67"/>
      <c r="BT150" s="67"/>
      <c r="BU150" s="67"/>
      <c r="BV150" s="67"/>
      <c r="BW150" s="67"/>
      <c r="BX150" s="67"/>
      <c r="BY150" s="67"/>
      <c r="BZ150" s="67"/>
      <c r="CA150" s="67"/>
      <c r="CB150" s="67"/>
      <c r="CC150" s="67"/>
      <c r="CD150" s="67"/>
      <c r="CE150" s="67"/>
      <c r="CF150" s="67"/>
      <c r="CG150" s="67"/>
      <c r="CH150" s="67"/>
      <c r="CI150" s="67"/>
      <c r="CJ150" s="67"/>
      <c r="CK150" s="67"/>
      <c r="CL150" s="67"/>
      <c r="CM150" s="67"/>
      <c r="CN150" s="67"/>
      <c r="CO150" s="67"/>
      <c r="CP150" s="67"/>
      <c r="CQ150" s="67"/>
      <c r="CR150" s="67"/>
      <c r="CS150" s="67"/>
      <c r="CT150" s="67"/>
      <c r="CU150" s="67"/>
      <c r="CV150" s="67"/>
      <c r="CW150" s="67"/>
      <c r="CX150" s="67"/>
      <c r="CY150" s="67"/>
      <c r="CZ150" s="67"/>
      <c r="DA150" s="67"/>
      <c r="DB150" s="67"/>
      <c r="DC150" s="67"/>
      <c r="DD150" s="67"/>
      <c r="DE150" s="67"/>
      <c r="DF150" s="67"/>
    </row>
    <row r="151" ht="11.25" customHeight="1">
      <c r="A151" s="62"/>
      <c r="B151" s="88"/>
      <c r="C151" s="89"/>
      <c r="D151" s="88"/>
      <c r="E151" s="90"/>
      <c r="F151" s="91"/>
      <c r="G151" s="49"/>
      <c r="H151" s="70"/>
      <c r="I151" s="88"/>
      <c r="J151" s="89"/>
      <c r="K151" s="88"/>
      <c r="L151" s="90"/>
      <c r="M151" s="91"/>
      <c r="N151" s="49"/>
      <c r="O151" s="71"/>
      <c r="P151" s="92"/>
      <c r="Q151" s="71"/>
      <c r="R151" s="92"/>
      <c r="S151" s="71"/>
      <c r="T151" s="71"/>
      <c r="U151" s="68"/>
      <c r="V151" s="95"/>
      <c r="W151" s="96"/>
      <c r="X151" s="97"/>
      <c r="Y151" s="97"/>
      <c r="Z151" s="68"/>
      <c r="AA151" s="12"/>
      <c r="AB151" s="99"/>
      <c r="AC151" s="31"/>
      <c r="AD151" s="32"/>
      <c r="AE151" s="51"/>
      <c r="AF151" s="22"/>
      <c r="AG151" s="29"/>
      <c r="AH151" s="93"/>
      <c r="AI151" s="31"/>
      <c r="AJ151" s="32"/>
      <c r="AK151" s="51"/>
      <c r="AL151" s="22"/>
      <c r="AM151" s="29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/>
      <c r="BR151" s="67"/>
      <c r="BS151" s="67"/>
      <c r="BT151" s="67"/>
      <c r="BU151" s="67"/>
      <c r="BV151" s="67"/>
      <c r="BW151" s="67"/>
      <c r="BX151" s="67"/>
      <c r="BY151" s="67"/>
      <c r="BZ151" s="67"/>
      <c r="CA151" s="67"/>
      <c r="CB151" s="67"/>
      <c r="CC151" s="67"/>
      <c r="CD151" s="67"/>
      <c r="CE151" s="67"/>
      <c r="CF151" s="67"/>
      <c r="CG151" s="67"/>
      <c r="CH151" s="67"/>
      <c r="CI151" s="67"/>
      <c r="CJ151" s="67"/>
      <c r="CK151" s="67"/>
      <c r="CL151" s="67"/>
      <c r="CM151" s="67"/>
      <c r="CN151" s="67"/>
      <c r="CO151" s="67"/>
      <c r="CP151" s="67"/>
      <c r="CQ151" s="67"/>
      <c r="CR151" s="67"/>
      <c r="CS151" s="67"/>
      <c r="CT151" s="67"/>
      <c r="CU151" s="67"/>
      <c r="CV151" s="67"/>
      <c r="CW151" s="67"/>
      <c r="CX151" s="67"/>
      <c r="CY151" s="67"/>
      <c r="CZ151" s="67"/>
      <c r="DA151" s="67"/>
      <c r="DB151" s="67"/>
      <c r="DC151" s="67"/>
      <c r="DD151" s="67"/>
      <c r="DE151" s="67"/>
      <c r="DF151" s="67"/>
    </row>
    <row r="152" ht="11.25" customHeight="1">
      <c r="A152" s="62"/>
      <c r="B152" s="88"/>
      <c r="C152" s="89"/>
      <c r="D152" s="88"/>
      <c r="E152" s="90"/>
      <c r="F152" s="91"/>
      <c r="G152" s="49"/>
      <c r="H152" s="70"/>
      <c r="I152" s="88"/>
      <c r="J152" s="89"/>
      <c r="K152" s="88"/>
      <c r="L152" s="90"/>
      <c r="M152" s="91"/>
      <c r="N152" s="49"/>
      <c r="O152" s="71"/>
      <c r="P152" s="92"/>
      <c r="Q152" s="71"/>
      <c r="R152" s="92"/>
      <c r="S152" s="71"/>
      <c r="T152" s="71"/>
      <c r="U152" s="68"/>
      <c r="V152" s="95"/>
      <c r="W152" s="96"/>
      <c r="X152" s="97"/>
      <c r="Y152" s="97"/>
      <c r="Z152" s="68"/>
      <c r="AA152" s="12"/>
      <c r="AB152" s="99"/>
      <c r="AC152" s="31"/>
      <c r="AD152" s="32"/>
      <c r="AE152" s="51"/>
      <c r="AF152" s="22"/>
      <c r="AG152" s="29"/>
      <c r="AH152" s="93"/>
      <c r="AI152" s="31"/>
      <c r="AJ152" s="32"/>
      <c r="AK152" s="51"/>
      <c r="AL152" s="22"/>
      <c r="AM152" s="29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  <c r="DC152" s="67"/>
      <c r="DD152" s="67"/>
      <c r="DE152" s="67"/>
      <c r="DF152" s="67"/>
    </row>
    <row r="153" ht="11.25" customHeight="1">
      <c r="A153" s="62"/>
      <c r="B153" s="88"/>
      <c r="C153" s="89"/>
      <c r="D153" s="88"/>
      <c r="E153" s="90"/>
      <c r="F153" s="91"/>
      <c r="G153" s="49"/>
      <c r="H153" s="70"/>
      <c r="I153" s="88"/>
      <c r="J153" s="89"/>
      <c r="K153" s="88"/>
      <c r="L153" s="90"/>
      <c r="M153" s="91"/>
      <c r="N153" s="49"/>
      <c r="O153" s="71"/>
      <c r="P153" s="92"/>
      <c r="Q153" s="71"/>
      <c r="R153" s="92"/>
      <c r="S153" s="71"/>
      <c r="T153" s="71"/>
      <c r="U153" s="68"/>
      <c r="V153" s="95"/>
      <c r="W153" s="96"/>
      <c r="X153" s="97"/>
      <c r="Y153" s="97"/>
      <c r="Z153" s="68"/>
      <c r="AA153" s="12"/>
      <c r="AB153" s="99"/>
      <c r="AC153" s="31"/>
      <c r="AD153" s="32"/>
      <c r="AE153" s="51"/>
      <c r="AF153" s="22"/>
      <c r="AG153" s="29"/>
      <c r="AH153" s="93"/>
      <c r="AI153" s="31"/>
      <c r="AJ153" s="32"/>
      <c r="AK153" s="51"/>
      <c r="AL153" s="22"/>
      <c r="AM153" s="29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67"/>
      <c r="CM153" s="67"/>
      <c r="CN153" s="67"/>
      <c r="CO153" s="67"/>
      <c r="CP153" s="67"/>
      <c r="CQ153" s="67"/>
      <c r="CR153" s="67"/>
      <c r="CS153" s="67"/>
      <c r="CT153" s="67"/>
      <c r="CU153" s="67"/>
      <c r="CV153" s="67"/>
      <c r="CW153" s="67"/>
      <c r="CX153" s="67"/>
      <c r="CY153" s="67"/>
      <c r="CZ153" s="67"/>
      <c r="DA153" s="67"/>
      <c r="DB153" s="67"/>
      <c r="DC153" s="67"/>
      <c r="DD153" s="67"/>
      <c r="DE153" s="67"/>
      <c r="DF153" s="67"/>
    </row>
    <row r="154" ht="11.25" customHeight="1">
      <c r="A154" s="62"/>
      <c r="B154" s="88"/>
      <c r="C154" s="89"/>
      <c r="D154" s="88"/>
      <c r="E154" s="90"/>
      <c r="F154" s="91"/>
      <c r="G154" s="49"/>
      <c r="H154" s="70"/>
      <c r="I154" s="88"/>
      <c r="J154" s="89"/>
      <c r="K154" s="88"/>
      <c r="L154" s="90"/>
      <c r="M154" s="91"/>
      <c r="N154" s="49"/>
      <c r="O154" s="71"/>
      <c r="P154" s="92"/>
      <c r="Q154" s="71"/>
      <c r="R154" s="92"/>
      <c r="S154" s="71"/>
      <c r="T154" s="71"/>
      <c r="U154" s="68"/>
      <c r="V154" s="95"/>
      <c r="W154" s="96"/>
      <c r="X154" s="97"/>
      <c r="Y154" s="97"/>
      <c r="Z154" s="68"/>
      <c r="AA154" s="12"/>
      <c r="AB154" s="99"/>
      <c r="AC154" s="31"/>
      <c r="AD154" s="32"/>
      <c r="AE154" s="51"/>
      <c r="AF154" s="22"/>
      <c r="AG154" s="29"/>
      <c r="AH154" s="93"/>
      <c r="AI154" s="31"/>
      <c r="AJ154" s="32"/>
      <c r="AK154" s="51"/>
      <c r="AL154" s="22"/>
      <c r="AM154" s="29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  <c r="DC154" s="67"/>
      <c r="DD154" s="67"/>
      <c r="DE154" s="67"/>
      <c r="DF154" s="67"/>
    </row>
    <row r="155" ht="11.25" customHeight="1">
      <c r="A155" s="62"/>
      <c r="B155" s="88"/>
      <c r="C155" s="89"/>
      <c r="D155" s="88"/>
      <c r="E155" s="90"/>
      <c r="F155" s="91"/>
      <c r="G155" s="49"/>
      <c r="H155" s="70"/>
      <c r="I155" s="88"/>
      <c r="J155" s="89"/>
      <c r="K155" s="88"/>
      <c r="L155" s="90"/>
      <c r="M155" s="91"/>
      <c r="N155" s="49"/>
      <c r="O155" s="71"/>
      <c r="P155" s="92"/>
      <c r="Q155" s="71"/>
      <c r="R155" s="92"/>
      <c r="S155" s="71"/>
      <c r="T155" s="71"/>
      <c r="U155" s="68"/>
      <c r="V155" s="95"/>
      <c r="W155" s="96"/>
      <c r="X155" s="97"/>
      <c r="Y155" s="97"/>
      <c r="Z155" s="68"/>
      <c r="AA155" s="12"/>
      <c r="AB155" s="99"/>
      <c r="AC155" s="31"/>
      <c r="AD155" s="32"/>
      <c r="AE155" s="51"/>
      <c r="AF155" s="22"/>
      <c r="AG155" s="29"/>
      <c r="AH155" s="93"/>
      <c r="AI155" s="31"/>
      <c r="AJ155" s="32"/>
      <c r="AK155" s="51"/>
      <c r="AL155" s="22"/>
      <c r="AM155" s="29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C155" s="67"/>
      <c r="DD155" s="67"/>
      <c r="DE155" s="67"/>
      <c r="DF155" s="67"/>
    </row>
    <row r="156" ht="11.25" customHeight="1">
      <c r="A156" s="62"/>
      <c r="B156" s="88"/>
      <c r="C156" s="89"/>
      <c r="D156" s="88"/>
      <c r="E156" s="90"/>
      <c r="F156" s="91"/>
      <c r="G156" s="49"/>
      <c r="H156" s="70"/>
      <c r="I156" s="88"/>
      <c r="J156" s="89"/>
      <c r="K156" s="88"/>
      <c r="L156" s="90"/>
      <c r="M156" s="91"/>
      <c r="N156" s="49"/>
      <c r="O156" s="71"/>
      <c r="P156" s="92"/>
      <c r="Q156" s="71"/>
      <c r="R156" s="92"/>
      <c r="S156" s="71"/>
      <c r="T156" s="71"/>
      <c r="U156" s="68"/>
      <c r="V156" s="95"/>
      <c r="W156" s="96"/>
      <c r="X156" s="97"/>
      <c r="Y156" s="97"/>
      <c r="Z156" s="68"/>
      <c r="AA156" s="12"/>
      <c r="AB156" s="99"/>
      <c r="AC156" s="31"/>
      <c r="AD156" s="32"/>
      <c r="AE156" s="51"/>
      <c r="AF156" s="22"/>
      <c r="AG156" s="29"/>
      <c r="AH156" s="93"/>
      <c r="AI156" s="31"/>
      <c r="AJ156" s="32"/>
      <c r="AK156" s="51"/>
      <c r="AL156" s="22"/>
      <c r="AM156" s="29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  <c r="BM156" s="67"/>
      <c r="BN156" s="67"/>
      <c r="BO156" s="67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  <c r="CZ156" s="67"/>
      <c r="DA156" s="67"/>
      <c r="DB156" s="67"/>
      <c r="DC156" s="67"/>
      <c r="DD156" s="67"/>
      <c r="DE156" s="67"/>
      <c r="DF156" s="67"/>
    </row>
    <row r="157" ht="11.25" customHeight="1">
      <c r="A157" s="62"/>
      <c r="B157" s="88"/>
      <c r="C157" s="89"/>
      <c r="D157" s="88"/>
      <c r="E157" s="90"/>
      <c r="F157" s="91"/>
      <c r="G157" s="49"/>
      <c r="H157" s="70"/>
      <c r="I157" s="88"/>
      <c r="J157" s="89"/>
      <c r="K157" s="88"/>
      <c r="L157" s="90"/>
      <c r="M157" s="91"/>
      <c r="N157" s="49"/>
      <c r="O157" s="71"/>
      <c r="P157" s="92"/>
      <c r="Q157" s="71"/>
      <c r="R157" s="92"/>
      <c r="S157" s="71"/>
      <c r="T157" s="71"/>
      <c r="U157" s="68"/>
      <c r="V157" s="95"/>
      <c r="W157" s="96"/>
      <c r="X157" s="97"/>
      <c r="Y157" s="97"/>
      <c r="Z157" s="68"/>
      <c r="AA157" s="12"/>
      <c r="AB157" s="99"/>
      <c r="AC157" s="31"/>
      <c r="AD157" s="32"/>
      <c r="AE157" s="51"/>
      <c r="AF157" s="22"/>
      <c r="AG157" s="29"/>
      <c r="AH157" s="93"/>
      <c r="AI157" s="31"/>
      <c r="AJ157" s="32"/>
      <c r="AK157" s="51"/>
      <c r="AL157" s="22"/>
      <c r="AM157" s="29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/>
      <c r="CF157" s="67"/>
      <c r="CG157" s="67"/>
      <c r="CH157" s="67"/>
      <c r="CI157" s="67"/>
      <c r="CJ157" s="67"/>
      <c r="CK157" s="67"/>
      <c r="CL157" s="67"/>
      <c r="CM157" s="67"/>
      <c r="CN157" s="67"/>
      <c r="CO157" s="67"/>
      <c r="CP157" s="67"/>
      <c r="CQ157" s="67"/>
      <c r="CR157" s="67"/>
      <c r="CS157" s="67"/>
      <c r="CT157" s="67"/>
      <c r="CU157" s="67"/>
      <c r="CV157" s="67"/>
      <c r="CW157" s="67"/>
      <c r="CX157" s="67"/>
      <c r="CY157" s="67"/>
      <c r="CZ157" s="67"/>
      <c r="DA157" s="67"/>
      <c r="DB157" s="67"/>
      <c r="DC157" s="67"/>
      <c r="DD157" s="67"/>
      <c r="DE157" s="67"/>
      <c r="DF157" s="67"/>
    </row>
    <row r="158" ht="11.25" customHeight="1">
      <c r="A158" s="62"/>
      <c r="B158" s="88"/>
      <c r="C158" s="89"/>
      <c r="D158" s="88"/>
      <c r="E158" s="90"/>
      <c r="F158" s="91"/>
      <c r="G158" s="49"/>
      <c r="H158" s="70"/>
      <c r="I158" s="88"/>
      <c r="J158" s="89"/>
      <c r="K158" s="88"/>
      <c r="L158" s="90"/>
      <c r="M158" s="91"/>
      <c r="N158" s="49"/>
      <c r="O158" s="71"/>
      <c r="P158" s="92"/>
      <c r="Q158" s="71"/>
      <c r="R158" s="92"/>
      <c r="S158" s="71"/>
      <c r="T158" s="71"/>
      <c r="U158" s="68"/>
      <c r="V158" s="95"/>
      <c r="W158" s="96"/>
      <c r="X158" s="97"/>
      <c r="Y158" s="97"/>
      <c r="Z158" s="68"/>
      <c r="AA158" s="12"/>
      <c r="AB158" s="99"/>
      <c r="AC158" s="31"/>
      <c r="AD158" s="32"/>
      <c r="AE158" s="51"/>
      <c r="AF158" s="22"/>
      <c r="AG158" s="29"/>
      <c r="AH158" s="93"/>
      <c r="AI158" s="31"/>
      <c r="AJ158" s="32"/>
      <c r="AK158" s="51"/>
      <c r="AL158" s="22"/>
      <c r="AM158" s="29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C158" s="67"/>
      <c r="DD158" s="67"/>
      <c r="DE158" s="67"/>
      <c r="DF158" s="67"/>
    </row>
    <row r="159" ht="11.25" customHeight="1">
      <c r="A159" s="62"/>
      <c r="B159" s="88"/>
      <c r="C159" s="89"/>
      <c r="D159" s="88"/>
      <c r="E159" s="90"/>
      <c r="F159" s="91"/>
      <c r="G159" s="49"/>
      <c r="H159" s="70"/>
      <c r="I159" s="88"/>
      <c r="J159" s="89"/>
      <c r="K159" s="88"/>
      <c r="L159" s="90"/>
      <c r="M159" s="91"/>
      <c r="N159" s="49"/>
      <c r="O159" s="71"/>
      <c r="P159" s="92"/>
      <c r="Q159" s="71"/>
      <c r="R159" s="92"/>
      <c r="S159" s="71"/>
      <c r="T159" s="71"/>
      <c r="U159" s="68"/>
      <c r="V159" s="95"/>
      <c r="W159" s="96"/>
      <c r="X159" s="97"/>
      <c r="Y159" s="97"/>
      <c r="Z159" s="68"/>
      <c r="AA159" s="12"/>
      <c r="AB159" s="99"/>
      <c r="AC159" s="31"/>
      <c r="AD159" s="32"/>
      <c r="AE159" s="51"/>
      <c r="AF159" s="22"/>
      <c r="AG159" s="29"/>
      <c r="AH159" s="93"/>
      <c r="AI159" s="31"/>
      <c r="AJ159" s="32"/>
      <c r="AK159" s="51"/>
      <c r="AL159" s="22"/>
      <c r="AM159" s="29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  <c r="DC159" s="67"/>
      <c r="DD159" s="67"/>
      <c r="DE159" s="67"/>
      <c r="DF159" s="67"/>
    </row>
    <row r="160" ht="11.25" customHeight="1">
      <c r="A160" s="62"/>
      <c r="B160" s="88"/>
      <c r="C160" s="89"/>
      <c r="D160" s="88"/>
      <c r="E160" s="90"/>
      <c r="F160" s="91"/>
      <c r="G160" s="49"/>
      <c r="H160" s="70"/>
      <c r="I160" s="88"/>
      <c r="J160" s="89"/>
      <c r="K160" s="88"/>
      <c r="L160" s="90"/>
      <c r="M160" s="91"/>
      <c r="N160" s="49"/>
      <c r="O160" s="71"/>
      <c r="P160" s="92"/>
      <c r="Q160" s="71"/>
      <c r="R160" s="92"/>
      <c r="S160" s="71"/>
      <c r="T160" s="71"/>
      <c r="U160" s="68"/>
      <c r="V160" s="95"/>
      <c r="W160" s="96"/>
      <c r="X160" s="97"/>
      <c r="Y160" s="97"/>
      <c r="Z160" s="68"/>
      <c r="AA160" s="12"/>
      <c r="AB160" s="99"/>
      <c r="AC160" s="31"/>
      <c r="AD160" s="32"/>
      <c r="AE160" s="51"/>
      <c r="AF160" s="22"/>
      <c r="AG160" s="29"/>
      <c r="AH160" s="93"/>
      <c r="AI160" s="31"/>
      <c r="AJ160" s="32"/>
      <c r="AK160" s="51"/>
      <c r="AL160" s="22"/>
      <c r="AM160" s="29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  <c r="CZ160" s="67"/>
      <c r="DA160" s="67"/>
      <c r="DB160" s="67"/>
      <c r="DC160" s="67"/>
      <c r="DD160" s="67"/>
      <c r="DE160" s="67"/>
      <c r="DF160" s="67"/>
    </row>
    <row r="161" ht="11.25" customHeight="1">
      <c r="A161" s="62"/>
      <c r="B161" s="88"/>
      <c r="C161" s="89"/>
      <c r="D161" s="88"/>
      <c r="E161" s="90"/>
      <c r="F161" s="91"/>
      <c r="G161" s="49"/>
      <c r="H161" s="70"/>
      <c r="I161" s="88"/>
      <c r="J161" s="89"/>
      <c r="K161" s="88"/>
      <c r="L161" s="90"/>
      <c r="M161" s="91"/>
      <c r="N161" s="49"/>
      <c r="O161" s="71"/>
      <c r="P161" s="92"/>
      <c r="Q161" s="71"/>
      <c r="R161" s="92"/>
      <c r="S161" s="71"/>
      <c r="T161" s="71"/>
      <c r="U161" s="68"/>
      <c r="V161" s="95"/>
      <c r="W161" s="96"/>
      <c r="X161" s="97"/>
      <c r="Y161" s="97"/>
      <c r="Z161" s="68"/>
      <c r="AA161" s="12"/>
      <c r="AB161" s="99"/>
      <c r="AC161" s="31"/>
      <c r="AD161" s="32"/>
      <c r="AE161" s="51"/>
      <c r="AF161" s="22"/>
      <c r="AG161" s="29"/>
      <c r="AH161" s="93"/>
      <c r="AI161" s="31"/>
      <c r="AJ161" s="32"/>
      <c r="AK161" s="51"/>
      <c r="AL161" s="22"/>
      <c r="AM161" s="29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67"/>
      <c r="CU161" s="67"/>
      <c r="CV161" s="67"/>
      <c r="CW161" s="67"/>
      <c r="CX161" s="67"/>
      <c r="CY161" s="67"/>
      <c r="CZ161" s="67"/>
      <c r="DA161" s="67"/>
      <c r="DB161" s="67"/>
      <c r="DC161" s="67"/>
      <c r="DD161" s="67"/>
      <c r="DE161" s="67"/>
      <c r="DF161" s="67"/>
    </row>
    <row r="162" ht="11.25" customHeight="1">
      <c r="A162" s="62"/>
      <c r="B162" s="88"/>
      <c r="C162" s="89"/>
      <c r="D162" s="88"/>
      <c r="E162" s="90"/>
      <c r="F162" s="91"/>
      <c r="G162" s="49"/>
      <c r="H162" s="70"/>
      <c r="I162" s="88"/>
      <c r="J162" s="89"/>
      <c r="K162" s="88"/>
      <c r="L162" s="90"/>
      <c r="M162" s="91"/>
      <c r="N162" s="49"/>
      <c r="O162" s="71"/>
      <c r="P162" s="92"/>
      <c r="Q162" s="71"/>
      <c r="R162" s="92"/>
      <c r="S162" s="71"/>
      <c r="T162" s="71"/>
      <c r="U162" s="68"/>
      <c r="V162" s="95"/>
      <c r="W162" s="96"/>
      <c r="X162" s="97"/>
      <c r="Y162" s="97"/>
      <c r="Z162" s="68"/>
      <c r="AA162" s="12"/>
      <c r="AB162" s="99"/>
      <c r="AC162" s="31"/>
      <c r="AD162" s="32"/>
      <c r="AE162" s="51"/>
      <c r="AF162" s="22"/>
      <c r="AG162" s="29"/>
      <c r="AH162" s="93"/>
      <c r="AI162" s="31"/>
      <c r="AJ162" s="32"/>
      <c r="AK162" s="51"/>
      <c r="AL162" s="22"/>
      <c r="AM162" s="29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  <c r="DC162" s="67"/>
      <c r="DD162" s="67"/>
      <c r="DE162" s="67"/>
      <c r="DF162" s="67"/>
    </row>
    <row r="163" ht="11.25" customHeight="1">
      <c r="A163" s="62"/>
      <c r="B163" s="88"/>
      <c r="C163" s="89"/>
      <c r="D163" s="88"/>
      <c r="E163" s="90"/>
      <c r="F163" s="91"/>
      <c r="G163" s="49"/>
      <c r="H163" s="70"/>
      <c r="I163" s="88"/>
      <c r="J163" s="89"/>
      <c r="K163" s="88"/>
      <c r="L163" s="90"/>
      <c r="M163" s="91"/>
      <c r="N163" s="49"/>
      <c r="O163" s="71"/>
      <c r="P163" s="92"/>
      <c r="Q163" s="71"/>
      <c r="R163" s="92"/>
      <c r="S163" s="71"/>
      <c r="T163" s="71"/>
      <c r="U163" s="68"/>
      <c r="V163" s="95"/>
      <c r="W163" s="96"/>
      <c r="X163" s="97"/>
      <c r="Y163" s="97"/>
      <c r="Z163" s="68"/>
      <c r="AA163" s="12"/>
      <c r="AB163" s="99"/>
      <c r="AC163" s="31"/>
      <c r="AD163" s="32"/>
      <c r="AE163" s="51"/>
      <c r="AF163" s="22"/>
      <c r="AG163" s="29"/>
      <c r="AH163" s="93"/>
      <c r="AI163" s="31"/>
      <c r="AJ163" s="32"/>
      <c r="AK163" s="51"/>
      <c r="AL163" s="22"/>
      <c r="AM163" s="29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  <c r="DC163" s="67"/>
      <c r="DD163" s="67"/>
      <c r="DE163" s="67"/>
      <c r="DF163" s="67"/>
    </row>
    <row r="164" ht="11.25" customHeight="1">
      <c r="A164" s="62"/>
      <c r="B164" s="88"/>
      <c r="C164" s="89"/>
      <c r="D164" s="88"/>
      <c r="E164" s="90"/>
      <c r="F164" s="91"/>
      <c r="G164" s="49"/>
      <c r="H164" s="70"/>
      <c r="I164" s="88"/>
      <c r="J164" s="89"/>
      <c r="K164" s="88"/>
      <c r="L164" s="90"/>
      <c r="M164" s="91"/>
      <c r="N164" s="49"/>
      <c r="O164" s="71"/>
      <c r="P164" s="92"/>
      <c r="Q164" s="71"/>
      <c r="R164" s="92"/>
      <c r="S164" s="71"/>
      <c r="T164" s="71"/>
      <c r="U164" s="68"/>
      <c r="V164" s="95"/>
      <c r="W164" s="96"/>
      <c r="X164" s="97"/>
      <c r="Y164" s="97"/>
      <c r="Z164" s="68"/>
      <c r="AA164" s="12"/>
      <c r="AB164" s="99"/>
      <c r="AC164" s="31"/>
      <c r="AD164" s="32"/>
      <c r="AE164" s="51"/>
      <c r="AF164" s="22"/>
      <c r="AG164" s="29"/>
      <c r="AH164" s="93"/>
      <c r="AI164" s="31"/>
      <c r="AJ164" s="32"/>
      <c r="AK164" s="51"/>
      <c r="AL164" s="22"/>
      <c r="AM164" s="29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  <c r="DC164" s="67"/>
      <c r="DD164" s="67"/>
      <c r="DE164" s="67"/>
      <c r="DF164" s="67"/>
    </row>
    <row r="165" ht="11.25" customHeight="1">
      <c r="A165" s="62"/>
      <c r="B165" s="88"/>
      <c r="C165" s="89"/>
      <c r="D165" s="88"/>
      <c r="E165" s="90"/>
      <c r="F165" s="91"/>
      <c r="G165" s="49"/>
      <c r="H165" s="70"/>
      <c r="I165" s="88"/>
      <c r="J165" s="89"/>
      <c r="K165" s="88"/>
      <c r="L165" s="90"/>
      <c r="M165" s="91"/>
      <c r="N165" s="49"/>
      <c r="O165" s="71"/>
      <c r="P165" s="92"/>
      <c r="Q165" s="71"/>
      <c r="R165" s="92"/>
      <c r="S165" s="71"/>
      <c r="T165" s="71"/>
      <c r="U165" s="68"/>
      <c r="V165" s="95"/>
      <c r="W165" s="96"/>
      <c r="X165" s="97"/>
      <c r="Y165" s="97"/>
      <c r="Z165" s="68"/>
      <c r="AA165" s="12"/>
      <c r="AB165" s="99"/>
      <c r="AC165" s="31"/>
      <c r="AD165" s="32"/>
      <c r="AE165" s="51"/>
      <c r="AF165" s="22"/>
      <c r="AG165" s="29"/>
      <c r="AH165" s="93"/>
      <c r="AI165" s="31"/>
      <c r="AJ165" s="32"/>
      <c r="AK165" s="51"/>
      <c r="AL165" s="22"/>
      <c r="AM165" s="29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7"/>
      <c r="DF165" s="67"/>
    </row>
    <row r="166" ht="11.25" customHeight="1">
      <c r="A166" s="62"/>
      <c r="B166" s="88"/>
      <c r="C166" s="89"/>
      <c r="D166" s="88"/>
      <c r="E166" s="90"/>
      <c r="F166" s="91"/>
      <c r="G166" s="49"/>
      <c r="H166" s="70"/>
      <c r="I166" s="88"/>
      <c r="J166" s="89"/>
      <c r="K166" s="88"/>
      <c r="L166" s="90"/>
      <c r="M166" s="91"/>
      <c r="N166" s="49"/>
      <c r="O166" s="71"/>
      <c r="P166" s="92"/>
      <c r="Q166" s="71"/>
      <c r="R166" s="92"/>
      <c r="S166" s="71"/>
      <c r="T166" s="71"/>
      <c r="U166" s="68"/>
      <c r="V166" s="95"/>
      <c r="W166" s="96"/>
      <c r="X166" s="97"/>
      <c r="Y166" s="97"/>
      <c r="Z166" s="68"/>
      <c r="AA166" s="12"/>
      <c r="AB166" s="99"/>
      <c r="AC166" s="31"/>
      <c r="AD166" s="32"/>
      <c r="AE166" s="51"/>
      <c r="AF166" s="22"/>
      <c r="AG166" s="29"/>
      <c r="AH166" s="93"/>
      <c r="AI166" s="31"/>
      <c r="AJ166" s="32"/>
      <c r="AK166" s="51"/>
      <c r="AL166" s="22"/>
      <c r="AM166" s="29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  <c r="DC166" s="67"/>
      <c r="DD166" s="67"/>
      <c r="DE166" s="67"/>
      <c r="DF166" s="67"/>
    </row>
    <row r="167" ht="11.25" customHeight="1">
      <c r="A167" s="62"/>
      <c r="B167" s="88"/>
      <c r="C167" s="89"/>
      <c r="D167" s="88"/>
      <c r="E167" s="90"/>
      <c r="F167" s="91"/>
      <c r="G167" s="49"/>
      <c r="H167" s="70"/>
      <c r="I167" s="88"/>
      <c r="J167" s="89"/>
      <c r="K167" s="88"/>
      <c r="L167" s="90"/>
      <c r="M167" s="91"/>
      <c r="N167" s="49"/>
      <c r="O167" s="71"/>
      <c r="P167" s="92"/>
      <c r="Q167" s="71"/>
      <c r="R167" s="92"/>
      <c r="S167" s="71"/>
      <c r="T167" s="71"/>
      <c r="U167" s="68"/>
      <c r="V167" s="95"/>
      <c r="W167" s="96"/>
      <c r="X167" s="97"/>
      <c r="Y167" s="97"/>
      <c r="Z167" s="68"/>
      <c r="AA167" s="12"/>
      <c r="AB167" s="99"/>
      <c r="AC167" s="31"/>
      <c r="AD167" s="32"/>
      <c r="AE167" s="51"/>
      <c r="AF167" s="22"/>
      <c r="AG167" s="29"/>
      <c r="AH167" s="93"/>
      <c r="AI167" s="31"/>
      <c r="AJ167" s="32"/>
      <c r="AK167" s="51"/>
      <c r="AL167" s="22"/>
      <c r="AM167" s="29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  <c r="DC167" s="67"/>
      <c r="DD167" s="67"/>
      <c r="DE167" s="67"/>
      <c r="DF167" s="67"/>
    </row>
    <row r="168" ht="11.25" customHeight="1">
      <c r="A168" s="62"/>
      <c r="B168" s="88"/>
      <c r="C168" s="89"/>
      <c r="D168" s="88"/>
      <c r="E168" s="90"/>
      <c r="F168" s="91"/>
      <c r="G168" s="49"/>
      <c r="H168" s="70"/>
      <c r="I168" s="88"/>
      <c r="J168" s="89"/>
      <c r="K168" s="88"/>
      <c r="L168" s="90"/>
      <c r="M168" s="91"/>
      <c r="N168" s="49"/>
      <c r="O168" s="71"/>
      <c r="P168" s="92"/>
      <c r="Q168" s="71"/>
      <c r="R168" s="92"/>
      <c r="S168" s="71"/>
      <c r="T168" s="71"/>
      <c r="U168" s="68"/>
      <c r="V168" s="95"/>
      <c r="W168" s="96"/>
      <c r="X168" s="97"/>
      <c r="Y168" s="97"/>
      <c r="Z168" s="68"/>
      <c r="AA168" s="12"/>
      <c r="AB168" s="99"/>
      <c r="AC168" s="31"/>
      <c r="AD168" s="32"/>
      <c r="AE168" s="51"/>
      <c r="AF168" s="22"/>
      <c r="AG168" s="29"/>
      <c r="AH168" s="93"/>
      <c r="AI168" s="31"/>
      <c r="AJ168" s="32"/>
      <c r="AK168" s="51"/>
      <c r="AL168" s="22"/>
      <c r="AM168" s="29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  <c r="DC168" s="67"/>
      <c r="DD168" s="67"/>
      <c r="DE168" s="67"/>
      <c r="DF168" s="67"/>
    </row>
    <row r="169" ht="11.25" customHeight="1">
      <c r="A169" s="62"/>
      <c r="B169" s="88"/>
      <c r="C169" s="89"/>
      <c r="D169" s="88"/>
      <c r="E169" s="90"/>
      <c r="F169" s="91"/>
      <c r="G169" s="49"/>
      <c r="H169" s="70"/>
      <c r="I169" s="88"/>
      <c r="J169" s="89"/>
      <c r="K169" s="88"/>
      <c r="L169" s="90"/>
      <c r="M169" s="91"/>
      <c r="N169" s="49"/>
      <c r="O169" s="71"/>
      <c r="P169" s="92"/>
      <c r="Q169" s="71"/>
      <c r="R169" s="92"/>
      <c r="S169" s="71"/>
      <c r="T169" s="71"/>
      <c r="U169" s="68"/>
      <c r="V169" s="95"/>
      <c r="W169" s="96"/>
      <c r="X169" s="97"/>
      <c r="Y169" s="97"/>
      <c r="Z169" s="68"/>
      <c r="AA169" s="12"/>
      <c r="AB169" s="99"/>
      <c r="AC169" s="31"/>
      <c r="AD169" s="32"/>
      <c r="AE169" s="51"/>
      <c r="AF169" s="22"/>
      <c r="AG169" s="29"/>
      <c r="AH169" s="93"/>
      <c r="AI169" s="31"/>
      <c r="AJ169" s="32"/>
      <c r="AK169" s="51"/>
      <c r="AL169" s="22"/>
      <c r="AM169" s="29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  <c r="DC169" s="67"/>
      <c r="DD169" s="67"/>
      <c r="DE169" s="67"/>
      <c r="DF169" s="67"/>
    </row>
    <row r="170" ht="11.25" customHeight="1">
      <c r="A170" s="62"/>
      <c r="B170" s="88"/>
      <c r="C170" s="89"/>
      <c r="D170" s="88"/>
      <c r="E170" s="90"/>
      <c r="F170" s="91"/>
      <c r="G170" s="49"/>
      <c r="H170" s="70"/>
      <c r="I170" s="88"/>
      <c r="J170" s="89"/>
      <c r="K170" s="88"/>
      <c r="L170" s="90"/>
      <c r="M170" s="91"/>
      <c r="N170" s="49"/>
      <c r="O170" s="71"/>
      <c r="P170" s="92"/>
      <c r="Q170" s="71"/>
      <c r="R170" s="92"/>
      <c r="S170" s="71"/>
      <c r="T170" s="71"/>
      <c r="U170" s="68"/>
      <c r="V170" s="95"/>
      <c r="W170" s="96"/>
      <c r="X170" s="97"/>
      <c r="Y170" s="97"/>
      <c r="Z170" s="68"/>
      <c r="AA170" s="12"/>
      <c r="AB170" s="99"/>
      <c r="AC170" s="31"/>
      <c r="AD170" s="32"/>
      <c r="AE170" s="51"/>
      <c r="AF170" s="22"/>
      <c r="AG170" s="29"/>
      <c r="AH170" s="93"/>
      <c r="AI170" s="31"/>
      <c r="AJ170" s="32"/>
      <c r="AK170" s="51"/>
      <c r="AL170" s="22"/>
      <c r="AM170" s="29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67"/>
      <c r="CU170" s="67"/>
      <c r="CV170" s="67"/>
      <c r="CW170" s="67"/>
      <c r="CX170" s="67"/>
      <c r="CY170" s="67"/>
      <c r="CZ170" s="67"/>
      <c r="DA170" s="67"/>
      <c r="DB170" s="67"/>
      <c r="DC170" s="67"/>
      <c r="DD170" s="67"/>
      <c r="DE170" s="67"/>
      <c r="DF170" s="67"/>
    </row>
    <row r="171" ht="11.25" customHeight="1">
      <c r="A171" s="62"/>
      <c r="B171" s="88"/>
      <c r="C171" s="89"/>
      <c r="D171" s="88"/>
      <c r="E171" s="90"/>
      <c r="F171" s="91"/>
      <c r="G171" s="49"/>
      <c r="H171" s="70"/>
      <c r="I171" s="88"/>
      <c r="J171" s="89"/>
      <c r="K171" s="88"/>
      <c r="L171" s="90"/>
      <c r="M171" s="91"/>
      <c r="N171" s="49"/>
      <c r="O171" s="71"/>
      <c r="P171" s="92"/>
      <c r="Q171" s="71"/>
      <c r="R171" s="92"/>
      <c r="S171" s="71"/>
      <c r="T171" s="71"/>
      <c r="U171" s="68"/>
      <c r="V171" s="95"/>
      <c r="W171" s="96"/>
      <c r="X171" s="97"/>
      <c r="Y171" s="97"/>
      <c r="Z171" s="68"/>
      <c r="AA171" s="12"/>
      <c r="AB171" s="99"/>
      <c r="AC171" s="31"/>
      <c r="AD171" s="32"/>
      <c r="AE171" s="51"/>
      <c r="AF171" s="22"/>
      <c r="AG171" s="29"/>
      <c r="AH171" s="93"/>
      <c r="AI171" s="31"/>
      <c r="AJ171" s="32"/>
      <c r="AK171" s="51"/>
      <c r="AL171" s="22"/>
      <c r="AM171" s="29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67"/>
      <c r="CL171" s="67"/>
      <c r="CM171" s="67"/>
      <c r="CN171" s="67"/>
      <c r="CO171" s="67"/>
      <c r="CP171" s="67"/>
      <c r="CQ171" s="67"/>
      <c r="CR171" s="67"/>
      <c r="CS171" s="67"/>
      <c r="CT171" s="67"/>
      <c r="CU171" s="67"/>
      <c r="CV171" s="67"/>
      <c r="CW171" s="67"/>
      <c r="CX171" s="67"/>
      <c r="CY171" s="67"/>
      <c r="CZ171" s="67"/>
      <c r="DA171" s="67"/>
      <c r="DB171" s="67"/>
      <c r="DC171" s="67"/>
      <c r="DD171" s="67"/>
      <c r="DE171" s="67"/>
      <c r="DF171" s="67"/>
    </row>
    <row r="172" ht="11.25" customHeight="1">
      <c r="A172" s="62"/>
      <c r="B172" s="88"/>
      <c r="C172" s="89"/>
      <c r="D172" s="88"/>
      <c r="E172" s="90"/>
      <c r="F172" s="91"/>
      <c r="G172" s="49"/>
      <c r="H172" s="70"/>
      <c r="I172" s="88"/>
      <c r="J172" s="89"/>
      <c r="K172" s="88"/>
      <c r="L172" s="90"/>
      <c r="M172" s="91"/>
      <c r="N172" s="49"/>
      <c r="O172" s="71"/>
      <c r="P172" s="92"/>
      <c r="Q172" s="71"/>
      <c r="R172" s="92"/>
      <c r="S172" s="71"/>
      <c r="T172" s="71"/>
      <c r="U172" s="68"/>
      <c r="V172" s="95"/>
      <c r="W172" s="96"/>
      <c r="X172" s="97"/>
      <c r="Y172" s="97"/>
      <c r="Z172" s="68"/>
      <c r="AA172" s="12"/>
      <c r="AB172" s="99"/>
      <c r="AC172" s="31"/>
      <c r="AD172" s="32"/>
      <c r="AE172" s="51"/>
      <c r="AF172" s="22"/>
      <c r="AG172" s="29"/>
      <c r="AH172" s="93"/>
      <c r="AI172" s="31"/>
      <c r="AJ172" s="32"/>
      <c r="AK172" s="51"/>
      <c r="AL172" s="22"/>
      <c r="AM172" s="29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  <c r="DC172" s="67"/>
      <c r="DD172" s="67"/>
      <c r="DE172" s="67"/>
      <c r="DF172" s="67"/>
    </row>
    <row r="173" ht="11.25" customHeight="1">
      <c r="A173" s="62"/>
      <c r="B173" s="88"/>
      <c r="C173" s="89"/>
      <c r="D173" s="88"/>
      <c r="E173" s="90"/>
      <c r="F173" s="91"/>
      <c r="G173" s="49"/>
      <c r="H173" s="70"/>
      <c r="I173" s="88"/>
      <c r="J173" s="89"/>
      <c r="K173" s="88"/>
      <c r="L173" s="90"/>
      <c r="M173" s="91"/>
      <c r="N173" s="49"/>
      <c r="O173" s="71"/>
      <c r="P173" s="92"/>
      <c r="Q173" s="71"/>
      <c r="R173" s="92"/>
      <c r="S173" s="71"/>
      <c r="T173" s="71"/>
      <c r="U173" s="68"/>
      <c r="V173" s="95"/>
      <c r="W173" s="96"/>
      <c r="X173" s="97"/>
      <c r="Y173" s="97"/>
      <c r="Z173" s="68"/>
      <c r="AA173" s="68"/>
      <c r="AB173" s="68"/>
      <c r="AC173" s="100"/>
      <c r="AD173" s="100"/>
      <c r="AE173" s="67"/>
      <c r="AF173" s="67"/>
      <c r="AG173" s="67"/>
      <c r="AH173" s="93"/>
      <c r="AI173" s="31"/>
      <c r="AJ173" s="32"/>
      <c r="AK173" s="51"/>
      <c r="AL173" s="22"/>
      <c r="AM173" s="29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7"/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67"/>
      <c r="CF173" s="67"/>
      <c r="CG173" s="67"/>
      <c r="CH173" s="67"/>
      <c r="CI173" s="67"/>
      <c r="CJ173" s="67"/>
      <c r="CK173" s="67"/>
      <c r="CL173" s="67"/>
      <c r="CM173" s="67"/>
      <c r="CN173" s="67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  <c r="DC173" s="67"/>
      <c r="DD173" s="67"/>
      <c r="DE173" s="67"/>
      <c r="DF173" s="67"/>
    </row>
    <row r="174" ht="11.25" customHeight="1">
      <c r="A174" s="62"/>
      <c r="B174" s="88"/>
      <c r="C174" s="89"/>
      <c r="D174" s="88"/>
      <c r="E174" s="90"/>
      <c r="F174" s="91"/>
      <c r="G174" s="49"/>
      <c r="H174" s="70"/>
      <c r="I174" s="88"/>
      <c r="J174" s="89"/>
      <c r="K174" s="88"/>
      <c r="L174" s="90"/>
      <c r="M174" s="91"/>
      <c r="N174" s="49"/>
      <c r="O174" s="71"/>
      <c r="P174" s="92"/>
      <c r="Q174" s="71"/>
      <c r="R174" s="92"/>
      <c r="S174" s="71"/>
      <c r="T174" s="71"/>
      <c r="U174" s="68"/>
      <c r="V174" s="95"/>
      <c r="W174" s="96"/>
      <c r="X174" s="97"/>
      <c r="Y174" s="97"/>
      <c r="Z174" s="68"/>
      <c r="AA174" s="68"/>
      <c r="AB174" s="68"/>
      <c r="AC174" s="100"/>
      <c r="AD174" s="100"/>
      <c r="AE174" s="67"/>
      <c r="AF174" s="67"/>
      <c r="AG174" s="67"/>
      <c r="AH174" s="93"/>
      <c r="AI174" s="31"/>
      <c r="AJ174" s="32"/>
      <c r="AK174" s="51"/>
      <c r="AL174" s="22"/>
      <c r="AM174" s="29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  <c r="BL174" s="67"/>
      <c r="BM174" s="67"/>
      <c r="BN174" s="67"/>
      <c r="BO174" s="67"/>
      <c r="BP174" s="67"/>
      <c r="BQ174" s="67"/>
      <c r="BR174" s="67"/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/>
      <c r="CF174" s="67"/>
      <c r="CG174" s="67"/>
      <c r="CH174" s="67"/>
      <c r="CI174" s="67"/>
      <c r="CJ174" s="67"/>
      <c r="CK174" s="67"/>
      <c r="CL174" s="67"/>
      <c r="CM174" s="67"/>
      <c r="CN174" s="67"/>
      <c r="CO174" s="67"/>
      <c r="CP174" s="67"/>
      <c r="CQ174" s="67"/>
      <c r="CR174" s="67"/>
      <c r="CS174" s="67"/>
      <c r="CT174" s="67"/>
      <c r="CU174" s="67"/>
      <c r="CV174" s="67"/>
      <c r="CW174" s="67"/>
      <c r="CX174" s="67"/>
      <c r="CY174" s="67"/>
      <c r="CZ174" s="67"/>
      <c r="DA174" s="67"/>
      <c r="DB174" s="67"/>
      <c r="DC174" s="67"/>
      <c r="DD174" s="67"/>
      <c r="DE174" s="67"/>
      <c r="DF174" s="67"/>
    </row>
    <row r="175" ht="11.25" customHeight="1">
      <c r="A175" s="62"/>
      <c r="B175" s="88"/>
      <c r="C175" s="89"/>
      <c r="D175" s="88"/>
      <c r="E175" s="90"/>
      <c r="F175" s="91"/>
      <c r="G175" s="49"/>
      <c r="H175" s="70"/>
      <c r="I175" s="88"/>
      <c r="J175" s="89"/>
      <c r="K175" s="88"/>
      <c r="L175" s="90"/>
      <c r="M175" s="91"/>
      <c r="N175" s="49"/>
      <c r="O175" s="71"/>
      <c r="P175" s="92"/>
      <c r="Q175" s="71"/>
      <c r="R175" s="92"/>
      <c r="S175" s="71"/>
      <c r="T175" s="71"/>
      <c r="U175" s="68"/>
      <c r="V175" s="95"/>
      <c r="W175" s="96"/>
      <c r="X175" s="97"/>
      <c r="Y175" s="97"/>
      <c r="Z175" s="68"/>
      <c r="AA175" s="68"/>
      <c r="AB175" s="68"/>
      <c r="AC175" s="100"/>
      <c r="AD175" s="100"/>
      <c r="AE175" s="67"/>
      <c r="AF175" s="67"/>
      <c r="AG175" s="67"/>
      <c r="AH175" s="93"/>
      <c r="AI175" s="31"/>
      <c r="AJ175" s="32"/>
      <c r="AK175" s="51"/>
      <c r="AL175" s="22"/>
      <c r="AM175" s="29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  <c r="BM175" s="67"/>
      <c r="BN175" s="67"/>
      <c r="BO175" s="67"/>
      <c r="BP175" s="67"/>
      <c r="BQ175" s="67"/>
      <c r="BR175" s="67"/>
      <c r="BS175" s="67"/>
      <c r="BT175" s="67"/>
      <c r="BU175" s="67"/>
      <c r="BV175" s="67"/>
      <c r="BW175" s="67"/>
      <c r="BX175" s="67"/>
      <c r="BY175" s="67"/>
      <c r="BZ175" s="67"/>
      <c r="CA175" s="67"/>
      <c r="CB175" s="67"/>
      <c r="CC175" s="67"/>
      <c r="CD175" s="67"/>
      <c r="CE175" s="67"/>
      <c r="CF175" s="67"/>
      <c r="CG175" s="67"/>
      <c r="CH175" s="67"/>
      <c r="CI175" s="67"/>
      <c r="CJ175" s="67"/>
      <c r="CK175" s="67"/>
      <c r="CL175" s="67"/>
      <c r="CM175" s="67"/>
      <c r="CN175" s="67"/>
      <c r="CO175" s="67"/>
      <c r="CP175" s="67"/>
      <c r="CQ175" s="67"/>
      <c r="CR175" s="67"/>
      <c r="CS175" s="67"/>
      <c r="CT175" s="67"/>
      <c r="CU175" s="67"/>
      <c r="CV175" s="67"/>
      <c r="CW175" s="67"/>
      <c r="CX175" s="67"/>
      <c r="CY175" s="67"/>
      <c r="CZ175" s="67"/>
      <c r="DA175" s="67"/>
      <c r="DB175" s="67"/>
      <c r="DC175" s="67"/>
      <c r="DD175" s="67"/>
      <c r="DE175" s="67"/>
      <c r="DF175" s="67"/>
    </row>
    <row r="176" ht="11.25" customHeight="1">
      <c r="A176" s="62"/>
      <c r="B176" s="88"/>
      <c r="C176" s="89"/>
      <c r="D176" s="88"/>
      <c r="E176" s="90"/>
      <c r="F176" s="91"/>
      <c r="G176" s="49"/>
      <c r="H176" s="70"/>
      <c r="I176" s="88"/>
      <c r="J176" s="89"/>
      <c r="K176" s="88"/>
      <c r="L176" s="90"/>
      <c r="M176" s="91"/>
      <c r="N176" s="49"/>
      <c r="O176" s="71"/>
      <c r="P176" s="92"/>
      <c r="Q176" s="71"/>
      <c r="R176" s="92"/>
      <c r="S176" s="71"/>
      <c r="T176" s="71"/>
      <c r="U176" s="68"/>
      <c r="V176" s="95"/>
      <c r="W176" s="96"/>
      <c r="X176" s="97"/>
      <c r="Y176" s="97"/>
      <c r="Z176" s="68"/>
      <c r="AA176" s="68"/>
      <c r="AB176" s="68"/>
      <c r="AC176" s="100"/>
      <c r="AD176" s="100"/>
      <c r="AE176" s="67"/>
      <c r="AF176" s="67"/>
      <c r="AG176" s="67"/>
      <c r="AH176" s="93"/>
      <c r="AI176" s="31"/>
      <c r="AJ176" s="32"/>
      <c r="AK176" s="51"/>
      <c r="AL176" s="22"/>
      <c r="AM176" s="29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/>
      <c r="BR176" s="67"/>
      <c r="BS176" s="67"/>
      <c r="BT176" s="67"/>
      <c r="BU176" s="67"/>
      <c r="BV176" s="67"/>
      <c r="BW176" s="67"/>
      <c r="BX176" s="67"/>
      <c r="BY176" s="67"/>
      <c r="BZ176" s="67"/>
      <c r="CA176" s="67"/>
      <c r="CB176" s="67"/>
      <c r="CC176" s="67"/>
      <c r="CD176" s="67"/>
      <c r="CE176" s="67"/>
      <c r="CF176" s="67"/>
      <c r="CG176" s="67"/>
      <c r="CH176" s="67"/>
      <c r="CI176" s="67"/>
      <c r="CJ176" s="67"/>
      <c r="CK176" s="67"/>
      <c r="CL176" s="67"/>
      <c r="CM176" s="67"/>
      <c r="CN176" s="67"/>
      <c r="CO176" s="67"/>
      <c r="CP176" s="67"/>
      <c r="CQ176" s="67"/>
      <c r="CR176" s="67"/>
      <c r="CS176" s="67"/>
      <c r="CT176" s="67"/>
      <c r="CU176" s="67"/>
      <c r="CV176" s="67"/>
      <c r="CW176" s="67"/>
      <c r="CX176" s="67"/>
      <c r="CY176" s="67"/>
      <c r="CZ176" s="67"/>
      <c r="DA176" s="67"/>
      <c r="DB176" s="67"/>
      <c r="DC176" s="67"/>
      <c r="DD176" s="67"/>
      <c r="DE176" s="67"/>
      <c r="DF176" s="67"/>
    </row>
    <row r="177" ht="11.25" customHeight="1">
      <c r="A177" s="62"/>
      <c r="B177" s="88"/>
      <c r="C177" s="89"/>
      <c r="D177" s="88"/>
      <c r="E177" s="90"/>
      <c r="F177" s="91"/>
      <c r="G177" s="49"/>
      <c r="H177" s="70"/>
      <c r="I177" s="88"/>
      <c r="J177" s="89"/>
      <c r="K177" s="88"/>
      <c r="L177" s="90"/>
      <c r="M177" s="91"/>
      <c r="N177" s="49"/>
      <c r="O177" s="71"/>
      <c r="P177" s="92"/>
      <c r="Q177" s="71"/>
      <c r="R177" s="92"/>
      <c r="S177" s="71"/>
      <c r="T177" s="71"/>
      <c r="U177" s="68"/>
      <c r="V177" s="95"/>
      <c r="W177" s="96"/>
      <c r="X177" s="97"/>
      <c r="Y177" s="97"/>
      <c r="Z177" s="68"/>
      <c r="AA177" s="68"/>
      <c r="AB177" s="68"/>
      <c r="AC177" s="100"/>
      <c r="AD177" s="100"/>
      <c r="AE177" s="67"/>
      <c r="AF177" s="67"/>
      <c r="AG177" s="67"/>
      <c r="AH177" s="93"/>
      <c r="AI177" s="31"/>
      <c r="AJ177" s="32"/>
      <c r="AK177" s="51"/>
      <c r="AL177" s="22"/>
      <c r="AM177" s="29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/>
      <c r="BR177" s="67"/>
      <c r="BS177" s="67"/>
      <c r="BT177" s="67"/>
      <c r="BU177" s="67"/>
      <c r="BV177" s="67"/>
      <c r="BW177" s="67"/>
      <c r="BX177" s="67"/>
      <c r="BY177" s="67"/>
      <c r="BZ177" s="67"/>
      <c r="CA177" s="67"/>
      <c r="CB177" s="67"/>
      <c r="CC177" s="67"/>
      <c r="CD177" s="67"/>
      <c r="CE177" s="67"/>
      <c r="CF177" s="67"/>
      <c r="CG177" s="67"/>
      <c r="CH177" s="67"/>
      <c r="CI177" s="67"/>
      <c r="CJ177" s="67"/>
      <c r="CK177" s="67"/>
      <c r="CL177" s="67"/>
      <c r="CM177" s="67"/>
      <c r="CN177" s="67"/>
      <c r="CO177" s="67"/>
      <c r="CP177" s="67"/>
      <c r="CQ177" s="67"/>
      <c r="CR177" s="67"/>
      <c r="CS177" s="67"/>
      <c r="CT177" s="67"/>
      <c r="CU177" s="67"/>
      <c r="CV177" s="67"/>
      <c r="CW177" s="67"/>
      <c r="CX177" s="67"/>
      <c r="CY177" s="67"/>
      <c r="CZ177" s="67"/>
      <c r="DA177" s="67"/>
      <c r="DB177" s="67"/>
      <c r="DC177" s="67"/>
      <c r="DD177" s="67"/>
      <c r="DE177" s="67"/>
      <c r="DF177" s="67"/>
    </row>
    <row r="178" ht="11.25" customHeight="1">
      <c r="A178" s="62"/>
      <c r="B178" s="88"/>
      <c r="C178" s="89"/>
      <c r="D178" s="88"/>
      <c r="E178" s="90"/>
      <c r="F178" s="91"/>
      <c r="G178" s="49"/>
      <c r="H178" s="70"/>
      <c r="I178" s="88"/>
      <c r="J178" s="89"/>
      <c r="K178" s="88"/>
      <c r="L178" s="90"/>
      <c r="M178" s="91"/>
      <c r="N178" s="49"/>
      <c r="O178" s="71"/>
      <c r="P178" s="92"/>
      <c r="Q178" s="71"/>
      <c r="R178" s="92"/>
      <c r="S178" s="71"/>
      <c r="T178" s="71"/>
      <c r="U178" s="68"/>
      <c r="V178" s="95"/>
      <c r="W178" s="96"/>
      <c r="X178" s="97"/>
      <c r="Y178" s="97"/>
      <c r="Z178" s="68"/>
      <c r="AA178" s="68"/>
      <c r="AB178" s="68"/>
      <c r="AC178" s="100"/>
      <c r="AD178" s="100"/>
      <c r="AE178" s="67"/>
      <c r="AF178" s="67"/>
      <c r="AG178" s="67"/>
      <c r="AH178" s="93"/>
      <c r="AI178" s="31"/>
      <c r="AJ178" s="32"/>
      <c r="AK178" s="51"/>
      <c r="AL178" s="22"/>
      <c r="AM178" s="29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  <c r="BL178" s="67"/>
      <c r="BM178" s="67"/>
      <c r="BN178" s="67"/>
      <c r="BO178" s="67"/>
      <c r="BP178" s="67"/>
      <c r="BQ178" s="67"/>
      <c r="BR178" s="67"/>
      <c r="BS178" s="67"/>
      <c r="BT178" s="67"/>
      <c r="BU178" s="67"/>
      <c r="BV178" s="67"/>
      <c r="BW178" s="67"/>
      <c r="BX178" s="67"/>
      <c r="BY178" s="67"/>
      <c r="BZ178" s="67"/>
      <c r="CA178" s="67"/>
      <c r="CB178" s="67"/>
      <c r="CC178" s="67"/>
      <c r="CD178" s="67"/>
      <c r="CE178" s="67"/>
      <c r="CF178" s="67"/>
      <c r="CG178" s="67"/>
      <c r="CH178" s="67"/>
      <c r="CI178" s="67"/>
      <c r="CJ178" s="67"/>
      <c r="CK178" s="67"/>
      <c r="CL178" s="67"/>
      <c r="CM178" s="67"/>
      <c r="CN178" s="67"/>
      <c r="CO178" s="67"/>
      <c r="CP178" s="67"/>
      <c r="CQ178" s="67"/>
      <c r="CR178" s="67"/>
      <c r="CS178" s="67"/>
      <c r="CT178" s="67"/>
      <c r="CU178" s="67"/>
      <c r="CV178" s="67"/>
      <c r="CW178" s="67"/>
      <c r="CX178" s="67"/>
      <c r="CY178" s="67"/>
      <c r="CZ178" s="67"/>
      <c r="DA178" s="67"/>
      <c r="DB178" s="67"/>
      <c r="DC178" s="67"/>
      <c r="DD178" s="67"/>
      <c r="DE178" s="67"/>
      <c r="DF178" s="67"/>
    </row>
    <row r="179" ht="11.25" customHeight="1">
      <c r="A179" s="62"/>
      <c r="B179" s="88"/>
      <c r="C179" s="89"/>
      <c r="D179" s="88"/>
      <c r="E179" s="90"/>
      <c r="F179" s="91"/>
      <c r="G179" s="49"/>
      <c r="H179" s="70"/>
      <c r="I179" s="88"/>
      <c r="J179" s="89"/>
      <c r="K179" s="88"/>
      <c r="L179" s="90"/>
      <c r="M179" s="91"/>
      <c r="N179" s="49"/>
      <c r="O179" s="71"/>
      <c r="P179" s="92"/>
      <c r="Q179" s="71"/>
      <c r="R179" s="92"/>
      <c r="S179" s="71"/>
      <c r="T179" s="71"/>
      <c r="U179" s="68"/>
      <c r="V179" s="95"/>
      <c r="W179" s="96"/>
      <c r="X179" s="97"/>
      <c r="Y179" s="97"/>
      <c r="Z179" s="68"/>
      <c r="AA179" s="68"/>
      <c r="AB179" s="68"/>
      <c r="AC179" s="100"/>
      <c r="AD179" s="100"/>
      <c r="AE179" s="67"/>
      <c r="AF179" s="67"/>
      <c r="AG179" s="67"/>
      <c r="AH179" s="93"/>
      <c r="AI179" s="31"/>
      <c r="AJ179" s="32"/>
      <c r="AK179" s="51"/>
      <c r="AL179" s="22"/>
      <c r="AM179" s="29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  <c r="BL179" s="67"/>
      <c r="BM179" s="67"/>
      <c r="BN179" s="67"/>
      <c r="BO179" s="67"/>
      <c r="BP179" s="67"/>
      <c r="BQ179" s="67"/>
      <c r="BR179" s="67"/>
      <c r="BS179" s="67"/>
      <c r="BT179" s="67"/>
      <c r="BU179" s="67"/>
      <c r="BV179" s="67"/>
      <c r="BW179" s="67"/>
      <c r="BX179" s="67"/>
      <c r="BY179" s="67"/>
      <c r="BZ179" s="67"/>
      <c r="CA179" s="67"/>
      <c r="CB179" s="67"/>
      <c r="CC179" s="67"/>
      <c r="CD179" s="67"/>
      <c r="CE179" s="67"/>
      <c r="CF179" s="67"/>
      <c r="CG179" s="67"/>
      <c r="CH179" s="67"/>
      <c r="CI179" s="67"/>
      <c r="CJ179" s="67"/>
      <c r="CK179" s="67"/>
      <c r="CL179" s="67"/>
      <c r="CM179" s="67"/>
      <c r="CN179" s="67"/>
      <c r="CO179" s="67"/>
      <c r="CP179" s="67"/>
      <c r="CQ179" s="67"/>
      <c r="CR179" s="67"/>
      <c r="CS179" s="67"/>
      <c r="CT179" s="67"/>
      <c r="CU179" s="67"/>
      <c r="CV179" s="67"/>
      <c r="CW179" s="67"/>
      <c r="CX179" s="67"/>
      <c r="CY179" s="67"/>
      <c r="CZ179" s="67"/>
      <c r="DA179" s="67"/>
      <c r="DB179" s="67"/>
      <c r="DC179" s="67"/>
      <c r="DD179" s="67"/>
      <c r="DE179" s="67"/>
      <c r="DF179" s="67"/>
    </row>
    <row r="180" ht="11.25" customHeight="1">
      <c r="A180" s="62"/>
      <c r="B180" s="88"/>
      <c r="C180" s="89"/>
      <c r="D180" s="88"/>
      <c r="E180" s="90"/>
      <c r="F180" s="91"/>
      <c r="G180" s="49"/>
      <c r="H180" s="70"/>
      <c r="I180" s="88"/>
      <c r="J180" s="89"/>
      <c r="K180" s="88"/>
      <c r="L180" s="90"/>
      <c r="M180" s="91"/>
      <c r="N180" s="49"/>
      <c r="O180" s="71"/>
      <c r="P180" s="92"/>
      <c r="Q180" s="71"/>
      <c r="R180" s="92"/>
      <c r="S180" s="71"/>
      <c r="T180" s="71"/>
      <c r="U180" s="68"/>
      <c r="V180" s="95"/>
      <c r="W180" s="96"/>
      <c r="X180" s="97"/>
      <c r="Y180" s="97"/>
      <c r="Z180" s="68"/>
      <c r="AA180" s="68"/>
      <c r="AB180" s="68"/>
      <c r="AC180" s="100"/>
      <c r="AD180" s="100"/>
      <c r="AE180" s="67"/>
      <c r="AF180" s="67"/>
      <c r="AG180" s="67"/>
      <c r="AH180" s="93"/>
      <c r="AI180" s="31"/>
      <c r="AJ180" s="32"/>
      <c r="AK180" s="51"/>
      <c r="AL180" s="22"/>
      <c r="AM180" s="29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67"/>
      <c r="CL180" s="67"/>
      <c r="CM180" s="67"/>
      <c r="CN180" s="67"/>
      <c r="CO180" s="67"/>
      <c r="CP180" s="67"/>
      <c r="CQ180" s="67"/>
      <c r="CR180" s="67"/>
      <c r="CS180" s="67"/>
      <c r="CT180" s="67"/>
      <c r="CU180" s="67"/>
      <c r="CV180" s="67"/>
      <c r="CW180" s="67"/>
      <c r="CX180" s="67"/>
      <c r="CY180" s="67"/>
      <c r="CZ180" s="67"/>
      <c r="DA180" s="67"/>
      <c r="DB180" s="67"/>
      <c r="DC180" s="67"/>
      <c r="DD180" s="67"/>
      <c r="DE180" s="67"/>
      <c r="DF180" s="67"/>
    </row>
    <row r="181" ht="11.25" customHeight="1">
      <c r="A181" s="62"/>
      <c r="B181" s="88"/>
      <c r="C181" s="89"/>
      <c r="D181" s="88"/>
      <c r="E181" s="90"/>
      <c r="F181" s="91"/>
      <c r="G181" s="49"/>
      <c r="H181" s="70"/>
      <c r="I181" s="88"/>
      <c r="J181" s="89"/>
      <c r="K181" s="88"/>
      <c r="L181" s="90"/>
      <c r="M181" s="91"/>
      <c r="N181" s="49"/>
      <c r="O181" s="71"/>
      <c r="P181" s="92"/>
      <c r="Q181" s="71"/>
      <c r="R181" s="92"/>
      <c r="S181" s="71"/>
      <c r="T181" s="71"/>
      <c r="U181" s="68"/>
      <c r="V181" s="95"/>
      <c r="W181" s="96"/>
      <c r="X181" s="97"/>
      <c r="Y181" s="97"/>
      <c r="Z181" s="68"/>
      <c r="AA181" s="68"/>
      <c r="AB181" s="68"/>
      <c r="AC181" s="100"/>
      <c r="AD181" s="100"/>
      <c r="AE181" s="67"/>
      <c r="AF181" s="67"/>
      <c r="AG181" s="67"/>
      <c r="AH181" s="93"/>
      <c r="AI181" s="31"/>
      <c r="AJ181" s="32"/>
      <c r="AK181" s="51"/>
      <c r="AL181" s="22"/>
      <c r="AM181" s="29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/>
      <c r="CF181" s="67"/>
      <c r="CG181" s="67"/>
      <c r="CH181" s="67"/>
      <c r="CI181" s="67"/>
      <c r="CJ181" s="67"/>
      <c r="CK181" s="67"/>
      <c r="CL181" s="67"/>
      <c r="CM181" s="67"/>
      <c r="CN181" s="67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  <c r="DC181" s="67"/>
      <c r="DD181" s="67"/>
      <c r="DE181" s="67"/>
      <c r="DF181" s="67"/>
    </row>
    <row r="182" ht="11.25" customHeight="1">
      <c r="A182" s="62"/>
      <c r="B182" s="88"/>
      <c r="C182" s="89"/>
      <c r="D182" s="88"/>
      <c r="E182" s="90"/>
      <c r="F182" s="91"/>
      <c r="G182" s="49"/>
      <c r="H182" s="70"/>
      <c r="I182" s="88"/>
      <c r="J182" s="89"/>
      <c r="K182" s="88"/>
      <c r="L182" s="90"/>
      <c r="M182" s="91"/>
      <c r="N182" s="49"/>
      <c r="O182" s="71"/>
      <c r="P182" s="92"/>
      <c r="Q182" s="71"/>
      <c r="R182" s="92"/>
      <c r="S182" s="71"/>
      <c r="T182" s="71"/>
      <c r="U182" s="68"/>
      <c r="V182" s="95"/>
      <c r="W182" s="96"/>
      <c r="X182" s="97"/>
      <c r="Y182" s="97"/>
      <c r="Z182" s="68"/>
      <c r="AA182" s="68"/>
      <c r="AB182" s="68"/>
      <c r="AC182" s="100"/>
      <c r="AD182" s="100"/>
      <c r="AE182" s="67"/>
      <c r="AF182" s="67"/>
      <c r="AG182" s="67"/>
      <c r="AH182" s="93"/>
      <c r="AI182" s="31"/>
      <c r="AJ182" s="32"/>
      <c r="AK182" s="51"/>
      <c r="AL182" s="22"/>
      <c r="AM182" s="29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/>
      <c r="CF182" s="67"/>
      <c r="CG182" s="67"/>
      <c r="CH182" s="67"/>
      <c r="CI182" s="67"/>
      <c r="CJ182" s="67"/>
      <c r="CK182" s="67"/>
      <c r="CL182" s="67"/>
      <c r="CM182" s="67"/>
      <c r="CN182" s="67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  <c r="DC182" s="67"/>
      <c r="DD182" s="67"/>
      <c r="DE182" s="67"/>
      <c r="DF182" s="67"/>
    </row>
    <row r="183" ht="11.25" customHeight="1">
      <c r="A183" s="62"/>
      <c r="B183" s="88"/>
      <c r="C183" s="89"/>
      <c r="D183" s="88"/>
      <c r="E183" s="90"/>
      <c r="F183" s="91"/>
      <c r="G183" s="49"/>
      <c r="H183" s="70"/>
      <c r="I183" s="88"/>
      <c r="J183" s="89"/>
      <c r="K183" s="88"/>
      <c r="L183" s="90"/>
      <c r="M183" s="91"/>
      <c r="N183" s="49"/>
      <c r="O183" s="71"/>
      <c r="P183" s="92"/>
      <c r="Q183" s="71"/>
      <c r="R183" s="92"/>
      <c r="S183" s="71"/>
      <c r="T183" s="71"/>
      <c r="U183" s="68"/>
      <c r="V183" s="95"/>
      <c r="W183" s="96"/>
      <c r="X183" s="97"/>
      <c r="Y183" s="97"/>
      <c r="Z183" s="68"/>
      <c r="AA183" s="68"/>
      <c r="AB183" s="68"/>
      <c r="AC183" s="100"/>
      <c r="AD183" s="100"/>
      <c r="AE183" s="67"/>
      <c r="AF183" s="67"/>
      <c r="AG183" s="67"/>
      <c r="AH183" s="93"/>
      <c r="AI183" s="31"/>
      <c r="AJ183" s="32"/>
      <c r="AK183" s="51"/>
      <c r="AL183" s="22"/>
      <c r="AM183" s="29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/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  <c r="CR183" s="67"/>
      <c r="CS183" s="67"/>
      <c r="CT183" s="67"/>
      <c r="CU183" s="67"/>
      <c r="CV183" s="67"/>
      <c r="CW183" s="67"/>
      <c r="CX183" s="67"/>
      <c r="CY183" s="67"/>
      <c r="CZ183" s="67"/>
      <c r="DA183" s="67"/>
      <c r="DB183" s="67"/>
      <c r="DC183" s="67"/>
      <c r="DD183" s="67"/>
      <c r="DE183" s="67"/>
      <c r="DF183" s="67"/>
    </row>
    <row r="184" ht="11.25" customHeight="1">
      <c r="A184" s="62"/>
      <c r="B184" s="88"/>
      <c r="C184" s="89"/>
      <c r="D184" s="88"/>
      <c r="E184" s="90"/>
      <c r="F184" s="91"/>
      <c r="G184" s="49"/>
      <c r="H184" s="70"/>
      <c r="I184" s="88"/>
      <c r="J184" s="89"/>
      <c r="K184" s="88"/>
      <c r="L184" s="90"/>
      <c r="M184" s="91"/>
      <c r="N184" s="49"/>
      <c r="O184" s="71"/>
      <c r="P184" s="92"/>
      <c r="Q184" s="71"/>
      <c r="R184" s="92"/>
      <c r="S184" s="71"/>
      <c r="T184" s="71"/>
      <c r="U184" s="68"/>
      <c r="V184" s="95"/>
      <c r="W184" s="96"/>
      <c r="X184" s="97"/>
      <c r="Y184" s="97"/>
      <c r="Z184" s="68"/>
      <c r="AA184" s="68"/>
      <c r="AB184" s="68"/>
      <c r="AC184" s="100"/>
      <c r="AD184" s="100"/>
      <c r="AE184" s="67"/>
      <c r="AF184" s="67"/>
      <c r="AG184" s="67"/>
      <c r="AH184" s="67"/>
      <c r="AI184" s="67"/>
      <c r="AJ184" s="67"/>
      <c r="AK184" s="67"/>
      <c r="AL184" s="67"/>
      <c r="AM184" s="29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  <c r="DC184" s="67"/>
      <c r="DD184" s="67"/>
      <c r="DE184" s="67"/>
      <c r="DF184" s="67"/>
    </row>
    <row r="185" ht="11.25" customHeight="1">
      <c r="A185" s="62"/>
      <c r="B185" s="88"/>
      <c r="C185" s="89"/>
      <c r="D185" s="88"/>
      <c r="E185" s="90"/>
      <c r="F185" s="91"/>
      <c r="G185" s="49"/>
      <c r="H185" s="70"/>
      <c r="I185" s="88"/>
      <c r="J185" s="89"/>
      <c r="K185" s="88"/>
      <c r="L185" s="90"/>
      <c r="M185" s="91"/>
      <c r="N185" s="49"/>
      <c r="O185" s="71"/>
      <c r="P185" s="92"/>
      <c r="Q185" s="71"/>
      <c r="R185" s="92"/>
      <c r="S185" s="71"/>
      <c r="T185" s="71"/>
      <c r="U185" s="68"/>
      <c r="V185" s="95"/>
      <c r="W185" s="96"/>
      <c r="X185" s="97"/>
      <c r="Y185" s="97"/>
      <c r="Z185" s="68"/>
      <c r="AA185" s="68"/>
      <c r="AB185" s="68"/>
      <c r="AC185" s="100"/>
      <c r="AD185" s="100"/>
      <c r="AE185" s="67"/>
      <c r="AF185" s="67"/>
      <c r="AG185" s="67"/>
      <c r="AH185" s="67"/>
      <c r="AI185" s="67"/>
      <c r="AJ185" s="67"/>
      <c r="AK185" s="67"/>
      <c r="AL185" s="67"/>
      <c r="AM185" s="29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  <c r="CZ185" s="67"/>
      <c r="DA185" s="67"/>
      <c r="DB185" s="67"/>
      <c r="DC185" s="67"/>
      <c r="DD185" s="67"/>
      <c r="DE185" s="67"/>
      <c r="DF185" s="67"/>
    </row>
    <row r="186" ht="11.25" customHeight="1">
      <c r="A186" s="62"/>
      <c r="B186" s="88"/>
      <c r="C186" s="89"/>
      <c r="D186" s="88"/>
      <c r="E186" s="90"/>
      <c r="F186" s="91"/>
      <c r="G186" s="49"/>
      <c r="H186" s="70"/>
      <c r="I186" s="88"/>
      <c r="J186" s="89"/>
      <c r="K186" s="88"/>
      <c r="L186" s="90"/>
      <c r="M186" s="91"/>
      <c r="N186" s="49"/>
      <c r="O186" s="71"/>
      <c r="P186" s="92"/>
      <c r="Q186" s="71"/>
      <c r="R186" s="92"/>
      <c r="S186" s="71"/>
      <c r="T186" s="71"/>
      <c r="U186" s="68"/>
      <c r="V186" s="95"/>
      <c r="W186" s="96"/>
      <c r="X186" s="97"/>
      <c r="Y186" s="97"/>
      <c r="Z186" s="68"/>
      <c r="AA186" s="68"/>
      <c r="AB186" s="68"/>
      <c r="AC186" s="100"/>
      <c r="AD186" s="100"/>
      <c r="AE186" s="67"/>
      <c r="AF186" s="67"/>
      <c r="AG186" s="67"/>
      <c r="AH186" s="67"/>
      <c r="AI186" s="67"/>
      <c r="AJ186" s="67"/>
      <c r="AK186" s="67"/>
      <c r="AL186" s="67"/>
      <c r="AM186" s="29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67"/>
      <c r="CL186" s="67"/>
      <c r="CM186" s="67"/>
      <c r="CN186" s="67"/>
      <c r="CO186" s="67"/>
      <c r="CP186" s="67"/>
      <c r="CQ186" s="67"/>
      <c r="CR186" s="67"/>
      <c r="CS186" s="67"/>
      <c r="CT186" s="67"/>
      <c r="CU186" s="67"/>
      <c r="CV186" s="67"/>
      <c r="CW186" s="67"/>
      <c r="CX186" s="67"/>
      <c r="CY186" s="67"/>
      <c r="CZ186" s="67"/>
      <c r="DA186" s="67"/>
      <c r="DB186" s="67"/>
      <c r="DC186" s="67"/>
      <c r="DD186" s="67"/>
      <c r="DE186" s="67"/>
      <c r="DF186" s="67"/>
    </row>
    <row r="187" ht="11.25" customHeight="1">
      <c r="A187" s="62"/>
      <c r="B187" s="88"/>
      <c r="C187" s="89"/>
      <c r="D187" s="88"/>
      <c r="E187" s="90"/>
      <c r="F187" s="91"/>
      <c r="G187" s="49"/>
      <c r="H187" s="70"/>
      <c r="I187" s="88"/>
      <c r="J187" s="89"/>
      <c r="K187" s="88"/>
      <c r="L187" s="90"/>
      <c r="M187" s="91"/>
      <c r="N187" s="49"/>
      <c r="O187" s="71"/>
      <c r="P187" s="92"/>
      <c r="Q187" s="71"/>
      <c r="R187" s="92"/>
      <c r="S187" s="71"/>
      <c r="T187" s="71"/>
      <c r="U187" s="68"/>
      <c r="V187" s="95"/>
      <c r="W187" s="96"/>
      <c r="X187" s="97"/>
      <c r="Y187" s="97"/>
      <c r="Z187" s="68"/>
      <c r="AA187" s="68"/>
      <c r="AB187" s="68"/>
      <c r="AC187" s="100"/>
      <c r="AD187" s="100"/>
      <c r="AE187" s="67"/>
      <c r="AF187" s="67"/>
      <c r="AG187" s="67"/>
      <c r="AH187" s="67"/>
      <c r="AI187" s="67"/>
      <c r="AJ187" s="67"/>
      <c r="AK187" s="67"/>
      <c r="AL187" s="67"/>
      <c r="AM187" s="29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67"/>
      <c r="CL187" s="67"/>
      <c r="CM187" s="67"/>
      <c r="CN187" s="67"/>
      <c r="CO187" s="67"/>
      <c r="CP187" s="67"/>
      <c r="CQ187" s="67"/>
      <c r="CR187" s="67"/>
      <c r="CS187" s="67"/>
      <c r="CT187" s="67"/>
      <c r="CU187" s="67"/>
      <c r="CV187" s="67"/>
      <c r="CW187" s="67"/>
      <c r="CX187" s="67"/>
      <c r="CY187" s="67"/>
      <c r="CZ187" s="67"/>
      <c r="DA187" s="67"/>
      <c r="DB187" s="67"/>
      <c r="DC187" s="67"/>
      <c r="DD187" s="67"/>
      <c r="DE187" s="67"/>
      <c r="DF187" s="67"/>
    </row>
    <row r="188" ht="11.25" customHeight="1">
      <c r="A188" s="62"/>
      <c r="B188" s="88"/>
      <c r="C188" s="89"/>
      <c r="D188" s="88"/>
      <c r="E188" s="90"/>
      <c r="F188" s="91"/>
      <c r="G188" s="49"/>
      <c r="H188" s="70"/>
      <c r="I188" s="88"/>
      <c r="J188" s="89"/>
      <c r="K188" s="88"/>
      <c r="L188" s="90"/>
      <c r="M188" s="91"/>
      <c r="N188" s="49"/>
      <c r="O188" s="71"/>
      <c r="P188" s="92"/>
      <c r="Q188" s="71"/>
      <c r="R188" s="92"/>
      <c r="S188" s="71"/>
      <c r="T188" s="71"/>
      <c r="U188" s="68"/>
      <c r="V188" s="95"/>
      <c r="W188" s="96"/>
      <c r="X188" s="97"/>
      <c r="Y188" s="97"/>
      <c r="Z188" s="68"/>
      <c r="AA188" s="68"/>
      <c r="AB188" s="68"/>
      <c r="AC188" s="100"/>
      <c r="AD188" s="100"/>
      <c r="AE188" s="67"/>
      <c r="AF188" s="67"/>
      <c r="AG188" s="67"/>
      <c r="AH188" s="67"/>
      <c r="AI188" s="67"/>
      <c r="AJ188" s="67"/>
      <c r="AK188" s="67"/>
      <c r="AL188" s="67"/>
      <c r="AM188" s="29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/>
      <c r="CF188" s="67"/>
      <c r="CG188" s="67"/>
      <c r="CH188" s="67"/>
      <c r="CI188" s="67"/>
      <c r="CJ188" s="67"/>
      <c r="CK188" s="67"/>
      <c r="CL188" s="67"/>
      <c r="CM188" s="67"/>
      <c r="CN188" s="67"/>
      <c r="CO188" s="67"/>
      <c r="CP188" s="67"/>
      <c r="CQ188" s="67"/>
      <c r="CR188" s="67"/>
      <c r="CS188" s="67"/>
      <c r="CT188" s="67"/>
      <c r="CU188" s="67"/>
      <c r="CV188" s="67"/>
      <c r="CW188" s="67"/>
      <c r="CX188" s="67"/>
      <c r="CY188" s="67"/>
      <c r="CZ188" s="67"/>
      <c r="DA188" s="67"/>
      <c r="DB188" s="67"/>
      <c r="DC188" s="67"/>
      <c r="DD188" s="67"/>
      <c r="DE188" s="67"/>
      <c r="DF188" s="67"/>
    </row>
    <row r="189" ht="11.25" customHeight="1">
      <c r="A189" s="62"/>
      <c r="B189" s="88"/>
      <c r="C189" s="88"/>
      <c r="D189" s="88"/>
      <c r="E189" s="90"/>
      <c r="F189" s="91"/>
      <c r="G189" s="49"/>
      <c r="H189" s="70"/>
      <c r="I189" s="88"/>
      <c r="J189" s="88"/>
      <c r="K189" s="88"/>
      <c r="L189" s="90"/>
      <c r="M189" s="91"/>
      <c r="N189" s="49"/>
      <c r="O189" s="71"/>
      <c r="P189" s="92"/>
      <c r="Q189" s="71"/>
      <c r="R189" s="92"/>
      <c r="S189" s="71"/>
      <c r="T189" s="71"/>
      <c r="U189" s="68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29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/>
      <c r="CF189" s="67"/>
      <c r="CG189" s="67"/>
      <c r="CH189" s="67"/>
      <c r="CI189" s="67"/>
      <c r="CJ189" s="67"/>
      <c r="CK189" s="67"/>
      <c r="CL189" s="67"/>
      <c r="CM189" s="67"/>
      <c r="CN189" s="67"/>
      <c r="CO189" s="67"/>
      <c r="CP189" s="67"/>
      <c r="CQ189" s="67"/>
      <c r="CR189" s="67"/>
      <c r="CS189" s="67"/>
      <c r="CT189" s="67"/>
      <c r="CU189" s="67"/>
      <c r="CV189" s="67"/>
      <c r="CW189" s="67"/>
      <c r="CX189" s="67"/>
      <c r="CY189" s="67"/>
      <c r="CZ189" s="67"/>
      <c r="DA189" s="67"/>
      <c r="DB189" s="67"/>
      <c r="DC189" s="67"/>
      <c r="DD189" s="67"/>
      <c r="DE189" s="67"/>
      <c r="DF189" s="67"/>
    </row>
    <row r="190" ht="11.25" customHeight="1">
      <c r="A190" s="62"/>
      <c r="B190" s="88"/>
      <c r="C190" s="88"/>
      <c r="D190" s="88"/>
      <c r="E190" s="90"/>
      <c r="F190" s="91"/>
      <c r="G190" s="49"/>
      <c r="H190" s="70"/>
      <c r="I190" s="88"/>
      <c r="J190" s="88"/>
      <c r="K190" s="88"/>
      <c r="L190" s="90"/>
      <c r="M190" s="91"/>
      <c r="N190" s="49"/>
      <c r="O190" s="71"/>
      <c r="P190" s="92"/>
      <c r="Q190" s="71"/>
      <c r="R190" s="92"/>
      <c r="S190" s="71"/>
      <c r="T190" s="71"/>
      <c r="U190" s="68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29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C190" s="67"/>
      <c r="DD190" s="67"/>
      <c r="DE190" s="67"/>
      <c r="DF190" s="67"/>
    </row>
    <row r="191" ht="11.25" customHeight="1">
      <c r="A191" s="62"/>
      <c r="B191" s="88"/>
      <c r="C191" s="88"/>
      <c r="D191" s="88"/>
      <c r="E191" s="90"/>
      <c r="F191" s="91"/>
      <c r="G191" s="49"/>
      <c r="H191" s="70"/>
      <c r="I191" s="88"/>
      <c r="J191" s="88"/>
      <c r="K191" s="88"/>
      <c r="L191" s="90"/>
      <c r="M191" s="91"/>
      <c r="N191" s="49"/>
      <c r="O191" s="71"/>
      <c r="P191" s="92"/>
      <c r="Q191" s="71"/>
      <c r="R191" s="92"/>
      <c r="S191" s="71"/>
      <c r="T191" s="71"/>
      <c r="U191" s="68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29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C191" s="67"/>
      <c r="DD191" s="67"/>
      <c r="DE191" s="67"/>
      <c r="DF191" s="67"/>
    </row>
    <row r="192" ht="11.25" customHeight="1">
      <c r="A192" s="62"/>
      <c r="B192" s="88"/>
      <c r="C192" s="88"/>
      <c r="D192" s="88"/>
      <c r="E192" s="90"/>
      <c r="F192" s="91"/>
      <c r="G192" s="49"/>
      <c r="H192" s="70"/>
      <c r="I192" s="88"/>
      <c r="J192" s="88"/>
      <c r="K192" s="88"/>
      <c r="L192" s="90"/>
      <c r="M192" s="91"/>
      <c r="N192" s="49"/>
      <c r="O192" s="71"/>
      <c r="P192" s="92"/>
      <c r="Q192" s="71"/>
      <c r="R192" s="92"/>
      <c r="S192" s="71"/>
      <c r="T192" s="71"/>
      <c r="U192" s="68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29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/>
      <c r="CF192" s="67"/>
      <c r="CG192" s="67"/>
      <c r="CH192" s="67"/>
      <c r="CI192" s="67"/>
      <c r="CJ192" s="67"/>
      <c r="CK192" s="67"/>
      <c r="CL192" s="67"/>
      <c r="CM192" s="67"/>
      <c r="CN192" s="67"/>
      <c r="CO192" s="67"/>
      <c r="CP192" s="67"/>
      <c r="CQ192" s="67"/>
      <c r="CR192" s="67"/>
      <c r="CS192" s="67"/>
      <c r="CT192" s="67"/>
      <c r="CU192" s="67"/>
      <c r="CV192" s="67"/>
      <c r="CW192" s="67"/>
      <c r="CX192" s="67"/>
      <c r="CY192" s="67"/>
      <c r="CZ192" s="67"/>
      <c r="DA192" s="67"/>
      <c r="DB192" s="67"/>
      <c r="DC192" s="67"/>
      <c r="DD192" s="67"/>
      <c r="DE192" s="67"/>
      <c r="DF192" s="67"/>
    </row>
    <row r="193" ht="11.25" customHeight="1">
      <c r="A193" s="62"/>
      <c r="B193" s="88"/>
      <c r="C193" s="88"/>
      <c r="D193" s="88"/>
      <c r="E193" s="90"/>
      <c r="F193" s="91"/>
      <c r="G193" s="49"/>
      <c r="H193" s="70"/>
      <c r="I193" s="88"/>
      <c r="J193" s="88"/>
      <c r="K193" s="88"/>
      <c r="L193" s="90"/>
      <c r="M193" s="91"/>
      <c r="N193" s="49"/>
      <c r="O193" s="71"/>
      <c r="P193" s="92"/>
      <c r="Q193" s="71"/>
      <c r="R193" s="92"/>
      <c r="S193" s="71"/>
      <c r="T193" s="71"/>
      <c r="U193" s="68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29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/>
      <c r="CF193" s="67"/>
      <c r="CG193" s="67"/>
      <c r="CH193" s="67"/>
      <c r="CI193" s="67"/>
      <c r="CJ193" s="67"/>
      <c r="CK193" s="67"/>
      <c r="CL193" s="67"/>
      <c r="CM193" s="67"/>
      <c r="CN193" s="67"/>
      <c r="CO193" s="67"/>
      <c r="CP193" s="67"/>
      <c r="CQ193" s="67"/>
      <c r="CR193" s="67"/>
      <c r="CS193" s="67"/>
      <c r="CT193" s="67"/>
      <c r="CU193" s="67"/>
      <c r="CV193" s="67"/>
      <c r="CW193" s="67"/>
      <c r="CX193" s="67"/>
      <c r="CY193" s="67"/>
      <c r="CZ193" s="67"/>
      <c r="DA193" s="67"/>
      <c r="DB193" s="67"/>
      <c r="DC193" s="67"/>
      <c r="DD193" s="67"/>
      <c r="DE193" s="67"/>
      <c r="DF193" s="67"/>
    </row>
    <row r="194" ht="11.25" customHeight="1">
      <c r="A194" s="62"/>
      <c r="B194" s="88"/>
      <c r="C194" s="88"/>
      <c r="D194" s="88"/>
      <c r="E194" s="90"/>
      <c r="F194" s="91"/>
      <c r="G194" s="49"/>
      <c r="H194" s="70"/>
      <c r="I194" s="88"/>
      <c r="J194" s="88"/>
      <c r="K194" s="88"/>
      <c r="L194" s="90"/>
      <c r="M194" s="91"/>
      <c r="N194" s="49"/>
      <c r="O194" s="71"/>
      <c r="P194" s="92"/>
      <c r="Q194" s="71"/>
      <c r="R194" s="92"/>
      <c r="S194" s="71"/>
      <c r="T194" s="71"/>
      <c r="U194" s="68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29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  <c r="DC194" s="67"/>
      <c r="DD194" s="67"/>
      <c r="DE194" s="67"/>
      <c r="DF194" s="67"/>
    </row>
    <row r="195" ht="11.25" customHeight="1">
      <c r="A195" s="62"/>
      <c r="B195" s="88"/>
      <c r="C195" s="88"/>
      <c r="D195" s="88"/>
      <c r="E195" s="90"/>
      <c r="F195" s="91"/>
      <c r="G195" s="49"/>
      <c r="H195" s="70"/>
      <c r="I195" s="88"/>
      <c r="J195" s="88"/>
      <c r="K195" s="88"/>
      <c r="L195" s="90"/>
      <c r="M195" s="91"/>
      <c r="N195" s="49"/>
      <c r="O195" s="71"/>
      <c r="P195" s="92"/>
      <c r="Q195" s="71"/>
      <c r="R195" s="92"/>
      <c r="S195" s="71"/>
      <c r="T195" s="71"/>
      <c r="U195" s="68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29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/>
      <c r="CF195" s="67"/>
      <c r="CG195" s="67"/>
      <c r="CH195" s="67"/>
      <c r="CI195" s="67"/>
      <c r="CJ195" s="67"/>
      <c r="CK195" s="67"/>
      <c r="CL195" s="67"/>
      <c r="CM195" s="67"/>
      <c r="CN195" s="67"/>
      <c r="CO195" s="67"/>
      <c r="CP195" s="67"/>
      <c r="CQ195" s="67"/>
      <c r="CR195" s="67"/>
      <c r="CS195" s="67"/>
      <c r="CT195" s="67"/>
      <c r="CU195" s="67"/>
      <c r="CV195" s="67"/>
      <c r="CW195" s="67"/>
      <c r="CX195" s="67"/>
      <c r="CY195" s="67"/>
      <c r="CZ195" s="67"/>
      <c r="DA195" s="67"/>
      <c r="DB195" s="67"/>
      <c r="DC195" s="67"/>
      <c r="DD195" s="67"/>
      <c r="DE195" s="67"/>
      <c r="DF195" s="67"/>
    </row>
    <row r="196" ht="11.25" customHeight="1">
      <c r="A196" s="62"/>
      <c r="B196" s="88"/>
      <c r="C196" s="88"/>
      <c r="D196" s="88"/>
      <c r="E196" s="90"/>
      <c r="F196" s="91"/>
      <c r="G196" s="49"/>
      <c r="H196" s="70"/>
      <c r="I196" s="88"/>
      <c r="J196" s="88"/>
      <c r="K196" s="88"/>
      <c r="L196" s="90"/>
      <c r="M196" s="91"/>
      <c r="N196" s="49"/>
      <c r="O196" s="71"/>
      <c r="P196" s="92"/>
      <c r="Q196" s="71"/>
      <c r="R196" s="92"/>
      <c r="S196" s="71"/>
      <c r="T196" s="71"/>
      <c r="U196" s="68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29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  <c r="DC196" s="67"/>
      <c r="DD196" s="67"/>
      <c r="DE196" s="67"/>
      <c r="DF196" s="67"/>
    </row>
    <row r="197" ht="11.25" customHeight="1">
      <c r="A197" s="62"/>
      <c r="B197" s="88"/>
      <c r="C197" s="88"/>
      <c r="D197" s="88"/>
      <c r="E197" s="90"/>
      <c r="F197" s="91"/>
      <c r="G197" s="49"/>
      <c r="H197" s="70"/>
      <c r="I197" s="88"/>
      <c r="J197" s="88"/>
      <c r="K197" s="88"/>
      <c r="L197" s="90"/>
      <c r="M197" s="91"/>
      <c r="N197" s="49"/>
      <c r="O197" s="71"/>
      <c r="P197" s="92"/>
      <c r="Q197" s="71"/>
      <c r="R197" s="92"/>
      <c r="S197" s="71"/>
      <c r="T197" s="71"/>
      <c r="U197" s="68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29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67"/>
      <c r="CL197" s="67"/>
      <c r="CM197" s="67"/>
      <c r="CN197" s="67"/>
      <c r="CO197" s="67"/>
      <c r="CP197" s="67"/>
      <c r="CQ197" s="67"/>
      <c r="CR197" s="67"/>
      <c r="CS197" s="67"/>
      <c r="CT197" s="67"/>
      <c r="CU197" s="67"/>
      <c r="CV197" s="67"/>
      <c r="CW197" s="67"/>
      <c r="CX197" s="67"/>
      <c r="CY197" s="67"/>
      <c r="CZ197" s="67"/>
      <c r="DA197" s="67"/>
      <c r="DB197" s="67"/>
      <c r="DC197" s="67"/>
      <c r="DD197" s="67"/>
      <c r="DE197" s="67"/>
      <c r="DF197" s="67"/>
    </row>
    <row r="198" ht="11.25" customHeight="1">
      <c r="A198" s="62"/>
      <c r="B198" s="88"/>
      <c r="C198" s="88"/>
      <c r="D198" s="88"/>
      <c r="E198" s="90"/>
      <c r="F198" s="91"/>
      <c r="G198" s="49"/>
      <c r="H198" s="70"/>
      <c r="I198" s="88"/>
      <c r="J198" s="88"/>
      <c r="K198" s="88"/>
      <c r="L198" s="90"/>
      <c r="M198" s="91"/>
      <c r="N198" s="49"/>
      <c r="O198" s="71"/>
      <c r="P198" s="92"/>
      <c r="Q198" s="71"/>
      <c r="R198" s="92"/>
      <c r="S198" s="71"/>
      <c r="T198" s="71"/>
      <c r="U198" s="68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29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/>
      <c r="BR198" s="67"/>
      <c r="BS198" s="67"/>
      <c r="BT198" s="67"/>
      <c r="BU198" s="67"/>
      <c r="BV198" s="67"/>
      <c r="BW198" s="67"/>
      <c r="BX198" s="67"/>
      <c r="BY198" s="67"/>
      <c r="BZ198" s="67"/>
      <c r="CA198" s="67"/>
      <c r="CB198" s="67"/>
      <c r="CC198" s="67"/>
      <c r="CD198" s="67"/>
      <c r="CE198" s="67"/>
      <c r="CF198" s="67"/>
      <c r="CG198" s="67"/>
      <c r="CH198" s="67"/>
      <c r="CI198" s="67"/>
      <c r="CJ198" s="67"/>
      <c r="CK198" s="67"/>
      <c r="CL198" s="67"/>
      <c r="CM198" s="67"/>
      <c r="CN198" s="67"/>
      <c r="CO198" s="67"/>
      <c r="CP198" s="67"/>
      <c r="CQ198" s="67"/>
      <c r="CR198" s="67"/>
      <c r="CS198" s="67"/>
      <c r="CT198" s="67"/>
      <c r="CU198" s="67"/>
      <c r="CV198" s="67"/>
      <c r="CW198" s="67"/>
      <c r="CX198" s="67"/>
      <c r="CY198" s="67"/>
      <c r="CZ198" s="67"/>
      <c r="DA198" s="67"/>
      <c r="DB198" s="67"/>
      <c r="DC198" s="67"/>
      <c r="DD198" s="67"/>
      <c r="DE198" s="67"/>
      <c r="DF198" s="67"/>
    </row>
    <row r="199" ht="11.25" customHeight="1">
      <c r="A199" s="62"/>
      <c r="B199" s="88"/>
      <c r="C199" s="88"/>
      <c r="D199" s="88"/>
      <c r="E199" s="90"/>
      <c r="F199" s="91"/>
      <c r="G199" s="49"/>
      <c r="H199" s="70"/>
      <c r="I199" s="88"/>
      <c r="J199" s="88"/>
      <c r="K199" s="88"/>
      <c r="L199" s="90"/>
      <c r="M199" s="91"/>
      <c r="N199" s="49"/>
      <c r="O199" s="71"/>
      <c r="P199" s="92"/>
      <c r="Q199" s="71"/>
      <c r="R199" s="92"/>
      <c r="S199" s="71"/>
      <c r="T199" s="71"/>
      <c r="U199" s="68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29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67"/>
      <c r="CU199" s="67"/>
      <c r="CV199" s="67"/>
      <c r="CW199" s="67"/>
      <c r="CX199" s="67"/>
      <c r="CY199" s="67"/>
      <c r="CZ199" s="67"/>
      <c r="DA199" s="67"/>
      <c r="DB199" s="67"/>
      <c r="DC199" s="67"/>
      <c r="DD199" s="67"/>
      <c r="DE199" s="67"/>
      <c r="DF199" s="67"/>
    </row>
    <row r="200" ht="11.25" customHeight="1">
      <c r="A200" s="62"/>
      <c r="B200" s="88"/>
      <c r="C200" s="88"/>
      <c r="D200" s="88"/>
      <c r="E200" s="90"/>
      <c r="F200" s="91"/>
      <c r="G200" s="49"/>
      <c r="H200" s="70"/>
      <c r="I200" s="88"/>
      <c r="J200" s="88"/>
      <c r="K200" s="88"/>
      <c r="L200" s="90"/>
      <c r="M200" s="91"/>
      <c r="N200" s="49"/>
      <c r="O200" s="71"/>
      <c r="P200" s="92"/>
      <c r="Q200" s="71"/>
      <c r="R200" s="92"/>
      <c r="S200" s="71"/>
      <c r="T200" s="71"/>
      <c r="U200" s="68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29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  <c r="CR200" s="67"/>
      <c r="CS200" s="67"/>
      <c r="CT200" s="67"/>
      <c r="CU200" s="67"/>
      <c r="CV200" s="67"/>
      <c r="CW200" s="67"/>
      <c r="CX200" s="67"/>
      <c r="CY200" s="67"/>
      <c r="CZ200" s="67"/>
      <c r="DA200" s="67"/>
      <c r="DB200" s="67"/>
      <c r="DC200" s="67"/>
      <c r="DD200" s="67"/>
      <c r="DE200" s="67"/>
      <c r="DF200" s="67"/>
    </row>
    <row r="201" ht="11.25" customHeight="1">
      <c r="A201" s="62"/>
      <c r="B201" s="88"/>
      <c r="C201" s="88"/>
      <c r="D201" s="88"/>
      <c r="E201" s="90"/>
      <c r="F201" s="91"/>
      <c r="G201" s="49"/>
      <c r="H201" s="70"/>
      <c r="I201" s="88"/>
      <c r="J201" s="88"/>
      <c r="K201" s="88"/>
      <c r="L201" s="90"/>
      <c r="M201" s="91"/>
      <c r="N201" s="49"/>
      <c r="O201" s="71"/>
      <c r="P201" s="92"/>
      <c r="Q201" s="71"/>
      <c r="R201" s="92"/>
      <c r="S201" s="71"/>
      <c r="T201" s="71"/>
      <c r="U201" s="68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29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  <c r="CR201" s="67"/>
      <c r="CS201" s="67"/>
      <c r="CT201" s="67"/>
      <c r="CU201" s="67"/>
      <c r="CV201" s="67"/>
      <c r="CW201" s="67"/>
      <c r="CX201" s="67"/>
      <c r="CY201" s="67"/>
      <c r="CZ201" s="67"/>
      <c r="DA201" s="67"/>
      <c r="DB201" s="67"/>
      <c r="DC201" s="67"/>
      <c r="DD201" s="67"/>
      <c r="DE201" s="67"/>
      <c r="DF201" s="67"/>
    </row>
    <row r="202" ht="11.25" customHeight="1">
      <c r="A202" s="62"/>
      <c r="B202" s="88"/>
      <c r="C202" s="88"/>
      <c r="D202" s="88"/>
      <c r="E202" s="90"/>
      <c r="F202" s="91"/>
      <c r="G202" s="49"/>
      <c r="H202" s="70"/>
      <c r="I202" s="88"/>
      <c r="J202" s="88"/>
      <c r="K202" s="88"/>
      <c r="L202" s="90"/>
      <c r="M202" s="91"/>
      <c r="N202" s="49"/>
      <c r="O202" s="71"/>
      <c r="P202" s="92"/>
      <c r="Q202" s="71"/>
      <c r="R202" s="92"/>
      <c r="S202" s="71"/>
      <c r="T202" s="71"/>
      <c r="U202" s="68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29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CG202" s="67"/>
      <c r="CH202" s="67"/>
      <c r="CI202" s="67"/>
      <c r="CJ202" s="67"/>
      <c r="CK202" s="67"/>
      <c r="CL202" s="67"/>
      <c r="CM202" s="67"/>
      <c r="CN202" s="67"/>
      <c r="CO202" s="67"/>
      <c r="CP202" s="67"/>
      <c r="CQ202" s="67"/>
      <c r="CR202" s="67"/>
      <c r="CS202" s="67"/>
      <c r="CT202" s="67"/>
      <c r="CU202" s="67"/>
      <c r="CV202" s="67"/>
      <c r="CW202" s="67"/>
      <c r="CX202" s="67"/>
      <c r="CY202" s="67"/>
      <c r="CZ202" s="67"/>
      <c r="DA202" s="67"/>
      <c r="DB202" s="67"/>
      <c r="DC202" s="67"/>
      <c r="DD202" s="67"/>
      <c r="DE202" s="67"/>
      <c r="DF202" s="67"/>
    </row>
    <row r="203" ht="11.25" customHeight="1">
      <c r="A203" s="62"/>
      <c r="B203" s="88"/>
      <c r="C203" s="88"/>
      <c r="D203" s="88"/>
      <c r="E203" s="90"/>
      <c r="F203" s="91"/>
      <c r="G203" s="49"/>
      <c r="H203" s="70"/>
      <c r="I203" s="88"/>
      <c r="J203" s="88"/>
      <c r="K203" s="88"/>
      <c r="L203" s="90"/>
      <c r="M203" s="91"/>
      <c r="N203" s="49"/>
      <c r="O203" s="71"/>
      <c r="P203" s="92"/>
      <c r="Q203" s="71"/>
      <c r="R203" s="92"/>
      <c r="S203" s="71"/>
      <c r="T203" s="71"/>
      <c r="U203" s="68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29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67"/>
      <c r="CL203" s="67"/>
      <c r="CM203" s="67"/>
      <c r="CN203" s="67"/>
      <c r="CO203" s="67"/>
      <c r="CP203" s="67"/>
      <c r="CQ203" s="67"/>
      <c r="CR203" s="67"/>
      <c r="CS203" s="67"/>
      <c r="CT203" s="67"/>
      <c r="CU203" s="67"/>
      <c r="CV203" s="67"/>
      <c r="CW203" s="67"/>
      <c r="CX203" s="67"/>
      <c r="CY203" s="67"/>
      <c r="CZ203" s="67"/>
      <c r="DA203" s="67"/>
      <c r="DB203" s="67"/>
      <c r="DC203" s="67"/>
      <c r="DD203" s="67"/>
      <c r="DE203" s="67"/>
      <c r="DF203" s="67"/>
    </row>
    <row r="204" ht="11.25" customHeight="1">
      <c r="A204" s="62"/>
      <c r="B204" s="88"/>
      <c r="C204" s="88"/>
      <c r="D204" s="88"/>
      <c r="E204" s="90"/>
      <c r="F204" s="91"/>
      <c r="G204" s="49"/>
      <c r="H204" s="70"/>
      <c r="I204" s="88"/>
      <c r="J204" s="88"/>
      <c r="K204" s="88"/>
      <c r="L204" s="90"/>
      <c r="M204" s="91"/>
      <c r="N204" s="49"/>
      <c r="O204" s="71"/>
      <c r="P204" s="92"/>
      <c r="Q204" s="71"/>
      <c r="R204" s="92"/>
      <c r="S204" s="71"/>
      <c r="T204" s="71"/>
      <c r="U204" s="68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29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  <c r="CR204" s="67"/>
      <c r="CS204" s="67"/>
      <c r="CT204" s="67"/>
      <c r="CU204" s="67"/>
      <c r="CV204" s="67"/>
      <c r="CW204" s="67"/>
      <c r="CX204" s="67"/>
      <c r="CY204" s="67"/>
      <c r="CZ204" s="67"/>
      <c r="DA204" s="67"/>
      <c r="DB204" s="67"/>
      <c r="DC204" s="67"/>
      <c r="DD204" s="67"/>
      <c r="DE204" s="67"/>
      <c r="DF204" s="67"/>
    </row>
    <row r="205" ht="11.25" customHeight="1">
      <c r="A205" s="62"/>
      <c r="B205" s="88"/>
      <c r="C205" s="88"/>
      <c r="D205" s="88"/>
      <c r="E205" s="90"/>
      <c r="F205" s="91"/>
      <c r="G205" s="49"/>
      <c r="H205" s="70"/>
      <c r="I205" s="88"/>
      <c r="J205" s="88"/>
      <c r="K205" s="88"/>
      <c r="L205" s="90"/>
      <c r="M205" s="91"/>
      <c r="N205" s="49"/>
      <c r="O205" s="71"/>
      <c r="P205" s="92"/>
      <c r="Q205" s="71"/>
      <c r="R205" s="92"/>
      <c r="S205" s="71"/>
      <c r="T205" s="71"/>
      <c r="U205" s="68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29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  <c r="CR205" s="67"/>
      <c r="CS205" s="67"/>
      <c r="CT205" s="67"/>
      <c r="CU205" s="67"/>
      <c r="CV205" s="67"/>
      <c r="CW205" s="67"/>
      <c r="CX205" s="67"/>
      <c r="CY205" s="67"/>
      <c r="CZ205" s="67"/>
      <c r="DA205" s="67"/>
      <c r="DB205" s="67"/>
      <c r="DC205" s="67"/>
      <c r="DD205" s="67"/>
      <c r="DE205" s="67"/>
      <c r="DF205" s="67"/>
    </row>
    <row r="206" ht="11.25" customHeight="1">
      <c r="A206" s="62"/>
      <c r="B206" s="88"/>
      <c r="C206" s="88"/>
      <c r="D206" s="88"/>
      <c r="E206" s="90"/>
      <c r="F206" s="91"/>
      <c r="G206" s="49"/>
      <c r="H206" s="70"/>
      <c r="I206" s="88"/>
      <c r="J206" s="88"/>
      <c r="K206" s="88"/>
      <c r="L206" s="90"/>
      <c r="M206" s="91"/>
      <c r="N206" s="49"/>
      <c r="O206" s="71"/>
      <c r="P206" s="92"/>
      <c r="Q206" s="71"/>
      <c r="R206" s="92"/>
      <c r="S206" s="71"/>
      <c r="T206" s="71"/>
      <c r="U206" s="68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29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  <c r="DC206" s="67"/>
      <c r="DD206" s="67"/>
      <c r="DE206" s="67"/>
      <c r="DF206" s="67"/>
    </row>
    <row r="207" ht="11.25" customHeight="1">
      <c r="A207" s="61"/>
      <c r="B207" s="98"/>
      <c r="C207" s="88"/>
      <c r="D207" s="88"/>
      <c r="E207" s="90"/>
      <c r="F207" s="91"/>
      <c r="G207" s="49"/>
      <c r="H207" s="70"/>
      <c r="I207" s="98"/>
      <c r="J207" s="88"/>
      <c r="K207" s="88"/>
      <c r="L207" s="90"/>
      <c r="M207" s="91"/>
      <c r="N207" s="49"/>
      <c r="O207" s="71"/>
      <c r="P207" s="92"/>
      <c r="Q207" s="71"/>
      <c r="R207" s="92"/>
      <c r="S207" s="71"/>
      <c r="T207" s="71"/>
      <c r="U207" s="68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29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/>
      <c r="CF207" s="67"/>
      <c r="CG207" s="67"/>
      <c r="CH207" s="67"/>
      <c r="CI207" s="67"/>
      <c r="CJ207" s="67"/>
      <c r="CK207" s="67"/>
      <c r="CL207" s="67"/>
      <c r="CM207" s="67"/>
      <c r="CN207" s="67"/>
      <c r="CO207" s="67"/>
      <c r="CP207" s="67"/>
      <c r="CQ207" s="67"/>
      <c r="CR207" s="67"/>
      <c r="CS207" s="67"/>
      <c r="CT207" s="67"/>
      <c r="CU207" s="67"/>
      <c r="CV207" s="67"/>
      <c r="CW207" s="67"/>
      <c r="CX207" s="67"/>
      <c r="CY207" s="67"/>
      <c r="CZ207" s="67"/>
      <c r="DA207" s="67"/>
      <c r="DB207" s="67"/>
      <c r="DC207" s="67"/>
      <c r="DD207" s="67"/>
      <c r="DE207" s="67"/>
      <c r="DF207" s="67"/>
    </row>
    <row r="208" ht="11.25" customHeight="1">
      <c r="A208" s="62"/>
      <c r="B208" s="88"/>
      <c r="C208" s="88"/>
      <c r="D208" s="88"/>
      <c r="E208" s="90"/>
      <c r="F208" s="91"/>
      <c r="G208" s="49"/>
      <c r="H208" s="70"/>
      <c r="I208" s="88"/>
      <c r="J208" s="88"/>
      <c r="K208" s="88"/>
      <c r="L208" s="90"/>
      <c r="M208" s="91"/>
      <c r="N208" s="49"/>
      <c r="O208" s="71"/>
      <c r="P208" s="92"/>
      <c r="Q208" s="71"/>
      <c r="R208" s="92"/>
      <c r="S208" s="71"/>
      <c r="T208" s="71"/>
      <c r="U208" s="68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29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/>
      <c r="CF208" s="67"/>
      <c r="CG208" s="67"/>
      <c r="CH208" s="67"/>
      <c r="CI208" s="67"/>
      <c r="CJ208" s="67"/>
      <c r="CK208" s="67"/>
      <c r="CL208" s="67"/>
      <c r="CM208" s="67"/>
      <c r="CN208" s="67"/>
      <c r="CO208" s="67"/>
      <c r="CP208" s="67"/>
      <c r="CQ208" s="67"/>
      <c r="CR208" s="67"/>
      <c r="CS208" s="67"/>
      <c r="CT208" s="67"/>
      <c r="CU208" s="67"/>
      <c r="CV208" s="67"/>
      <c r="CW208" s="67"/>
      <c r="CX208" s="67"/>
      <c r="CY208" s="67"/>
      <c r="CZ208" s="67"/>
      <c r="DA208" s="67"/>
      <c r="DB208" s="67"/>
      <c r="DC208" s="67"/>
      <c r="DD208" s="67"/>
      <c r="DE208" s="67"/>
      <c r="DF208" s="67"/>
    </row>
    <row r="209" ht="11.25" customHeight="1">
      <c r="A209" s="62"/>
      <c r="B209" s="88"/>
      <c r="C209" s="88"/>
      <c r="D209" s="88"/>
      <c r="E209" s="90"/>
      <c r="F209" s="91"/>
      <c r="G209" s="49"/>
      <c r="H209" s="70"/>
      <c r="I209" s="88"/>
      <c r="J209" s="88"/>
      <c r="K209" s="88"/>
      <c r="L209" s="90"/>
      <c r="M209" s="91"/>
      <c r="N209" s="49"/>
      <c r="O209" s="71"/>
      <c r="P209" s="92"/>
      <c r="Q209" s="71"/>
      <c r="R209" s="92"/>
      <c r="S209" s="71"/>
      <c r="T209" s="71"/>
      <c r="U209" s="68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29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/>
      <c r="CF209" s="67"/>
      <c r="CG209" s="67"/>
      <c r="CH209" s="67"/>
      <c r="CI209" s="67"/>
      <c r="CJ209" s="67"/>
      <c r="CK209" s="67"/>
      <c r="CL209" s="67"/>
      <c r="CM209" s="67"/>
      <c r="CN209" s="67"/>
      <c r="CO209" s="67"/>
      <c r="CP209" s="67"/>
      <c r="CQ209" s="67"/>
      <c r="CR209" s="67"/>
      <c r="CS209" s="67"/>
      <c r="CT209" s="67"/>
      <c r="CU209" s="67"/>
      <c r="CV209" s="67"/>
      <c r="CW209" s="67"/>
      <c r="CX209" s="67"/>
      <c r="CY209" s="67"/>
      <c r="CZ209" s="67"/>
      <c r="DA209" s="67"/>
      <c r="DB209" s="67"/>
      <c r="DC209" s="67"/>
      <c r="DD209" s="67"/>
      <c r="DE209" s="67"/>
      <c r="DF209" s="67"/>
    </row>
    <row r="210" ht="11.25" customHeight="1">
      <c r="A210" s="62"/>
      <c r="B210" s="88"/>
      <c r="C210" s="88"/>
      <c r="D210" s="88"/>
      <c r="E210" s="90"/>
      <c r="F210" s="91"/>
      <c r="G210" s="49"/>
      <c r="H210" s="70"/>
      <c r="I210" s="88"/>
      <c r="J210" s="88"/>
      <c r="K210" s="88"/>
      <c r="L210" s="90"/>
      <c r="M210" s="91"/>
      <c r="N210" s="49"/>
      <c r="O210" s="71"/>
      <c r="P210" s="92"/>
      <c r="Q210" s="71"/>
      <c r="R210" s="92"/>
      <c r="S210" s="71"/>
      <c r="T210" s="71"/>
      <c r="U210" s="68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29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67"/>
      <c r="CL210" s="67"/>
      <c r="CM210" s="67"/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  <c r="CZ210" s="67"/>
      <c r="DA210" s="67"/>
      <c r="DB210" s="67"/>
      <c r="DC210" s="67"/>
      <c r="DD210" s="67"/>
      <c r="DE210" s="67"/>
      <c r="DF210" s="67"/>
    </row>
    <row r="211" ht="11.25" customHeight="1">
      <c r="A211" s="62"/>
      <c r="B211" s="88"/>
      <c r="C211" s="88"/>
      <c r="D211" s="88"/>
      <c r="E211" s="90"/>
      <c r="F211" s="91"/>
      <c r="G211" s="49"/>
      <c r="H211" s="70"/>
      <c r="I211" s="88"/>
      <c r="J211" s="88"/>
      <c r="K211" s="88"/>
      <c r="L211" s="90"/>
      <c r="M211" s="91"/>
      <c r="N211" s="49"/>
      <c r="O211" s="71"/>
      <c r="P211" s="92"/>
      <c r="Q211" s="71"/>
      <c r="R211" s="92"/>
      <c r="S211" s="71"/>
      <c r="T211" s="71"/>
      <c r="U211" s="68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29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/>
      <c r="CF211" s="67"/>
      <c r="CG211" s="67"/>
      <c r="CH211" s="67"/>
      <c r="CI211" s="67"/>
      <c r="CJ211" s="67"/>
      <c r="CK211" s="67"/>
      <c r="CL211" s="67"/>
      <c r="CM211" s="67"/>
      <c r="CN211" s="67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  <c r="DC211" s="67"/>
      <c r="DD211" s="67"/>
      <c r="DE211" s="67"/>
      <c r="DF211" s="67"/>
    </row>
    <row r="212" ht="11.25" customHeight="1">
      <c r="A212" s="62"/>
      <c r="B212" s="88"/>
      <c r="C212" s="88"/>
      <c r="D212" s="88"/>
      <c r="E212" s="90"/>
      <c r="F212" s="91"/>
      <c r="G212" s="49"/>
      <c r="H212" s="70"/>
      <c r="I212" s="88"/>
      <c r="J212" s="88"/>
      <c r="K212" s="88"/>
      <c r="L212" s="90"/>
      <c r="M212" s="91"/>
      <c r="N212" s="49"/>
      <c r="O212" s="71"/>
      <c r="P212" s="92"/>
      <c r="Q212" s="71"/>
      <c r="R212" s="92"/>
      <c r="S212" s="71"/>
      <c r="T212" s="71"/>
      <c r="U212" s="68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29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/>
      <c r="BR212" s="67"/>
      <c r="BS212" s="67"/>
      <c r="BT212" s="67"/>
      <c r="BU212" s="67"/>
      <c r="BV212" s="67"/>
      <c r="BW212" s="67"/>
      <c r="BX212" s="67"/>
      <c r="BY212" s="67"/>
      <c r="BZ212" s="67"/>
      <c r="CA212" s="67"/>
      <c r="CB212" s="67"/>
      <c r="CC212" s="67"/>
      <c r="CD212" s="67"/>
      <c r="CE212" s="67"/>
      <c r="CF212" s="67"/>
      <c r="CG212" s="67"/>
      <c r="CH212" s="67"/>
      <c r="CI212" s="67"/>
      <c r="CJ212" s="67"/>
      <c r="CK212" s="67"/>
      <c r="CL212" s="67"/>
      <c r="CM212" s="67"/>
      <c r="CN212" s="67"/>
      <c r="CO212" s="67"/>
      <c r="CP212" s="67"/>
      <c r="CQ212" s="67"/>
      <c r="CR212" s="67"/>
      <c r="CS212" s="67"/>
      <c r="CT212" s="67"/>
      <c r="CU212" s="67"/>
      <c r="CV212" s="67"/>
      <c r="CW212" s="67"/>
      <c r="CX212" s="67"/>
      <c r="CY212" s="67"/>
      <c r="CZ212" s="67"/>
      <c r="DA212" s="67"/>
      <c r="DB212" s="67"/>
      <c r="DC212" s="67"/>
      <c r="DD212" s="67"/>
      <c r="DE212" s="67"/>
      <c r="DF212" s="67"/>
    </row>
    <row r="213" ht="11.25" customHeight="1">
      <c r="A213" s="61"/>
      <c r="B213" s="98"/>
      <c r="C213" s="88"/>
      <c r="D213" s="88"/>
      <c r="E213" s="90"/>
      <c r="F213" s="91"/>
      <c r="G213" s="49"/>
      <c r="H213" s="70"/>
      <c r="I213" s="98"/>
      <c r="J213" s="88"/>
      <c r="K213" s="88"/>
      <c r="L213" s="90"/>
      <c r="M213" s="91"/>
      <c r="N213" s="49"/>
      <c r="O213" s="71"/>
      <c r="P213" s="92"/>
      <c r="Q213" s="71"/>
      <c r="R213" s="92"/>
      <c r="S213" s="71"/>
      <c r="T213" s="71"/>
      <c r="U213" s="68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29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  <c r="BM213" s="67"/>
      <c r="BN213" s="67"/>
      <c r="BO213" s="67"/>
      <c r="BP213" s="67"/>
      <c r="BQ213" s="67"/>
      <c r="BR213" s="67"/>
      <c r="BS213" s="67"/>
      <c r="BT213" s="67"/>
      <c r="BU213" s="67"/>
      <c r="BV213" s="67"/>
      <c r="BW213" s="67"/>
      <c r="BX213" s="67"/>
      <c r="BY213" s="67"/>
      <c r="BZ213" s="67"/>
      <c r="CA213" s="67"/>
      <c r="CB213" s="67"/>
      <c r="CC213" s="67"/>
      <c r="CD213" s="67"/>
      <c r="CE213" s="67"/>
      <c r="CF213" s="67"/>
      <c r="CG213" s="67"/>
      <c r="CH213" s="67"/>
      <c r="CI213" s="67"/>
      <c r="CJ213" s="67"/>
      <c r="CK213" s="67"/>
      <c r="CL213" s="67"/>
      <c r="CM213" s="67"/>
      <c r="CN213" s="67"/>
      <c r="CO213" s="67"/>
      <c r="CP213" s="67"/>
      <c r="CQ213" s="67"/>
      <c r="CR213" s="67"/>
      <c r="CS213" s="67"/>
      <c r="CT213" s="67"/>
      <c r="CU213" s="67"/>
      <c r="CV213" s="67"/>
      <c r="CW213" s="67"/>
      <c r="CX213" s="67"/>
      <c r="CY213" s="67"/>
      <c r="CZ213" s="67"/>
      <c r="DA213" s="67"/>
      <c r="DB213" s="67"/>
      <c r="DC213" s="67"/>
      <c r="DD213" s="67"/>
      <c r="DE213" s="67"/>
      <c r="DF213" s="67"/>
    </row>
    <row r="214" ht="11.25" customHeight="1">
      <c r="A214" s="62"/>
      <c r="B214" s="88"/>
      <c r="C214" s="88"/>
      <c r="D214" s="88"/>
      <c r="E214" s="90"/>
      <c r="F214" s="91"/>
      <c r="G214" s="49"/>
      <c r="H214" s="70"/>
      <c r="I214" s="88"/>
      <c r="J214" s="88"/>
      <c r="K214" s="88"/>
      <c r="L214" s="90"/>
      <c r="M214" s="91"/>
      <c r="N214" s="49"/>
      <c r="O214" s="71"/>
      <c r="P214" s="92"/>
      <c r="Q214" s="71"/>
      <c r="R214" s="92"/>
      <c r="S214" s="71"/>
      <c r="T214" s="71"/>
      <c r="U214" s="68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29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  <c r="BK214" s="67"/>
      <c r="BL214" s="67"/>
      <c r="BM214" s="67"/>
      <c r="BN214" s="67"/>
      <c r="BO214" s="67"/>
      <c r="BP214" s="67"/>
      <c r="BQ214" s="67"/>
      <c r="BR214" s="67"/>
      <c r="BS214" s="67"/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/>
      <c r="CF214" s="67"/>
      <c r="CG214" s="67"/>
      <c r="CH214" s="67"/>
      <c r="CI214" s="67"/>
      <c r="CJ214" s="67"/>
      <c r="CK214" s="67"/>
      <c r="CL214" s="67"/>
      <c r="CM214" s="67"/>
      <c r="CN214" s="67"/>
      <c r="CO214" s="67"/>
      <c r="CP214" s="67"/>
      <c r="CQ214" s="67"/>
      <c r="CR214" s="67"/>
      <c r="CS214" s="67"/>
      <c r="CT214" s="67"/>
      <c r="CU214" s="67"/>
      <c r="CV214" s="67"/>
      <c r="CW214" s="67"/>
      <c r="CX214" s="67"/>
      <c r="CY214" s="67"/>
      <c r="CZ214" s="67"/>
      <c r="DA214" s="67"/>
      <c r="DB214" s="67"/>
      <c r="DC214" s="67"/>
      <c r="DD214" s="67"/>
      <c r="DE214" s="67"/>
      <c r="DF214" s="67"/>
    </row>
    <row r="215" ht="11.25" customHeight="1">
      <c r="A215" s="62"/>
      <c r="B215" s="88"/>
      <c r="C215" s="88"/>
      <c r="D215" s="88"/>
      <c r="E215" s="90"/>
      <c r="F215" s="91"/>
      <c r="G215" s="49"/>
      <c r="H215" s="70"/>
      <c r="I215" s="88"/>
      <c r="J215" s="88"/>
      <c r="K215" s="88"/>
      <c r="L215" s="90"/>
      <c r="M215" s="91"/>
      <c r="N215" s="49"/>
      <c r="O215" s="71"/>
      <c r="P215" s="92"/>
      <c r="Q215" s="71"/>
      <c r="R215" s="92"/>
      <c r="S215" s="71"/>
      <c r="T215" s="71"/>
      <c r="U215" s="68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29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  <c r="BK215" s="67"/>
      <c r="BL215" s="67"/>
      <c r="BM215" s="67"/>
      <c r="BN215" s="67"/>
      <c r="BO215" s="67"/>
      <c r="BP215" s="67"/>
      <c r="BQ215" s="67"/>
      <c r="BR215" s="67"/>
      <c r="BS215" s="67"/>
      <c r="BT215" s="67"/>
      <c r="BU215" s="67"/>
      <c r="BV215" s="67"/>
      <c r="BW215" s="67"/>
      <c r="BX215" s="67"/>
      <c r="BY215" s="67"/>
      <c r="BZ215" s="67"/>
      <c r="CA215" s="67"/>
      <c r="CB215" s="67"/>
      <c r="CC215" s="67"/>
      <c r="CD215" s="67"/>
      <c r="CE215" s="67"/>
      <c r="CF215" s="67"/>
      <c r="CG215" s="67"/>
      <c r="CH215" s="67"/>
      <c r="CI215" s="67"/>
      <c r="CJ215" s="67"/>
      <c r="CK215" s="67"/>
      <c r="CL215" s="67"/>
      <c r="CM215" s="67"/>
      <c r="CN215" s="67"/>
      <c r="CO215" s="67"/>
      <c r="CP215" s="67"/>
      <c r="CQ215" s="67"/>
      <c r="CR215" s="67"/>
      <c r="CS215" s="67"/>
      <c r="CT215" s="67"/>
      <c r="CU215" s="67"/>
      <c r="CV215" s="67"/>
      <c r="CW215" s="67"/>
      <c r="CX215" s="67"/>
      <c r="CY215" s="67"/>
      <c r="CZ215" s="67"/>
      <c r="DA215" s="67"/>
      <c r="DB215" s="67"/>
      <c r="DC215" s="67"/>
      <c r="DD215" s="67"/>
      <c r="DE215" s="67"/>
      <c r="DF215" s="67"/>
    </row>
    <row r="216" ht="11.25" customHeight="1">
      <c r="A216" s="62"/>
      <c r="B216" s="88"/>
      <c r="C216" s="88"/>
      <c r="D216" s="88"/>
      <c r="E216" s="90"/>
      <c r="F216" s="91"/>
      <c r="G216" s="49"/>
      <c r="H216" s="70"/>
      <c r="I216" s="88"/>
      <c r="J216" s="88"/>
      <c r="K216" s="88"/>
      <c r="L216" s="90"/>
      <c r="M216" s="91"/>
      <c r="N216" s="49"/>
      <c r="O216" s="71"/>
      <c r="P216" s="92"/>
      <c r="Q216" s="71"/>
      <c r="R216" s="92"/>
      <c r="S216" s="71"/>
      <c r="T216" s="71"/>
      <c r="U216" s="68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29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  <c r="BM216" s="67"/>
      <c r="BN216" s="67"/>
      <c r="BO216" s="67"/>
      <c r="BP216" s="67"/>
      <c r="BQ216" s="67"/>
      <c r="BR216" s="67"/>
      <c r="BS216" s="67"/>
      <c r="BT216" s="67"/>
      <c r="BU216" s="67"/>
      <c r="BV216" s="67"/>
      <c r="BW216" s="67"/>
      <c r="BX216" s="67"/>
      <c r="BY216" s="67"/>
      <c r="BZ216" s="67"/>
      <c r="CA216" s="67"/>
      <c r="CB216" s="67"/>
      <c r="CC216" s="67"/>
      <c r="CD216" s="67"/>
      <c r="CE216" s="67"/>
      <c r="CF216" s="67"/>
      <c r="CG216" s="67"/>
      <c r="CH216" s="67"/>
      <c r="CI216" s="67"/>
      <c r="CJ216" s="67"/>
      <c r="CK216" s="67"/>
      <c r="CL216" s="67"/>
      <c r="CM216" s="67"/>
      <c r="CN216" s="67"/>
      <c r="CO216" s="67"/>
      <c r="CP216" s="67"/>
      <c r="CQ216" s="67"/>
      <c r="CR216" s="67"/>
      <c r="CS216" s="67"/>
      <c r="CT216" s="67"/>
      <c r="CU216" s="67"/>
      <c r="CV216" s="67"/>
      <c r="CW216" s="67"/>
      <c r="CX216" s="67"/>
      <c r="CY216" s="67"/>
      <c r="CZ216" s="67"/>
      <c r="DA216" s="67"/>
      <c r="DB216" s="67"/>
      <c r="DC216" s="67"/>
      <c r="DD216" s="67"/>
      <c r="DE216" s="67"/>
      <c r="DF216" s="67"/>
    </row>
    <row r="217" ht="11.25" customHeight="1">
      <c r="A217" s="62"/>
      <c r="B217" s="88"/>
      <c r="C217" s="88"/>
      <c r="D217" s="88"/>
      <c r="E217" s="90"/>
      <c r="F217" s="91"/>
      <c r="G217" s="49"/>
      <c r="H217" s="70"/>
      <c r="I217" s="88"/>
      <c r="J217" s="88"/>
      <c r="K217" s="88"/>
      <c r="L217" s="90"/>
      <c r="M217" s="91"/>
      <c r="N217" s="49"/>
      <c r="O217" s="71"/>
      <c r="P217" s="92"/>
      <c r="Q217" s="71"/>
      <c r="R217" s="92"/>
      <c r="S217" s="71"/>
      <c r="T217" s="71"/>
      <c r="U217" s="68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29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7"/>
      <c r="CA217" s="67"/>
      <c r="CB217" s="67"/>
      <c r="CC217" s="67"/>
      <c r="CD217" s="67"/>
      <c r="CE217" s="67"/>
      <c r="CF217" s="67"/>
      <c r="CG217" s="67"/>
      <c r="CH217" s="67"/>
      <c r="CI217" s="67"/>
      <c r="CJ217" s="67"/>
      <c r="CK217" s="67"/>
      <c r="CL217" s="67"/>
      <c r="CM217" s="67"/>
      <c r="CN217" s="67"/>
      <c r="CO217" s="67"/>
      <c r="CP217" s="67"/>
      <c r="CQ217" s="67"/>
      <c r="CR217" s="67"/>
      <c r="CS217" s="67"/>
      <c r="CT217" s="67"/>
      <c r="CU217" s="67"/>
      <c r="CV217" s="67"/>
      <c r="CW217" s="67"/>
      <c r="CX217" s="67"/>
      <c r="CY217" s="67"/>
      <c r="CZ217" s="67"/>
      <c r="DA217" s="67"/>
      <c r="DB217" s="67"/>
      <c r="DC217" s="67"/>
      <c r="DD217" s="67"/>
      <c r="DE217" s="67"/>
      <c r="DF217" s="67"/>
    </row>
    <row r="218" ht="11.25" customHeight="1">
      <c r="A218" s="62"/>
      <c r="B218" s="88"/>
      <c r="C218" s="88"/>
      <c r="D218" s="88"/>
      <c r="E218" s="90"/>
      <c r="F218" s="91"/>
      <c r="G218" s="49"/>
      <c r="H218" s="70"/>
      <c r="I218" s="88"/>
      <c r="J218" s="88"/>
      <c r="K218" s="88"/>
      <c r="L218" s="90"/>
      <c r="M218" s="91"/>
      <c r="N218" s="49"/>
      <c r="O218" s="71"/>
      <c r="P218" s="92"/>
      <c r="Q218" s="71"/>
      <c r="R218" s="92"/>
      <c r="S218" s="71"/>
      <c r="T218" s="71"/>
      <c r="U218" s="68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29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  <c r="BM218" s="67"/>
      <c r="BN218" s="67"/>
      <c r="BO218" s="67"/>
      <c r="BP218" s="67"/>
      <c r="BQ218" s="67"/>
      <c r="BR218" s="67"/>
      <c r="BS218" s="67"/>
      <c r="BT218" s="67"/>
      <c r="BU218" s="67"/>
      <c r="BV218" s="67"/>
      <c r="BW218" s="67"/>
      <c r="BX218" s="67"/>
      <c r="BY218" s="67"/>
      <c r="BZ218" s="67"/>
      <c r="CA218" s="67"/>
      <c r="CB218" s="67"/>
      <c r="CC218" s="67"/>
      <c r="CD218" s="67"/>
      <c r="CE218" s="67"/>
      <c r="CF218" s="67"/>
      <c r="CG218" s="67"/>
      <c r="CH218" s="67"/>
      <c r="CI218" s="67"/>
      <c r="CJ218" s="67"/>
      <c r="CK218" s="67"/>
      <c r="CL218" s="67"/>
      <c r="CM218" s="67"/>
      <c r="CN218" s="67"/>
      <c r="CO218" s="67"/>
      <c r="CP218" s="67"/>
      <c r="CQ218" s="67"/>
      <c r="CR218" s="67"/>
      <c r="CS218" s="67"/>
      <c r="CT218" s="67"/>
      <c r="CU218" s="67"/>
      <c r="CV218" s="67"/>
      <c r="CW218" s="67"/>
      <c r="CX218" s="67"/>
      <c r="CY218" s="67"/>
      <c r="CZ218" s="67"/>
      <c r="DA218" s="67"/>
      <c r="DB218" s="67"/>
      <c r="DC218" s="67"/>
      <c r="DD218" s="67"/>
      <c r="DE218" s="67"/>
      <c r="DF218" s="67"/>
    </row>
    <row r="219" ht="11.25" customHeight="1">
      <c r="A219" s="62"/>
      <c r="B219" s="88"/>
      <c r="C219" s="88"/>
      <c r="D219" s="88"/>
      <c r="E219" s="90"/>
      <c r="F219" s="91"/>
      <c r="G219" s="49"/>
      <c r="H219" s="70"/>
      <c r="I219" s="88"/>
      <c r="J219" s="88"/>
      <c r="K219" s="88"/>
      <c r="L219" s="90"/>
      <c r="M219" s="91"/>
      <c r="N219" s="49"/>
      <c r="O219" s="71"/>
      <c r="P219" s="92"/>
      <c r="Q219" s="71"/>
      <c r="R219" s="92"/>
      <c r="S219" s="71"/>
      <c r="T219" s="71"/>
      <c r="U219" s="68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29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  <c r="BM219" s="67"/>
      <c r="BN219" s="67"/>
      <c r="BO219" s="67"/>
      <c r="BP219" s="67"/>
      <c r="BQ219" s="67"/>
      <c r="BR219" s="67"/>
      <c r="BS219" s="67"/>
      <c r="BT219" s="67"/>
      <c r="BU219" s="67"/>
      <c r="BV219" s="67"/>
      <c r="BW219" s="67"/>
      <c r="BX219" s="67"/>
      <c r="BY219" s="67"/>
      <c r="BZ219" s="67"/>
      <c r="CA219" s="67"/>
      <c r="CB219" s="67"/>
      <c r="CC219" s="67"/>
      <c r="CD219" s="67"/>
      <c r="CE219" s="67"/>
      <c r="CF219" s="67"/>
      <c r="CG219" s="67"/>
      <c r="CH219" s="67"/>
      <c r="CI219" s="67"/>
      <c r="CJ219" s="67"/>
      <c r="CK219" s="67"/>
      <c r="CL219" s="67"/>
      <c r="CM219" s="67"/>
      <c r="CN219" s="67"/>
      <c r="CO219" s="67"/>
      <c r="CP219" s="67"/>
      <c r="CQ219" s="67"/>
      <c r="CR219" s="67"/>
      <c r="CS219" s="67"/>
      <c r="CT219" s="67"/>
      <c r="CU219" s="67"/>
      <c r="CV219" s="67"/>
      <c r="CW219" s="67"/>
      <c r="CX219" s="67"/>
      <c r="CY219" s="67"/>
      <c r="CZ219" s="67"/>
      <c r="DA219" s="67"/>
      <c r="DB219" s="67"/>
      <c r="DC219" s="67"/>
      <c r="DD219" s="67"/>
      <c r="DE219" s="67"/>
      <c r="DF219" s="67"/>
    </row>
    <row r="220" ht="11.25" customHeight="1">
      <c r="A220" s="62"/>
      <c r="B220" s="88"/>
      <c r="C220" s="88"/>
      <c r="D220" s="88"/>
      <c r="E220" s="90"/>
      <c r="F220" s="91"/>
      <c r="G220" s="49"/>
      <c r="H220" s="70"/>
      <c r="I220" s="88"/>
      <c r="J220" s="88"/>
      <c r="K220" s="88"/>
      <c r="L220" s="90"/>
      <c r="M220" s="91"/>
      <c r="N220" s="49"/>
      <c r="O220" s="71"/>
      <c r="P220" s="92"/>
      <c r="Q220" s="71"/>
      <c r="R220" s="92"/>
      <c r="S220" s="71"/>
      <c r="T220" s="71"/>
      <c r="U220" s="68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29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  <c r="BM220" s="67"/>
      <c r="BN220" s="67"/>
      <c r="BO220" s="67"/>
      <c r="BP220" s="67"/>
      <c r="BQ220" s="67"/>
      <c r="BR220" s="67"/>
      <c r="BS220" s="67"/>
      <c r="BT220" s="67"/>
      <c r="BU220" s="67"/>
      <c r="BV220" s="67"/>
      <c r="BW220" s="67"/>
      <c r="BX220" s="67"/>
      <c r="BY220" s="67"/>
      <c r="BZ220" s="67"/>
      <c r="CA220" s="67"/>
      <c r="CB220" s="67"/>
      <c r="CC220" s="67"/>
      <c r="CD220" s="67"/>
      <c r="CE220" s="67"/>
      <c r="CF220" s="67"/>
      <c r="CG220" s="67"/>
      <c r="CH220" s="67"/>
      <c r="CI220" s="67"/>
      <c r="CJ220" s="67"/>
      <c r="CK220" s="67"/>
      <c r="CL220" s="67"/>
      <c r="CM220" s="67"/>
      <c r="CN220" s="67"/>
      <c r="CO220" s="67"/>
      <c r="CP220" s="67"/>
      <c r="CQ220" s="67"/>
      <c r="CR220" s="67"/>
      <c r="CS220" s="67"/>
      <c r="CT220" s="67"/>
      <c r="CU220" s="67"/>
      <c r="CV220" s="67"/>
      <c r="CW220" s="67"/>
      <c r="CX220" s="67"/>
      <c r="CY220" s="67"/>
      <c r="CZ220" s="67"/>
      <c r="DA220" s="67"/>
      <c r="DB220" s="67"/>
      <c r="DC220" s="67"/>
      <c r="DD220" s="67"/>
      <c r="DE220" s="67"/>
      <c r="DF220" s="67"/>
    </row>
    <row r="221" ht="11.25" customHeight="1">
      <c r="A221" s="62"/>
      <c r="B221" s="88"/>
      <c r="C221" s="88"/>
      <c r="D221" s="88"/>
      <c r="E221" s="90"/>
      <c r="F221" s="91"/>
      <c r="G221" s="49"/>
      <c r="H221" s="70"/>
      <c r="I221" s="88"/>
      <c r="J221" s="88"/>
      <c r="K221" s="88"/>
      <c r="L221" s="90"/>
      <c r="M221" s="91"/>
      <c r="N221" s="49"/>
      <c r="O221" s="71"/>
      <c r="P221" s="92"/>
      <c r="Q221" s="71"/>
      <c r="R221" s="92"/>
      <c r="S221" s="71"/>
      <c r="T221" s="71"/>
      <c r="U221" s="68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29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  <c r="BK221" s="67"/>
      <c r="BL221" s="67"/>
      <c r="BM221" s="67"/>
      <c r="BN221" s="67"/>
      <c r="BO221" s="67"/>
      <c r="BP221" s="67"/>
      <c r="BQ221" s="67"/>
      <c r="BR221" s="67"/>
      <c r="BS221" s="67"/>
      <c r="BT221" s="67"/>
      <c r="BU221" s="67"/>
      <c r="BV221" s="67"/>
      <c r="BW221" s="67"/>
      <c r="BX221" s="67"/>
      <c r="BY221" s="67"/>
      <c r="BZ221" s="67"/>
      <c r="CA221" s="67"/>
      <c r="CB221" s="67"/>
      <c r="CC221" s="67"/>
      <c r="CD221" s="67"/>
      <c r="CE221" s="67"/>
      <c r="CF221" s="67"/>
      <c r="CG221" s="67"/>
      <c r="CH221" s="67"/>
      <c r="CI221" s="67"/>
      <c r="CJ221" s="67"/>
      <c r="CK221" s="67"/>
      <c r="CL221" s="67"/>
      <c r="CM221" s="67"/>
      <c r="CN221" s="67"/>
      <c r="CO221" s="67"/>
      <c r="CP221" s="67"/>
      <c r="CQ221" s="67"/>
      <c r="CR221" s="67"/>
      <c r="CS221" s="67"/>
      <c r="CT221" s="67"/>
      <c r="CU221" s="67"/>
      <c r="CV221" s="67"/>
      <c r="CW221" s="67"/>
      <c r="CX221" s="67"/>
      <c r="CY221" s="67"/>
      <c r="CZ221" s="67"/>
      <c r="DA221" s="67"/>
      <c r="DB221" s="67"/>
      <c r="DC221" s="67"/>
      <c r="DD221" s="67"/>
      <c r="DE221" s="67"/>
      <c r="DF221" s="67"/>
    </row>
    <row r="222" ht="11.25" customHeight="1">
      <c r="A222" s="61"/>
      <c r="B222" s="98"/>
      <c r="C222" s="88"/>
      <c r="D222" s="88"/>
      <c r="E222" s="90"/>
      <c r="F222" s="91"/>
      <c r="G222" s="49"/>
      <c r="H222" s="70"/>
      <c r="I222" s="98"/>
      <c r="J222" s="88"/>
      <c r="K222" s="88"/>
      <c r="L222" s="90"/>
      <c r="M222" s="91"/>
      <c r="N222" s="49"/>
      <c r="O222" s="71"/>
      <c r="P222" s="92"/>
      <c r="Q222" s="71"/>
      <c r="R222" s="92"/>
      <c r="S222" s="71"/>
      <c r="T222" s="71"/>
      <c r="U222" s="68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29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/>
      <c r="BR222" s="67"/>
      <c r="BS222" s="67"/>
      <c r="BT222" s="67"/>
      <c r="BU222" s="67"/>
      <c r="BV222" s="67"/>
      <c r="BW222" s="67"/>
      <c r="BX222" s="67"/>
      <c r="BY222" s="67"/>
      <c r="BZ222" s="67"/>
      <c r="CA222" s="67"/>
      <c r="CB222" s="67"/>
      <c r="CC222" s="67"/>
      <c r="CD222" s="67"/>
      <c r="CE222" s="67"/>
      <c r="CF222" s="67"/>
      <c r="CG222" s="67"/>
      <c r="CH222" s="67"/>
      <c r="CI222" s="67"/>
      <c r="CJ222" s="67"/>
      <c r="CK222" s="67"/>
      <c r="CL222" s="67"/>
      <c r="CM222" s="67"/>
      <c r="CN222" s="67"/>
      <c r="CO222" s="67"/>
      <c r="CP222" s="67"/>
      <c r="CQ222" s="67"/>
      <c r="CR222" s="67"/>
      <c r="CS222" s="67"/>
      <c r="CT222" s="67"/>
      <c r="CU222" s="67"/>
      <c r="CV222" s="67"/>
      <c r="CW222" s="67"/>
      <c r="CX222" s="67"/>
      <c r="CY222" s="67"/>
      <c r="CZ222" s="67"/>
      <c r="DA222" s="67"/>
      <c r="DB222" s="67"/>
      <c r="DC222" s="67"/>
      <c r="DD222" s="67"/>
      <c r="DE222" s="67"/>
      <c r="DF222" s="67"/>
    </row>
    <row r="223" ht="11.25" customHeight="1">
      <c r="A223" s="62"/>
      <c r="B223" s="88"/>
      <c r="C223" s="88"/>
      <c r="D223" s="88"/>
      <c r="E223" s="90"/>
      <c r="F223" s="91"/>
      <c r="G223" s="49"/>
      <c r="H223" s="70"/>
      <c r="I223" s="88"/>
      <c r="J223" s="88"/>
      <c r="K223" s="88"/>
      <c r="L223" s="90"/>
      <c r="M223" s="91"/>
      <c r="N223" s="49"/>
      <c r="O223" s="71"/>
      <c r="P223" s="92"/>
      <c r="Q223" s="71"/>
      <c r="R223" s="92"/>
      <c r="S223" s="71"/>
      <c r="T223" s="71"/>
      <c r="U223" s="68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29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  <c r="BK223" s="67"/>
      <c r="BL223" s="67"/>
      <c r="BM223" s="67"/>
      <c r="BN223" s="67"/>
      <c r="BO223" s="67"/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7"/>
      <c r="CA223" s="67"/>
      <c r="CB223" s="67"/>
      <c r="CC223" s="67"/>
      <c r="CD223" s="67"/>
      <c r="CE223" s="67"/>
      <c r="CF223" s="67"/>
      <c r="CG223" s="67"/>
      <c r="CH223" s="67"/>
      <c r="CI223" s="67"/>
      <c r="CJ223" s="67"/>
      <c r="CK223" s="67"/>
      <c r="CL223" s="67"/>
      <c r="CM223" s="67"/>
      <c r="CN223" s="67"/>
      <c r="CO223" s="67"/>
      <c r="CP223" s="67"/>
      <c r="CQ223" s="67"/>
      <c r="CR223" s="67"/>
      <c r="CS223" s="67"/>
      <c r="CT223" s="67"/>
      <c r="CU223" s="67"/>
      <c r="CV223" s="67"/>
      <c r="CW223" s="67"/>
      <c r="CX223" s="67"/>
      <c r="CY223" s="67"/>
      <c r="CZ223" s="67"/>
      <c r="DA223" s="67"/>
      <c r="DB223" s="67"/>
      <c r="DC223" s="67"/>
      <c r="DD223" s="67"/>
      <c r="DE223" s="67"/>
      <c r="DF223" s="67"/>
    </row>
    <row r="224" ht="11.25" customHeight="1">
      <c r="A224" s="62"/>
      <c r="B224" s="88"/>
      <c r="C224" s="88"/>
      <c r="D224" s="88"/>
      <c r="E224" s="90"/>
      <c r="F224" s="91"/>
      <c r="G224" s="49"/>
      <c r="H224" s="70"/>
      <c r="I224" s="88"/>
      <c r="J224" s="88"/>
      <c r="K224" s="88"/>
      <c r="L224" s="90"/>
      <c r="M224" s="91"/>
      <c r="N224" s="49"/>
      <c r="O224" s="71"/>
      <c r="P224" s="92"/>
      <c r="Q224" s="71"/>
      <c r="R224" s="92"/>
      <c r="S224" s="71"/>
      <c r="T224" s="71"/>
      <c r="U224" s="68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29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67"/>
      <c r="BT224" s="67"/>
      <c r="BU224" s="67"/>
      <c r="BV224" s="67"/>
      <c r="BW224" s="67"/>
      <c r="BX224" s="67"/>
      <c r="BY224" s="67"/>
      <c r="BZ224" s="67"/>
      <c r="CA224" s="67"/>
      <c r="CB224" s="67"/>
      <c r="CC224" s="67"/>
      <c r="CD224" s="67"/>
      <c r="CE224" s="67"/>
      <c r="CF224" s="67"/>
      <c r="CG224" s="67"/>
      <c r="CH224" s="67"/>
      <c r="CI224" s="67"/>
      <c r="CJ224" s="67"/>
      <c r="CK224" s="67"/>
      <c r="CL224" s="67"/>
      <c r="CM224" s="67"/>
      <c r="CN224" s="67"/>
      <c r="CO224" s="67"/>
      <c r="CP224" s="67"/>
      <c r="CQ224" s="67"/>
      <c r="CR224" s="67"/>
      <c r="CS224" s="67"/>
      <c r="CT224" s="67"/>
      <c r="CU224" s="67"/>
      <c r="CV224" s="67"/>
      <c r="CW224" s="67"/>
      <c r="CX224" s="67"/>
      <c r="CY224" s="67"/>
      <c r="CZ224" s="67"/>
      <c r="DA224" s="67"/>
      <c r="DB224" s="67"/>
      <c r="DC224" s="67"/>
      <c r="DD224" s="67"/>
      <c r="DE224" s="67"/>
      <c r="DF224" s="67"/>
    </row>
    <row r="225" ht="11.25" customHeight="1">
      <c r="A225" s="62"/>
      <c r="B225" s="88"/>
      <c r="C225" s="88"/>
      <c r="D225" s="88"/>
      <c r="E225" s="90"/>
      <c r="F225" s="91"/>
      <c r="G225" s="49"/>
      <c r="H225" s="70"/>
      <c r="I225" s="88"/>
      <c r="J225" s="88"/>
      <c r="K225" s="88"/>
      <c r="L225" s="90"/>
      <c r="M225" s="91"/>
      <c r="N225" s="49"/>
      <c r="O225" s="71"/>
      <c r="P225" s="92"/>
      <c r="Q225" s="71"/>
      <c r="R225" s="92"/>
      <c r="S225" s="71"/>
      <c r="T225" s="71"/>
      <c r="U225" s="68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29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7"/>
      <c r="CA225" s="67"/>
      <c r="CB225" s="67"/>
      <c r="CC225" s="67"/>
      <c r="CD225" s="67"/>
      <c r="CE225" s="67"/>
      <c r="CF225" s="67"/>
      <c r="CG225" s="67"/>
      <c r="CH225" s="67"/>
      <c r="CI225" s="67"/>
      <c r="CJ225" s="67"/>
      <c r="CK225" s="67"/>
      <c r="CL225" s="67"/>
      <c r="CM225" s="67"/>
      <c r="CN225" s="67"/>
      <c r="CO225" s="67"/>
      <c r="CP225" s="67"/>
      <c r="CQ225" s="67"/>
      <c r="CR225" s="67"/>
      <c r="CS225" s="67"/>
      <c r="CT225" s="67"/>
      <c r="CU225" s="67"/>
      <c r="CV225" s="67"/>
      <c r="CW225" s="67"/>
      <c r="CX225" s="67"/>
      <c r="CY225" s="67"/>
      <c r="CZ225" s="67"/>
      <c r="DA225" s="67"/>
      <c r="DB225" s="67"/>
      <c r="DC225" s="67"/>
      <c r="DD225" s="67"/>
      <c r="DE225" s="67"/>
      <c r="DF225" s="67"/>
    </row>
    <row r="226" ht="11.25" customHeight="1">
      <c r="A226" s="62"/>
      <c r="B226" s="88"/>
      <c r="C226" s="88"/>
      <c r="D226" s="88"/>
      <c r="E226" s="90"/>
      <c r="F226" s="91"/>
      <c r="G226" s="49"/>
      <c r="H226" s="70"/>
      <c r="I226" s="88"/>
      <c r="J226" s="88"/>
      <c r="K226" s="88"/>
      <c r="L226" s="90"/>
      <c r="M226" s="91"/>
      <c r="N226" s="49"/>
      <c r="O226" s="71"/>
      <c r="P226" s="92"/>
      <c r="Q226" s="71"/>
      <c r="R226" s="92"/>
      <c r="S226" s="71"/>
      <c r="T226" s="71"/>
      <c r="U226" s="68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29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/>
      <c r="BD226" s="67"/>
      <c r="BE226" s="67"/>
      <c r="BF226" s="67"/>
      <c r="BG226" s="67"/>
      <c r="BH226" s="67"/>
      <c r="BI226" s="67"/>
      <c r="BJ226" s="67"/>
      <c r="BK226" s="67"/>
      <c r="BL226" s="67"/>
      <c r="BM226" s="67"/>
      <c r="BN226" s="67"/>
      <c r="BO226" s="67"/>
      <c r="BP226" s="67"/>
      <c r="BQ226" s="67"/>
      <c r="BR226" s="67"/>
      <c r="BS226" s="67"/>
      <c r="BT226" s="67"/>
      <c r="BU226" s="67"/>
      <c r="BV226" s="67"/>
      <c r="BW226" s="67"/>
      <c r="BX226" s="67"/>
      <c r="BY226" s="67"/>
      <c r="BZ226" s="67"/>
      <c r="CA226" s="67"/>
      <c r="CB226" s="67"/>
      <c r="CC226" s="67"/>
      <c r="CD226" s="67"/>
      <c r="CE226" s="67"/>
      <c r="CF226" s="67"/>
      <c r="CG226" s="67"/>
      <c r="CH226" s="67"/>
      <c r="CI226" s="67"/>
      <c r="CJ226" s="67"/>
      <c r="CK226" s="67"/>
      <c r="CL226" s="67"/>
      <c r="CM226" s="67"/>
      <c r="CN226" s="67"/>
      <c r="CO226" s="67"/>
      <c r="CP226" s="67"/>
      <c r="CQ226" s="67"/>
      <c r="CR226" s="67"/>
      <c r="CS226" s="67"/>
      <c r="CT226" s="67"/>
      <c r="CU226" s="67"/>
      <c r="CV226" s="67"/>
      <c r="CW226" s="67"/>
      <c r="CX226" s="67"/>
      <c r="CY226" s="67"/>
      <c r="CZ226" s="67"/>
      <c r="DA226" s="67"/>
      <c r="DB226" s="67"/>
      <c r="DC226" s="67"/>
      <c r="DD226" s="67"/>
      <c r="DE226" s="67"/>
      <c r="DF226" s="67"/>
    </row>
    <row r="227" ht="11.25" customHeight="1">
      <c r="A227" s="62"/>
      <c r="B227" s="88"/>
      <c r="C227" s="88"/>
      <c r="D227" s="88"/>
      <c r="E227" s="90"/>
      <c r="F227" s="91"/>
      <c r="G227" s="49"/>
      <c r="H227" s="70"/>
      <c r="I227" s="88"/>
      <c r="J227" s="88"/>
      <c r="K227" s="88"/>
      <c r="L227" s="90"/>
      <c r="M227" s="91"/>
      <c r="N227" s="49"/>
      <c r="O227" s="71"/>
      <c r="P227" s="92"/>
      <c r="Q227" s="71"/>
      <c r="R227" s="92"/>
      <c r="S227" s="71"/>
      <c r="T227" s="71"/>
      <c r="U227" s="68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29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  <c r="BK227" s="67"/>
      <c r="BL227" s="67"/>
      <c r="BM227" s="67"/>
      <c r="BN227" s="67"/>
      <c r="BO227" s="67"/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7"/>
      <c r="CA227" s="67"/>
      <c r="CB227" s="67"/>
      <c r="CC227" s="67"/>
      <c r="CD227" s="67"/>
      <c r="CE227" s="67"/>
      <c r="CF227" s="67"/>
      <c r="CG227" s="67"/>
      <c r="CH227" s="67"/>
      <c r="CI227" s="67"/>
      <c r="CJ227" s="67"/>
      <c r="CK227" s="67"/>
      <c r="CL227" s="67"/>
      <c r="CM227" s="67"/>
      <c r="CN227" s="67"/>
      <c r="CO227" s="67"/>
      <c r="CP227" s="67"/>
      <c r="CQ227" s="67"/>
      <c r="CR227" s="67"/>
      <c r="CS227" s="67"/>
      <c r="CT227" s="67"/>
      <c r="CU227" s="67"/>
      <c r="CV227" s="67"/>
      <c r="CW227" s="67"/>
      <c r="CX227" s="67"/>
      <c r="CY227" s="67"/>
      <c r="CZ227" s="67"/>
      <c r="DA227" s="67"/>
      <c r="DB227" s="67"/>
      <c r="DC227" s="67"/>
      <c r="DD227" s="67"/>
      <c r="DE227" s="67"/>
      <c r="DF227" s="67"/>
    </row>
    <row r="228" ht="11.25" customHeight="1">
      <c r="A228" s="62"/>
      <c r="B228" s="88"/>
      <c r="C228" s="88"/>
      <c r="D228" s="88"/>
      <c r="E228" s="90"/>
      <c r="F228" s="91"/>
      <c r="G228" s="49"/>
      <c r="H228" s="70"/>
      <c r="I228" s="88"/>
      <c r="J228" s="88"/>
      <c r="K228" s="88"/>
      <c r="L228" s="90"/>
      <c r="M228" s="91"/>
      <c r="N228" s="49"/>
      <c r="O228" s="71"/>
      <c r="P228" s="92"/>
      <c r="Q228" s="71"/>
      <c r="R228" s="92"/>
      <c r="S228" s="71"/>
      <c r="T228" s="71"/>
      <c r="U228" s="68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29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67"/>
      <c r="BD228" s="67"/>
      <c r="BE228" s="67"/>
      <c r="BF228" s="67"/>
      <c r="BG228" s="67"/>
      <c r="BH228" s="67"/>
      <c r="BI228" s="67"/>
      <c r="BJ228" s="67"/>
      <c r="BK228" s="67"/>
      <c r="BL228" s="67"/>
      <c r="BM228" s="67"/>
      <c r="BN228" s="67"/>
      <c r="BO228" s="67"/>
      <c r="BP228" s="67"/>
      <c r="BQ228" s="67"/>
      <c r="BR228" s="67"/>
      <c r="BS228" s="67"/>
      <c r="BT228" s="67"/>
      <c r="BU228" s="67"/>
      <c r="BV228" s="67"/>
      <c r="BW228" s="67"/>
      <c r="BX228" s="67"/>
      <c r="BY228" s="67"/>
      <c r="BZ228" s="67"/>
      <c r="CA228" s="67"/>
      <c r="CB228" s="67"/>
      <c r="CC228" s="67"/>
      <c r="CD228" s="67"/>
      <c r="CE228" s="67"/>
      <c r="CF228" s="67"/>
      <c r="CG228" s="67"/>
      <c r="CH228" s="67"/>
      <c r="CI228" s="67"/>
      <c r="CJ228" s="67"/>
      <c r="CK228" s="67"/>
      <c r="CL228" s="67"/>
      <c r="CM228" s="67"/>
      <c r="CN228" s="67"/>
      <c r="CO228" s="67"/>
      <c r="CP228" s="67"/>
      <c r="CQ228" s="67"/>
      <c r="CR228" s="67"/>
      <c r="CS228" s="67"/>
      <c r="CT228" s="67"/>
      <c r="CU228" s="67"/>
      <c r="CV228" s="67"/>
      <c r="CW228" s="67"/>
      <c r="CX228" s="67"/>
      <c r="CY228" s="67"/>
      <c r="CZ228" s="67"/>
      <c r="DA228" s="67"/>
      <c r="DB228" s="67"/>
      <c r="DC228" s="67"/>
      <c r="DD228" s="67"/>
      <c r="DE228" s="67"/>
      <c r="DF228" s="67"/>
    </row>
    <row r="229" ht="11.25" customHeight="1">
      <c r="A229" s="62"/>
      <c r="B229" s="88"/>
      <c r="C229" s="88"/>
      <c r="D229" s="88"/>
      <c r="E229" s="90"/>
      <c r="F229" s="91"/>
      <c r="G229" s="49"/>
      <c r="H229" s="70"/>
      <c r="I229" s="88"/>
      <c r="J229" s="88"/>
      <c r="K229" s="88"/>
      <c r="L229" s="90"/>
      <c r="M229" s="91"/>
      <c r="N229" s="49"/>
      <c r="O229" s="71"/>
      <c r="P229" s="92"/>
      <c r="Q229" s="71"/>
      <c r="R229" s="92"/>
      <c r="S229" s="71"/>
      <c r="T229" s="71"/>
      <c r="U229" s="68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29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67"/>
      <c r="BD229" s="67"/>
      <c r="BE229" s="67"/>
      <c r="BF229" s="67"/>
      <c r="BG229" s="67"/>
      <c r="BH229" s="67"/>
      <c r="BI229" s="67"/>
      <c r="BJ229" s="67"/>
      <c r="BK229" s="67"/>
      <c r="BL229" s="67"/>
      <c r="BM229" s="67"/>
      <c r="BN229" s="67"/>
      <c r="BO229" s="67"/>
      <c r="BP229" s="67"/>
      <c r="BQ229" s="67"/>
      <c r="BR229" s="67"/>
      <c r="BS229" s="67"/>
      <c r="BT229" s="67"/>
      <c r="BU229" s="67"/>
      <c r="BV229" s="67"/>
      <c r="BW229" s="67"/>
      <c r="BX229" s="67"/>
      <c r="BY229" s="67"/>
      <c r="BZ229" s="67"/>
      <c r="CA229" s="67"/>
      <c r="CB229" s="67"/>
      <c r="CC229" s="67"/>
      <c r="CD229" s="67"/>
      <c r="CE229" s="67"/>
      <c r="CF229" s="67"/>
      <c r="CG229" s="67"/>
      <c r="CH229" s="67"/>
      <c r="CI229" s="67"/>
      <c r="CJ229" s="67"/>
      <c r="CK229" s="67"/>
      <c r="CL229" s="67"/>
      <c r="CM229" s="67"/>
      <c r="CN229" s="67"/>
      <c r="CO229" s="67"/>
      <c r="CP229" s="67"/>
      <c r="CQ229" s="67"/>
      <c r="CR229" s="67"/>
      <c r="CS229" s="67"/>
      <c r="CT229" s="67"/>
      <c r="CU229" s="67"/>
      <c r="CV229" s="67"/>
      <c r="CW229" s="67"/>
      <c r="CX229" s="67"/>
      <c r="CY229" s="67"/>
      <c r="CZ229" s="67"/>
      <c r="DA229" s="67"/>
      <c r="DB229" s="67"/>
      <c r="DC229" s="67"/>
      <c r="DD229" s="67"/>
      <c r="DE229" s="67"/>
      <c r="DF229" s="67"/>
    </row>
    <row r="230" ht="11.25" customHeight="1">
      <c r="A230" s="62"/>
      <c r="B230" s="88"/>
      <c r="C230" s="88"/>
      <c r="D230" s="88"/>
      <c r="E230" s="90"/>
      <c r="F230" s="91"/>
      <c r="G230" s="49"/>
      <c r="H230" s="70"/>
      <c r="I230" s="88"/>
      <c r="J230" s="88"/>
      <c r="K230" s="88"/>
      <c r="L230" s="90"/>
      <c r="M230" s="91"/>
      <c r="N230" s="49"/>
      <c r="O230" s="71"/>
      <c r="P230" s="92"/>
      <c r="Q230" s="71"/>
      <c r="R230" s="92"/>
      <c r="S230" s="71"/>
      <c r="T230" s="71"/>
      <c r="U230" s="68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29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67"/>
      <c r="BT230" s="67"/>
      <c r="BU230" s="67"/>
      <c r="BV230" s="67"/>
      <c r="BW230" s="67"/>
      <c r="BX230" s="67"/>
      <c r="BY230" s="67"/>
      <c r="BZ230" s="67"/>
      <c r="CA230" s="67"/>
      <c r="CB230" s="67"/>
      <c r="CC230" s="67"/>
      <c r="CD230" s="67"/>
      <c r="CE230" s="67"/>
      <c r="CF230" s="67"/>
      <c r="CG230" s="67"/>
      <c r="CH230" s="67"/>
      <c r="CI230" s="67"/>
      <c r="CJ230" s="67"/>
      <c r="CK230" s="67"/>
      <c r="CL230" s="67"/>
      <c r="CM230" s="67"/>
      <c r="CN230" s="67"/>
      <c r="CO230" s="67"/>
      <c r="CP230" s="67"/>
      <c r="CQ230" s="67"/>
      <c r="CR230" s="67"/>
      <c r="CS230" s="67"/>
      <c r="CT230" s="67"/>
      <c r="CU230" s="67"/>
      <c r="CV230" s="67"/>
      <c r="CW230" s="67"/>
      <c r="CX230" s="67"/>
      <c r="CY230" s="67"/>
      <c r="CZ230" s="67"/>
      <c r="DA230" s="67"/>
      <c r="DB230" s="67"/>
      <c r="DC230" s="67"/>
      <c r="DD230" s="67"/>
      <c r="DE230" s="67"/>
      <c r="DF230" s="67"/>
    </row>
    <row r="231" ht="11.25" customHeight="1">
      <c r="A231" s="62"/>
      <c r="B231" s="88"/>
      <c r="C231" s="88"/>
      <c r="D231" s="88"/>
      <c r="E231" s="90"/>
      <c r="F231" s="91"/>
      <c r="G231" s="49"/>
      <c r="H231" s="70"/>
      <c r="I231" s="88"/>
      <c r="J231" s="88"/>
      <c r="K231" s="88"/>
      <c r="L231" s="90"/>
      <c r="M231" s="91"/>
      <c r="N231" s="49"/>
      <c r="O231" s="71"/>
      <c r="P231" s="92"/>
      <c r="Q231" s="71"/>
      <c r="R231" s="92"/>
      <c r="S231" s="71"/>
      <c r="T231" s="71"/>
      <c r="U231" s="68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29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  <c r="BA231" s="67"/>
      <c r="BB231" s="67"/>
      <c r="BC231" s="67"/>
      <c r="BD231" s="67"/>
      <c r="BE231" s="67"/>
      <c r="BF231" s="67"/>
      <c r="BG231" s="67"/>
      <c r="BH231" s="67"/>
      <c r="BI231" s="67"/>
      <c r="BJ231" s="67"/>
      <c r="BK231" s="67"/>
      <c r="BL231" s="67"/>
      <c r="BM231" s="67"/>
      <c r="BN231" s="67"/>
      <c r="BO231" s="67"/>
      <c r="BP231" s="67"/>
      <c r="BQ231" s="67"/>
      <c r="BR231" s="67"/>
      <c r="BS231" s="67"/>
      <c r="BT231" s="67"/>
      <c r="BU231" s="67"/>
      <c r="BV231" s="67"/>
      <c r="BW231" s="67"/>
      <c r="BX231" s="67"/>
      <c r="BY231" s="67"/>
      <c r="BZ231" s="67"/>
      <c r="CA231" s="67"/>
      <c r="CB231" s="67"/>
      <c r="CC231" s="67"/>
      <c r="CD231" s="67"/>
      <c r="CE231" s="67"/>
      <c r="CF231" s="67"/>
      <c r="CG231" s="67"/>
      <c r="CH231" s="67"/>
      <c r="CI231" s="67"/>
      <c r="CJ231" s="67"/>
      <c r="CK231" s="67"/>
      <c r="CL231" s="67"/>
      <c r="CM231" s="67"/>
      <c r="CN231" s="67"/>
      <c r="CO231" s="67"/>
      <c r="CP231" s="67"/>
      <c r="CQ231" s="67"/>
      <c r="CR231" s="67"/>
      <c r="CS231" s="67"/>
      <c r="CT231" s="67"/>
      <c r="CU231" s="67"/>
      <c r="CV231" s="67"/>
      <c r="CW231" s="67"/>
      <c r="CX231" s="67"/>
      <c r="CY231" s="67"/>
      <c r="CZ231" s="67"/>
      <c r="DA231" s="67"/>
      <c r="DB231" s="67"/>
      <c r="DC231" s="67"/>
      <c r="DD231" s="67"/>
      <c r="DE231" s="67"/>
      <c r="DF231" s="67"/>
    </row>
    <row r="232" ht="11.25" customHeight="1">
      <c r="A232" s="62"/>
      <c r="B232" s="88"/>
      <c r="C232" s="88"/>
      <c r="D232" s="88"/>
      <c r="E232" s="90"/>
      <c r="F232" s="91"/>
      <c r="G232" s="49"/>
      <c r="H232" s="70"/>
      <c r="I232" s="88"/>
      <c r="J232" s="88"/>
      <c r="K232" s="88"/>
      <c r="L232" s="90"/>
      <c r="M232" s="91"/>
      <c r="N232" s="49"/>
      <c r="O232" s="71"/>
      <c r="P232" s="92"/>
      <c r="Q232" s="71"/>
      <c r="R232" s="92"/>
      <c r="S232" s="71"/>
      <c r="T232" s="71"/>
      <c r="U232" s="68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29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67"/>
      <c r="BD232" s="67"/>
      <c r="BE232" s="67"/>
      <c r="BF232" s="67"/>
      <c r="BG232" s="67"/>
      <c r="BH232" s="67"/>
      <c r="BI232" s="67"/>
      <c r="BJ232" s="67"/>
      <c r="BK232" s="67"/>
      <c r="BL232" s="67"/>
      <c r="BM232" s="67"/>
      <c r="BN232" s="67"/>
      <c r="BO232" s="67"/>
      <c r="BP232" s="67"/>
      <c r="BQ232" s="67"/>
      <c r="BR232" s="67"/>
      <c r="BS232" s="67"/>
      <c r="BT232" s="67"/>
      <c r="BU232" s="67"/>
      <c r="BV232" s="67"/>
      <c r="BW232" s="67"/>
      <c r="BX232" s="67"/>
      <c r="BY232" s="67"/>
      <c r="BZ232" s="67"/>
      <c r="CA232" s="67"/>
      <c r="CB232" s="67"/>
      <c r="CC232" s="67"/>
      <c r="CD232" s="67"/>
      <c r="CE232" s="67"/>
      <c r="CF232" s="67"/>
      <c r="CG232" s="67"/>
      <c r="CH232" s="67"/>
      <c r="CI232" s="67"/>
      <c r="CJ232" s="67"/>
      <c r="CK232" s="67"/>
      <c r="CL232" s="67"/>
      <c r="CM232" s="67"/>
      <c r="CN232" s="67"/>
      <c r="CO232" s="67"/>
      <c r="CP232" s="67"/>
      <c r="CQ232" s="67"/>
      <c r="CR232" s="67"/>
      <c r="CS232" s="67"/>
      <c r="CT232" s="67"/>
      <c r="CU232" s="67"/>
      <c r="CV232" s="67"/>
      <c r="CW232" s="67"/>
      <c r="CX232" s="67"/>
      <c r="CY232" s="67"/>
      <c r="CZ232" s="67"/>
      <c r="DA232" s="67"/>
      <c r="DB232" s="67"/>
      <c r="DC232" s="67"/>
      <c r="DD232" s="67"/>
      <c r="DE232" s="67"/>
      <c r="DF232" s="67"/>
    </row>
    <row r="233" ht="11.25" customHeight="1">
      <c r="A233" s="62"/>
      <c r="B233" s="88"/>
      <c r="C233" s="88"/>
      <c r="D233" s="88"/>
      <c r="E233" s="90"/>
      <c r="F233" s="91"/>
      <c r="G233" s="49"/>
      <c r="H233" s="70"/>
      <c r="I233" s="88"/>
      <c r="J233" s="88"/>
      <c r="K233" s="88"/>
      <c r="L233" s="90"/>
      <c r="M233" s="91"/>
      <c r="N233" s="49"/>
      <c r="O233" s="71"/>
      <c r="P233" s="92"/>
      <c r="Q233" s="71"/>
      <c r="R233" s="92"/>
      <c r="S233" s="71"/>
      <c r="T233" s="71"/>
      <c r="U233" s="68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29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  <c r="BK233" s="67"/>
      <c r="BL233" s="67"/>
      <c r="BM233" s="67"/>
      <c r="BN233" s="67"/>
      <c r="BO233" s="67"/>
      <c r="BP233" s="67"/>
      <c r="BQ233" s="67"/>
      <c r="BR233" s="67"/>
      <c r="BS233" s="67"/>
      <c r="BT233" s="67"/>
      <c r="BU233" s="67"/>
      <c r="BV233" s="67"/>
      <c r="BW233" s="67"/>
      <c r="BX233" s="67"/>
      <c r="BY233" s="67"/>
      <c r="BZ233" s="67"/>
      <c r="CA233" s="67"/>
      <c r="CB233" s="67"/>
      <c r="CC233" s="67"/>
      <c r="CD233" s="67"/>
      <c r="CE233" s="67"/>
      <c r="CF233" s="67"/>
      <c r="CG233" s="67"/>
      <c r="CH233" s="67"/>
      <c r="CI233" s="67"/>
      <c r="CJ233" s="67"/>
      <c r="CK233" s="67"/>
      <c r="CL233" s="67"/>
      <c r="CM233" s="67"/>
      <c r="CN233" s="67"/>
      <c r="CO233" s="67"/>
      <c r="CP233" s="67"/>
      <c r="CQ233" s="67"/>
      <c r="CR233" s="67"/>
      <c r="CS233" s="67"/>
      <c r="CT233" s="67"/>
      <c r="CU233" s="67"/>
      <c r="CV233" s="67"/>
      <c r="CW233" s="67"/>
      <c r="CX233" s="67"/>
      <c r="CY233" s="67"/>
      <c r="CZ233" s="67"/>
      <c r="DA233" s="67"/>
      <c r="DB233" s="67"/>
      <c r="DC233" s="67"/>
      <c r="DD233" s="67"/>
      <c r="DE233" s="67"/>
      <c r="DF233" s="67"/>
    </row>
    <row r="234" ht="11.25" customHeight="1">
      <c r="A234" s="62"/>
      <c r="B234" s="88"/>
      <c r="C234" s="88"/>
      <c r="D234" s="88"/>
      <c r="E234" s="90"/>
      <c r="F234" s="91"/>
      <c r="G234" s="49"/>
      <c r="H234" s="70"/>
      <c r="I234" s="88"/>
      <c r="J234" s="88"/>
      <c r="K234" s="88"/>
      <c r="L234" s="90"/>
      <c r="M234" s="91"/>
      <c r="N234" s="49"/>
      <c r="O234" s="71"/>
      <c r="P234" s="92"/>
      <c r="Q234" s="71"/>
      <c r="R234" s="92"/>
      <c r="S234" s="71"/>
      <c r="T234" s="71"/>
      <c r="U234" s="68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29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67"/>
      <c r="BJ234" s="67"/>
      <c r="BK234" s="67"/>
      <c r="BL234" s="67"/>
      <c r="BM234" s="67"/>
      <c r="BN234" s="67"/>
      <c r="BO234" s="67"/>
      <c r="BP234" s="67"/>
      <c r="BQ234" s="67"/>
      <c r="BR234" s="67"/>
      <c r="BS234" s="67"/>
      <c r="BT234" s="67"/>
      <c r="BU234" s="67"/>
      <c r="BV234" s="67"/>
      <c r="BW234" s="67"/>
      <c r="BX234" s="67"/>
      <c r="BY234" s="67"/>
      <c r="BZ234" s="67"/>
      <c r="CA234" s="67"/>
      <c r="CB234" s="67"/>
      <c r="CC234" s="67"/>
      <c r="CD234" s="67"/>
      <c r="CE234" s="67"/>
      <c r="CF234" s="67"/>
      <c r="CG234" s="67"/>
      <c r="CH234" s="67"/>
      <c r="CI234" s="67"/>
      <c r="CJ234" s="67"/>
      <c r="CK234" s="67"/>
      <c r="CL234" s="67"/>
      <c r="CM234" s="67"/>
      <c r="CN234" s="67"/>
      <c r="CO234" s="67"/>
      <c r="CP234" s="67"/>
      <c r="CQ234" s="67"/>
      <c r="CR234" s="67"/>
      <c r="CS234" s="67"/>
      <c r="CT234" s="67"/>
      <c r="CU234" s="67"/>
      <c r="CV234" s="67"/>
      <c r="CW234" s="67"/>
      <c r="CX234" s="67"/>
      <c r="CY234" s="67"/>
      <c r="CZ234" s="67"/>
      <c r="DA234" s="67"/>
      <c r="DB234" s="67"/>
      <c r="DC234" s="67"/>
      <c r="DD234" s="67"/>
      <c r="DE234" s="67"/>
      <c r="DF234" s="67"/>
    </row>
    <row r="235" ht="11.25" customHeight="1">
      <c r="A235" s="62"/>
      <c r="B235" s="88"/>
      <c r="C235" s="88"/>
      <c r="D235" s="88"/>
      <c r="E235" s="90"/>
      <c r="F235" s="91"/>
      <c r="G235" s="49"/>
      <c r="H235" s="70"/>
      <c r="I235" s="88"/>
      <c r="J235" s="88"/>
      <c r="K235" s="88"/>
      <c r="L235" s="90"/>
      <c r="M235" s="91"/>
      <c r="N235" s="49"/>
      <c r="O235" s="71"/>
      <c r="P235" s="92"/>
      <c r="Q235" s="71"/>
      <c r="R235" s="92"/>
      <c r="S235" s="71"/>
      <c r="T235" s="71"/>
      <c r="U235" s="68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29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67"/>
      <c r="BJ235" s="67"/>
      <c r="BK235" s="67"/>
      <c r="BL235" s="67"/>
      <c r="BM235" s="67"/>
      <c r="BN235" s="67"/>
      <c r="BO235" s="67"/>
      <c r="BP235" s="67"/>
      <c r="BQ235" s="67"/>
      <c r="BR235" s="67"/>
      <c r="BS235" s="67"/>
      <c r="BT235" s="67"/>
      <c r="BU235" s="67"/>
      <c r="BV235" s="67"/>
      <c r="BW235" s="67"/>
      <c r="BX235" s="67"/>
      <c r="BY235" s="67"/>
      <c r="BZ235" s="67"/>
      <c r="CA235" s="67"/>
      <c r="CB235" s="67"/>
      <c r="CC235" s="67"/>
      <c r="CD235" s="67"/>
      <c r="CE235" s="67"/>
      <c r="CF235" s="67"/>
      <c r="CG235" s="67"/>
      <c r="CH235" s="67"/>
      <c r="CI235" s="67"/>
      <c r="CJ235" s="67"/>
      <c r="CK235" s="67"/>
      <c r="CL235" s="67"/>
      <c r="CM235" s="67"/>
      <c r="CN235" s="67"/>
      <c r="CO235" s="67"/>
      <c r="CP235" s="67"/>
      <c r="CQ235" s="67"/>
      <c r="CR235" s="67"/>
      <c r="CS235" s="67"/>
      <c r="CT235" s="67"/>
      <c r="CU235" s="67"/>
      <c r="CV235" s="67"/>
      <c r="CW235" s="67"/>
      <c r="CX235" s="67"/>
      <c r="CY235" s="67"/>
      <c r="CZ235" s="67"/>
      <c r="DA235" s="67"/>
      <c r="DB235" s="67"/>
      <c r="DC235" s="67"/>
      <c r="DD235" s="67"/>
      <c r="DE235" s="67"/>
      <c r="DF235" s="67"/>
    </row>
    <row r="236" ht="11.25" customHeight="1">
      <c r="A236" s="62"/>
      <c r="B236" s="88"/>
      <c r="C236" s="88"/>
      <c r="D236" s="88"/>
      <c r="E236" s="90"/>
      <c r="F236" s="91"/>
      <c r="G236" s="49"/>
      <c r="H236" s="70"/>
      <c r="I236" s="88"/>
      <c r="J236" s="88"/>
      <c r="K236" s="88"/>
      <c r="L236" s="90"/>
      <c r="M236" s="91"/>
      <c r="N236" s="49"/>
      <c r="O236" s="71"/>
      <c r="P236" s="92"/>
      <c r="Q236" s="71"/>
      <c r="R236" s="92"/>
      <c r="S236" s="71"/>
      <c r="T236" s="71"/>
      <c r="U236" s="68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29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67"/>
      <c r="BD236" s="67"/>
      <c r="BE236" s="67"/>
      <c r="BF236" s="67"/>
      <c r="BG236" s="67"/>
      <c r="BH236" s="67"/>
      <c r="BI236" s="67"/>
      <c r="BJ236" s="67"/>
      <c r="BK236" s="67"/>
      <c r="BL236" s="67"/>
      <c r="BM236" s="67"/>
      <c r="BN236" s="67"/>
      <c r="BO236" s="67"/>
      <c r="BP236" s="67"/>
      <c r="BQ236" s="67"/>
      <c r="BR236" s="67"/>
      <c r="BS236" s="67"/>
      <c r="BT236" s="67"/>
      <c r="BU236" s="67"/>
      <c r="BV236" s="67"/>
      <c r="BW236" s="67"/>
      <c r="BX236" s="67"/>
      <c r="BY236" s="67"/>
      <c r="BZ236" s="67"/>
      <c r="CA236" s="67"/>
      <c r="CB236" s="67"/>
      <c r="CC236" s="67"/>
      <c r="CD236" s="67"/>
      <c r="CE236" s="67"/>
      <c r="CF236" s="67"/>
      <c r="CG236" s="67"/>
      <c r="CH236" s="67"/>
      <c r="CI236" s="67"/>
      <c r="CJ236" s="67"/>
      <c r="CK236" s="67"/>
      <c r="CL236" s="67"/>
      <c r="CM236" s="67"/>
      <c r="CN236" s="67"/>
      <c r="CO236" s="67"/>
      <c r="CP236" s="67"/>
      <c r="CQ236" s="67"/>
      <c r="CR236" s="67"/>
      <c r="CS236" s="67"/>
      <c r="CT236" s="67"/>
      <c r="CU236" s="67"/>
      <c r="CV236" s="67"/>
      <c r="CW236" s="67"/>
      <c r="CX236" s="67"/>
      <c r="CY236" s="67"/>
      <c r="CZ236" s="67"/>
      <c r="DA236" s="67"/>
      <c r="DB236" s="67"/>
      <c r="DC236" s="67"/>
      <c r="DD236" s="67"/>
      <c r="DE236" s="67"/>
      <c r="DF236" s="67"/>
    </row>
    <row r="237" ht="11.25" customHeight="1">
      <c r="A237" s="62"/>
      <c r="B237" s="88"/>
      <c r="C237" s="88"/>
      <c r="D237" s="88"/>
      <c r="E237" s="90"/>
      <c r="F237" s="91"/>
      <c r="G237" s="49"/>
      <c r="H237" s="70"/>
      <c r="I237" s="88"/>
      <c r="J237" s="88"/>
      <c r="K237" s="88"/>
      <c r="L237" s="90"/>
      <c r="M237" s="91"/>
      <c r="N237" s="49"/>
      <c r="O237" s="71"/>
      <c r="P237" s="92"/>
      <c r="Q237" s="71"/>
      <c r="R237" s="92"/>
      <c r="S237" s="71"/>
      <c r="T237" s="71"/>
      <c r="U237" s="68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29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  <c r="BK237" s="67"/>
      <c r="BL237" s="67"/>
      <c r="BM237" s="67"/>
      <c r="BN237" s="67"/>
      <c r="BO237" s="67"/>
      <c r="BP237" s="67"/>
      <c r="BQ237" s="67"/>
      <c r="BR237" s="67"/>
      <c r="BS237" s="67"/>
      <c r="BT237" s="67"/>
      <c r="BU237" s="67"/>
      <c r="BV237" s="67"/>
      <c r="BW237" s="67"/>
      <c r="BX237" s="67"/>
      <c r="BY237" s="67"/>
      <c r="BZ237" s="67"/>
      <c r="CA237" s="67"/>
      <c r="CB237" s="67"/>
      <c r="CC237" s="67"/>
      <c r="CD237" s="67"/>
      <c r="CE237" s="67"/>
      <c r="CF237" s="67"/>
      <c r="CG237" s="67"/>
      <c r="CH237" s="67"/>
      <c r="CI237" s="67"/>
      <c r="CJ237" s="67"/>
      <c r="CK237" s="67"/>
      <c r="CL237" s="67"/>
      <c r="CM237" s="67"/>
      <c r="CN237" s="67"/>
      <c r="CO237" s="67"/>
      <c r="CP237" s="67"/>
      <c r="CQ237" s="67"/>
      <c r="CR237" s="67"/>
      <c r="CS237" s="67"/>
      <c r="CT237" s="67"/>
      <c r="CU237" s="67"/>
      <c r="CV237" s="67"/>
      <c r="CW237" s="67"/>
      <c r="CX237" s="67"/>
      <c r="CY237" s="67"/>
      <c r="CZ237" s="67"/>
      <c r="DA237" s="67"/>
      <c r="DB237" s="67"/>
      <c r="DC237" s="67"/>
      <c r="DD237" s="67"/>
      <c r="DE237" s="67"/>
      <c r="DF237" s="67"/>
    </row>
    <row r="238" ht="11.25" customHeight="1">
      <c r="A238" s="62"/>
      <c r="B238" s="88"/>
      <c r="C238" s="88"/>
      <c r="D238" s="88"/>
      <c r="E238" s="90"/>
      <c r="F238" s="91"/>
      <c r="G238" s="49"/>
      <c r="H238" s="70"/>
      <c r="I238" s="88"/>
      <c r="J238" s="88"/>
      <c r="K238" s="88"/>
      <c r="L238" s="90"/>
      <c r="M238" s="91"/>
      <c r="N238" s="49"/>
      <c r="O238" s="71"/>
      <c r="P238" s="92"/>
      <c r="Q238" s="71"/>
      <c r="R238" s="92"/>
      <c r="S238" s="71"/>
      <c r="T238" s="71"/>
      <c r="U238" s="68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29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67"/>
      <c r="BT238" s="67"/>
      <c r="BU238" s="67"/>
      <c r="BV238" s="67"/>
      <c r="BW238" s="67"/>
      <c r="BX238" s="67"/>
      <c r="BY238" s="67"/>
      <c r="BZ238" s="67"/>
      <c r="CA238" s="67"/>
      <c r="CB238" s="67"/>
      <c r="CC238" s="67"/>
      <c r="CD238" s="67"/>
      <c r="CE238" s="67"/>
      <c r="CF238" s="67"/>
      <c r="CG238" s="67"/>
      <c r="CH238" s="67"/>
      <c r="CI238" s="67"/>
      <c r="CJ238" s="67"/>
      <c r="CK238" s="67"/>
      <c r="CL238" s="67"/>
      <c r="CM238" s="67"/>
      <c r="CN238" s="67"/>
      <c r="CO238" s="67"/>
      <c r="CP238" s="67"/>
      <c r="CQ238" s="67"/>
      <c r="CR238" s="67"/>
      <c r="CS238" s="67"/>
      <c r="CT238" s="67"/>
      <c r="CU238" s="67"/>
      <c r="CV238" s="67"/>
      <c r="CW238" s="67"/>
      <c r="CX238" s="67"/>
      <c r="CY238" s="67"/>
      <c r="CZ238" s="67"/>
      <c r="DA238" s="67"/>
      <c r="DB238" s="67"/>
      <c r="DC238" s="67"/>
      <c r="DD238" s="67"/>
      <c r="DE238" s="67"/>
      <c r="DF238" s="67"/>
    </row>
    <row r="239" ht="11.25" customHeight="1">
      <c r="A239" s="62"/>
      <c r="B239" s="88"/>
      <c r="C239" s="88"/>
      <c r="D239" s="88"/>
      <c r="E239" s="90"/>
      <c r="F239" s="91"/>
      <c r="G239" s="49"/>
      <c r="H239" s="70"/>
      <c r="I239" s="88"/>
      <c r="J239" s="88"/>
      <c r="K239" s="88"/>
      <c r="L239" s="90"/>
      <c r="M239" s="91"/>
      <c r="N239" s="49"/>
      <c r="O239" s="71"/>
      <c r="P239" s="92"/>
      <c r="Q239" s="71"/>
      <c r="R239" s="92"/>
      <c r="S239" s="71"/>
      <c r="T239" s="71"/>
      <c r="U239" s="68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29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  <c r="CR239" s="67"/>
      <c r="CS239" s="67"/>
      <c r="CT239" s="67"/>
      <c r="CU239" s="67"/>
      <c r="CV239" s="67"/>
      <c r="CW239" s="67"/>
      <c r="CX239" s="67"/>
      <c r="CY239" s="67"/>
      <c r="CZ239" s="67"/>
      <c r="DA239" s="67"/>
      <c r="DB239" s="67"/>
      <c r="DC239" s="67"/>
      <c r="DD239" s="67"/>
      <c r="DE239" s="67"/>
      <c r="DF239" s="67"/>
    </row>
    <row r="240">
      <c r="A240" s="62"/>
      <c r="B240" s="88"/>
      <c r="C240" s="88"/>
      <c r="D240" s="88"/>
      <c r="E240" s="90"/>
      <c r="F240" s="91"/>
      <c r="G240" s="49"/>
      <c r="H240" s="70"/>
      <c r="I240" s="88"/>
      <c r="J240" s="88"/>
      <c r="K240" s="88"/>
      <c r="L240" s="90"/>
      <c r="M240" s="91"/>
      <c r="N240" s="49"/>
      <c r="O240" s="71"/>
      <c r="P240" s="92"/>
      <c r="Q240" s="71"/>
      <c r="R240" s="92"/>
      <c r="S240" s="71"/>
      <c r="T240" s="71"/>
      <c r="U240" s="68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29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7"/>
      <c r="BT240" s="67"/>
      <c r="BU240" s="67"/>
      <c r="BV240" s="67"/>
      <c r="BW240" s="67"/>
      <c r="BX240" s="67"/>
      <c r="BY240" s="67"/>
      <c r="BZ240" s="67"/>
      <c r="CA240" s="67"/>
      <c r="CB240" s="67"/>
      <c r="CC240" s="67"/>
      <c r="CD240" s="67"/>
      <c r="CE240" s="67"/>
      <c r="CF240" s="67"/>
      <c r="CG240" s="67"/>
      <c r="CH240" s="67"/>
      <c r="CI240" s="67"/>
      <c r="CJ240" s="67"/>
      <c r="CK240" s="67"/>
      <c r="CL240" s="67"/>
      <c r="CM240" s="67"/>
      <c r="CN240" s="67"/>
      <c r="CO240" s="67"/>
      <c r="CP240" s="67"/>
      <c r="CQ240" s="67"/>
      <c r="CR240" s="67"/>
      <c r="CS240" s="67"/>
      <c r="CT240" s="67"/>
      <c r="CU240" s="67"/>
      <c r="CV240" s="67"/>
      <c r="CW240" s="67"/>
      <c r="CX240" s="67"/>
      <c r="CY240" s="67"/>
      <c r="CZ240" s="67"/>
      <c r="DA240" s="67"/>
      <c r="DB240" s="67"/>
      <c r="DC240" s="67"/>
      <c r="DD240" s="67"/>
      <c r="DE240" s="67"/>
      <c r="DF240" s="67"/>
    </row>
    <row r="241">
      <c r="A241" s="62"/>
      <c r="B241" s="88"/>
      <c r="C241" s="88"/>
      <c r="D241" s="88"/>
      <c r="E241" s="90"/>
      <c r="F241" s="91"/>
      <c r="G241" s="49"/>
      <c r="H241" s="70"/>
      <c r="I241" s="88"/>
      <c r="J241" s="88"/>
      <c r="K241" s="88"/>
      <c r="L241" s="90"/>
      <c r="M241" s="91"/>
      <c r="N241" s="49"/>
      <c r="O241" s="71"/>
      <c r="P241" s="92"/>
      <c r="Q241" s="71"/>
      <c r="R241" s="92"/>
      <c r="S241" s="71"/>
      <c r="T241" s="71"/>
      <c r="U241" s="68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29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7"/>
      <c r="BT241" s="67"/>
      <c r="BU241" s="67"/>
      <c r="BV241" s="67"/>
      <c r="BW241" s="67"/>
      <c r="BX241" s="67"/>
      <c r="BY241" s="67"/>
      <c r="BZ241" s="67"/>
      <c r="CA241" s="67"/>
      <c r="CB241" s="67"/>
      <c r="CC241" s="67"/>
      <c r="CD241" s="67"/>
      <c r="CE241" s="67"/>
      <c r="CF241" s="67"/>
      <c r="CG241" s="67"/>
      <c r="CH241" s="67"/>
      <c r="CI241" s="67"/>
      <c r="CJ241" s="67"/>
      <c r="CK241" s="67"/>
      <c r="CL241" s="67"/>
      <c r="CM241" s="67"/>
      <c r="CN241" s="67"/>
      <c r="CO241" s="67"/>
      <c r="CP241" s="67"/>
      <c r="CQ241" s="67"/>
      <c r="CR241" s="67"/>
      <c r="CS241" s="67"/>
      <c r="CT241" s="67"/>
      <c r="CU241" s="67"/>
      <c r="CV241" s="67"/>
      <c r="CW241" s="67"/>
      <c r="CX241" s="67"/>
      <c r="CY241" s="67"/>
      <c r="CZ241" s="67"/>
      <c r="DA241" s="67"/>
      <c r="DB241" s="67"/>
      <c r="DC241" s="67"/>
      <c r="DD241" s="67"/>
      <c r="DE241" s="67"/>
      <c r="DF241" s="67"/>
    </row>
    <row r="242">
      <c r="A242" s="62"/>
      <c r="B242" s="88"/>
      <c r="C242" s="88"/>
      <c r="D242" s="88"/>
      <c r="E242" s="90"/>
      <c r="F242" s="91"/>
      <c r="G242" s="49"/>
      <c r="H242" s="70"/>
      <c r="I242" s="88"/>
      <c r="J242" s="88"/>
      <c r="K242" s="88"/>
      <c r="L242" s="90"/>
      <c r="M242" s="91"/>
      <c r="N242" s="49"/>
      <c r="O242" s="71"/>
      <c r="P242" s="92"/>
      <c r="Q242" s="71"/>
      <c r="R242" s="92"/>
      <c r="S242" s="71"/>
      <c r="T242" s="71"/>
      <c r="U242" s="68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29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67"/>
      <c r="CU242" s="67"/>
      <c r="CV242" s="67"/>
      <c r="CW242" s="67"/>
      <c r="CX242" s="67"/>
      <c r="CY242" s="67"/>
      <c r="CZ242" s="67"/>
      <c r="DA242" s="67"/>
      <c r="DB242" s="67"/>
      <c r="DC242" s="67"/>
      <c r="DD242" s="67"/>
      <c r="DE242" s="67"/>
      <c r="DF242" s="67"/>
    </row>
    <row r="243">
      <c r="A243" s="62"/>
      <c r="B243" s="88"/>
      <c r="C243" s="88"/>
      <c r="D243" s="88"/>
      <c r="E243" s="90"/>
      <c r="F243" s="91"/>
      <c r="G243" s="49"/>
      <c r="H243" s="70"/>
      <c r="I243" s="88"/>
      <c r="J243" s="88"/>
      <c r="K243" s="88"/>
      <c r="L243" s="90"/>
      <c r="M243" s="91"/>
      <c r="N243" s="49"/>
      <c r="O243" s="71"/>
      <c r="P243" s="92"/>
      <c r="Q243" s="71"/>
      <c r="R243" s="92"/>
      <c r="S243" s="71"/>
      <c r="T243" s="71"/>
      <c r="U243" s="68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29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67"/>
      <c r="BT243" s="67"/>
      <c r="BU243" s="67"/>
      <c r="BV243" s="67"/>
      <c r="BW243" s="67"/>
      <c r="BX243" s="67"/>
      <c r="BY243" s="67"/>
      <c r="BZ243" s="67"/>
      <c r="CA243" s="67"/>
      <c r="CB243" s="67"/>
      <c r="CC243" s="67"/>
      <c r="CD243" s="67"/>
      <c r="CE243" s="67"/>
      <c r="CF243" s="67"/>
      <c r="CG243" s="67"/>
      <c r="CH243" s="67"/>
      <c r="CI243" s="67"/>
      <c r="CJ243" s="67"/>
      <c r="CK243" s="67"/>
      <c r="CL243" s="67"/>
      <c r="CM243" s="67"/>
      <c r="CN243" s="67"/>
      <c r="CO243" s="67"/>
      <c r="CP243" s="67"/>
      <c r="CQ243" s="67"/>
      <c r="CR243" s="67"/>
      <c r="CS243" s="67"/>
      <c r="CT243" s="67"/>
      <c r="CU243" s="67"/>
      <c r="CV243" s="67"/>
      <c r="CW243" s="67"/>
      <c r="CX243" s="67"/>
      <c r="CY243" s="67"/>
      <c r="CZ243" s="67"/>
      <c r="DA243" s="67"/>
      <c r="DB243" s="67"/>
      <c r="DC243" s="67"/>
      <c r="DD243" s="67"/>
      <c r="DE243" s="67"/>
      <c r="DF243" s="67"/>
    </row>
    <row r="244">
      <c r="A244" s="62"/>
      <c r="B244" s="88"/>
      <c r="C244" s="88"/>
      <c r="D244" s="88"/>
      <c r="E244" s="90"/>
      <c r="F244" s="91"/>
      <c r="G244" s="49"/>
      <c r="H244" s="70"/>
      <c r="I244" s="88"/>
      <c r="J244" s="88"/>
      <c r="K244" s="88"/>
      <c r="L244" s="90"/>
      <c r="M244" s="91"/>
      <c r="N244" s="49"/>
      <c r="O244" s="71"/>
      <c r="P244" s="92"/>
      <c r="Q244" s="71"/>
      <c r="R244" s="92"/>
      <c r="S244" s="71"/>
      <c r="T244" s="71"/>
      <c r="U244" s="68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29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7"/>
      <c r="CE244" s="67"/>
      <c r="CF244" s="67"/>
      <c r="CG244" s="67"/>
      <c r="CH244" s="67"/>
      <c r="CI244" s="67"/>
      <c r="CJ244" s="67"/>
      <c r="CK244" s="67"/>
      <c r="CL244" s="67"/>
      <c r="CM244" s="67"/>
      <c r="CN244" s="67"/>
      <c r="CO244" s="67"/>
      <c r="CP244" s="67"/>
      <c r="CQ244" s="67"/>
      <c r="CR244" s="67"/>
      <c r="CS244" s="67"/>
      <c r="CT244" s="67"/>
      <c r="CU244" s="67"/>
      <c r="CV244" s="67"/>
      <c r="CW244" s="67"/>
      <c r="CX244" s="67"/>
      <c r="CY244" s="67"/>
      <c r="CZ244" s="67"/>
      <c r="DA244" s="67"/>
      <c r="DB244" s="67"/>
      <c r="DC244" s="67"/>
      <c r="DD244" s="67"/>
      <c r="DE244" s="67"/>
      <c r="DF244" s="67"/>
    </row>
    <row r="245">
      <c r="A245" s="62"/>
      <c r="B245" s="88"/>
      <c r="C245" s="88"/>
      <c r="D245" s="88"/>
      <c r="E245" s="90"/>
      <c r="F245" s="91"/>
      <c r="G245" s="49"/>
      <c r="H245" s="70"/>
      <c r="I245" s="88"/>
      <c r="J245" s="88"/>
      <c r="K245" s="88"/>
      <c r="L245" s="90"/>
      <c r="M245" s="91"/>
      <c r="N245" s="49"/>
      <c r="O245" s="71"/>
      <c r="P245" s="92"/>
      <c r="Q245" s="71"/>
      <c r="R245" s="92"/>
      <c r="S245" s="71"/>
      <c r="T245" s="71"/>
      <c r="U245" s="68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29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67"/>
      <c r="CU245" s="67"/>
      <c r="CV245" s="67"/>
      <c r="CW245" s="67"/>
      <c r="CX245" s="67"/>
      <c r="CY245" s="67"/>
      <c r="CZ245" s="67"/>
      <c r="DA245" s="67"/>
      <c r="DB245" s="67"/>
      <c r="DC245" s="67"/>
      <c r="DD245" s="67"/>
      <c r="DE245" s="67"/>
      <c r="DF245" s="67"/>
    </row>
    <row r="246">
      <c r="A246" s="62"/>
      <c r="B246" s="88"/>
      <c r="C246" s="88"/>
      <c r="D246" s="88"/>
      <c r="E246" s="90"/>
      <c r="F246" s="91"/>
      <c r="G246" s="49"/>
      <c r="H246" s="70"/>
      <c r="I246" s="88"/>
      <c r="J246" s="88"/>
      <c r="K246" s="88"/>
      <c r="L246" s="90"/>
      <c r="M246" s="91"/>
      <c r="N246" s="49"/>
      <c r="O246" s="71"/>
      <c r="P246" s="92"/>
      <c r="Q246" s="71"/>
      <c r="R246" s="92"/>
      <c r="S246" s="71"/>
      <c r="T246" s="71"/>
      <c r="U246" s="68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29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  <c r="CR246" s="67"/>
      <c r="CS246" s="67"/>
      <c r="CT246" s="67"/>
      <c r="CU246" s="67"/>
      <c r="CV246" s="67"/>
      <c r="CW246" s="67"/>
      <c r="CX246" s="67"/>
      <c r="CY246" s="67"/>
      <c r="CZ246" s="67"/>
      <c r="DA246" s="67"/>
      <c r="DB246" s="67"/>
      <c r="DC246" s="67"/>
      <c r="DD246" s="67"/>
      <c r="DE246" s="67"/>
      <c r="DF246" s="67"/>
    </row>
    <row r="247">
      <c r="A247" s="62"/>
      <c r="B247" s="88"/>
      <c r="C247" s="88"/>
      <c r="D247" s="88"/>
      <c r="E247" s="90"/>
      <c r="F247" s="91"/>
      <c r="G247" s="49"/>
      <c r="H247" s="70"/>
      <c r="I247" s="88"/>
      <c r="J247" s="88"/>
      <c r="K247" s="88"/>
      <c r="L247" s="90"/>
      <c r="M247" s="91"/>
      <c r="N247" s="49"/>
      <c r="O247" s="71"/>
      <c r="P247" s="92"/>
      <c r="Q247" s="71"/>
      <c r="R247" s="92"/>
      <c r="S247" s="71"/>
      <c r="T247" s="71"/>
      <c r="U247" s="68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29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  <c r="CR247" s="67"/>
      <c r="CS247" s="67"/>
      <c r="CT247" s="67"/>
      <c r="CU247" s="67"/>
      <c r="CV247" s="67"/>
      <c r="CW247" s="67"/>
      <c r="CX247" s="67"/>
      <c r="CY247" s="67"/>
      <c r="CZ247" s="67"/>
      <c r="DA247" s="67"/>
      <c r="DB247" s="67"/>
      <c r="DC247" s="67"/>
      <c r="DD247" s="67"/>
      <c r="DE247" s="67"/>
      <c r="DF247" s="67"/>
    </row>
    <row r="248">
      <c r="A248" s="62"/>
      <c r="B248" s="88"/>
      <c r="C248" s="88"/>
      <c r="D248" s="88"/>
      <c r="E248" s="90"/>
      <c r="F248" s="91"/>
      <c r="G248" s="49"/>
      <c r="H248" s="70"/>
      <c r="I248" s="88"/>
      <c r="J248" s="88"/>
      <c r="K248" s="88"/>
      <c r="L248" s="90"/>
      <c r="M248" s="91"/>
      <c r="N248" s="49"/>
      <c r="O248" s="71"/>
      <c r="P248" s="92"/>
      <c r="Q248" s="71"/>
      <c r="R248" s="92"/>
      <c r="S248" s="71"/>
      <c r="T248" s="71"/>
      <c r="U248" s="68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29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7"/>
      <c r="DD248" s="67"/>
      <c r="DE248" s="67"/>
      <c r="DF248" s="67"/>
    </row>
    <row r="249">
      <c r="A249" s="62"/>
      <c r="B249" s="88"/>
      <c r="C249" s="88"/>
      <c r="D249" s="88"/>
      <c r="E249" s="90"/>
      <c r="F249" s="91"/>
      <c r="G249" s="49"/>
      <c r="H249" s="70"/>
      <c r="I249" s="88"/>
      <c r="J249" s="88"/>
      <c r="K249" s="88"/>
      <c r="L249" s="90"/>
      <c r="M249" s="91"/>
      <c r="N249" s="49"/>
      <c r="O249" s="71"/>
      <c r="P249" s="92"/>
      <c r="Q249" s="71"/>
      <c r="R249" s="92"/>
      <c r="S249" s="71"/>
      <c r="T249" s="71"/>
      <c r="U249" s="68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29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67"/>
      <c r="BT249" s="67"/>
      <c r="BU249" s="67"/>
      <c r="BV249" s="67"/>
      <c r="BW249" s="67"/>
      <c r="BX249" s="67"/>
      <c r="BY249" s="67"/>
      <c r="BZ249" s="67"/>
      <c r="CA249" s="67"/>
      <c r="CB249" s="67"/>
      <c r="CC249" s="67"/>
      <c r="CD249" s="67"/>
      <c r="CE249" s="67"/>
      <c r="CF249" s="67"/>
      <c r="CG249" s="67"/>
      <c r="CH249" s="67"/>
      <c r="CI249" s="67"/>
      <c r="CJ249" s="67"/>
      <c r="CK249" s="67"/>
      <c r="CL249" s="67"/>
      <c r="CM249" s="67"/>
      <c r="CN249" s="67"/>
      <c r="CO249" s="67"/>
      <c r="CP249" s="67"/>
      <c r="CQ249" s="67"/>
      <c r="CR249" s="67"/>
      <c r="CS249" s="67"/>
      <c r="CT249" s="67"/>
      <c r="CU249" s="67"/>
      <c r="CV249" s="67"/>
      <c r="CW249" s="67"/>
      <c r="CX249" s="67"/>
      <c r="CY249" s="67"/>
      <c r="CZ249" s="67"/>
      <c r="DA249" s="67"/>
      <c r="DB249" s="67"/>
      <c r="DC249" s="67"/>
      <c r="DD249" s="67"/>
      <c r="DE249" s="67"/>
      <c r="DF249" s="67"/>
    </row>
    <row r="250">
      <c r="A250" s="62"/>
      <c r="B250" s="88"/>
      <c r="C250" s="88"/>
      <c r="D250" s="88"/>
      <c r="E250" s="90"/>
      <c r="F250" s="91"/>
      <c r="G250" s="49"/>
      <c r="H250" s="70"/>
      <c r="I250" s="88"/>
      <c r="J250" s="88"/>
      <c r="K250" s="88"/>
      <c r="L250" s="90"/>
      <c r="M250" s="91"/>
      <c r="N250" s="49"/>
      <c r="O250" s="71"/>
      <c r="P250" s="92"/>
      <c r="Q250" s="71"/>
      <c r="R250" s="92"/>
      <c r="S250" s="71"/>
      <c r="T250" s="71"/>
      <c r="U250" s="68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29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  <c r="BK250" s="67"/>
      <c r="BL250" s="67"/>
      <c r="BM250" s="67"/>
      <c r="BN250" s="67"/>
      <c r="BO250" s="67"/>
      <c r="BP250" s="67"/>
      <c r="BQ250" s="67"/>
      <c r="BR250" s="67"/>
      <c r="BS250" s="67"/>
      <c r="BT250" s="67"/>
      <c r="BU250" s="67"/>
      <c r="BV250" s="67"/>
      <c r="BW250" s="67"/>
      <c r="BX250" s="67"/>
      <c r="BY250" s="67"/>
      <c r="BZ250" s="67"/>
      <c r="CA250" s="67"/>
      <c r="CB250" s="67"/>
      <c r="CC250" s="67"/>
      <c r="CD250" s="67"/>
      <c r="CE250" s="67"/>
      <c r="CF250" s="67"/>
      <c r="CG250" s="67"/>
      <c r="CH250" s="67"/>
      <c r="CI250" s="67"/>
      <c r="CJ250" s="67"/>
      <c r="CK250" s="67"/>
      <c r="CL250" s="67"/>
      <c r="CM250" s="67"/>
      <c r="CN250" s="67"/>
      <c r="CO250" s="67"/>
      <c r="CP250" s="67"/>
      <c r="CQ250" s="67"/>
      <c r="CR250" s="67"/>
      <c r="CS250" s="67"/>
      <c r="CT250" s="67"/>
      <c r="CU250" s="67"/>
      <c r="CV250" s="67"/>
      <c r="CW250" s="67"/>
      <c r="CX250" s="67"/>
      <c r="CY250" s="67"/>
      <c r="CZ250" s="67"/>
      <c r="DA250" s="67"/>
      <c r="DB250" s="67"/>
      <c r="DC250" s="67"/>
      <c r="DD250" s="67"/>
      <c r="DE250" s="67"/>
      <c r="DF250" s="67"/>
    </row>
    <row r="251">
      <c r="A251" s="62"/>
      <c r="B251" s="88"/>
      <c r="C251" s="88"/>
      <c r="D251" s="88"/>
      <c r="E251" s="90"/>
      <c r="F251" s="91"/>
      <c r="G251" s="49"/>
      <c r="H251" s="70"/>
      <c r="I251" s="88"/>
      <c r="J251" s="88"/>
      <c r="K251" s="88"/>
      <c r="L251" s="90"/>
      <c r="M251" s="91"/>
      <c r="N251" s="49"/>
      <c r="O251" s="71"/>
      <c r="P251" s="92"/>
      <c r="Q251" s="71"/>
      <c r="R251" s="92"/>
      <c r="S251" s="71"/>
      <c r="T251" s="71"/>
      <c r="U251" s="68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29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  <c r="BK251" s="67"/>
      <c r="BL251" s="67"/>
      <c r="BM251" s="67"/>
      <c r="BN251" s="67"/>
      <c r="BO251" s="67"/>
      <c r="BP251" s="67"/>
      <c r="BQ251" s="67"/>
      <c r="BR251" s="67"/>
      <c r="BS251" s="67"/>
      <c r="BT251" s="67"/>
      <c r="BU251" s="67"/>
      <c r="BV251" s="67"/>
      <c r="BW251" s="67"/>
      <c r="BX251" s="67"/>
      <c r="BY251" s="67"/>
      <c r="BZ251" s="67"/>
      <c r="CA251" s="67"/>
      <c r="CB251" s="67"/>
      <c r="CC251" s="67"/>
      <c r="CD251" s="67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67"/>
      <c r="CP251" s="67"/>
      <c r="CQ251" s="67"/>
      <c r="CR251" s="67"/>
      <c r="CS251" s="67"/>
      <c r="CT251" s="67"/>
      <c r="CU251" s="67"/>
      <c r="CV251" s="67"/>
      <c r="CW251" s="67"/>
      <c r="CX251" s="67"/>
      <c r="CY251" s="67"/>
      <c r="CZ251" s="67"/>
      <c r="DA251" s="67"/>
      <c r="DB251" s="67"/>
      <c r="DC251" s="67"/>
      <c r="DD251" s="67"/>
      <c r="DE251" s="67"/>
      <c r="DF251" s="67"/>
    </row>
    <row r="252">
      <c r="A252" s="62"/>
      <c r="B252" s="88"/>
      <c r="C252" s="88"/>
      <c r="D252" s="88"/>
      <c r="E252" s="90"/>
      <c r="F252" s="91"/>
      <c r="G252" s="49"/>
      <c r="H252" s="70"/>
      <c r="I252" s="88"/>
      <c r="J252" s="88"/>
      <c r="K252" s="88"/>
      <c r="L252" s="90"/>
      <c r="M252" s="91"/>
      <c r="N252" s="49"/>
      <c r="O252" s="71"/>
      <c r="P252" s="92"/>
      <c r="Q252" s="71"/>
      <c r="R252" s="92"/>
      <c r="S252" s="71"/>
      <c r="T252" s="71"/>
      <c r="U252" s="68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29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  <c r="BK252" s="67"/>
      <c r="BL252" s="67"/>
      <c r="BM252" s="67"/>
      <c r="BN252" s="67"/>
      <c r="BO252" s="67"/>
      <c r="BP252" s="67"/>
      <c r="BQ252" s="67"/>
      <c r="BR252" s="67"/>
      <c r="BS252" s="67"/>
      <c r="BT252" s="67"/>
      <c r="BU252" s="67"/>
      <c r="BV252" s="67"/>
      <c r="BW252" s="67"/>
      <c r="BX252" s="67"/>
      <c r="BY252" s="67"/>
      <c r="BZ252" s="67"/>
      <c r="CA252" s="67"/>
      <c r="CB252" s="67"/>
      <c r="CC252" s="67"/>
      <c r="CD252" s="67"/>
      <c r="CE252" s="67"/>
      <c r="CF252" s="67"/>
      <c r="CG252" s="67"/>
      <c r="CH252" s="67"/>
      <c r="CI252" s="67"/>
      <c r="CJ252" s="67"/>
      <c r="CK252" s="67"/>
      <c r="CL252" s="67"/>
      <c r="CM252" s="67"/>
      <c r="CN252" s="67"/>
      <c r="CO252" s="67"/>
      <c r="CP252" s="67"/>
      <c r="CQ252" s="67"/>
      <c r="CR252" s="67"/>
      <c r="CS252" s="67"/>
      <c r="CT252" s="67"/>
      <c r="CU252" s="67"/>
      <c r="CV252" s="67"/>
      <c r="CW252" s="67"/>
      <c r="CX252" s="67"/>
      <c r="CY252" s="67"/>
      <c r="CZ252" s="67"/>
      <c r="DA252" s="67"/>
      <c r="DB252" s="67"/>
      <c r="DC252" s="67"/>
      <c r="DD252" s="67"/>
      <c r="DE252" s="67"/>
      <c r="DF252" s="67"/>
    </row>
    <row r="253">
      <c r="A253" s="62"/>
      <c r="B253" s="88"/>
      <c r="C253" s="88"/>
      <c r="D253" s="88"/>
      <c r="E253" s="90"/>
      <c r="F253" s="91"/>
      <c r="G253" s="49"/>
      <c r="H253" s="70"/>
      <c r="I253" s="88"/>
      <c r="J253" s="88"/>
      <c r="K253" s="88"/>
      <c r="L253" s="90"/>
      <c r="M253" s="91"/>
      <c r="N253" s="49"/>
      <c r="O253" s="71"/>
      <c r="P253" s="92"/>
      <c r="Q253" s="71"/>
      <c r="R253" s="92"/>
      <c r="S253" s="71"/>
      <c r="T253" s="71"/>
      <c r="U253" s="68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29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  <c r="BM253" s="67"/>
      <c r="BN253" s="67"/>
      <c r="BO253" s="67"/>
      <c r="BP253" s="67"/>
      <c r="BQ253" s="67"/>
      <c r="BR253" s="67"/>
      <c r="BS253" s="67"/>
      <c r="BT253" s="67"/>
      <c r="BU253" s="67"/>
      <c r="BV253" s="67"/>
      <c r="BW253" s="67"/>
      <c r="BX253" s="67"/>
      <c r="BY253" s="67"/>
      <c r="BZ253" s="67"/>
      <c r="CA253" s="67"/>
      <c r="CB253" s="67"/>
      <c r="CC253" s="67"/>
      <c r="CD253" s="67"/>
      <c r="CE253" s="67"/>
      <c r="CF253" s="67"/>
      <c r="CG253" s="67"/>
      <c r="CH253" s="67"/>
      <c r="CI253" s="67"/>
      <c r="CJ253" s="67"/>
      <c r="CK253" s="67"/>
      <c r="CL253" s="67"/>
      <c r="CM253" s="67"/>
      <c r="CN253" s="67"/>
      <c r="CO253" s="67"/>
      <c r="CP253" s="67"/>
      <c r="CQ253" s="67"/>
      <c r="CR253" s="67"/>
      <c r="CS253" s="67"/>
      <c r="CT253" s="67"/>
      <c r="CU253" s="67"/>
      <c r="CV253" s="67"/>
      <c r="CW253" s="67"/>
      <c r="CX253" s="67"/>
      <c r="CY253" s="67"/>
      <c r="CZ253" s="67"/>
      <c r="DA253" s="67"/>
      <c r="DB253" s="67"/>
      <c r="DC253" s="67"/>
      <c r="DD253" s="67"/>
      <c r="DE253" s="67"/>
      <c r="DF253" s="67"/>
    </row>
    <row r="254">
      <c r="A254" s="62"/>
      <c r="B254" s="88"/>
      <c r="C254" s="88"/>
      <c r="D254" s="88"/>
      <c r="E254" s="90"/>
      <c r="F254" s="91"/>
      <c r="G254" s="49"/>
      <c r="H254" s="70"/>
      <c r="I254" s="88"/>
      <c r="J254" s="88"/>
      <c r="K254" s="88"/>
      <c r="L254" s="90"/>
      <c r="M254" s="91"/>
      <c r="N254" s="49"/>
      <c r="O254" s="71"/>
      <c r="P254" s="92"/>
      <c r="Q254" s="71"/>
      <c r="R254" s="92"/>
      <c r="S254" s="71"/>
      <c r="T254" s="71"/>
      <c r="U254" s="68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29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67"/>
      <c r="BW254" s="67"/>
      <c r="BX254" s="67"/>
      <c r="BY254" s="67"/>
      <c r="BZ254" s="67"/>
      <c r="CA254" s="67"/>
      <c r="CB254" s="67"/>
      <c r="CC254" s="67"/>
      <c r="CD254" s="67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67"/>
      <c r="CP254" s="67"/>
      <c r="CQ254" s="67"/>
      <c r="CR254" s="67"/>
      <c r="CS254" s="67"/>
      <c r="CT254" s="67"/>
      <c r="CU254" s="67"/>
      <c r="CV254" s="67"/>
      <c r="CW254" s="67"/>
      <c r="CX254" s="67"/>
      <c r="CY254" s="67"/>
      <c r="CZ254" s="67"/>
      <c r="DA254" s="67"/>
      <c r="DB254" s="67"/>
      <c r="DC254" s="67"/>
      <c r="DD254" s="67"/>
      <c r="DE254" s="67"/>
      <c r="DF254" s="67"/>
    </row>
    <row r="255">
      <c r="A255" s="62"/>
      <c r="B255" s="88"/>
      <c r="C255" s="88"/>
      <c r="D255" s="88"/>
      <c r="E255" s="90"/>
      <c r="F255" s="91"/>
      <c r="G255" s="49"/>
      <c r="H255" s="70"/>
      <c r="I255" s="88"/>
      <c r="J255" s="88"/>
      <c r="K255" s="88"/>
      <c r="L255" s="90"/>
      <c r="M255" s="91"/>
      <c r="N255" s="49"/>
      <c r="O255" s="71"/>
      <c r="P255" s="92"/>
      <c r="Q255" s="71"/>
      <c r="R255" s="92"/>
      <c r="S255" s="71"/>
      <c r="T255" s="71"/>
      <c r="U255" s="68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29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67"/>
      <c r="BW255" s="67"/>
      <c r="BX255" s="67"/>
      <c r="BY255" s="67"/>
      <c r="BZ255" s="67"/>
      <c r="CA255" s="67"/>
      <c r="CB255" s="67"/>
      <c r="CC255" s="67"/>
      <c r="CD255" s="67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67"/>
      <c r="CP255" s="67"/>
      <c r="CQ255" s="67"/>
      <c r="CR255" s="67"/>
      <c r="CS255" s="67"/>
      <c r="CT255" s="67"/>
      <c r="CU255" s="67"/>
      <c r="CV255" s="67"/>
      <c r="CW255" s="67"/>
      <c r="CX255" s="67"/>
      <c r="CY255" s="67"/>
      <c r="CZ255" s="67"/>
      <c r="DA255" s="67"/>
      <c r="DB255" s="67"/>
      <c r="DC255" s="67"/>
      <c r="DD255" s="67"/>
      <c r="DE255" s="67"/>
      <c r="DF255" s="67"/>
    </row>
    <row r="256">
      <c r="A256" s="62"/>
      <c r="B256" s="88"/>
      <c r="C256" s="88"/>
      <c r="D256" s="88"/>
      <c r="E256" s="90"/>
      <c r="F256" s="91"/>
      <c r="G256" s="49"/>
      <c r="H256" s="70"/>
      <c r="I256" s="88"/>
      <c r="J256" s="88"/>
      <c r="K256" s="88"/>
      <c r="L256" s="90"/>
      <c r="M256" s="91"/>
      <c r="N256" s="49"/>
      <c r="O256" s="71"/>
      <c r="P256" s="92"/>
      <c r="Q256" s="71"/>
      <c r="R256" s="92"/>
      <c r="S256" s="71"/>
      <c r="T256" s="71"/>
      <c r="U256" s="68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29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/>
      <c r="BR256" s="67"/>
      <c r="BS256" s="67"/>
      <c r="BT256" s="67"/>
      <c r="BU256" s="67"/>
      <c r="BV256" s="67"/>
      <c r="BW256" s="67"/>
      <c r="BX256" s="67"/>
      <c r="BY256" s="67"/>
      <c r="BZ256" s="67"/>
      <c r="CA256" s="67"/>
      <c r="CB256" s="67"/>
      <c r="CC256" s="67"/>
      <c r="CD256" s="67"/>
      <c r="CE256" s="67"/>
      <c r="CF256" s="67"/>
      <c r="CG256" s="67"/>
      <c r="CH256" s="67"/>
      <c r="CI256" s="67"/>
      <c r="CJ256" s="67"/>
      <c r="CK256" s="67"/>
      <c r="CL256" s="67"/>
      <c r="CM256" s="67"/>
      <c r="CN256" s="67"/>
      <c r="CO256" s="67"/>
      <c r="CP256" s="67"/>
      <c r="CQ256" s="67"/>
      <c r="CR256" s="67"/>
      <c r="CS256" s="67"/>
      <c r="CT256" s="67"/>
      <c r="CU256" s="67"/>
      <c r="CV256" s="67"/>
      <c r="CW256" s="67"/>
      <c r="CX256" s="67"/>
      <c r="CY256" s="67"/>
      <c r="CZ256" s="67"/>
      <c r="DA256" s="67"/>
      <c r="DB256" s="67"/>
      <c r="DC256" s="67"/>
      <c r="DD256" s="67"/>
      <c r="DE256" s="67"/>
      <c r="DF256" s="67"/>
    </row>
    <row r="257">
      <c r="A257" s="62"/>
      <c r="B257" s="88"/>
      <c r="C257" s="88"/>
      <c r="D257" s="88"/>
      <c r="E257" s="90"/>
      <c r="F257" s="91"/>
      <c r="G257" s="49"/>
      <c r="H257" s="70"/>
      <c r="I257" s="88"/>
      <c r="J257" s="88"/>
      <c r="K257" s="88"/>
      <c r="L257" s="90"/>
      <c r="M257" s="91"/>
      <c r="N257" s="49"/>
      <c r="O257" s="71"/>
      <c r="P257" s="92"/>
      <c r="Q257" s="71"/>
      <c r="R257" s="92"/>
      <c r="S257" s="71"/>
      <c r="T257" s="71"/>
      <c r="U257" s="68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29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67"/>
      <c r="BW257" s="67"/>
      <c r="BX257" s="67"/>
      <c r="BY257" s="67"/>
      <c r="BZ257" s="67"/>
      <c r="CA257" s="67"/>
      <c r="CB257" s="67"/>
      <c r="CC257" s="67"/>
      <c r="CD257" s="67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67"/>
      <c r="CP257" s="67"/>
      <c r="CQ257" s="67"/>
      <c r="CR257" s="67"/>
      <c r="CS257" s="67"/>
      <c r="CT257" s="67"/>
      <c r="CU257" s="67"/>
      <c r="CV257" s="67"/>
      <c r="CW257" s="67"/>
      <c r="CX257" s="67"/>
      <c r="CY257" s="67"/>
      <c r="CZ257" s="67"/>
      <c r="DA257" s="67"/>
      <c r="DB257" s="67"/>
      <c r="DC257" s="67"/>
      <c r="DD257" s="67"/>
      <c r="DE257" s="67"/>
      <c r="DF257" s="67"/>
    </row>
    <row r="258">
      <c r="A258" s="62"/>
      <c r="B258" s="88"/>
      <c r="C258" s="88"/>
      <c r="D258" s="88"/>
      <c r="E258" s="90"/>
      <c r="F258" s="91"/>
      <c r="G258" s="49"/>
      <c r="H258" s="70"/>
      <c r="I258" s="88"/>
      <c r="J258" s="88"/>
      <c r="K258" s="88"/>
      <c r="L258" s="90"/>
      <c r="M258" s="91"/>
      <c r="N258" s="49"/>
      <c r="O258" s="71"/>
      <c r="P258" s="92"/>
      <c r="Q258" s="71"/>
      <c r="R258" s="92"/>
      <c r="S258" s="71"/>
      <c r="T258" s="71"/>
      <c r="U258" s="68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29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  <c r="BC258" s="67"/>
      <c r="BD258" s="67"/>
      <c r="BE258" s="67"/>
      <c r="BF258" s="67"/>
      <c r="BG258" s="67"/>
      <c r="BH258" s="67"/>
      <c r="BI258" s="67"/>
      <c r="BJ258" s="67"/>
      <c r="BK258" s="67"/>
      <c r="BL258" s="67"/>
      <c r="BM258" s="67"/>
      <c r="BN258" s="67"/>
      <c r="BO258" s="67"/>
      <c r="BP258" s="67"/>
      <c r="BQ258" s="67"/>
      <c r="BR258" s="67"/>
      <c r="BS258" s="67"/>
      <c r="BT258" s="67"/>
      <c r="BU258" s="67"/>
      <c r="BV258" s="67"/>
      <c r="BW258" s="67"/>
      <c r="BX258" s="67"/>
      <c r="BY258" s="67"/>
      <c r="BZ258" s="67"/>
      <c r="CA258" s="67"/>
      <c r="CB258" s="67"/>
      <c r="CC258" s="67"/>
      <c r="CD258" s="67"/>
      <c r="CE258" s="67"/>
      <c r="CF258" s="67"/>
      <c r="CG258" s="67"/>
      <c r="CH258" s="67"/>
      <c r="CI258" s="67"/>
      <c r="CJ258" s="67"/>
      <c r="CK258" s="67"/>
      <c r="CL258" s="67"/>
      <c r="CM258" s="67"/>
      <c r="CN258" s="67"/>
      <c r="CO258" s="67"/>
      <c r="CP258" s="67"/>
      <c r="CQ258" s="67"/>
      <c r="CR258" s="67"/>
      <c r="CS258" s="67"/>
      <c r="CT258" s="67"/>
      <c r="CU258" s="67"/>
      <c r="CV258" s="67"/>
      <c r="CW258" s="67"/>
      <c r="CX258" s="67"/>
      <c r="CY258" s="67"/>
      <c r="CZ258" s="67"/>
      <c r="DA258" s="67"/>
      <c r="DB258" s="67"/>
      <c r="DC258" s="67"/>
      <c r="DD258" s="67"/>
      <c r="DE258" s="67"/>
      <c r="DF258" s="67"/>
    </row>
    <row r="259">
      <c r="A259" s="62"/>
      <c r="B259" s="88"/>
      <c r="C259" s="88"/>
      <c r="D259" s="88"/>
      <c r="E259" s="90"/>
      <c r="F259" s="91"/>
      <c r="G259" s="49"/>
      <c r="H259" s="70"/>
      <c r="I259" s="88"/>
      <c r="J259" s="88"/>
      <c r="K259" s="88"/>
      <c r="L259" s="90"/>
      <c r="M259" s="91"/>
      <c r="N259" s="49"/>
      <c r="O259" s="71"/>
      <c r="P259" s="92"/>
      <c r="Q259" s="71"/>
      <c r="R259" s="92"/>
      <c r="S259" s="71"/>
      <c r="T259" s="71"/>
      <c r="U259" s="68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29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  <c r="BM259" s="67"/>
      <c r="BN259" s="67"/>
      <c r="BO259" s="67"/>
      <c r="BP259" s="67"/>
      <c r="BQ259" s="67"/>
      <c r="BR259" s="67"/>
      <c r="BS259" s="67"/>
      <c r="BT259" s="67"/>
      <c r="BU259" s="67"/>
      <c r="BV259" s="67"/>
      <c r="BW259" s="67"/>
      <c r="BX259" s="67"/>
      <c r="BY259" s="67"/>
      <c r="BZ259" s="67"/>
      <c r="CA259" s="67"/>
      <c r="CB259" s="67"/>
      <c r="CC259" s="67"/>
      <c r="CD259" s="67"/>
      <c r="CE259" s="67"/>
      <c r="CF259" s="67"/>
      <c r="CG259" s="67"/>
      <c r="CH259" s="67"/>
      <c r="CI259" s="67"/>
      <c r="CJ259" s="67"/>
      <c r="CK259" s="67"/>
      <c r="CL259" s="67"/>
      <c r="CM259" s="67"/>
      <c r="CN259" s="67"/>
      <c r="CO259" s="67"/>
      <c r="CP259" s="67"/>
      <c r="CQ259" s="67"/>
      <c r="CR259" s="67"/>
      <c r="CS259" s="67"/>
      <c r="CT259" s="67"/>
      <c r="CU259" s="67"/>
      <c r="CV259" s="67"/>
      <c r="CW259" s="67"/>
      <c r="CX259" s="67"/>
      <c r="CY259" s="67"/>
      <c r="CZ259" s="67"/>
      <c r="DA259" s="67"/>
      <c r="DB259" s="67"/>
      <c r="DC259" s="67"/>
      <c r="DD259" s="67"/>
      <c r="DE259" s="67"/>
      <c r="DF259" s="67"/>
    </row>
    <row r="260">
      <c r="A260" s="62"/>
      <c r="B260" s="88"/>
      <c r="C260" s="88"/>
      <c r="D260" s="88"/>
      <c r="E260" s="90"/>
      <c r="F260" s="91"/>
      <c r="G260" s="49"/>
      <c r="H260" s="70"/>
      <c r="I260" s="88"/>
      <c r="J260" s="88"/>
      <c r="K260" s="88"/>
      <c r="L260" s="90"/>
      <c r="M260" s="91"/>
      <c r="N260" s="49"/>
      <c r="O260" s="71"/>
      <c r="P260" s="92"/>
      <c r="Q260" s="71"/>
      <c r="R260" s="92"/>
      <c r="S260" s="71"/>
      <c r="T260" s="71"/>
      <c r="U260" s="68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29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  <c r="BC260" s="67"/>
      <c r="BD260" s="67"/>
      <c r="BE260" s="67"/>
      <c r="BF260" s="67"/>
      <c r="BG260" s="67"/>
      <c r="BH260" s="67"/>
      <c r="BI260" s="67"/>
      <c r="BJ260" s="67"/>
      <c r="BK260" s="67"/>
      <c r="BL260" s="67"/>
      <c r="BM260" s="67"/>
      <c r="BN260" s="67"/>
      <c r="BO260" s="67"/>
      <c r="BP260" s="67"/>
      <c r="BQ260" s="67"/>
      <c r="BR260" s="67"/>
      <c r="BS260" s="67"/>
      <c r="BT260" s="67"/>
      <c r="BU260" s="67"/>
      <c r="BV260" s="67"/>
      <c r="BW260" s="67"/>
      <c r="BX260" s="67"/>
      <c r="BY260" s="67"/>
      <c r="BZ260" s="67"/>
      <c r="CA260" s="67"/>
      <c r="CB260" s="67"/>
      <c r="CC260" s="67"/>
      <c r="CD260" s="67"/>
      <c r="CE260" s="67"/>
      <c r="CF260" s="67"/>
      <c r="CG260" s="67"/>
      <c r="CH260" s="67"/>
      <c r="CI260" s="67"/>
      <c r="CJ260" s="67"/>
      <c r="CK260" s="67"/>
      <c r="CL260" s="67"/>
      <c r="CM260" s="67"/>
      <c r="CN260" s="67"/>
      <c r="CO260" s="67"/>
      <c r="CP260" s="67"/>
      <c r="CQ260" s="67"/>
      <c r="CR260" s="67"/>
      <c r="CS260" s="67"/>
      <c r="CT260" s="67"/>
      <c r="CU260" s="67"/>
      <c r="CV260" s="67"/>
      <c r="CW260" s="67"/>
      <c r="CX260" s="67"/>
      <c r="CY260" s="67"/>
      <c r="CZ260" s="67"/>
      <c r="DA260" s="67"/>
      <c r="DB260" s="67"/>
      <c r="DC260" s="67"/>
      <c r="DD260" s="67"/>
      <c r="DE260" s="67"/>
      <c r="DF260" s="67"/>
    </row>
    <row r="261">
      <c r="A261" s="62"/>
      <c r="B261" s="88"/>
      <c r="C261" s="88"/>
      <c r="D261" s="88"/>
      <c r="E261" s="90"/>
      <c r="F261" s="91"/>
      <c r="G261" s="49"/>
      <c r="H261" s="70"/>
      <c r="I261" s="88"/>
      <c r="J261" s="88"/>
      <c r="K261" s="88"/>
      <c r="L261" s="90"/>
      <c r="M261" s="91"/>
      <c r="N261" s="49"/>
      <c r="O261" s="71"/>
      <c r="P261" s="92"/>
      <c r="Q261" s="71"/>
      <c r="R261" s="92"/>
      <c r="S261" s="71"/>
      <c r="T261" s="71"/>
      <c r="U261" s="68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29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67"/>
      <c r="BD261" s="67"/>
      <c r="BE261" s="67"/>
      <c r="BF261" s="67"/>
      <c r="BG261" s="67"/>
      <c r="BH261" s="67"/>
      <c r="BI261" s="67"/>
      <c r="BJ261" s="67"/>
      <c r="BK261" s="67"/>
      <c r="BL261" s="67"/>
      <c r="BM261" s="67"/>
      <c r="BN261" s="67"/>
      <c r="BO261" s="67"/>
      <c r="BP261" s="67"/>
      <c r="BQ261" s="67"/>
      <c r="BR261" s="67"/>
      <c r="BS261" s="67"/>
      <c r="BT261" s="67"/>
      <c r="BU261" s="67"/>
      <c r="BV261" s="67"/>
      <c r="BW261" s="67"/>
      <c r="BX261" s="67"/>
      <c r="BY261" s="67"/>
      <c r="BZ261" s="67"/>
      <c r="CA261" s="67"/>
      <c r="CB261" s="67"/>
      <c r="CC261" s="67"/>
      <c r="CD261" s="67"/>
      <c r="CE261" s="67"/>
      <c r="CF261" s="67"/>
      <c r="CG261" s="67"/>
      <c r="CH261" s="67"/>
      <c r="CI261" s="67"/>
      <c r="CJ261" s="67"/>
      <c r="CK261" s="67"/>
      <c r="CL261" s="67"/>
      <c r="CM261" s="67"/>
      <c r="CN261" s="67"/>
      <c r="CO261" s="67"/>
      <c r="CP261" s="67"/>
      <c r="CQ261" s="67"/>
      <c r="CR261" s="67"/>
      <c r="CS261" s="67"/>
      <c r="CT261" s="67"/>
      <c r="CU261" s="67"/>
      <c r="CV261" s="67"/>
      <c r="CW261" s="67"/>
      <c r="CX261" s="67"/>
      <c r="CY261" s="67"/>
      <c r="CZ261" s="67"/>
      <c r="DA261" s="67"/>
      <c r="DB261" s="67"/>
      <c r="DC261" s="67"/>
      <c r="DD261" s="67"/>
      <c r="DE261" s="67"/>
      <c r="DF261" s="67"/>
    </row>
    <row r="262">
      <c r="A262" s="62"/>
      <c r="B262" s="88"/>
      <c r="C262" s="88"/>
      <c r="D262" s="88"/>
      <c r="E262" s="90"/>
      <c r="F262" s="91"/>
      <c r="G262" s="49"/>
      <c r="H262" s="70"/>
      <c r="I262" s="88"/>
      <c r="J262" s="88"/>
      <c r="K262" s="88"/>
      <c r="L262" s="90"/>
      <c r="M262" s="91"/>
      <c r="N262" s="49"/>
      <c r="O262" s="71"/>
      <c r="P262" s="92"/>
      <c r="Q262" s="71"/>
      <c r="R262" s="92"/>
      <c r="S262" s="71"/>
      <c r="T262" s="71"/>
      <c r="U262" s="68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29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  <c r="BK262" s="67"/>
      <c r="BL262" s="67"/>
      <c r="BM262" s="67"/>
      <c r="BN262" s="67"/>
      <c r="BO262" s="67"/>
      <c r="BP262" s="67"/>
      <c r="BQ262" s="67"/>
      <c r="BR262" s="67"/>
      <c r="BS262" s="67"/>
      <c r="BT262" s="67"/>
      <c r="BU262" s="67"/>
      <c r="BV262" s="67"/>
      <c r="BW262" s="67"/>
      <c r="BX262" s="67"/>
      <c r="BY262" s="67"/>
      <c r="BZ262" s="67"/>
      <c r="CA262" s="67"/>
      <c r="CB262" s="67"/>
      <c r="CC262" s="67"/>
      <c r="CD262" s="67"/>
      <c r="CE262" s="67"/>
      <c r="CF262" s="67"/>
      <c r="CG262" s="67"/>
      <c r="CH262" s="67"/>
      <c r="CI262" s="67"/>
      <c r="CJ262" s="67"/>
      <c r="CK262" s="67"/>
      <c r="CL262" s="67"/>
      <c r="CM262" s="67"/>
      <c r="CN262" s="67"/>
      <c r="CO262" s="67"/>
      <c r="CP262" s="67"/>
      <c r="CQ262" s="67"/>
      <c r="CR262" s="67"/>
      <c r="CS262" s="67"/>
      <c r="CT262" s="67"/>
      <c r="CU262" s="67"/>
      <c r="CV262" s="67"/>
      <c r="CW262" s="67"/>
      <c r="CX262" s="67"/>
      <c r="CY262" s="67"/>
      <c r="CZ262" s="67"/>
      <c r="DA262" s="67"/>
      <c r="DB262" s="67"/>
      <c r="DC262" s="67"/>
      <c r="DD262" s="67"/>
      <c r="DE262" s="67"/>
      <c r="DF262" s="67"/>
    </row>
    <row r="263">
      <c r="A263" s="62"/>
      <c r="B263" s="88"/>
      <c r="C263" s="88"/>
      <c r="D263" s="88"/>
      <c r="E263" s="90"/>
      <c r="F263" s="91"/>
      <c r="G263" s="49"/>
      <c r="H263" s="70"/>
      <c r="I263" s="88"/>
      <c r="J263" s="88"/>
      <c r="K263" s="88"/>
      <c r="L263" s="90"/>
      <c r="M263" s="91"/>
      <c r="N263" s="49"/>
      <c r="O263" s="71"/>
      <c r="P263" s="92"/>
      <c r="Q263" s="71"/>
      <c r="R263" s="92"/>
      <c r="S263" s="71"/>
      <c r="T263" s="71"/>
      <c r="U263" s="68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29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67"/>
      <c r="BD263" s="67"/>
      <c r="BE263" s="67"/>
      <c r="BF263" s="67"/>
      <c r="BG263" s="67"/>
      <c r="BH263" s="67"/>
      <c r="BI263" s="67"/>
      <c r="BJ263" s="67"/>
      <c r="BK263" s="67"/>
      <c r="BL263" s="67"/>
      <c r="BM263" s="67"/>
      <c r="BN263" s="67"/>
      <c r="BO263" s="67"/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7"/>
      <c r="CA263" s="67"/>
      <c r="CB263" s="67"/>
      <c r="CC263" s="67"/>
      <c r="CD263" s="67"/>
      <c r="CE263" s="67"/>
      <c r="CF263" s="67"/>
      <c r="CG263" s="67"/>
      <c r="CH263" s="67"/>
      <c r="CI263" s="67"/>
      <c r="CJ263" s="67"/>
      <c r="CK263" s="67"/>
      <c r="CL263" s="67"/>
      <c r="CM263" s="67"/>
      <c r="CN263" s="67"/>
      <c r="CO263" s="67"/>
      <c r="CP263" s="67"/>
      <c r="CQ263" s="67"/>
      <c r="CR263" s="67"/>
      <c r="CS263" s="67"/>
      <c r="CT263" s="67"/>
      <c r="CU263" s="67"/>
      <c r="CV263" s="67"/>
      <c r="CW263" s="67"/>
      <c r="CX263" s="67"/>
      <c r="CY263" s="67"/>
      <c r="CZ263" s="67"/>
      <c r="DA263" s="67"/>
      <c r="DB263" s="67"/>
      <c r="DC263" s="67"/>
      <c r="DD263" s="67"/>
      <c r="DE263" s="67"/>
      <c r="DF263" s="67"/>
    </row>
    <row r="264">
      <c r="A264" s="62"/>
      <c r="B264" s="88"/>
      <c r="C264" s="88"/>
      <c r="D264" s="88"/>
      <c r="E264" s="90"/>
      <c r="F264" s="91"/>
      <c r="G264" s="49"/>
      <c r="H264" s="70"/>
      <c r="I264" s="88"/>
      <c r="J264" s="88"/>
      <c r="K264" s="88"/>
      <c r="L264" s="90"/>
      <c r="M264" s="91"/>
      <c r="N264" s="49"/>
      <c r="O264" s="71"/>
      <c r="P264" s="92"/>
      <c r="Q264" s="71"/>
      <c r="R264" s="92"/>
      <c r="S264" s="71"/>
      <c r="T264" s="71"/>
      <c r="U264" s="68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29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  <c r="BC264" s="67"/>
      <c r="BD264" s="67"/>
      <c r="BE264" s="67"/>
      <c r="BF264" s="67"/>
      <c r="BG264" s="67"/>
      <c r="BH264" s="67"/>
      <c r="BI264" s="67"/>
      <c r="BJ264" s="67"/>
      <c r="BK264" s="67"/>
      <c r="BL264" s="67"/>
      <c r="BM264" s="67"/>
      <c r="BN264" s="67"/>
      <c r="BO264" s="67"/>
      <c r="BP264" s="67"/>
      <c r="BQ264" s="67"/>
      <c r="BR264" s="67"/>
      <c r="BS264" s="67"/>
      <c r="BT264" s="67"/>
      <c r="BU264" s="67"/>
      <c r="BV264" s="67"/>
      <c r="BW264" s="67"/>
      <c r="BX264" s="67"/>
      <c r="BY264" s="67"/>
      <c r="BZ264" s="67"/>
      <c r="CA264" s="67"/>
      <c r="CB264" s="67"/>
      <c r="CC264" s="67"/>
      <c r="CD264" s="67"/>
      <c r="CE264" s="67"/>
      <c r="CF264" s="67"/>
      <c r="CG264" s="67"/>
      <c r="CH264" s="67"/>
      <c r="CI264" s="67"/>
      <c r="CJ264" s="67"/>
      <c r="CK264" s="67"/>
      <c r="CL264" s="67"/>
      <c r="CM264" s="67"/>
      <c r="CN264" s="67"/>
      <c r="CO264" s="67"/>
      <c r="CP264" s="67"/>
      <c r="CQ264" s="67"/>
      <c r="CR264" s="67"/>
      <c r="CS264" s="67"/>
      <c r="CT264" s="67"/>
      <c r="CU264" s="67"/>
      <c r="CV264" s="67"/>
      <c r="CW264" s="67"/>
      <c r="CX264" s="67"/>
      <c r="CY264" s="67"/>
      <c r="CZ264" s="67"/>
      <c r="DA264" s="67"/>
      <c r="DB264" s="67"/>
      <c r="DC264" s="67"/>
      <c r="DD264" s="67"/>
      <c r="DE264" s="67"/>
      <c r="DF264" s="67"/>
    </row>
    <row r="265">
      <c r="A265" s="62"/>
      <c r="B265" s="88"/>
      <c r="C265" s="88"/>
      <c r="D265" s="88"/>
      <c r="E265" s="90"/>
      <c r="F265" s="91"/>
      <c r="G265" s="49"/>
      <c r="H265" s="70"/>
      <c r="I265" s="88"/>
      <c r="J265" s="88"/>
      <c r="K265" s="88"/>
      <c r="L265" s="90"/>
      <c r="M265" s="91"/>
      <c r="N265" s="49"/>
      <c r="O265" s="71"/>
      <c r="P265" s="92"/>
      <c r="Q265" s="71"/>
      <c r="R265" s="92"/>
      <c r="S265" s="71"/>
      <c r="T265" s="71"/>
      <c r="U265" s="68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29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67"/>
      <c r="BD265" s="67"/>
      <c r="BE265" s="67"/>
      <c r="BF265" s="67"/>
      <c r="BG265" s="67"/>
      <c r="BH265" s="67"/>
      <c r="BI265" s="67"/>
      <c r="BJ265" s="67"/>
      <c r="BK265" s="67"/>
      <c r="BL265" s="67"/>
      <c r="BM265" s="67"/>
      <c r="BN265" s="67"/>
      <c r="BO265" s="67"/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7"/>
      <c r="CA265" s="67"/>
      <c r="CB265" s="67"/>
      <c r="CC265" s="67"/>
      <c r="CD265" s="67"/>
      <c r="CE265" s="67"/>
      <c r="CF265" s="67"/>
      <c r="CG265" s="67"/>
      <c r="CH265" s="67"/>
      <c r="CI265" s="67"/>
      <c r="CJ265" s="67"/>
      <c r="CK265" s="67"/>
      <c r="CL265" s="67"/>
      <c r="CM265" s="67"/>
      <c r="CN265" s="67"/>
      <c r="CO265" s="67"/>
      <c r="CP265" s="67"/>
      <c r="CQ265" s="67"/>
      <c r="CR265" s="67"/>
      <c r="CS265" s="67"/>
      <c r="CT265" s="67"/>
      <c r="CU265" s="67"/>
      <c r="CV265" s="67"/>
      <c r="CW265" s="67"/>
      <c r="CX265" s="67"/>
      <c r="CY265" s="67"/>
      <c r="CZ265" s="67"/>
      <c r="DA265" s="67"/>
      <c r="DB265" s="67"/>
      <c r="DC265" s="67"/>
      <c r="DD265" s="67"/>
      <c r="DE265" s="67"/>
      <c r="DF265" s="67"/>
    </row>
    <row r="266">
      <c r="A266" s="62"/>
      <c r="B266" s="88"/>
      <c r="C266" s="88"/>
      <c r="D266" s="88"/>
      <c r="E266" s="90"/>
      <c r="F266" s="91"/>
      <c r="G266" s="49"/>
      <c r="H266" s="70"/>
      <c r="I266" s="88"/>
      <c r="J266" s="88"/>
      <c r="K266" s="88"/>
      <c r="L266" s="90"/>
      <c r="M266" s="91"/>
      <c r="N266" s="49"/>
      <c r="O266" s="71"/>
      <c r="P266" s="92"/>
      <c r="Q266" s="71"/>
      <c r="R266" s="92"/>
      <c r="S266" s="71"/>
      <c r="T266" s="71"/>
      <c r="U266" s="68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29"/>
      <c r="AN266" s="67"/>
      <c r="AO266" s="67"/>
      <c r="AP266" s="67"/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  <c r="BC266" s="67"/>
      <c r="BD266" s="67"/>
      <c r="BE266" s="67"/>
      <c r="BF266" s="67"/>
      <c r="BG266" s="67"/>
      <c r="BH266" s="67"/>
      <c r="BI266" s="67"/>
      <c r="BJ266" s="67"/>
      <c r="BK266" s="67"/>
      <c r="BL266" s="67"/>
      <c r="BM266" s="67"/>
      <c r="BN266" s="67"/>
      <c r="BO266" s="67"/>
      <c r="BP266" s="67"/>
      <c r="BQ266" s="67"/>
      <c r="BR266" s="67"/>
      <c r="BS266" s="67"/>
      <c r="BT266" s="67"/>
      <c r="BU266" s="67"/>
      <c r="BV266" s="67"/>
      <c r="BW266" s="67"/>
      <c r="BX266" s="67"/>
      <c r="BY266" s="67"/>
      <c r="BZ266" s="67"/>
      <c r="CA266" s="67"/>
      <c r="CB266" s="67"/>
      <c r="CC266" s="67"/>
      <c r="CD266" s="67"/>
      <c r="CE266" s="67"/>
      <c r="CF266" s="67"/>
      <c r="CG266" s="67"/>
      <c r="CH266" s="67"/>
      <c r="CI266" s="67"/>
      <c r="CJ266" s="67"/>
      <c r="CK266" s="67"/>
      <c r="CL266" s="67"/>
      <c r="CM266" s="67"/>
      <c r="CN266" s="67"/>
      <c r="CO266" s="67"/>
      <c r="CP266" s="67"/>
      <c r="CQ266" s="67"/>
      <c r="CR266" s="67"/>
      <c r="CS266" s="67"/>
      <c r="CT266" s="67"/>
      <c r="CU266" s="67"/>
      <c r="CV266" s="67"/>
      <c r="CW266" s="67"/>
      <c r="CX266" s="67"/>
      <c r="CY266" s="67"/>
      <c r="CZ266" s="67"/>
      <c r="DA266" s="67"/>
      <c r="DB266" s="67"/>
      <c r="DC266" s="67"/>
      <c r="DD266" s="67"/>
      <c r="DE266" s="67"/>
      <c r="DF266" s="67"/>
    </row>
    <row r="267">
      <c r="A267" s="62"/>
      <c r="B267" s="88"/>
      <c r="C267" s="88"/>
      <c r="D267" s="88"/>
      <c r="E267" s="90"/>
      <c r="F267" s="91"/>
      <c r="G267" s="49"/>
      <c r="H267" s="70"/>
      <c r="I267" s="88"/>
      <c r="J267" s="88"/>
      <c r="K267" s="88"/>
      <c r="L267" s="90"/>
      <c r="M267" s="91"/>
      <c r="N267" s="49"/>
      <c r="O267" s="71"/>
      <c r="P267" s="92"/>
      <c r="Q267" s="71"/>
      <c r="R267" s="92"/>
      <c r="S267" s="71"/>
      <c r="T267" s="71"/>
      <c r="U267" s="68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29"/>
      <c r="AN267" s="67"/>
      <c r="AO267" s="67"/>
      <c r="AP267" s="67"/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  <c r="BC267" s="67"/>
      <c r="BD267" s="67"/>
      <c r="BE267" s="67"/>
      <c r="BF267" s="67"/>
      <c r="BG267" s="67"/>
      <c r="BH267" s="67"/>
      <c r="BI267" s="67"/>
      <c r="BJ267" s="67"/>
      <c r="BK267" s="67"/>
      <c r="BL267" s="67"/>
      <c r="BM267" s="67"/>
      <c r="BN267" s="67"/>
      <c r="BO267" s="67"/>
      <c r="BP267" s="67"/>
      <c r="BQ267" s="67"/>
      <c r="BR267" s="67"/>
      <c r="BS267" s="67"/>
      <c r="BT267" s="67"/>
      <c r="BU267" s="67"/>
      <c r="BV267" s="67"/>
      <c r="BW267" s="67"/>
      <c r="BX267" s="67"/>
      <c r="BY267" s="67"/>
      <c r="BZ267" s="67"/>
      <c r="CA267" s="67"/>
      <c r="CB267" s="67"/>
      <c r="CC267" s="67"/>
      <c r="CD267" s="67"/>
      <c r="CE267" s="67"/>
      <c r="CF267" s="67"/>
      <c r="CG267" s="67"/>
      <c r="CH267" s="67"/>
      <c r="CI267" s="67"/>
      <c r="CJ267" s="67"/>
      <c r="CK267" s="67"/>
      <c r="CL267" s="67"/>
      <c r="CM267" s="67"/>
      <c r="CN267" s="67"/>
      <c r="CO267" s="67"/>
      <c r="CP267" s="67"/>
      <c r="CQ267" s="67"/>
      <c r="CR267" s="67"/>
      <c r="CS267" s="67"/>
      <c r="CT267" s="67"/>
      <c r="CU267" s="67"/>
      <c r="CV267" s="67"/>
      <c r="CW267" s="67"/>
      <c r="CX267" s="67"/>
      <c r="CY267" s="67"/>
      <c r="CZ267" s="67"/>
      <c r="DA267" s="67"/>
      <c r="DB267" s="67"/>
      <c r="DC267" s="67"/>
      <c r="DD267" s="67"/>
      <c r="DE267" s="67"/>
      <c r="DF267" s="67"/>
    </row>
    <row r="268">
      <c r="A268" s="62"/>
      <c r="B268" s="88"/>
      <c r="C268" s="88"/>
      <c r="D268" s="88"/>
      <c r="E268" s="90"/>
      <c r="F268" s="91"/>
      <c r="G268" s="49"/>
      <c r="H268" s="70"/>
      <c r="I268" s="88"/>
      <c r="J268" s="88"/>
      <c r="K268" s="88"/>
      <c r="L268" s="90"/>
      <c r="M268" s="91"/>
      <c r="N268" s="49"/>
      <c r="O268" s="71"/>
      <c r="P268" s="92"/>
      <c r="Q268" s="71"/>
      <c r="R268" s="92"/>
      <c r="S268" s="71"/>
      <c r="T268" s="71"/>
      <c r="U268" s="68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29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67"/>
      <c r="BJ268" s="67"/>
      <c r="BK268" s="67"/>
      <c r="BL268" s="67"/>
      <c r="BM268" s="67"/>
      <c r="BN268" s="67"/>
      <c r="BO268" s="67"/>
      <c r="BP268" s="67"/>
      <c r="BQ268" s="67"/>
      <c r="BR268" s="67"/>
      <c r="BS268" s="67"/>
      <c r="BT268" s="67"/>
      <c r="BU268" s="67"/>
      <c r="BV268" s="67"/>
      <c r="BW268" s="67"/>
      <c r="BX268" s="67"/>
      <c r="BY268" s="67"/>
      <c r="BZ268" s="67"/>
      <c r="CA268" s="67"/>
      <c r="CB268" s="67"/>
      <c r="CC268" s="67"/>
      <c r="CD268" s="67"/>
      <c r="CE268" s="67"/>
      <c r="CF268" s="67"/>
      <c r="CG268" s="67"/>
      <c r="CH268" s="67"/>
      <c r="CI268" s="67"/>
      <c r="CJ268" s="67"/>
      <c r="CK268" s="67"/>
      <c r="CL268" s="67"/>
      <c r="CM268" s="67"/>
      <c r="CN268" s="67"/>
      <c r="CO268" s="67"/>
      <c r="CP268" s="67"/>
      <c r="CQ268" s="67"/>
      <c r="CR268" s="67"/>
      <c r="CS268" s="67"/>
      <c r="CT268" s="67"/>
      <c r="CU268" s="67"/>
      <c r="CV268" s="67"/>
      <c r="CW268" s="67"/>
      <c r="CX268" s="67"/>
      <c r="CY268" s="67"/>
      <c r="CZ268" s="67"/>
      <c r="DA268" s="67"/>
      <c r="DB268" s="67"/>
      <c r="DC268" s="67"/>
      <c r="DD268" s="67"/>
      <c r="DE268" s="67"/>
      <c r="DF268" s="67"/>
    </row>
    <row r="269">
      <c r="A269" s="62"/>
      <c r="B269" s="88"/>
      <c r="C269" s="88"/>
      <c r="D269" s="88"/>
      <c r="E269" s="90"/>
      <c r="F269" s="91"/>
      <c r="G269" s="49"/>
      <c r="H269" s="70"/>
      <c r="I269" s="88"/>
      <c r="J269" s="88"/>
      <c r="K269" s="88"/>
      <c r="L269" s="90"/>
      <c r="M269" s="91"/>
      <c r="N269" s="49"/>
      <c r="O269" s="71"/>
      <c r="P269" s="92"/>
      <c r="Q269" s="71"/>
      <c r="R269" s="92"/>
      <c r="S269" s="71"/>
      <c r="T269" s="71"/>
      <c r="U269" s="68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29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67"/>
      <c r="BD269" s="67"/>
      <c r="BE269" s="67"/>
      <c r="BF269" s="67"/>
      <c r="BG269" s="67"/>
      <c r="BH269" s="67"/>
      <c r="BI269" s="67"/>
      <c r="BJ269" s="67"/>
      <c r="BK269" s="67"/>
      <c r="BL269" s="67"/>
      <c r="BM269" s="67"/>
      <c r="BN269" s="67"/>
      <c r="BO269" s="67"/>
      <c r="BP269" s="67"/>
      <c r="BQ269" s="67"/>
      <c r="BR269" s="67"/>
      <c r="BS269" s="67"/>
      <c r="BT269" s="67"/>
      <c r="BU269" s="67"/>
      <c r="BV269" s="67"/>
      <c r="BW269" s="67"/>
      <c r="BX269" s="67"/>
      <c r="BY269" s="67"/>
      <c r="BZ269" s="67"/>
      <c r="CA269" s="67"/>
      <c r="CB269" s="67"/>
      <c r="CC269" s="67"/>
      <c r="CD269" s="67"/>
      <c r="CE269" s="67"/>
      <c r="CF269" s="67"/>
      <c r="CG269" s="67"/>
      <c r="CH269" s="67"/>
      <c r="CI269" s="67"/>
      <c r="CJ269" s="67"/>
      <c r="CK269" s="67"/>
      <c r="CL269" s="67"/>
      <c r="CM269" s="67"/>
      <c r="CN269" s="67"/>
      <c r="CO269" s="67"/>
      <c r="CP269" s="67"/>
      <c r="CQ269" s="67"/>
      <c r="CR269" s="67"/>
      <c r="CS269" s="67"/>
      <c r="CT269" s="67"/>
      <c r="CU269" s="67"/>
      <c r="CV269" s="67"/>
      <c r="CW269" s="67"/>
      <c r="CX269" s="67"/>
      <c r="CY269" s="67"/>
      <c r="CZ269" s="67"/>
      <c r="DA269" s="67"/>
      <c r="DB269" s="67"/>
      <c r="DC269" s="67"/>
      <c r="DD269" s="67"/>
      <c r="DE269" s="67"/>
      <c r="DF269" s="67"/>
    </row>
    <row r="270">
      <c r="A270" s="62"/>
      <c r="B270" s="88"/>
      <c r="C270" s="88"/>
      <c r="D270" s="88"/>
      <c r="E270" s="90"/>
      <c r="F270" s="91"/>
      <c r="G270" s="49"/>
      <c r="H270" s="70"/>
      <c r="I270" s="88"/>
      <c r="J270" s="88"/>
      <c r="K270" s="88"/>
      <c r="L270" s="90"/>
      <c r="M270" s="91"/>
      <c r="N270" s="49"/>
      <c r="O270" s="71"/>
      <c r="P270" s="92"/>
      <c r="Q270" s="71"/>
      <c r="R270" s="92"/>
      <c r="S270" s="71"/>
      <c r="T270" s="71"/>
      <c r="U270" s="68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29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67"/>
      <c r="BD270" s="67"/>
      <c r="BE270" s="67"/>
      <c r="BF270" s="67"/>
      <c r="BG270" s="67"/>
      <c r="BH270" s="67"/>
      <c r="BI270" s="67"/>
      <c r="BJ270" s="67"/>
      <c r="BK270" s="67"/>
      <c r="BL270" s="67"/>
      <c r="BM270" s="67"/>
      <c r="BN270" s="67"/>
      <c r="BO270" s="67"/>
      <c r="BP270" s="67"/>
      <c r="BQ270" s="67"/>
      <c r="BR270" s="67"/>
      <c r="BS270" s="67"/>
      <c r="BT270" s="67"/>
      <c r="BU270" s="67"/>
      <c r="BV270" s="67"/>
      <c r="BW270" s="67"/>
      <c r="BX270" s="67"/>
      <c r="BY270" s="67"/>
      <c r="BZ270" s="67"/>
      <c r="CA270" s="67"/>
      <c r="CB270" s="67"/>
      <c r="CC270" s="67"/>
      <c r="CD270" s="67"/>
      <c r="CE270" s="67"/>
      <c r="CF270" s="67"/>
      <c r="CG270" s="67"/>
      <c r="CH270" s="67"/>
      <c r="CI270" s="67"/>
      <c r="CJ270" s="67"/>
      <c r="CK270" s="67"/>
      <c r="CL270" s="67"/>
      <c r="CM270" s="67"/>
      <c r="CN270" s="67"/>
      <c r="CO270" s="67"/>
      <c r="CP270" s="67"/>
      <c r="CQ270" s="67"/>
      <c r="CR270" s="67"/>
      <c r="CS270" s="67"/>
      <c r="CT270" s="67"/>
      <c r="CU270" s="67"/>
      <c r="CV270" s="67"/>
      <c r="CW270" s="67"/>
      <c r="CX270" s="67"/>
      <c r="CY270" s="67"/>
      <c r="CZ270" s="67"/>
      <c r="DA270" s="67"/>
      <c r="DB270" s="67"/>
      <c r="DC270" s="67"/>
      <c r="DD270" s="67"/>
      <c r="DE270" s="67"/>
      <c r="DF270" s="67"/>
    </row>
    <row r="271">
      <c r="A271" s="62"/>
      <c r="B271" s="88"/>
      <c r="C271" s="88"/>
      <c r="D271" s="88"/>
      <c r="E271" s="90"/>
      <c r="F271" s="91"/>
      <c r="G271" s="49"/>
      <c r="H271" s="70"/>
      <c r="I271" s="88"/>
      <c r="J271" s="88"/>
      <c r="K271" s="88"/>
      <c r="L271" s="90"/>
      <c r="M271" s="91"/>
      <c r="N271" s="49"/>
      <c r="O271" s="71"/>
      <c r="P271" s="92"/>
      <c r="Q271" s="71"/>
      <c r="R271" s="92"/>
      <c r="S271" s="71"/>
      <c r="T271" s="71"/>
      <c r="U271" s="68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29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  <c r="BM271" s="67"/>
      <c r="BN271" s="67"/>
      <c r="BO271" s="67"/>
      <c r="BP271" s="67"/>
      <c r="BQ271" s="67"/>
      <c r="BR271" s="67"/>
      <c r="BS271" s="67"/>
      <c r="BT271" s="67"/>
      <c r="BU271" s="67"/>
      <c r="BV271" s="67"/>
      <c r="BW271" s="67"/>
      <c r="BX271" s="67"/>
      <c r="BY271" s="67"/>
      <c r="BZ271" s="67"/>
      <c r="CA271" s="67"/>
      <c r="CB271" s="67"/>
      <c r="CC271" s="67"/>
      <c r="CD271" s="67"/>
      <c r="CE271" s="67"/>
      <c r="CF271" s="67"/>
      <c r="CG271" s="67"/>
      <c r="CH271" s="67"/>
      <c r="CI271" s="67"/>
      <c r="CJ271" s="67"/>
      <c r="CK271" s="67"/>
      <c r="CL271" s="67"/>
      <c r="CM271" s="67"/>
      <c r="CN271" s="67"/>
      <c r="CO271" s="67"/>
      <c r="CP271" s="67"/>
      <c r="CQ271" s="67"/>
      <c r="CR271" s="67"/>
      <c r="CS271" s="67"/>
      <c r="CT271" s="67"/>
      <c r="CU271" s="67"/>
      <c r="CV271" s="67"/>
      <c r="CW271" s="67"/>
      <c r="CX271" s="67"/>
      <c r="CY271" s="67"/>
      <c r="CZ271" s="67"/>
      <c r="DA271" s="67"/>
      <c r="DB271" s="67"/>
      <c r="DC271" s="67"/>
      <c r="DD271" s="67"/>
      <c r="DE271" s="67"/>
      <c r="DF271" s="67"/>
    </row>
    <row r="272">
      <c r="A272" s="62"/>
      <c r="B272" s="88"/>
      <c r="C272" s="88"/>
      <c r="D272" s="88"/>
      <c r="E272" s="90"/>
      <c r="F272" s="91"/>
      <c r="G272" s="49"/>
      <c r="H272" s="70"/>
      <c r="I272" s="88"/>
      <c r="J272" s="88"/>
      <c r="K272" s="88"/>
      <c r="L272" s="90"/>
      <c r="M272" s="91"/>
      <c r="N272" s="49"/>
      <c r="O272" s="71"/>
      <c r="P272" s="92"/>
      <c r="Q272" s="71"/>
      <c r="R272" s="92"/>
      <c r="S272" s="71"/>
      <c r="T272" s="71"/>
      <c r="U272" s="68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29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  <c r="BK272" s="67"/>
      <c r="BL272" s="67"/>
      <c r="BM272" s="67"/>
      <c r="BN272" s="67"/>
      <c r="BO272" s="67"/>
      <c r="BP272" s="67"/>
      <c r="BQ272" s="67"/>
      <c r="BR272" s="67"/>
      <c r="BS272" s="67"/>
      <c r="BT272" s="67"/>
      <c r="BU272" s="67"/>
      <c r="BV272" s="67"/>
      <c r="BW272" s="67"/>
      <c r="BX272" s="67"/>
      <c r="BY272" s="67"/>
      <c r="BZ272" s="67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/>
      <c r="CP272" s="67"/>
      <c r="CQ272" s="67"/>
      <c r="CR272" s="67"/>
      <c r="CS272" s="67"/>
      <c r="CT272" s="67"/>
      <c r="CU272" s="67"/>
      <c r="CV272" s="67"/>
      <c r="CW272" s="67"/>
      <c r="CX272" s="67"/>
      <c r="CY272" s="67"/>
      <c r="CZ272" s="67"/>
      <c r="DA272" s="67"/>
      <c r="DB272" s="67"/>
      <c r="DC272" s="67"/>
      <c r="DD272" s="67"/>
      <c r="DE272" s="67"/>
      <c r="DF272" s="67"/>
    </row>
    <row r="273">
      <c r="A273" s="62"/>
      <c r="B273" s="88"/>
      <c r="C273" s="88"/>
      <c r="D273" s="88"/>
      <c r="E273" s="90"/>
      <c r="F273" s="91"/>
      <c r="G273" s="49"/>
      <c r="H273" s="70"/>
      <c r="I273" s="88"/>
      <c r="J273" s="88"/>
      <c r="K273" s="88"/>
      <c r="L273" s="90"/>
      <c r="M273" s="91"/>
      <c r="N273" s="49"/>
      <c r="O273" s="71"/>
      <c r="P273" s="92"/>
      <c r="Q273" s="71"/>
      <c r="R273" s="92"/>
      <c r="S273" s="71"/>
      <c r="T273" s="71"/>
      <c r="U273" s="68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29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67"/>
      <c r="BJ273" s="67"/>
      <c r="BK273" s="67"/>
      <c r="BL273" s="67"/>
      <c r="BM273" s="67"/>
      <c r="BN273" s="67"/>
      <c r="BO273" s="67"/>
      <c r="BP273" s="67"/>
      <c r="BQ273" s="67"/>
      <c r="BR273" s="67"/>
      <c r="BS273" s="67"/>
      <c r="BT273" s="67"/>
      <c r="BU273" s="67"/>
      <c r="BV273" s="67"/>
      <c r="BW273" s="67"/>
      <c r="BX273" s="67"/>
      <c r="BY273" s="67"/>
      <c r="BZ273" s="67"/>
      <c r="CA273" s="67"/>
      <c r="CB273" s="67"/>
      <c r="CC273" s="67"/>
      <c r="CD273" s="67"/>
      <c r="CE273" s="67"/>
      <c r="CF273" s="67"/>
      <c r="CG273" s="67"/>
      <c r="CH273" s="67"/>
      <c r="CI273" s="67"/>
      <c r="CJ273" s="67"/>
      <c r="CK273" s="67"/>
      <c r="CL273" s="67"/>
      <c r="CM273" s="67"/>
      <c r="CN273" s="67"/>
      <c r="CO273" s="67"/>
      <c r="CP273" s="67"/>
      <c r="CQ273" s="67"/>
      <c r="CR273" s="67"/>
      <c r="CS273" s="67"/>
      <c r="CT273" s="67"/>
      <c r="CU273" s="67"/>
      <c r="CV273" s="67"/>
      <c r="CW273" s="67"/>
      <c r="CX273" s="67"/>
      <c r="CY273" s="67"/>
      <c r="CZ273" s="67"/>
      <c r="DA273" s="67"/>
      <c r="DB273" s="67"/>
      <c r="DC273" s="67"/>
      <c r="DD273" s="67"/>
      <c r="DE273" s="67"/>
      <c r="DF273" s="67"/>
    </row>
    <row r="274">
      <c r="A274" s="62"/>
      <c r="B274" s="88"/>
      <c r="C274" s="88"/>
      <c r="D274" s="88"/>
      <c r="E274" s="90"/>
      <c r="F274" s="91"/>
      <c r="G274" s="49"/>
      <c r="H274" s="70"/>
      <c r="I274" s="88"/>
      <c r="J274" s="88"/>
      <c r="K274" s="88"/>
      <c r="L274" s="90"/>
      <c r="M274" s="91"/>
      <c r="N274" s="49"/>
      <c r="O274" s="71"/>
      <c r="P274" s="92"/>
      <c r="Q274" s="71"/>
      <c r="R274" s="92"/>
      <c r="S274" s="71"/>
      <c r="T274" s="71"/>
      <c r="U274" s="68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29"/>
      <c r="AN274" s="67"/>
      <c r="AO274" s="67"/>
      <c r="AP274" s="67"/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  <c r="BC274" s="67"/>
      <c r="BD274" s="67"/>
      <c r="BE274" s="67"/>
      <c r="BF274" s="67"/>
      <c r="BG274" s="67"/>
      <c r="BH274" s="67"/>
      <c r="BI274" s="67"/>
      <c r="BJ274" s="67"/>
      <c r="BK274" s="67"/>
      <c r="BL274" s="67"/>
      <c r="BM274" s="67"/>
      <c r="BN274" s="67"/>
      <c r="BO274" s="67"/>
      <c r="BP274" s="67"/>
      <c r="BQ274" s="67"/>
      <c r="BR274" s="67"/>
      <c r="BS274" s="67"/>
      <c r="BT274" s="67"/>
      <c r="BU274" s="67"/>
      <c r="BV274" s="67"/>
      <c r="BW274" s="67"/>
      <c r="BX274" s="67"/>
      <c r="BY274" s="67"/>
      <c r="BZ274" s="67"/>
      <c r="CA274" s="67"/>
      <c r="CB274" s="67"/>
      <c r="CC274" s="67"/>
      <c r="CD274" s="67"/>
      <c r="CE274" s="67"/>
      <c r="CF274" s="67"/>
      <c r="CG274" s="67"/>
      <c r="CH274" s="67"/>
      <c r="CI274" s="67"/>
      <c r="CJ274" s="67"/>
      <c r="CK274" s="67"/>
      <c r="CL274" s="67"/>
      <c r="CM274" s="67"/>
      <c r="CN274" s="67"/>
      <c r="CO274" s="67"/>
      <c r="CP274" s="67"/>
      <c r="CQ274" s="67"/>
      <c r="CR274" s="67"/>
      <c r="CS274" s="67"/>
      <c r="CT274" s="67"/>
      <c r="CU274" s="67"/>
      <c r="CV274" s="67"/>
      <c r="CW274" s="67"/>
      <c r="CX274" s="67"/>
      <c r="CY274" s="67"/>
      <c r="CZ274" s="67"/>
      <c r="DA274" s="67"/>
      <c r="DB274" s="67"/>
      <c r="DC274" s="67"/>
      <c r="DD274" s="67"/>
      <c r="DE274" s="67"/>
      <c r="DF274" s="67"/>
    </row>
    <row r="275">
      <c r="A275" s="62"/>
      <c r="B275" s="88"/>
      <c r="C275" s="88"/>
      <c r="D275" s="88"/>
      <c r="E275" s="90"/>
      <c r="F275" s="91"/>
      <c r="G275" s="49"/>
      <c r="H275" s="70"/>
      <c r="I275" s="88"/>
      <c r="J275" s="88"/>
      <c r="K275" s="88"/>
      <c r="L275" s="90"/>
      <c r="M275" s="91"/>
      <c r="N275" s="49"/>
      <c r="O275" s="71"/>
      <c r="P275" s="92"/>
      <c r="Q275" s="71"/>
      <c r="R275" s="92"/>
      <c r="S275" s="71"/>
      <c r="T275" s="71"/>
      <c r="U275" s="68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29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  <c r="BK275" s="67"/>
      <c r="BL275" s="67"/>
      <c r="BM275" s="67"/>
      <c r="BN275" s="67"/>
      <c r="BO275" s="67"/>
      <c r="BP275" s="67"/>
      <c r="BQ275" s="67"/>
      <c r="BR275" s="67"/>
      <c r="BS275" s="67"/>
      <c r="BT275" s="67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67"/>
      <c r="CP275" s="67"/>
      <c r="CQ275" s="67"/>
      <c r="CR275" s="67"/>
      <c r="CS275" s="67"/>
      <c r="CT275" s="67"/>
      <c r="CU275" s="67"/>
      <c r="CV275" s="67"/>
      <c r="CW275" s="67"/>
      <c r="CX275" s="67"/>
      <c r="CY275" s="67"/>
      <c r="CZ275" s="67"/>
      <c r="DA275" s="67"/>
      <c r="DB275" s="67"/>
      <c r="DC275" s="67"/>
      <c r="DD275" s="67"/>
      <c r="DE275" s="67"/>
      <c r="DF275" s="67"/>
    </row>
    <row r="276">
      <c r="A276" s="62"/>
      <c r="B276" s="88"/>
      <c r="C276" s="88"/>
      <c r="D276" s="88"/>
      <c r="E276" s="90"/>
      <c r="F276" s="91"/>
      <c r="G276" s="49"/>
      <c r="H276" s="70"/>
      <c r="I276" s="88"/>
      <c r="J276" s="88"/>
      <c r="K276" s="88"/>
      <c r="L276" s="90"/>
      <c r="M276" s="91"/>
      <c r="N276" s="49"/>
      <c r="O276" s="71"/>
      <c r="P276" s="92"/>
      <c r="Q276" s="71"/>
      <c r="R276" s="92"/>
      <c r="S276" s="71"/>
      <c r="T276" s="71"/>
      <c r="U276" s="68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29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  <c r="CR276" s="67"/>
      <c r="CS276" s="67"/>
      <c r="CT276" s="67"/>
      <c r="CU276" s="67"/>
      <c r="CV276" s="67"/>
      <c r="CW276" s="67"/>
      <c r="CX276" s="67"/>
      <c r="CY276" s="67"/>
      <c r="CZ276" s="67"/>
      <c r="DA276" s="67"/>
      <c r="DB276" s="67"/>
      <c r="DC276" s="67"/>
      <c r="DD276" s="67"/>
      <c r="DE276" s="67"/>
      <c r="DF276" s="67"/>
    </row>
    <row r="277">
      <c r="A277" s="62"/>
      <c r="B277" s="88"/>
      <c r="C277" s="88"/>
      <c r="D277" s="88"/>
      <c r="E277" s="90"/>
      <c r="F277" s="91"/>
      <c r="G277" s="49"/>
      <c r="H277" s="70"/>
      <c r="I277" s="88"/>
      <c r="J277" s="88"/>
      <c r="K277" s="88"/>
      <c r="L277" s="90"/>
      <c r="M277" s="91"/>
      <c r="N277" s="49"/>
      <c r="O277" s="71"/>
      <c r="P277" s="92"/>
      <c r="Q277" s="71"/>
      <c r="R277" s="92"/>
      <c r="S277" s="71"/>
      <c r="T277" s="71"/>
      <c r="U277" s="68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29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  <c r="BM277" s="67"/>
      <c r="BN277" s="67"/>
      <c r="BO277" s="67"/>
      <c r="BP277" s="67"/>
      <c r="BQ277" s="67"/>
      <c r="BR277" s="67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67"/>
      <c r="CU277" s="67"/>
      <c r="CV277" s="67"/>
      <c r="CW277" s="67"/>
      <c r="CX277" s="67"/>
      <c r="CY277" s="67"/>
      <c r="CZ277" s="67"/>
      <c r="DA277" s="67"/>
      <c r="DB277" s="67"/>
      <c r="DC277" s="67"/>
      <c r="DD277" s="67"/>
      <c r="DE277" s="67"/>
      <c r="DF277" s="67"/>
    </row>
    <row r="278">
      <c r="A278" s="62"/>
      <c r="B278" s="88"/>
      <c r="C278" s="88"/>
      <c r="D278" s="88"/>
      <c r="E278" s="90"/>
      <c r="F278" s="91"/>
      <c r="G278" s="49"/>
      <c r="H278" s="70"/>
      <c r="I278" s="88"/>
      <c r="J278" s="88"/>
      <c r="K278" s="88"/>
      <c r="L278" s="90"/>
      <c r="M278" s="91"/>
      <c r="N278" s="49"/>
      <c r="O278" s="71"/>
      <c r="P278" s="92"/>
      <c r="Q278" s="71"/>
      <c r="R278" s="92"/>
      <c r="S278" s="71"/>
      <c r="T278" s="71"/>
      <c r="U278" s="68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29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  <c r="BM278" s="67"/>
      <c r="BN278" s="67"/>
      <c r="BO278" s="67"/>
      <c r="BP278" s="67"/>
      <c r="BQ278" s="67"/>
      <c r="BR278" s="67"/>
      <c r="BS278" s="67"/>
      <c r="BT278" s="67"/>
      <c r="BU278" s="67"/>
      <c r="BV278" s="67"/>
      <c r="BW278" s="67"/>
      <c r="BX278" s="67"/>
      <c r="BY278" s="67"/>
      <c r="BZ278" s="67"/>
      <c r="CA278" s="67"/>
      <c r="CB278" s="67"/>
      <c r="CC278" s="67"/>
      <c r="CD278" s="67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67"/>
      <c r="CP278" s="67"/>
      <c r="CQ278" s="67"/>
      <c r="CR278" s="67"/>
      <c r="CS278" s="67"/>
      <c r="CT278" s="67"/>
      <c r="CU278" s="67"/>
      <c r="CV278" s="67"/>
      <c r="CW278" s="67"/>
      <c r="CX278" s="67"/>
      <c r="CY278" s="67"/>
      <c r="CZ278" s="67"/>
      <c r="DA278" s="67"/>
      <c r="DB278" s="67"/>
      <c r="DC278" s="67"/>
      <c r="DD278" s="67"/>
      <c r="DE278" s="67"/>
      <c r="DF278" s="67"/>
    </row>
    <row r="279">
      <c r="A279" s="62"/>
      <c r="B279" s="88"/>
      <c r="C279" s="88"/>
      <c r="D279" s="88"/>
      <c r="E279" s="90"/>
      <c r="F279" s="91"/>
      <c r="G279" s="49"/>
      <c r="H279" s="70"/>
      <c r="I279" s="88"/>
      <c r="J279" s="88"/>
      <c r="K279" s="88"/>
      <c r="L279" s="90"/>
      <c r="M279" s="91"/>
      <c r="N279" s="49"/>
      <c r="O279" s="71"/>
      <c r="P279" s="92"/>
      <c r="Q279" s="71"/>
      <c r="R279" s="92"/>
      <c r="S279" s="71"/>
      <c r="T279" s="71"/>
      <c r="U279" s="68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29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  <c r="BM279" s="67"/>
      <c r="BN279" s="67"/>
      <c r="BO279" s="67"/>
      <c r="BP279" s="67"/>
      <c r="BQ279" s="67"/>
      <c r="BR279" s="67"/>
      <c r="BS279" s="67"/>
      <c r="BT279" s="67"/>
      <c r="BU279" s="67"/>
      <c r="BV279" s="67"/>
      <c r="BW279" s="67"/>
      <c r="BX279" s="67"/>
      <c r="BY279" s="67"/>
      <c r="BZ279" s="67"/>
      <c r="CA279" s="67"/>
      <c r="CB279" s="67"/>
      <c r="CC279" s="67"/>
      <c r="CD279" s="67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67"/>
      <c r="CP279" s="67"/>
      <c r="CQ279" s="67"/>
      <c r="CR279" s="67"/>
      <c r="CS279" s="67"/>
      <c r="CT279" s="67"/>
      <c r="CU279" s="67"/>
      <c r="CV279" s="67"/>
      <c r="CW279" s="67"/>
      <c r="CX279" s="67"/>
      <c r="CY279" s="67"/>
      <c r="CZ279" s="67"/>
      <c r="DA279" s="67"/>
      <c r="DB279" s="67"/>
      <c r="DC279" s="67"/>
      <c r="DD279" s="67"/>
      <c r="DE279" s="67"/>
      <c r="DF279" s="67"/>
    </row>
    <row r="280">
      <c r="A280" s="62"/>
      <c r="B280" s="88"/>
      <c r="C280" s="88"/>
      <c r="D280" s="88"/>
      <c r="E280" s="90"/>
      <c r="F280" s="91"/>
      <c r="G280" s="49"/>
      <c r="H280" s="70"/>
      <c r="I280" s="88"/>
      <c r="J280" s="88"/>
      <c r="K280" s="88"/>
      <c r="L280" s="90"/>
      <c r="M280" s="91"/>
      <c r="N280" s="49"/>
      <c r="O280" s="71"/>
      <c r="P280" s="92"/>
      <c r="Q280" s="71"/>
      <c r="R280" s="92"/>
      <c r="S280" s="71"/>
      <c r="T280" s="71"/>
      <c r="U280" s="68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29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  <c r="BM280" s="67"/>
      <c r="BN280" s="67"/>
      <c r="BO280" s="67"/>
      <c r="BP280" s="67"/>
      <c r="BQ280" s="67"/>
      <c r="BR280" s="67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67"/>
      <c r="CU280" s="67"/>
      <c r="CV280" s="67"/>
      <c r="CW280" s="67"/>
      <c r="CX280" s="67"/>
      <c r="CY280" s="67"/>
      <c r="CZ280" s="67"/>
      <c r="DA280" s="67"/>
      <c r="DB280" s="67"/>
      <c r="DC280" s="67"/>
      <c r="DD280" s="67"/>
      <c r="DE280" s="67"/>
      <c r="DF280" s="67"/>
    </row>
    <row r="281">
      <c r="A281" s="62"/>
      <c r="B281" s="88"/>
      <c r="C281" s="88"/>
      <c r="D281" s="88"/>
      <c r="E281" s="90"/>
      <c r="F281" s="91"/>
      <c r="G281" s="49"/>
      <c r="H281" s="70"/>
      <c r="I281" s="88"/>
      <c r="J281" s="88"/>
      <c r="K281" s="88"/>
      <c r="L281" s="90"/>
      <c r="M281" s="91"/>
      <c r="N281" s="49"/>
      <c r="O281" s="71"/>
      <c r="P281" s="92"/>
      <c r="Q281" s="71"/>
      <c r="R281" s="92"/>
      <c r="S281" s="71"/>
      <c r="T281" s="71"/>
      <c r="U281" s="68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29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  <c r="BM281" s="67"/>
      <c r="BN281" s="67"/>
      <c r="BO281" s="67"/>
      <c r="BP281" s="67"/>
      <c r="BQ281" s="67"/>
      <c r="BR281" s="67"/>
      <c r="BS281" s="67"/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7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67"/>
      <c r="CP281" s="67"/>
      <c r="CQ281" s="67"/>
      <c r="CR281" s="67"/>
      <c r="CS281" s="67"/>
      <c r="CT281" s="67"/>
      <c r="CU281" s="67"/>
      <c r="CV281" s="67"/>
      <c r="CW281" s="67"/>
      <c r="CX281" s="67"/>
      <c r="CY281" s="67"/>
      <c r="CZ281" s="67"/>
      <c r="DA281" s="67"/>
      <c r="DB281" s="67"/>
      <c r="DC281" s="67"/>
      <c r="DD281" s="67"/>
      <c r="DE281" s="67"/>
      <c r="DF281" s="67"/>
    </row>
    <row r="282">
      <c r="A282" s="62"/>
      <c r="B282" s="88"/>
      <c r="C282" s="88"/>
      <c r="D282" s="88"/>
      <c r="E282" s="90"/>
      <c r="F282" s="91"/>
      <c r="G282" s="49"/>
      <c r="H282" s="70"/>
      <c r="I282" s="88"/>
      <c r="J282" s="88"/>
      <c r="K282" s="88"/>
      <c r="L282" s="90"/>
      <c r="M282" s="91"/>
      <c r="N282" s="49"/>
      <c r="O282" s="71"/>
      <c r="P282" s="92"/>
      <c r="Q282" s="71"/>
      <c r="R282" s="92"/>
      <c r="S282" s="71"/>
      <c r="T282" s="71"/>
      <c r="U282" s="68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29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  <c r="BM282" s="67"/>
      <c r="BN282" s="67"/>
      <c r="BO282" s="67"/>
      <c r="BP282" s="67"/>
      <c r="BQ282" s="67"/>
      <c r="BR282" s="67"/>
      <c r="BS282" s="67"/>
      <c r="BT282" s="67"/>
      <c r="BU282" s="67"/>
      <c r="BV282" s="67"/>
      <c r="BW282" s="67"/>
      <c r="BX282" s="67"/>
      <c r="BY282" s="67"/>
      <c r="BZ282" s="67"/>
      <c r="CA282" s="67"/>
      <c r="CB282" s="67"/>
      <c r="CC282" s="67"/>
      <c r="CD282" s="67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67"/>
      <c r="CP282" s="67"/>
      <c r="CQ282" s="67"/>
      <c r="CR282" s="67"/>
      <c r="CS282" s="67"/>
      <c r="CT282" s="67"/>
      <c r="CU282" s="67"/>
      <c r="CV282" s="67"/>
      <c r="CW282" s="67"/>
      <c r="CX282" s="67"/>
      <c r="CY282" s="67"/>
      <c r="CZ282" s="67"/>
      <c r="DA282" s="67"/>
      <c r="DB282" s="67"/>
      <c r="DC282" s="67"/>
      <c r="DD282" s="67"/>
      <c r="DE282" s="67"/>
      <c r="DF282" s="67"/>
    </row>
    <row r="283">
      <c r="A283" s="62"/>
      <c r="B283" s="88"/>
      <c r="C283" s="88"/>
      <c r="D283" s="88"/>
      <c r="E283" s="90"/>
      <c r="F283" s="91"/>
      <c r="G283" s="49"/>
      <c r="H283" s="70"/>
      <c r="I283" s="88"/>
      <c r="J283" s="88"/>
      <c r="K283" s="88"/>
      <c r="L283" s="90"/>
      <c r="M283" s="91"/>
      <c r="N283" s="49"/>
      <c r="O283" s="71"/>
      <c r="P283" s="92"/>
      <c r="Q283" s="71"/>
      <c r="R283" s="92"/>
      <c r="S283" s="71"/>
      <c r="T283" s="71"/>
      <c r="U283" s="68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29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  <c r="BM283" s="67"/>
      <c r="BN283" s="67"/>
      <c r="BO283" s="67"/>
      <c r="BP283" s="67"/>
      <c r="BQ283" s="67"/>
      <c r="BR283" s="67"/>
      <c r="BS283" s="67"/>
      <c r="BT283" s="67"/>
      <c r="BU283" s="67"/>
      <c r="BV283" s="67"/>
      <c r="BW283" s="67"/>
      <c r="BX283" s="67"/>
      <c r="BY283" s="67"/>
      <c r="BZ283" s="67"/>
      <c r="CA283" s="67"/>
      <c r="CB283" s="67"/>
      <c r="CC283" s="67"/>
      <c r="CD283" s="67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67"/>
      <c r="CP283" s="67"/>
      <c r="CQ283" s="67"/>
      <c r="CR283" s="67"/>
      <c r="CS283" s="67"/>
      <c r="CT283" s="67"/>
      <c r="CU283" s="67"/>
      <c r="CV283" s="67"/>
      <c r="CW283" s="67"/>
      <c r="CX283" s="67"/>
      <c r="CY283" s="67"/>
      <c r="CZ283" s="67"/>
      <c r="DA283" s="67"/>
      <c r="DB283" s="67"/>
      <c r="DC283" s="67"/>
      <c r="DD283" s="67"/>
      <c r="DE283" s="67"/>
      <c r="DF283" s="67"/>
    </row>
    <row r="284">
      <c r="A284" s="62"/>
      <c r="B284" s="88"/>
      <c r="C284" s="88"/>
      <c r="D284" s="88"/>
      <c r="E284" s="90"/>
      <c r="F284" s="91"/>
      <c r="G284" s="49"/>
      <c r="H284" s="70"/>
      <c r="I284" s="88"/>
      <c r="J284" s="88"/>
      <c r="K284" s="88"/>
      <c r="L284" s="90"/>
      <c r="M284" s="91"/>
      <c r="N284" s="49"/>
      <c r="O284" s="71"/>
      <c r="P284" s="92"/>
      <c r="Q284" s="71"/>
      <c r="R284" s="92"/>
      <c r="S284" s="71"/>
      <c r="T284" s="71"/>
      <c r="U284" s="68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29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  <c r="BK284" s="67"/>
      <c r="BL284" s="67"/>
      <c r="BM284" s="67"/>
      <c r="BN284" s="67"/>
      <c r="BO284" s="67"/>
      <c r="BP284" s="67"/>
      <c r="BQ284" s="67"/>
      <c r="BR284" s="67"/>
      <c r="BS284" s="67"/>
      <c r="BT284" s="67"/>
      <c r="BU284" s="67"/>
      <c r="BV284" s="67"/>
      <c r="BW284" s="67"/>
      <c r="BX284" s="67"/>
      <c r="BY284" s="67"/>
      <c r="BZ284" s="67"/>
      <c r="CA284" s="67"/>
      <c r="CB284" s="67"/>
      <c r="CC284" s="67"/>
      <c r="CD284" s="67"/>
      <c r="CE284" s="67"/>
      <c r="CF284" s="67"/>
      <c r="CG284" s="67"/>
      <c r="CH284" s="67"/>
      <c r="CI284" s="67"/>
      <c r="CJ284" s="67"/>
      <c r="CK284" s="67"/>
      <c r="CL284" s="67"/>
      <c r="CM284" s="67"/>
      <c r="CN284" s="67"/>
      <c r="CO284" s="67"/>
      <c r="CP284" s="67"/>
      <c r="CQ284" s="67"/>
      <c r="CR284" s="67"/>
      <c r="CS284" s="67"/>
      <c r="CT284" s="67"/>
      <c r="CU284" s="67"/>
      <c r="CV284" s="67"/>
      <c r="CW284" s="67"/>
      <c r="CX284" s="67"/>
      <c r="CY284" s="67"/>
      <c r="CZ284" s="67"/>
      <c r="DA284" s="67"/>
      <c r="DB284" s="67"/>
      <c r="DC284" s="67"/>
      <c r="DD284" s="67"/>
      <c r="DE284" s="67"/>
      <c r="DF284" s="67"/>
    </row>
    <row r="285">
      <c r="A285" s="62"/>
      <c r="B285" s="88"/>
      <c r="C285" s="88"/>
      <c r="D285" s="88"/>
      <c r="E285" s="90"/>
      <c r="F285" s="91"/>
      <c r="G285" s="49"/>
      <c r="H285" s="70"/>
      <c r="I285" s="88"/>
      <c r="J285" s="88"/>
      <c r="K285" s="88"/>
      <c r="L285" s="90"/>
      <c r="M285" s="91"/>
      <c r="N285" s="49"/>
      <c r="O285" s="71"/>
      <c r="P285" s="92"/>
      <c r="Q285" s="71"/>
      <c r="R285" s="92"/>
      <c r="S285" s="71"/>
      <c r="T285" s="71"/>
      <c r="U285" s="68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29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/>
      <c r="BR285" s="67"/>
      <c r="BS285" s="67"/>
      <c r="BT285" s="67"/>
      <c r="BU285" s="67"/>
      <c r="BV285" s="67"/>
      <c r="BW285" s="67"/>
      <c r="BX285" s="67"/>
      <c r="BY285" s="67"/>
      <c r="BZ285" s="67"/>
      <c r="CA285" s="67"/>
      <c r="CB285" s="67"/>
      <c r="CC285" s="67"/>
      <c r="CD285" s="67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67"/>
      <c r="CP285" s="67"/>
      <c r="CQ285" s="67"/>
      <c r="CR285" s="67"/>
      <c r="CS285" s="67"/>
      <c r="CT285" s="67"/>
      <c r="CU285" s="67"/>
      <c r="CV285" s="67"/>
      <c r="CW285" s="67"/>
      <c r="CX285" s="67"/>
      <c r="CY285" s="67"/>
      <c r="CZ285" s="67"/>
      <c r="DA285" s="67"/>
      <c r="DB285" s="67"/>
      <c r="DC285" s="67"/>
      <c r="DD285" s="67"/>
      <c r="DE285" s="67"/>
      <c r="DF285" s="67"/>
    </row>
    <row r="286">
      <c r="A286" s="62"/>
      <c r="B286" s="88"/>
      <c r="C286" s="88"/>
      <c r="D286" s="88"/>
      <c r="E286" s="90"/>
      <c r="F286" s="91"/>
      <c r="G286" s="49"/>
      <c r="H286" s="70"/>
      <c r="I286" s="88"/>
      <c r="J286" s="88"/>
      <c r="K286" s="88"/>
      <c r="L286" s="90"/>
      <c r="M286" s="91"/>
      <c r="N286" s="49"/>
      <c r="O286" s="71"/>
      <c r="P286" s="92"/>
      <c r="Q286" s="71"/>
      <c r="R286" s="92"/>
      <c r="S286" s="71"/>
      <c r="T286" s="71"/>
      <c r="U286" s="68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29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  <c r="BK286" s="67"/>
      <c r="BL286" s="67"/>
      <c r="BM286" s="67"/>
      <c r="BN286" s="67"/>
      <c r="BO286" s="67"/>
      <c r="BP286" s="67"/>
      <c r="BQ286" s="67"/>
      <c r="BR286" s="67"/>
      <c r="BS286" s="67"/>
      <c r="BT286" s="67"/>
      <c r="BU286" s="67"/>
      <c r="BV286" s="67"/>
      <c r="BW286" s="67"/>
      <c r="BX286" s="67"/>
      <c r="BY286" s="67"/>
      <c r="BZ286" s="67"/>
      <c r="CA286" s="67"/>
      <c r="CB286" s="67"/>
      <c r="CC286" s="67"/>
      <c r="CD286" s="67"/>
      <c r="CE286" s="67"/>
      <c r="CF286" s="67"/>
      <c r="CG286" s="67"/>
      <c r="CH286" s="67"/>
      <c r="CI286" s="67"/>
      <c r="CJ286" s="67"/>
      <c r="CK286" s="67"/>
      <c r="CL286" s="67"/>
      <c r="CM286" s="67"/>
      <c r="CN286" s="67"/>
      <c r="CO286" s="67"/>
      <c r="CP286" s="67"/>
      <c r="CQ286" s="67"/>
      <c r="CR286" s="67"/>
      <c r="CS286" s="67"/>
      <c r="CT286" s="67"/>
      <c r="CU286" s="67"/>
      <c r="CV286" s="67"/>
      <c r="CW286" s="67"/>
      <c r="CX286" s="67"/>
      <c r="CY286" s="67"/>
      <c r="CZ286" s="67"/>
      <c r="DA286" s="67"/>
      <c r="DB286" s="67"/>
      <c r="DC286" s="67"/>
      <c r="DD286" s="67"/>
      <c r="DE286" s="67"/>
      <c r="DF286" s="67"/>
    </row>
    <row r="287">
      <c r="A287" s="62"/>
      <c r="B287" s="88"/>
      <c r="C287" s="88"/>
      <c r="D287" s="88"/>
      <c r="E287" s="90"/>
      <c r="F287" s="91"/>
      <c r="G287" s="49"/>
      <c r="H287" s="70"/>
      <c r="I287" s="88"/>
      <c r="J287" s="88"/>
      <c r="K287" s="88"/>
      <c r="L287" s="90"/>
      <c r="M287" s="91"/>
      <c r="N287" s="49"/>
      <c r="O287" s="71"/>
      <c r="P287" s="92"/>
      <c r="Q287" s="71"/>
      <c r="R287" s="92"/>
      <c r="S287" s="71"/>
      <c r="T287" s="71"/>
      <c r="U287" s="68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29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  <c r="BK287" s="67"/>
      <c r="BL287" s="67"/>
      <c r="BM287" s="67"/>
      <c r="BN287" s="67"/>
      <c r="BO287" s="67"/>
      <c r="BP287" s="67"/>
      <c r="BQ287" s="67"/>
      <c r="BR287" s="67"/>
      <c r="BS287" s="67"/>
      <c r="BT287" s="67"/>
      <c r="BU287" s="67"/>
      <c r="BV287" s="67"/>
      <c r="BW287" s="67"/>
      <c r="BX287" s="67"/>
      <c r="BY287" s="67"/>
      <c r="BZ287" s="67"/>
      <c r="CA287" s="67"/>
      <c r="CB287" s="67"/>
      <c r="CC287" s="67"/>
      <c r="CD287" s="67"/>
      <c r="CE287" s="67"/>
      <c r="CF287" s="67"/>
      <c r="CG287" s="67"/>
      <c r="CH287" s="67"/>
      <c r="CI287" s="67"/>
      <c r="CJ287" s="67"/>
      <c r="CK287" s="67"/>
      <c r="CL287" s="67"/>
      <c r="CM287" s="67"/>
      <c r="CN287" s="67"/>
      <c r="CO287" s="67"/>
      <c r="CP287" s="67"/>
      <c r="CQ287" s="67"/>
      <c r="CR287" s="67"/>
      <c r="CS287" s="67"/>
      <c r="CT287" s="67"/>
      <c r="CU287" s="67"/>
      <c r="CV287" s="67"/>
      <c r="CW287" s="67"/>
      <c r="CX287" s="67"/>
      <c r="CY287" s="67"/>
      <c r="CZ287" s="67"/>
      <c r="DA287" s="67"/>
      <c r="DB287" s="67"/>
      <c r="DC287" s="67"/>
      <c r="DD287" s="67"/>
      <c r="DE287" s="67"/>
      <c r="DF287" s="67"/>
    </row>
    <row r="288">
      <c r="A288" s="62"/>
      <c r="B288" s="88"/>
      <c r="C288" s="88"/>
      <c r="D288" s="88"/>
      <c r="E288" s="90"/>
      <c r="F288" s="91"/>
      <c r="G288" s="49"/>
      <c r="H288" s="70"/>
      <c r="I288" s="88"/>
      <c r="J288" s="88"/>
      <c r="K288" s="88"/>
      <c r="L288" s="90"/>
      <c r="M288" s="91"/>
      <c r="N288" s="49"/>
      <c r="O288" s="71"/>
      <c r="P288" s="92"/>
      <c r="Q288" s="71"/>
      <c r="R288" s="92"/>
      <c r="S288" s="71"/>
      <c r="T288" s="71"/>
      <c r="U288" s="68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29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  <c r="BM288" s="67"/>
      <c r="BN288" s="67"/>
      <c r="BO288" s="67"/>
      <c r="BP288" s="67"/>
      <c r="BQ288" s="67"/>
      <c r="BR288" s="67"/>
      <c r="BS288" s="67"/>
      <c r="BT288" s="67"/>
      <c r="BU288" s="67"/>
      <c r="BV288" s="67"/>
      <c r="BW288" s="67"/>
      <c r="BX288" s="67"/>
      <c r="BY288" s="67"/>
      <c r="BZ288" s="67"/>
      <c r="CA288" s="67"/>
      <c r="CB288" s="67"/>
      <c r="CC288" s="67"/>
      <c r="CD288" s="67"/>
      <c r="CE288" s="67"/>
      <c r="CF288" s="67"/>
      <c r="CG288" s="67"/>
      <c r="CH288" s="67"/>
      <c r="CI288" s="67"/>
      <c r="CJ288" s="67"/>
      <c r="CK288" s="67"/>
      <c r="CL288" s="67"/>
      <c r="CM288" s="67"/>
      <c r="CN288" s="67"/>
      <c r="CO288" s="67"/>
      <c r="CP288" s="67"/>
      <c r="CQ288" s="67"/>
      <c r="CR288" s="67"/>
      <c r="CS288" s="67"/>
      <c r="CT288" s="67"/>
      <c r="CU288" s="67"/>
      <c r="CV288" s="67"/>
      <c r="CW288" s="67"/>
      <c r="CX288" s="67"/>
      <c r="CY288" s="67"/>
      <c r="CZ288" s="67"/>
      <c r="DA288" s="67"/>
      <c r="DB288" s="67"/>
      <c r="DC288" s="67"/>
      <c r="DD288" s="67"/>
      <c r="DE288" s="67"/>
      <c r="DF288" s="67"/>
    </row>
    <row r="289">
      <c r="A289" s="62"/>
      <c r="B289" s="88"/>
      <c r="C289" s="88"/>
      <c r="D289" s="88"/>
      <c r="E289" s="90"/>
      <c r="F289" s="91"/>
      <c r="G289" s="49"/>
      <c r="H289" s="70"/>
      <c r="I289" s="88"/>
      <c r="J289" s="88"/>
      <c r="K289" s="88"/>
      <c r="L289" s="90"/>
      <c r="M289" s="91"/>
      <c r="N289" s="49"/>
      <c r="O289" s="71"/>
      <c r="P289" s="92"/>
      <c r="Q289" s="71"/>
      <c r="R289" s="92"/>
      <c r="S289" s="71"/>
      <c r="T289" s="71"/>
      <c r="U289" s="68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29"/>
      <c r="AN289" s="67"/>
      <c r="AO289" s="67"/>
      <c r="AP289" s="67"/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  <c r="BC289" s="67"/>
      <c r="BD289" s="67"/>
      <c r="BE289" s="67"/>
      <c r="BF289" s="67"/>
      <c r="BG289" s="67"/>
      <c r="BH289" s="67"/>
      <c r="BI289" s="67"/>
      <c r="BJ289" s="67"/>
      <c r="BK289" s="67"/>
      <c r="BL289" s="67"/>
      <c r="BM289" s="67"/>
      <c r="BN289" s="67"/>
      <c r="BO289" s="67"/>
      <c r="BP289" s="67"/>
      <c r="BQ289" s="67"/>
      <c r="BR289" s="67"/>
      <c r="BS289" s="67"/>
      <c r="BT289" s="67"/>
      <c r="BU289" s="67"/>
      <c r="BV289" s="67"/>
      <c r="BW289" s="67"/>
      <c r="BX289" s="67"/>
      <c r="BY289" s="67"/>
      <c r="BZ289" s="67"/>
      <c r="CA289" s="67"/>
      <c r="CB289" s="67"/>
      <c r="CC289" s="67"/>
      <c r="CD289" s="67"/>
      <c r="CE289" s="67"/>
      <c r="CF289" s="67"/>
      <c r="CG289" s="67"/>
      <c r="CH289" s="67"/>
      <c r="CI289" s="67"/>
      <c r="CJ289" s="67"/>
      <c r="CK289" s="67"/>
      <c r="CL289" s="67"/>
      <c r="CM289" s="67"/>
      <c r="CN289" s="67"/>
      <c r="CO289" s="67"/>
      <c r="CP289" s="67"/>
      <c r="CQ289" s="67"/>
      <c r="CR289" s="67"/>
      <c r="CS289" s="67"/>
      <c r="CT289" s="67"/>
      <c r="CU289" s="67"/>
      <c r="CV289" s="67"/>
      <c r="CW289" s="67"/>
      <c r="CX289" s="67"/>
      <c r="CY289" s="67"/>
      <c r="CZ289" s="67"/>
      <c r="DA289" s="67"/>
      <c r="DB289" s="67"/>
      <c r="DC289" s="67"/>
      <c r="DD289" s="67"/>
      <c r="DE289" s="67"/>
      <c r="DF289" s="67"/>
    </row>
    <row r="290">
      <c r="A290" s="62"/>
      <c r="B290" s="88"/>
      <c r="C290" s="88"/>
      <c r="D290" s="88"/>
      <c r="E290" s="90"/>
      <c r="F290" s="91"/>
      <c r="G290" s="49"/>
      <c r="H290" s="70"/>
      <c r="I290" s="88"/>
      <c r="J290" s="88"/>
      <c r="K290" s="88"/>
      <c r="L290" s="90"/>
      <c r="M290" s="91"/>
      <c r="N290" s="49"/>
      <c r="O290" s="71"/>
      <c r="P290" s="92"/>
      <c r="Q290" s="71"/>
      <c r="R290" s="92"/>
      <c r="S290" s="71"/>
      <c r="T290" s="71"/>
      <c r="U290" s="68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29"/>
      <c r="AN290" s="67"/>
      <c r="AO290" s="67"/>
      <c r="AP290" s="67"/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  <c r="BC290" s="67"/>
      <c r="BD290" s="67"/>
      <c r="BE290" s="67"/>
      <c r="BF290" s="67"/>
      <c r="BG290" s="67"/>
      <c r="BH290" s="67"/>
      <c r="BI290" s="67"/>
      <c r="BJ290" s="67"/>
      <c r="BK290" s="67"/>
      <c r="BL290" s="67"/>
      <c r="BM290" s="67"/>
      <c r="BN290" s="67"/>
      <c r="BO290" s="67"/>
      <c r="BP290" s="67"/>
      <c r="BQ290" s="67"/>
      <c r="BR290" s="67"/>
      <c r="BS290" s="67"/>
      <c r="BT290" s="67"/>
      <c r="BU290" s="67"/>
      <c r="BV290" s="67"/>
      <c r="BW290" s="67"/>
      <c r="BX290" s="67"/>
      <c r="BY290" s="67"/>
      <c r="BZ290" s="67"/>
      <c r="CA290" s="67"/>
      <c r="CB290" s="67"/>
      <c r="CC290" s="67"/>
      <c r="CD290" s="67"/>
      <c r="CE290" s="67"/>
      <c r="CF290" s="67"/>
      <c r="CG290" s="67"/>
      <c r="CH290" s="67"/>
      <c r="CI290" s="67"/>
      <c r="CJ290" s="67"/>
      <c r="CK290" s="67"/>
      <c r="CL290" s="67"/>
      <c r="CM290" s="67"/>
      <c r="CN290" s="67"/>
      <c r="CO290" s="67"/>
      <c r="CP290" s="67"/>
      <c r="CQ290" s="67"/>
      <c r="CR290" s="67"/>
      <c r="CS290" s="67"/>
      <c r="CT290" s="67"/>
      <c r="CU290" s="67"/>
      <c r="CV290" s="67"/>
      <c r="CW290" s="67"/>
      <c r="CX290" s="67"/>
      <c r="CY290" s="67"/>
      <c r="CZ290" s="67"/>
      <c r="DA290" s="67"/>
      <c r="DB290" s="67"/>
      <c r="DC290" s="67"/>
      <c r="DD290" s="67"/>
      <c r="DE290" s="67"/>
      <c r="DF290" s="67"/>
    </row>
    <row r="291">
      <c r="A291" s="62"/>
      <c r="B291" s="88"/>
      <c r="C291" s="88"/>
      <c r="D291" s="88"/>
      <c r="E291" s="90"/>
      <c r="F291" s="91"/>
      <c r="G291" s="49"/>
      <c r="H291" s="70"/>
      <c r="I291" s="88"/>
      <c r="J291" s="88"/>
      <c r="K291" s="88"/>
      <c r="L291" s="90"/>
      <c r="M291" s="91"/>
      <c r="N291" s="49"/>
      <c r="O291" s="71"/>
      <c r="P291" s="92"/>
      <c r="Q291" s="71"/>
      <c r="R291" s="92"/>
      <c r="S291" s="71"/>
      <c r="T291" s="71"/>
      <c r="U291" s="68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29"/>
      <c r="AN291" s="67"/>
      <c r="AO291" s="67"/>
      <c r="AP291" s="67"/>
      <c r="AQ291" s="67"/>
      <c r="AR291" s="67"/>
      <c r="AS291" s="67"/>
      <c r="AT291" s="67"/>
      <c r="AU291" s="67"/>
      <c r="AV291" s="67"/>
      <c r="AW291" s="67"/>
      <c r="AX291" s="67"/>
      <c r="AY291" s="67"/>
      <c r="AZ291" s="67"/>
      <c r="BA291" s="67"/>
      <c r="BB291" s="67"/>
      <c r="BC291" s="67"/>
      <c r="BD291" s="67"/>
      <c r="BE291" s="67"/>
      <c r="BF291" s="67"/>
      <c r="BG291" s="67"/>
      <c r="BH291" s="67"/>
      <c r="BI291" s="67"/>
      <c r="BJ291" s="67"/>
      <c r="BK291" s="67"/>
      <c r="BL291" s="67"/>
      <c r="BM291" s="67"/>
      <c r="BN291" s="67"/>
      <c r="BO291" s="67"/>
      <c r="BP291" s="67"/>
      <c r="BQ291" s="67"/>
      <c r="BR291" s="67"/>
      <c r="BS291" s="67"/>
      <c r="BT291" s="67"/>
      <c r="BU291" s="67"/>
      <c r="BV291" s="67"/>
      <c r="BW291" s="67"/>
      <c r="BX291" s="67"/>
      <c r="BY291" s="67"/>
      <c r="BZ291" s="67"/>
      <c r="CA291" s="67"/>
      <c r="CB291" s="67"/>
      <c r="CC291" s="67"/>
      <c r="CD291" s="67"/>
      <c r="CE291" s="67"/>
      <c r="CF291" s="67"/>
      <c r="CG291" s="67"/>
      <c r="CH291" s="67"/>
      <c r="CI291" s="67"/>
      <c r="CJ291" s="67"/>
      <c r="CK291" s="67"/>
      <c r="CL291" s="67"/>
      <c r="CM291" s="67"/>
      <c r="CN291" s="67"/>
      <c r="CO291" s="67"/>
      <c r="CP291" s="67"/>
      <c r="CQ291" s="67"/>
      <c r="CR291" s="67"/>
      <c r="CS291" s="67"/>
      <c r="CT291" s="67"/>
      <c r="CU291" s="67"/>
      <c r="CV291" s="67"/>
      <c r="CW291" s="67"/>
      <c r="CX291" s="67"/>
      <c r="CY291" s="67"/>
      <c r="CZ291" s="67"/>
      <c r="DA291" s="67"/>
      <c r="DB291" s="67"/>
      <c r="DC291" s="67"/>
      <c r="DD291" s="67"/>
      <c r="DE291" s="67"/>
      <c r="DF291" s="67"/>
    </row>
    <row r="292">
      <c r="A292" s="62"/>
      <c r="B292" s="88"/>
      <c r="C292" s="88"/>
      <c r="D292" s="88"/>
      <c r="E292" s="90"/>
      <c r="F292" s="91"/>
      <c r="G292" s="49"/>
      <c r="H292" s="70"/>
      <c r="I292" s="88"/>
      <c r="J292" s="88"/>
      <c r="K292" s="88"/>
      <c r="L292" s="90"/>
      <c r="M292" s="91"/>
      <c r="N292" s="49"/>
      <c r="O292" s="71"/>
      <c r="P292" s="92"/>
      <c r="Q292" s="71"/>
      <c r="R292" s="92"/>
      <c r="S292" s="71"/>
      <c r="T292" s="71"/>
      <c r="U292" s="68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29"/>
      <c r="AN292" s="67"/>
      <c r="AO292" s="67"/>
      <c r="AP292" s="67"/>
      <c r="AQ292" s="67"/>
      <c r="AR292" s="67"/>
      <c r="AS292" s="67"/>
      <c r="AT292" s="67"/>
      <c r="AU292" s="67"/>
      <c r="AV292" s="67"/>
      <c r="AW292" s="67"/>
      <c r="AX292" s="67"/>
      <c r="AY292" s="67"/>
      <c r="AZ292" s="67"/>
      <c r="BA292" s="67"/>
      <c r="BB292" s="67"/>
      <c r="BC292" s="67"/>
      <c r="BD292" s="67"/>
      <c r="BE292" s="67"/>
      <c r="BF292" s="67"/>
      <c r="BG292" s="67"/>
      <c r="BH292" s="67"/>
      <c r="BI292" s="67"/>
      <c r="BJ292" s="67"/>
      <c r="BK292" s="67"/>
      <c r="BL292" s="67"/>
      <c r="BM292" s="67"/>
      <c r="BN292" s="67"/>
      <c r="BO292" s="67"/>
      <c r="BP292" s="67"/>
      <c r="BQ292" s="67"/>
      <c r="BR292" s="67"/>
      <c r="BS292" s="67"/>
      <c r="BT292" s="67"/>
      <c r="BU292" s="67"/>
      <c r="BV292" s="67"/>
      <c r="BW292" s="67"/>
      <c r="BX292" s="67"/>
      <c r="BY292" s="67"/>
      <c r="BZ292" s="67"/>
      <c r="CA292" s="67"/>
      <c r="CB292" s="67"/>
      <c r="CC292" s="67"/>
      <c r="CD292" s="67"/>
      <c r="CE292" s="67"/>
      <c r="CF292" s="67"/>
      <c r="CG292" s="67"/>
      <c r="CH292" s="67"/>
      <c r="CI292" s="67"/>
      <c r="CJ292" s="67"/>
      <c r="CK292" s="67"/>
      <c r="CL292" s="67"/>
      <c r="CM292" s="67"/>
      <c r="CN292" s="67"/>
      <c r="CO292" s="67"/>
      <c r="CP292" s="67"/>
      <c r="CQ292" s="67"/>
      <c r="CR292" s="67"/>
      <c r="CS292" s="67"/>
      <c r="CT292" s="67"/>
      <c r="CU292" s="67"/>
      <c r="CV292" s="67"/>
      <c r="CW292" s="67"/>
      <c r="CX292" s="67"/>
      <c r="CY292" s="67"/>
      <c r="CZ292" s="67"/>
      <c r="DA292" s="67"/>
      <c r="DB292" s="67"/>
      <c r="DC292" s="67"/>
      <c r="DD292" s="67"/>
      <c r="DE292" s="67"/>
      <c r="DF292" s="67"/>
    </row>
    <row r="293">
      <c r="A293" s="62"/>
      <c r="B293" s="88"/>
      <c r="C293" s="88"/>
      <c r="D293" s="88"/>
      <c r="E293" s="90"/>
      <c r="F293" s="91"/>
      <c r="G293" s="49"/>
      <c r="H293" s="70"/>
      <c r="I293" s="88"/>
      <c r="J293" s="88"/>
      <c r="K293" s="88"/>
      <c r="L293" s="90"/>
      <c r="M293" s="91"/>
      <c r="N293" s="49"/>
      <c r="O293" s="71"/>
      <c r="P293" s="92"/>
      <c r="Q293" s="71"/>
      <c r="R293" s="92"/>
      <c r="S293" s="71"/>
      <c r="T293" s="71"/>
      <c r="U293" s="68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29"/>
      <c r="AN293" s="67"/>
      <c r="AO293" s="67"/>
      <c r="AP293" s="67"/>
      <c r="AQ293" s="67"/>
      <c r="AR293" s="67"/>
      <c r="AS293" s="67"/>
      <c r="AT293" s="67"/>
      <c r="AU293" s="67"/>
      <c r="AV293" s="67"/>
      <c r="AW293" s="67"/>
      <c r="AX293" s="67"/>
      <c r="AY293" s="67"/>
      <c r="AZ293" s="67"/>
      <c r="BA293" s="67"/>
      <c r="BB293" s="67"/>
      <c r="BC293" s="67"/>
      <c r="BD293" s="67"/>
      <c r="BE293" s="67"/>
      <c r="BF293" s="67"/>
      <c r="BG293" s="67"/>
      <c r="BH293" s="67"/>
      <c r="BI293" s="67"/>
      <c r="BJ293" s="67"/>
      <c r="BK293" s="67"/>
      <c r="BL293" s="67"/>
      <c r="BM293" s="67"/>
      <c r="BN293" s="67"/>
      <c r="BO293" s="67"/>
      <c r="BP293" s="67"/>
      <c r="BQ293" s="67"/>
      <c r="BR293" s="67"/>
      <c r="BS293" s="67"/>
      <c r="BT293" s="67"/>
      <c r="BU293" s="67"/>
      <c r="BV293" s="67"/>
      <c r="BW293" s="67"/>
      <c r="BX293" s="67"/>
      <c r="BY293" s="67"/>
      <c r="BZ293" s="67"/>
      <c r="CA293" s="67"/>
      <c r="CB293" s="67"/>
      <c r="CC293" s="67"/>
      <c r="CD293" s="67"/>
      <c r="CE293" s="67"/>
      <c r="CF293" s="67"/>
      <c r="CG293" s="67"/>
      <c r="CH293" s="67"/>
      <c r="CI293" s="67"/>
      <c r="CJ293" s="67"/>
      <c r="CK293" s="67"/>
      <c r="CL293" s="67"/>
      <c r="CM293" s="67"/>
      <c r="CN293" s="67"/>
      <c r="CO293" s="67"/>
      <c r="CP293" s="67"/>
      <c r="CQ293" s="67"/>
      <c r="CR293" s="67"/>
      <c r="CS293" s="67"/>
      <c r="CT293" s="67"/>
      <c r="CU293" s="67"/>
      <c r="CV293" s="67"/>
      <c r="CW293" s="67"/>
      <c r="CX293" s="67"/>
      <c r="CY293" s="67"/>
      <c r="CZ293" s="67"/>
      <c r="DA293" s="67"/>
      <c r="DB293" s="67"/>
      <c r="DC293" s="67"/>
      <c r="DD293" s="67"/>
      <c r="DE293" s="67"/>
      <c r="DF293" s="67"/>
    </row>
    <row r="294">
      <c r="A294" s="62"/>
      <c r="B294" s="88"/>
      <c r="C294" s="88"/>
      <c r="D294" s="88"/>
      <c r="E294" s="90"/>
      <c r="F294" s="91"/>
      <c r="G294" s="49"/>
      <c r="H294" s="70"/>
      <c r="I294" s="88"/>
      <c r="J294" s="88"/>
      <c r="K294" s="88"/>
      <c r="L294" s="90"/>
      <c r="M294" s="91"/>
      <c r="N294" s="49"/>
      <c r="O294" s="71"/>
      <c r="P294" s="92"/>
      <c r="Q294" s="71"/>
      <c r="R294" s="92"/>
      <c r="S294" s="71"/>
      <c r="T294" s="71"/>
      <c r="U294" s="68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29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C294" s="67"/>
      <c r="BD294" s="67"/>
      <c r="BE294" s="67"/>
      <c r="BF294" s="67"/>
      <c r="BG294" s="67"/>
      <c r="BH294" s="67"/>
      <c r="BI294" s="67"/>
      <c r="BJ294" s="67"/>
      <c r="BK294" s="67"/>
      <c r="BL294" s="67"/>
      <c r="BM294" s="67"/>
      <c r="BN294" s="67"/>
      <c r="BO294" s="67"/>
      <c r="BP294" s="67"/>
      <c r="BQ294" s="67"/>
      <c r="BR294" s="67"/>
      <c r="BS294" s="67"/>
      <c r="BT294" s="67"/>
      <c r="BU294" s="67"/>
      <c r="BV294" s="67"/>
      <c r="BW294" s="67"/>
      <c r="BX294" s="67"/>
      <c r="BY294" s="67"/>
      <c r="BZ294" s="67"/>
      <c r="CA294" s="67"/>
      <c r="CB294" s="67"/>
      <c r="CC294" s="67"/>
      <c r="CD294" s="67"/>
      <c r="CE294" s="67"/>
      <c r="CF294" s="67"/>
      <c r="CG294" s="67"/>
      <c r="CH294" s="67"/>
      <c r="CI294" s="67"/>
      <c r="CJ294" s="67"/>
      <c r="CK294" s="67"/>
      <c r="CL294" s="67"/>
      <c r="CM294" s="67"/>
      <c r="CN294" s="67"/>
      <c r="CO294" s="67"/>
      <c r="CP294" s="67"/>
      <c r="CQ294" s="67"/>
      <c r="CR294" s="67"/>
      <c r="CS294" s="67"/>
      <c r="CT294" s="67"/>
      <c r="CU294" s="67"/>
      <c r="CV294" s="67"/>
      <c r="CW294" s="67"/>
      <c r="CX294" s="67"/>
      <c r="CY294" s="67"/>
      <c r="CZ294" s="67"/>
      <c r="DA294" s="67"/>
      <c r="DB294" s="67"/>
      <c r="DC294" s="67"/>
      <c r="DD294" s="67"/>
      <c r="DE294" s="67"/>
      <c r="DF294" s="67"/>
    </row>
    <row r="295">
      <c r="A295" s="62"/>
      <c r="B295" s="88"/>
      <c r="C295" s="88"/>
      <c r="D295" s="88"/>
      <c r="E295" s="90"/>
      <c r="F295" s="91"/>
      <c r="G295" s="49"/>
      <c r="H295" s="70"/>
      <c r="I295" s="88"/>
      <c r="J295" s="88"/>
      <c r="K295" s="88"/>
      <c r="L295" s="90"/>
      <c r="M295" s="91"/>
      <c r="N295" s="49"/>
      <c r="O295" s="71"/>
      <c r="P295" s="92"/>
      <c r="Q295" s="71"/>
      <c r="R295" s="92"/>
      <c r="S295" s="71"/>
      <c r="T295" s="71"/>
      <c r="U295" s="68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29"/>
      <c r="AN295" s="67"/>
      <c r="AO295" s="67"/>
      <c r="AP295" s="67"/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  <c r="BC295" s="67"/>
      <c r="BD295" s="67"/>
      <c r="BE295" s="67"/>
      <c r="BF295" s="67"/>
      <c r="BG295" s="67"/>
      <c r="BH295" s="67"/>
      <c r="BI295" s="67"/>
      <c r="BJ295" s="67"/>
      <c r="BK295" s="67"/>
      <c r="BL295" s="67"/>
      <c r="BM295" s="67"/>
      <c r="BN295" s="67"/>
      <c r="BO295" s="67"/>
      <c r="BP295" s="67"/>
      <c r="BQ295" s="67"/>
      <c r="BR295" s="67"/>
      <c r="BS295" s="67"/>
      <c r="BT295" s="67"/>
      <c r="BU295" s="67"/>
      <c r="BV295" s="67"/>
      <c r="BW295" s="67"/>
      <c r="BX295" s="67"/>
      <c r="BY295" s="67"/>
      <c r="BZ295" s="67"/>
      <c r="CA295" s="67"/>
      <c r="CB295" s="67"/>
      <c r="CC295" s="67"/>
      <c r="CD295" s="67"/>
      <c r="CE295" s="67"/>
      <c r="CF295" s="67"/>
      <c r="CG295" s="67"/>
      <c r="CH295" s="67"/>
      <c r="CI295" s="67"/>
      <c r="CJ295" s="67"/>
      <c r="CK295" s="67"/>
      <c r="CL295" s="67"/>
      <c r="CM295" s="67"/>
      <c r="CN295" s="67"/>
      <c r="CO295" s="67"/>
      <c r="CP295" s="67"/>
      <c r="CQ295" s="67"/>
      <c r="CR295" s="67"/>
      <c r="CS295" s="67"/>
      <c r="CT295" s="67"/>
      <c r="CU295" s="67"/>
      <c r="CV295" s="67"/>
      <c r="CW295" s="67"/>
      <c r="CX295" s="67"/>
      <c r="CY295" s="67"/>
      <c r="CZ295" s="67"/>
      <c r="DA295" s="67"/>
      <c r="DB295" s="67"/>
      <c r="DC295" s="67"/>
      <c r="DD295" s="67"/>
      <c r="DE295" s="67"/>
      <c r="DF295" s="67"/>
    </row>
    <row r="296">
      <c r="A296" s="62"/>
      <c r="B296" s="88"/>
      <c r="C296" s="88"/>
      <c r="D296" s="88"/>
      <c r="E296" s="90"/>
      <c r="F296" s="91"/>
      <c r="G296" s="49"/>
      <c r="H296" s="70"/>
      <c r="I296" s="88"/>
      <c r="J296" s="88"/>
      <c r="K296" s="88"/>
      <c r="L296" s="90"/>
      <c r="M296" s="91"/>
      <c r="N296" s="49"/>
      <c r="O296" s="71"/>
      <c r="P296" s="92"/>
      <c r="Q296" s="71"/>
      <c r="R296" s="92"/>
      <c r="S296" s="71"/>
      <c r="T296" s="71"/>
      <c r="U296" s="68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29"/>
      <c r="AN296" s="67"/>
      <c r="AO296" s="67"/>
      <c r="AP296" s="67"/>
      <c r="AQ296" s="67"/>
      <c r="AR296" s="67"/>
      <c r="AS296" s="67"/>
      <c r="AT296" s="67"/>
      <c r="AU296" s="67"/>
      <c r="AV296" s="67"/>
      <c r="AW296" s="67"/>
      <c r="AX296" s="67"/>
      <c r="AY296" s="67"/>
      <c r="AZ296" s="67"/>
      <c r="BA296" s="67"/>
      <c r="BB296" s="67"/>
      <c r="BC296" s="67"/>
      <c r="BD296" s="67"/>
      <c r="BE296" s="67"/>
      <c r="BF296" s="67"/>
      <c r="BG296" s="67"/>
      <c r="BH296" s="67"/>
      <c r="BI296" s="67"/>
      <c r="BJ296" s="67"/>
      <c r="BK296" s="67"/>
      <c r="BL296" s="67"/>
      <c r="BM296" s="67"/>
      <c r="BN296" s="67"/>
      <c r="BO296" s="67"/>
      <c r="BP296" s="67"/>
      <c r="BQ296" s="67"/>
      <c r="BR296" s="67"/>
      <c r="BS296" s="67"/>
      <c r="BT296" s="67"/>
      <c r="BU296" s="67"/>
      <c r="BV296" s="67"/>
      <c r="BW296" s="67"/>
      <c r="BX296" s="67"/>
      <c r="BY296" s="67"/>
      <c r="BZ296" s="67"/>
      <c r="CA296" s="67"/>
      <c r="CB296" s="67"/>
      <c r="CC296" s="67"/>
      <c r="CD296" s="67"/>
      <c r="CE296" s="67"/>
      <c r="CF296" s="67"/>
      <c r="CG296" s="67"/>
      <c r="CH296" s="67"/>
      <c r="CI296" s="67"/>
      <c r="CJ296" s="67"/>
      <c r="CK296" s="67"/>
      <c r="CL296" s="67"/>
      <c r="CM296" s="67"/>
      <c r="CN296" s="67"/>
      <c r="CO296" s="67"/>
      <c r="CP296" s="67"/>
      <c r="CQ296" s="67"/>
      <c r="CR296" s="67"/>
      <c r="CS296" s="67"/>
      <c r="CT296" s="67"/>
      <c r="CU296" s="67"/>
      <c r="CV296" s="67"/>
      <c r="CW296" s="67"/>
      <c r="CX296" s="67"/>
      <c r="CY296" s="67"/>
      <c r="CZ296" s="67"/>
      <c r="DA296" s="67"/>
      <c r="DB296" s="67"/>
      <c r="DC296" s="67"/>
      <c r="DD296" s="67"/>
      <c r="DE296" s="67"/>
      <c r="DF296" s="67"/>
    </row>
    <row r="297">
      <c r="A297" s="62"/>
      <c r="B297" s="88"/>
      <c r="C297" s="88"/>
      <c r="D297" s="88"/>
      <c r="E297" s="90"/>
      <c r="F297" s="91"/>
      <c r="G297" s="49"/>
      <c r="H297" s="70"/>
      <c r="I297" s="88"/>
      <c r="J297" s="88"/>
      <c r="K297" s="88"/>
      <c r="L297" s="90"/>
      <c r="M297" s="91"/>
      <c r="N297" s="49"/>
      <c r="O297" s="71"/>
      <c r="P297" s="92"/>
      <c r="Q297" s="71"/>
      <c r="R297" s="92"/>
      <c r="S297" s="71"/>
      <c r="T297" s="71"/>
      <c r="U297" s="68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29"/>
      <c r="AN297" s="67"/>
      <c r="AO297" s="67"/>
      <c r="AP297" s="67"/>
      <c r="AQ297" s="67"/>
      <c r="AR297" s="67"/>
      <c r="AS297" s="67"/>
      <c r="AT297" s="67"/>
      <c r="AU297" s="67"/>
      <c r="AV297" s="67"/>
      <c r="AW297" s="67"/>
      <c r="AX297" s="67"/>
      <c r="AY297" s="67"/>
      <c r="AZ297" s="67"/>
      <c r="BA297" s="67"/>
      <c r="BB297" s="67"/>
      <c r="BC297" s="67"/>
      <c r="BD297" s="67"/>
      <c r="BE297" s="67"/>
      <c r="BF297" s="67"/>
      <c r="BG297" s="67"/>
      <c r="BH297" s="67"/>
      <c r="BI297" s="67"/>
      <c r="BJ297" s="67"/>
      <c r="BK297" s="67"/>
      <c r="BL297" s="67"/>
      <c r="BM297" s="67"/>
      <c r="BN297" s="67"/>
      <c r="BO297" s="67"/>
      <c r="BP297" s="67"/>
      <c r="BQ297" s="67"/>
      <c r="BR297" s="67"/>
      <c r="BS297" s="67"/>
      <c r="BT297" s="67"/>
      <c r="BU297" s="67"/>
      <c r="BV297" s="67"/>
      <c r="BW297" s="67"/>
      <c r="BX297" s="67"/>
      <c r="BY297" s="67"/>
      <c r="BZ297" s="67"/>
      <c r="CA297" s="67"/>
      <c r="CB297" s="67"/>
      <c r="CC297" s="67"/>
      <c r="CD297" s="67"/>
      <c r="CE297" s="67"/>
      <c r="CF297" s="67"/>
      <c r="CG297" s="67"/>
      <c r="CH297" s="67"/>
      <c r="CI297" s="67"/>
      <c r="CJ297" s="67"/>
      <c r="CK297" s="67"/>
      <c r="CL297" s="67"/>
      <c r="CM297" s="67"/>
      <c r="CN297" s="67"/>
      <c r="CO297" s="67"/>
      <c r="CP297" s="67"/>
      <c r="CQ297" s="67"/>
      <c r="CR297" s="67"/>
      <c r="CS297" s="67"/>
      <c r="CT297" s="67"/>
      <c r="CU297" s="67"/>
      <c r="CV297" s="67"/>
      <c r="CW297" s="67"/>
      <c r="CX297" s="67"/>
      <c r="CY297" s="67"/>
      <c r="CZ297" s="67"/>
      <c r="DA297" s="67"/>
      <c r="DB297" s="67"/>
      <c r="DC297" s="67"/>
      <c r="DD297" s="67"/>
      <c r="DE297" s="67"/>
      <c r="DF297" s="67"/>
    </row>
    <row r="298">
      <c r="A298" s="62"/>
      <c r="B298" s="88"/>
      <c r="C298" s="88"/>
      <c r="D298" s="88"/>
      <c r="E298" s="90"/>
      <c r="F298" s="91"/>
      <c r="G298" s="49"/>
      <c r="H298" s="70"/>
      <c r="I298" s="88"/>
      <c r="J298" s="88"/>
      <c r="K298" s="88"/>
      <c r="L298" s="90"/>
      <c r="M298" s="91"/>
      <c r="N298" s="49"/>
      <c r="O298" s="71"/>
      <c r="P298" s="92"/>
      <c r="Q298" s="71"/>
      <c r="R298" s="92"/>
      <c r="S298" s="71"/>
      <c r="T298" s="71"/>
      <c r="U298" s="68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29"/>
      <c r="AN298" s="67"/>
      <c r="AO298" s="67"/>
      <c r="AP298" s="67"/>
      <c r="AQ298" s="67"/>
      <c r="AR298" s="67"/>
      <c r="AS298" s="67"/>
      <c r="AT298" s="67"/>
      <c r="AU298" s="67"/>
      <c r="AV298" s="67"/>
      <c r="AW298" s="67"/>
      <c r="AX298" s="67"/>
      <c r="AY298" s="67"/>
      <c r="AZ298" s="67"/>
      <c r="BA298" s="67"/>
      <c r="BB298" s="67"/>
      <c r="BC298" s="67"/>
      <c r="BD298" s="67"/>
      <c r="BE298" s="67"/>
      <c r="BF298" s="67"/>
      <c r="BG298" s="67"/>
      <c r="BH298" s="67"/>
      <c r="BI298" s="67"/>
      <c r="BJ298" s="67"/>
      <c r="BK298" s="67"/>
      <c r="BL298" s="67"/>
      <c r="BM298" s="67"/>
      <c r="BN298" s="67"/>
      <c r="BO298" s="67"/>
      <c r="BP298" s="67"/>
      <c r="BQ298" s="67"/>
      <c r="BR298" s="67"/>
      <c r="BS298" s="67"/>
      <c r="BT298" s="67"/>
      <c r="BU298" s="67"/>
      <c r="BV298" s="67"/>
      <c r="BW298" s="67"/>
      <c r="BX298" s="67"/>
      <c r="BY298" s="67"/>
      <c r="BZ298" s="67"/>
      <c r="CA298" s="67"/>
      <c r="CB298" s="67"/>
      <c r="CC298" s="67"/>
      <c r="CD298" s="67"/>
      <c r="CE298" s="67"/>
      <c r="CF298" s="67"/>
      <c r="CG298" s="67"/>
      <c r="CH298" s="67"/>
      <c r="CI298" s="67"/>
      <c r="CJ298" s="67"/>
      <c r="CK298" s="67"/>
      <c r="CL298" s="67"/>
      <c r="CM298" s="67"/>
      <c r="CN298" s="67"/>
      <c r="CO298" s="67"/>
      <c r="CP298" s="67"/>
      <c r="CQ298" s="67"/>
      <c r="CR298" s="67"/>
      <c r="CS298" s="67"/>
      <c r="CT298" s="67"/>
      <c r="CU298" s="67"/>
      <c r="CV298" s="67"/>
      <c r="CW298" s="67"/>
      <c r="CX298" s="67"/>
      <c r="CY298" s="67"/>
      <c r="CZ298" s="67"/>
      <c r="DA298" s="67"/>
      <c r="DB298" s="67"/>
      <c r="DC298" s="67"/>
      <c r="DD298" s="67"/>
      <c r="DE298" s="67"/>
      <c r="DF298" s="67"/>
    </row>
    <row r="299">
      <c r="A299" s="62"/>
      <c r="B299" s="88"/>
      <c r="C299" s="88"/>
      <c r="D299" s="88"/>
      <c r="E299" s="90"/>
      <c r="F299" s="91"/>
      <c r="G299" s="49"/>
      <c r="H299" s="70"/>
      <c r="I299" s="88"/>
      <c r="J299" s="88"/>
      <c r="K299" s="88"/>
      <c r="L299" s="90"/>
      <c r="M299" s="91"/>
      <c r="N299" s="49"/>
      <c r="O299" s="71"/>
      <c r="P299" s="92"/>
      <c r="Q299" s="71"/>
      <c r="R299" s="92"/>
      <c r="S299" s="71"/>
      <c r="T299" s="71"/>
      <c r="U299" s="68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29"/>
      <c r="AN299" s="67"/>
      <c r="AO299" s="67"/>
      <c r="AP299" s="67"/>
      <c r="AQ299" s="67"/>
      <c r="AR299" s="67"/>
      <c r="AS299" s="67"/>
      <c r="AT299" s="67"/>
      <c r="AU299" s="67"/>
      <c r="AV299" s="67"/>
      <c r="AW299" s="67"/>
      <c r="AX299" s="67"/>
      <c r="AY299" s="67"/>
      <c r="AZ299" s="67"/>
      <c r="BA299" s="67"/>
      <c r="BB299" s="67"/>
      <c r="BC299" s="67"/>
      <c r="BD299" s="67"/>
      <c r="BE299" s="67"/>
      <c r="BF299" s="67"/>
      <c r="BG299" s="67"/>
      <c r="BH299" s="67"/>
      <c r="BI299" s="67"/>
      <c r="BJ299" s="67"/>
      <c r="BK299" s="67"/>
      <c r="BL299" s="67"/>
      <c r="BM299" s="67"/>
      <c r="BN299" s="67"/>
      <c r="BO299" s="67"/>
      <c r="BP299" s="67"/>
      <c r="BQ299" s="67"/>
      <c r="BR299" s="67"/>
      <c r="BS299" s="67"/>
      <c r="BT299" s="67"/>
      <c r="BU299" s="67"/>
      <c r="BV299" s="67"/>
      <c r="BW299" s="67"/>
      <c r="BX299" s="67"/>
      <c r="BY299" s="67"/>
      <c r="BZ299" s="67"/>
      <c r="CA299" s="67"/>
      <c r="CB299" s="67"/>
      <c r="CC299" s="67"/>
      <c r="CD299" s="67"/>
      <c r="CE299" s="67"/>
      <c r="CF299" s="67"/>
      <c r="CG299" s="67"/>
      <c r="CH299" s="67"/>
      <c r="CI299" s="67"/>
      <c r="CJ299" s="67"/>
      <c r="CK299" s="67"/>
      <c r="CL299" s="67"/>
      <c r="CM299" s="67"/>
      <c r="CN299" s="67"/>
      <c r="CO299" s="67"/>
      <c r="CP299" s="67"/>
      <c r="CQ299" s="67"/>
      <c r="CR299" s="67"/>
      <c r="CS299" s="67"/>
      <c r="CT299" s="67"/>
      <c r="CU299" s="67"/>
      <c r="CV299" s="67"/>
      <c r="CW299" s="67"/>
      <c r="CX299" s="67"/>
      <c r="CY299" s="67"/>
      <c r="CZ299" s="67"/>
      <c r="DA299" s="67"/>
      <c r="DB299" s="67"/>
      <c r="DC299" s="67"/>
      <c r="DD299" s="67"/>
      <c r="DE299" s="67"/>
      <c r="DF299" s="67"/>
    </row>
    <row r="300">
      <c r="A300" s="62"/>
      <c r="B300" s="88"/>
      <c r="C300" s="88"/>
      <c r="D300" s="88"/>
      <c r="E300" s="90"/>
      <c r="F300" s="91"/>
      <c r="G300" s="49"/>
      <c r="H300" s="70"/>
      <c r="I300" s="88"/>
      <c r="J300" s="88"/>
      <c r="K300" s="88"/>
      <c r="L300" s="90"/>
      <c r="M300" s="91"/>
      <c r="N300" s="49"/>
      <c r="O300" s="71"/>
      <c r="P300" s="92"/>
      <c r="Q300" s="71"/>
      <c r="R300" s="92"/>
      <c r="S300" s="71"/>
      <c r="T300" s="71"/>
      <c r="U300" s="68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29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  <c r="BK300" s="67"/>
      <c r="BL300" s="67"/>
      <c r="BM300" s="67"/>
      <c r="BN300" s="67"/>
      <c r="BO300" s="67"/>
      <c r="BP300" s="67"/>
      <c r="BQ300" s="67"/>
      <c r="BR300" s="67"/>
      <c r="BS300" s="67"/>
      <c r="BT300" s="67"/>
      <c r="BU300" s="67"/>
      <c r="BV300" s="67"/>
      <c r="BW300" s="67"/>
      <c r="BX300" s="67"/>
      <c r="BY300" s="67"/>
      <c r="BZ300" s="67"/>
      <c r="CA300" s="67"/>
      <c r="CB300" s="67"/>
      <c r="CC300" s="67"/>
      <c r="CD300" s="67"/>
      <c r="CE300" s="67"/>
      <c r="CF300" s="67"/>
      <c r="CG300" s="67"/>
      <c r="CH300" s="67"/>
      <c r="CI300" s="67"/>
      <c r="CJ300" s="67"/>
      <c r="CK300" s="67"/>
      <c r="CL300" s="67"/>
      <c r="CM300" s="67"/>
      <c r="CN300" s="67"/>
      <c r="CO300" s="67"/>
      <c r="CP300" s="67"/>
      <c r="CQ300" s="67"/>
      <c r="CR300" s="67"/>
      <c r="CS300" s="67"/>
      <c r="CT300" s="67"/>
      <c r="CU300" s="67"/>
      <c r="CV300" s="67"/>
      <c r="CW300" s="67"/>
      <c r="CX300" s="67"/>
      <c r="CY300" s="67"/>
      <c r="CZ300" s="67"/>
      <c r="DA300" s="67"/>
      <c r="DB300" s="67"/>
      <c r="DC300" s="67"/>
      <c r="DD300" s="67"/>
      <c r="DE300" s="67"/>
      <c r="DF300" s="67"/>
    </row>
    <row r="301">
      <c r="A301" s="62"/>
      <c r="B301" s="88"/>
      <c r="C301" s="88"/>
      <c r="D301" s="88"/>
      <c r="E301" s="90"/>
      <c r="F301" s="91"/>
      <c r="G301" s="49"/>
      <c r="H301" s="70"/>
      <c r="I301" s="88"/>
      <c r="J301" s="88"/>
      <c r="K301" s="88"/>
      <c r="L301" s="90"/>
      <c r="M301" s="91"/>
      <c r="N301" s="49"/>
      <c r="O301" s="71"/>
      <c r="P301" s="92"/>
      <c r="Q301" s="71"/>
      <c r="R301" s="92"/>
      <c r="S301" s="71"/>
      <c r="T301" s="71"/>
      <c r="U301" s="68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29"/>
      <c r="AN301" s="67"/>
      <c r="AO301" s="67"/>
      <c r="AP301" s="67"/>
      <c r="AQ301" s="67"/>
      <c r="AR301" s="67"/>
      <c r="AS301" s="67"/>
      <c r="AT301" s="67"/>
      <c r="AU301" s="67"/>
      <c r="AV301" s="67"/>
      <c r="AW301" s="67"/>
      <c r="AX301" s="67"/>
      <c r="AY301" s="67"/>
      <c r="AZ301" s="67"/>
      <c r="BA301" s="67"/>
      <c r="BB301" s="67"/>
      <c r="BC301" s="67"/>
      <c r="BD301" s="67"/>
      <c r="BE301" s="67"/>
      <c r="BF301" s="67"/>
      <c r="BG301" s="67"/>
      <c r="BH301" s="67"/>
      <c r="BI301" s="67"/>
      <c r="BJ301" s="67"/>
      <c r="BK301" s="67"/>
      <c r="BL301" s="67"/>
      <c r="BM301" s="67"/>
      <c r="BN301" s="67"/>
      <c r="BO301" s="67"/>
      <c r="BP301" s="67"/>
      <c r="BQ301" s="67"/>
      <c r="BR301" s="67"/>
      <c r="BS301" s="67"/>
      <c r="BT301" s="67"/>
      <c r="BU301" s="67"/>
      <c r="BV301" s="67"/>
      <c r="BW301" s="67"/>
      <c r="BX301" s="67"/>
      <c r="BY301" s="67"/>
      <c r="BZ301" s="67"/>
      <c r="CA301" s="67"/>
      <c r="CB301" s="67"/>
      <c r="CC301" s="67"/>
      <c r="CD301" s="67"/>
      <c r="CE301" s="67"/>
      <c r="CF301" s="67"/>
      <c r="CG301" s="67"/>
      <c r="CH301" s="67"/>
      <c r="CI301" s="67"/>
      <c r="CJ301" s="67"/>
      <c r="CK301" s="67"/>
      <c r="CL301" s="67"/>
      <c r="CM301" s="67"/>
      <c r="CN301" s="67"/>
      <c r="CO301" s="67"/>
      <c r="CP301" s="67"/>
      <c r="CQ301" s="67"/>
      <c r="CR301" s="67"/>
      <c r="CS301" s="67"/>
      <c r="CT301" s="67"/>
      <c r="CU301" s="67"/>
      <c r="CV301" s="67"/>
      <c r="CW301" s="67"/>
      <c r="CX301" s="67"/>
      <c r="CY301" s="67"/>
      <c r="CZ301" s="67"/>
      <c r="DA301" s="67"/>
      <c r="DB301" s="67"/>
      <c r="DC301" s="67"/>
      <c r="DD301" s="67"/>
      <c r="DE301" s="67"/>
      <c r="DF301" s="67"/>
    </row>
    <row r="302">
      <c r="A302" s="62"/>
      <c r="B302" s="88"/>
      <c r="C302" s="88"/>
      <c r="D302" s="88"/>
      <c r="E302" s="90"/>
      <c r="F302" s="91"/>
      <c r="G302" s="49"/>
      <c r="H302" s="70"/>
      <c r="I302" s="88"/>
      <c r="J302" s="88"/>
      <c r="K302" s="88"/>
      <c r="L302" s="90"/>
      <c r="M302" s="91"/>
      <c r="N302" s="49"/>
      <c r="O302" s="71"/>
      <c r="P302" s="92"/>
      <c r="Q302" s="71"/>
      <c r="R302" s="92"/>
      <c r="S302" s="71"/>
      <c r="T302" s="71"/>
      <c r="U302" s="68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29"/>
      <c r="AN302" s="67"/>
      <c r="AO302" s="67"/>
      <c r="AP302" s="67"/>
      <c r="AQ302" s="67"/>
      <c r="AR302" s="67"/>
      <c r="AS302" s="67"/>
      <c r="AT302" s="67"/>
      <c r="AU302" s="67"/>
      <c r="AV302" s="67"/>
      <c r="AW302" s="67"/>
      <c r="AX302" s="67"/>
      <c r="AY302" s="67"/>
      <c r="AZ302" s="67"/>
      <c r="BA302" s="67"/>
      <c r="BB302" s="67"/>
      <c r="BC302" s="67"/>
      <c r="BD302" s="67"/>
      <c r="BE302" s="67"/>
      <c r="BF302" s="67"/>
      <c r="BG302" s="67"/>
      <c r="BH302" s="67"/>
      <c r="BI302" s="67"/>
      <c r="BJ302" s="67"/>
      <c r="BK302" s="67"/>
      <c r="BL302" s="67"/>
      <c r="BM302" s="67"/>
      <c r="BN302" s="67"/>
      <c r="BO302" s="67"/>
      <c r="BP302" s="67"/>
      <c r="BQ302" s="67"/>
      <c r="BR302" s="67"/>
      <c r="BS302" s="67"/>
      <c r="BT302" s="67"/>
      <c r="BU302" s="67"/>
      <c r="BV302" s="67"/>
      <c r="BW302" s="67"/>
      <c r="BX302" s="67"/>
      <c r="BY302" s="67"/>
      <c r="BZ302" s="67"/>
      <c r="CA302" s="67"/>
      <c r="CB302" s="67"/>
      <c r="CC302" s="67"/>
      <c r="CD302" s="67"/>
      <c r="CE302" s="67"/>
      <c r="CF302" s="67"/>
      <c r="CG302" s="67"/>
      <c r="CH302" s="67"/>
      <c r="CI302" s="67"/>
      <c r="CJ302" s="67"/>
      <c r="CK302" s="67"/>
      <c r="CL302" s="67"/>
      <c r="CM302" s="67"/>
      <c r="CN302" s="67"/>
      <c r="CO302" s="67"/>
      <c r="CP302" s="67"/>
      <c r="CQ302" s="67"/>
      <c r="CR302" s="67"/>
      <c r="CS302" s="67"/>
      <c r="CT302" s="67"/>
      <c r="CU302" s="67"/>
      <c r="CV302" s="67"/>
      <c r="CW302" s="67"/>
      <c r="CX302" s="67"/>
      <c r="CY302" s="67"/>
      <c r="CZ302" s="67"/>
      <c r="DA302" s="67"/>
      <c r="DB302" s="67"/>
      <c r="DC302" s="67"/>
      <c r="DD302" s="67"/>
      <c r="DE302" s="67"/>
      <c r="DF302" s="67"/>
    </row>
    <row r="303">
      <c r="A303" s="61"/>
      <c r="B303" s="98"/>
      <c r="C303" s="88"/>
      <c r="D303" s="88"/>
      <c r="E303" s="90"/>
      <c r="F303" s="91"/>
      <c r="G303" s="49"/>
      <c r="H303" s="70"/>
      <c r="I303" s="98"/>
      <c r="J303" s="88"/>
      <c r="K303" s="88"/>
      <c r="L303" s="90"/>
      <c r="M303" s="91"/>
      <c r="N303" s="49"/>
      <c r="O303" s="71"/>
      <c r="P303" s="92"/>
      <c r="Q303" s="71"/>
      <c r="R303" s="92"/>
      <c r="S303" s="71"/>
      <c r="T303" s="71"/>
      <c r="U303" s="68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29"/>
      <c r="AN303" s="67"/>
      <c r="AO303" s="67"/>
      <c r="AP303" s="67"/>
      <c r="AQ303" s="67"/>
      <c r="AR303" s="67"/>
      <c r="AS303" s="67"/>
      <c r="AT303" s="67"/>
      <c r="AU303" s="67"/>
      <c r="AV303" s="67"/>
      <c r="AW303" s="67"/>
      <c r="AX303" s="67"/>
      <c r="AY303" s="67"/>
      <c r="AZ303" s="67"/>
      <c r="BA303" s="67"/>
      <c r="BB303" s="67"/>
      <c r="BC303" s="67"/>
      <c r="BD303" s="67"/>
      <c r="BE303" s="67"/>
      <c r="BF303" s="67"/>
      <c r="BG303" s="67"/>
      <c r="BH303" s="67"/>
      <c r="BI303" s="67"/>
      <c r="BJ303" s="67"/>
      <c r="BK303" s="67"/>
      <c r="BL303" s="67"/>
      <c r="BM303" s="67"/>
      <c r="BN303" s="67"/>
      <c r="BO303" s="67"/>
      <c r="BP303" s="67"/>
      <c r="BQ303" s="67"/>
      <c r="BR303" s="67"/>
      <c r="BS303" s="67"/>
      <c r="BT303" s="67"/>
      <c r="BU303" s="67"/>
      <c r="BV303" s="67"/>
      <c r="BW303" s="67"/>
      <c r="BX303" s="67"/>
      <c r="BY303" s="67"/>
      <c r="BZ303" s="67"/>
      <c r="CA303" s="67"/>
      <c r="CB303" s="67"/>
      <c r="CC303" s="67"/>
      <c r="CD303" s="67"/>
      <c r="CE303" s="67"/>
      <c r="CF303" s="67"/>
      <c r="CG303" s="67"/>
      <c r="CH303" s="67"/>
      <c r="CI303" s="67"/>
      <c r="CJ303" s="67"/>
      <c r="CK303" s="67"/>
      <c r="CL303" s="67"/>
      <c r="CM303" s="67"/>
      <c r="CN303" s="67"/>
      <c r="CO303" s="67"/>
      <c r="CP303" s="67"/>
      <c r="CQ303" s="67"/>
      <c r="CR303" s="67"/>
      <c r="CS303" s="67"/>
      <c r="CT303" s="67"/>
      <c r="CU303" s="67"/>
      <c r="CV303" s="67"/>
      <c r="CW303" s="67"/>
      <c r="CX303" s="67"/>
      <c r="CY303" s="67"/>
      <c r="CZ303" s="67"/>
      <c r="DA303" s="67"/>
      <c r="DB303" s="67"/>
      <c r="DC303" s="67"/>
      <c r="DD303" s="67"/>
      <c r="DE303" s="67"/>
      <c r="DF303" s="67"/>
    </row>
    <row r="304">
      <c r="A304" s="62"/>
      <c r="B304" s="88"/>
      <c r="C304" s="88"/>
      <c r="D304" s="88"/>
      <c r="E304" s="90"/>
      <c r="F304" s="91"/>
      <c r="G304" s="49"/>
      <c r="H304" s="70"/>
      <c r="I304" s="88"/>
      <c r="J304" s="88"/>
      <c r="K304" s="88"/>
      <c r="L304" s="90"/>
      <c r="M304" s="91"/>
      <c r="N304" s="49"/>
      <c r="O304" s="71"/>
      <c r="P304" s="92"/>
      <c r="Q304" s="71"/>
      <c r="R304" s="92"/>
      <c r="S304" s="71"/>
      <c r="T304" s="71"/>
      <c r="U304" s="68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29"/>
      <c r="AN304" s="67"/>
      <c r="AO304" s="67"/>
      <c r="AP304" s="67"/>
      <c r="AQ304" s="67"/>
      <c r="AR304" s="67"/>
      <c r="AS304" s="67"/>
      <c r="AT304" s="67"/>
      <c r="AU304" s="67"/>
      <c r="AV304" s="67"/>
      <c r="AW304" s="67"/>
      <c r="AX304" s="67"/>
      <c r="AY304" s="67"/>
      <c r="AZ304" s="67"/>
      <c r="BA304" s="67"/>
      <c r="BB304" s="67"/>
      <c r="BC304" s="67"/>
      <c r="BD304" s="67"/>
      <c r="BE304" s="67"/>
      <c r="BF304" s="67"/>
      <c r="BG304" s="67"/>
      <c r="BH304" s="67"/>
      <c r="BI304" s="67"/>
      <c r="BJ304" s="67"/>
      <c r="BK304" s="67"/>
      <c r="BL304" s="67"/>
      <c r="BM304" s="67"/>
      <c r="BN304" s="67"/>
      <c r="BO304" s="67"/>
      <c r="BP304" s="67"/>
      <c r="BQ304" s="67"/>
      <c r="BR304" s="67"/>
      <c r="BS304" s="67"/>
      <c r="BT304" s="67"/>
      <c r="BU304" s="67"/>
      <c r="BV304" s="67"/>
      <c r="BW304" s="67"/>
      <c r="BX304" s="67"/>
      <c r="BY304" s="67"/>
      <c r="BZ304" s="67"/>
      <c r="CA304" s="67"/>
      <c r="CB304" s="67"/>
      <c r="CC304" s="67"/>
      <c r="CD304" s="67"/>
      <c r="CE304" s="67"/>
      <c r="CF304" s="67"/>
      <c r="CG304" s="67"/>
      <c r="CH304" s="67"/>
      <c r="CI304" s="67"/>
      <c r="CJ304" s="67"/>
      <c r="CK304" s="67"/>
      <c r="CL304" s="67"/>
      <c r="CM304" s="67"/>
      <c r="CN304" s="67"/>
      <c r="CO304" s="67"/>
      <c r="CP304" s="67"/>
      <c r="CQ304" s="67"/>
      <c r="CR304" s="67"/>
      <c r="CS304" s="67"/>
      <c r="CT304" s="67"/>
      <c r="CU304" s="67"/>
      <c r="CV304" s="67"/>
      <c r="CW304" s="67"/>
      <c r="CX304" s="67"/>
      <c r="CY304" s="67"/>
      <c r="CZ304" s="67"/>
      <c r="DA304" s="67"/>
      <c r="DB304" s="67"/>
      <c r="DC304" s="67"/>
      <c r="DD304" s="67"/>
      <c r="DE304" s="67"/>
      <c r="DF304" s="67"/>
    </row>
    <row r="305">
      <c r="A305" s="62"/>
      <c r="B305" s="88"/>
      <c r="C305" s="88"/>
      <c r="D305" s="88"/>
      <c r="E305" s="90"/>
      <c r="F305" s="91"/>
      <c r="G305" s="49"/>
      <c r="H305" s="70"/>
      <c r="I305" s="88"/>
      <c r="J305" s="88"/>
      <c r="K305" s="88"/>
      <c r="L305" s="90"/>
      <c r="M305" s="91"/>
      <c r="N305" s="49"/>
      <c r="O305" s="71"/>
      <c r="P305" s="92"/>
      <c r="Q305" s="71"/>
      <c r="R305" s="92"/>
      <c r="S305" s="71"/>
      <c r="T305" s="71"/>
      <c r="U305" s="68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29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  <c r="BM305" s="67"/>
      <c r="BN305" s="67"/>
      <c r="BO305" s="67"/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7"/>
      <c r="CA305" s="67"/>
      <c r="CB305" s="67"/>
      <c r="CC305" s="67"/>
      <c r="CD305" s="67"/>
      <c r="CE305" s="67"/>
      <c r="CF305" s="67"/>
      <c r="CG305" s="67"/>
      <c r="CH305" s="67"/>
      <c r="CI305" s="67"/>
      <c r="CJ305" s="67"/>
      <c r="CK305" s="67"/>
      <c r="CL305" s="67"/>
      <c r="CM305" s="67"/>
      <c r="CN305" s="67"/>
      <c r="CO305" s="67"/>
      <c r="CP305" s="67"/>
      <c r="CQ305" s="67"/>
      <c r="CR305" s="67"/>
      <c r="CS305" s="67"/>
      <c r="CT305" s="67"/>
      <c r="CU305" s="67"/>
      <c r="CV305" s="67"/>
      <c r="CW305" s="67"/>
      <c r="CX305" s="67"/>
      <c r="CY305" s="67"/>
      <c r="CZ305" s="67"/>
      <c r="DA305" s="67"/>
      <c r="DB305" s="67"/>
      <c r="DC305" s="67"/>
      <c r="DD305" s="67"/>
      <c r="DE305" s="67"/>
      <c r="DF305" s="67"/>
    </row>
    <row r="306">
      <c r="A306" s="62"/>
      <c r="B306" s="88"/>
      <c r="C306" s="88"/>
      <c r="D306" s="88"/>
      <c r="E306" s="90"/>
      <c r="F306" s="91"/>
      <c r="G306" s="49"/>
      <c r="H306" s="70"/>
      <c r="I306" s="88"/>
      <c r="J306" s="88"/>
      <c r="K306" s="88"/>
      <c r="L306" s="90"/>
      <c r="M306" s="91"/>
      <c r="N306" s="49"/>
      <c r="O306" s="71"/>
      <c r="P306" s="92"/>
      <c r="Q306" s="71"/>
      <c r="R306" s="92"/>
      <c r="S306" s="71"/>
      <c r="T306" s="71"/>
      <c r="U306" s="68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29"/>
      <c r="AN306" s="67"/>
      <c r="AO306" s="67"/>
      <c r="AP306" s="67"/>
      <c r="AQ306" s="67"/>
      <c r="AR306" s="67"/>
      <c r="AS306" s="67"/>
      <c r="AT306" s="67"/>
      <c r="AU306" s="67"/>
      <c r="AV306" s="67"/>
      <c r="AW306" s="67"/>
      <c r="AX306" s="67"/>
      <c r="AY306" s="67"/>
      <c r="AZ306" s="67"/>
      <c r="BA306" s="67"/>
      <c r="BB306" s="67"/>
      <c r="BC306" s="67"/>
      <c r="BD306" s="67"/>
      <c r="BE306" s="67"/>
      <c r="BF306" s="67"/>
      <c r="BG306" s="67"/>
      <c r="BH306" s="67"/>
      <c r="BI306" s="67"/>
      <c r="BJ306" s="67"/>
      <c r="BK306" s="67"/>
      <c r="BL306" s="67"/>
      <c r="BM306" s="67"/>
      <c r="BN306" s="67"/>
      <c r="BO306" s="67"/>
      <c r="BP306" s="67"/>
      <c r="BQ306" s="67"/>
      <c r="BR306" s="67"/>
      <c r="BS306" s="67"/>
      <c r="BT306" s="67"/>
      <c r="BU306" s="67"/>
      <c r="BV306" s="67"/>
      <c r="BW306" s="67"/>
      <c r="BX306" s="67"/>
      <c r="BY306" s="67"/>
      <c r="BZ306" s="67"/>
      <c r="CA306" s="67"/>
      <c r="CB306" s="67"/>
      <c r="CC306" s="67"/>
      <c r="CD306" s="67"/>
      <c r="CE306" s="67"/>
      <c r="CF306" s="67"/>
      <c r="CG306" s="67"/>
      <c r="CH306" s="67"/>
      <c r="CI306" s="67"/>
      <c r="CJ306" s="67"/>
      <c r="CK306" s="67"/>
      <c r="CL306" s="67"/>
      <c r="CM306" s="67"/>
      <c r="CN306" s="67"/>
      <c r="CO306" s="67"/>
      <c r="CP306" s="67"/>
      <c r="CQ306" s="67"/>
      <c r="CR306" s="67"/>
      <c r="CS306" s="67"/>
      <c r="CT306" s="67"/>
      <c r="CU306" s="67"/>
      <c r="CV306" s="67"/>
      <c r="CW306" s="67"/>
      <c r="CX306" s="67"/>
      <c r="CY306" s="67"/>
      <c r="CZ306" s="67"/>
      <c r="DA306" s="67"/>
      <c r="DB306" s="67"/>
      <c r="DC306" s="67"/>
      <c r="DD306" s="67"/>
      <c r="DE306" s="67"/>
      <c r="DF306" s="67"/>
    </row>
    <row r="307">
      <c r="A307" s="62"/>
      <c r="B307" s="88"/>
      <c r="C307" s="88"/>
      <c r="D307" s="88"/>
      <c r="E307" s="90"/>
      <c r="F307" s="91"/>
      <c r="G307" s="49"/>
      <c r="H307" s="70"/>
      <c r="I307" s="88"/>
      <c r="J307" s="88"/>
      <c r="K307" s="88"/>
      <c r="L307" s="90"/>
      <c r="M307" s="91"/>
      <c r="N307" s="49"/>
      <c r="O307" s="71"/>
      <c r="P307" s="92"/>
      <c r="Q307" s="71"/>
      <c r="R307" s="92"/>
      <c r="S307" s="71"/>
      <c r="T307" s="71"/>
      <c r="U307" s="68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29"/>
      <c r="AN307" s="67"/>
      <c r="AO307" s="67"/>
      <c r="AP307" s="67"/>
      <c r="AQ307" s="67"/>
      <c r="AR307" s="67"/>
      <c r="AS307" s="67"/>
      <c r="AT307" s="67"/>
      <c r="AU307" s="67"/>
      <c r="AV307" s="67"/>
      <c r="AW307" s="67"/>
      <c r="AX307" s="67"/>
      <c r="AY307" s="67"/>
      <c r="AZ307" s="67"/>
      <c r="BA307" s="67"/>
      <c r="BB307" s="67"/>
      <c r="BC307" s="67"/>
      <c r="BD307" s="67"/>
      <c r="BE307" s="67"/>
      <c r="BF307" s="67"/>
      <c r="BG307" s="67"/>
      <c r="BH307" s="67"/>
      <c r="BI307" s="67"/>
      <c r="BJ307" s="67"/>
      <c r="BK307" s="67"/>
      <c r="BL307" s="67"/>
      <c r="BM307" s="67"/>
      <c r="BN307" s="67"/>
      <c r="BO307" s="67"/>
      <c r="BP307" s="67"/>
      <c r="BQ307" s="67"/>
      <c r="BR307" s="67"/>
      <c r="BS307" s="67"/>
      <c r="BT307" s="67"/>
      <c r="BU307" s="67"/>
      <c r="BV307" s="67"/>
      <c r="BW307" s="67"/>
      <c r="BX307" s="67"/>
      <c r="BY307" s="67"/>
      <c r="BZ307" s="67"/>
      <c r="CA307" s="67"/>
      <c r="CB307" s="67"/>
      <c r="CC307" s="67"/>
      <c r="CD307" s="67"/>
      <c r="CE307" s="67"/>
      <c r="CF307" s="67"/>
      <c r="CG307" s="67"/>
      <c r="CH307" s="67"/>
      <c r="CI307" s="67"/>
      <c r="CJ307" s="67"/>
      <c r="CK307" s="67"/>
      <c r="CL307" s="67"/>
      <c r="CM307" s="67"/>
      <c r="CN307" s="67"/>
      <c r="CO307" s="67"/>
      <c r="CP307" s="67"/>
      <c r="CQ307" s="67"/>
      <c r="CR307" s="67"/>
      <c r="CS307" s="67"/>
      <c r="CT307" s="67"/>
      <c r="CU307" s="67"/>
      <c r="CV307" s="67"/>
      <c r="CW307" s="67"/>
      <c r="CX307" s="67"/>
      <c r="CY307" s="67"/>
      <c r="CZ307" s="67"/>
      <c r="DA307" s="67"/>
      <c r="DB307" s="67"/>
      <c r="DC307" s="67"/>
      <c r="DD307" s="67"/>
      <c r="DE307" s="67"/>
      <c r="DF307" s="67"/>
    </row>
    <row r="308">
      <c r="A308" s="62"/>
      <c r="B308" s="88"/>
      <c r="C308" s="88"/>
      <c r="D308" s="88"/>
      <c r="E308" s="90"/>
      <c r="F308" s="91"/>
      <c r="G308" s="49"/>
      <c r="H308" s="70"/>
      <c r="I308" s="88"/>
      <c r="J308" s="88"/>
      <c r="K308" s="88"/>
      <c r="L308" s="90"/>
      <c r="M308" s="91"/>
      <c r="N308" s="49"/>
      <c r="O308" s="71"/>
      <c r="P308" s="92"/>
      <c r="Q308" s="71"/>
      <c r="R308" s="92"/>
      <c r="S308" s="71"/>
      <c r="T308" s="71"/>
      <c r="U308" s="68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29"/>
      <c r="AN308" s="67"/>
      <c r="AO308" s="67"/>
      <c r="AP308" s="67"/>
      <c r="AQ308" s="67"/>
      <c r="AR308" s="67"/>
      <c r="AS308" s="67"/>
      <c r="AT308" s="67"/>
      <c r="AU308" s="67"/>
      <c r="AV308" s="67"/>
      <c r="AW308" s="67"/>
      <c r="AX308" s="67"/>
      <c r="AY308" s="67"/>
      <c r="AZ308" s="67"/>
      <c r="BA308" s="67"/>
      <c r="BB308" s="67"/>
      <c r="BC308" s="67"/>
      <c r="BD308" s="67"/>
      <c r="BE308" s="67"/>
      <c r="BF308" s="67"/>
      <c r="BG308" s="67"/>
      <c r="BH308" s="67"/>
      <c r="BI308" s="67"/>
      <c r="BJ308" s="67"/>
      <c r="BK308" s="67"/>
      <c r="BL308" s="67"/>
      <c r="BM308" s="67"/>
      <c r="BN308" s="67"/>
      <c r="BO308" s="67"/>
      <c r="BP308" s="67"/>
      <c r="BQ308" s="67"/>
      <c r="BR308" s="67"/>
      <c r="BS308" s="67"/>
      <c r="BT308" s="67"/>
      <c r="BU308" s="67"/>
      <c r="BV308" s="67"/>
      <c r="BW308" s="67"/>
      <c r="BX308" s="67"/>
      <c r="BY308" s="67"/>
      <c r="BZ308" s="67"/>
      <c r="CA308" s="67"/>
      <c r="CB308" s="67"/>
      <c r="CC308" s="67"/>
      <c r="CD308" s="67"/>
      <c r="CE308" s="67"/>
      <c r="CF308" s="67"/>
      <c r="CG308" s="67"/>
      <c r="CH308" s="67"/>
      <c r="CI308" s="67"/>
      <c r="CJ308" s="67"/>
      <c r="CK308" s="67"/>
      <c r="CL308" s="67"/>
      <c r="CM308" s="67"/>
      <c r="CN308" s="67"/>
      <c r="CO308" s="67"/>
      <c r="CP308" s="67"/>
      <c r="CQ308" s="67"/>
      <c r="CR308" s="67"/>
      <c r="CS308" s="67"/>
      <c r="CT308" s="67"/>
      <c r="CU308" s="67"/>
      <c r="CV308" s="67"/>
      <c r="CW308" s="67"/>
      <c r="CX308" s="67"/>
      <c r="CY308" s="67"/>
      <c r="CZ308" s="67"/>
      <c r="DA308" s="67"/>
      <c r="DB308" s="67"/>
      <c r="DC308" s="67"/>
      <c r="DD308" s="67"/>
      <c r="DE308" s="67"/>
      <c r="DF308" s="67"/>
    </row>
    <row r="309">
      <c r="A309" s="62"/>
      <c r="B309" s="88"/>
      <c r="C309" s="88"/>
      <c r="D309" s="88"/>
      <c r="E309" s="90"/>
      <c r="F309" s="91"/>
      <c r="G309" s="49"/>
      <c r="H309" s="70"/>
      <c r="I309" s="88"/>
      <c r="J309" s="88"/>
      <c r="K309" s="88"/>
      <c r="L309" s="90"/>
      <c r="M309" s="91"/>
      <c r="N309" s="49"/>
      <c r="O309" s="71"/>
      <c r="P309" s="92"/>
      <c r="Q309" s="71"/>
      <c r="R309" s="92"/>
      <c r="S309" s="71"/>
      <c r="T309" s="71"/>
      <c r="U309" s="68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29"/>
      <c r="AN309" s="67"/>
      <c r="AO309" s="67"/>
      <c r="AP309" s="67"/>
      <c r="AQ309" s="67"/>
      <c r="AR309" s="67"/>
      <c r="AS309" s="67"/>
      <c r="AT309" s="67"/>
      <c r="AU309" s="67"/>
      <c r="AV309" s="67"/>
      <c r="AW309" s="67"/>
      <c r="AX309" s="67"/>
      <c r="AY309" s="67"/>
      <c r="AZ309" s="67"/>
      <c r="BA309" s="67"/>
      <c r="BB309" s="67"/>
      <c r="BC309" s="67"/>
      <c r="BD309" s="67"/>
      <c r="BE309" s="67"/>
      <c r="BF309" s="67"/>
      <c r="BG309" s="67"/>
      <c r="BH309" s="67"/>
      <c r="BI309" s="67"/>
      <c r="BJ309" s="67"/>
      <c r="BK309" s="67"/>
      <c r="BL309" s="67"/>
      <c r="BM309" s="67"/>
      <c r="BN309" s="67"/>
      <c r="BO309" s="67"/>
      <c r="BP309" s="67"/>
      <c r="BQ309" s="67"/>
      <c r="BR309" s="67"/>
      <c r="BS309" s="67"/>
      <c r="BT309" s="67"/>
      <c r="BU309" s="67"/>
      <c r="BV309" s="67"/>
      <c r="BW309" s="67"/>
      <c r="BX309" s="67"/>
      <c r="BY309" s="67"/>
      <c r="BZ309" s="67"/>
      <c r="CA309" s="67"/>
      <c r="CB309" s="67"/>
      <c r="CC309" s="67"/>
      <c r="CD309" s="67"/>
      <c r="CE309" s="67"/>
      <c r="CF309" s="67"/>
      <c r="CG309" s="67"/>
      <c r="CH309" s="67"/>
      <c r="CI309" s="67"/>
      <c r="CJ309" s="67"/>
      <c r="CK309" s="67"/>
      <c r="CL309" s="67"/>
      <c r="CM309" s="67"/>
      <c r="CN309" s="67"/>
      <c r="CO309" s="67"/>
      <c r="CP309" s="67"/>
      <c r="CQ309" s="67"/>
      <c r="CR309" s="67"/>
      <c r="CS309" s="67"/>
      <c r="CT309" s="67"/>
      <c r="CU309" s="67"/>
      <c r="CV309" s="67"/>
      <c r="CW309" s="67"/>
      <c r="CX309" s="67"/>
      <c r="CY309" s="67"/>
      <c r="CZ309" s="67"/>
      <c r="DA309" s="67"/>
      <c r="DB309" s="67"/>
      <c r="DC309" s="67"/>
      <c r="DD309" s="67"/>
      <c r="DE309" s="67"/>
      <c r="DF309" s="67"/>
    </row>
    <row r="310">
      <c r="A310" s="62"/>
      <c r="B310" s="88"/>
      <c r="C310" s="88"/>
      <c r="D310" s="88"/>
      <c r="E310" s="90"/>
      <c r="F310" s="91"/>
      <c r="G310" s="49"/>
      <c r="H310" s="70"/>
      <c r="I310" s="88"/>
      <c r="J310" s="88"/>
      <c r="K310" s="88"/>
      <c r="L310" s="90"/>
      <c r="M310" s="91"/>
      <c r="N310" s="49"/>
      <c r="O310" s="71"/>
      <c r="P310" s="92"/>
      <c r="Q310" s="71"/>
      <c r="R310" s="92"/>
      <c r="S310" s="71"/>
      <c r="T310" s="71"/>
      <c r="U310" s="68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29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/>
      <c r="AX310" s="67"/>
      <c r="AY310" s="67"/>
      <c r="AZ310" s="67"/>
      <c r="BA310" s="67"/>
      <c r="BB310" s="67"/>
      <c r="BC310" s="67"/>
      <c r="BD310" s="67"/>
      <c r="BE310" s="67"/>
      <c r="BF310" s="67"/>
      <c r="BG310" s="67"/>
      <c r="BH310" s="67"/>
      <c r="BI310" s="67"/>
      <c r="BJ310" s="67"/>
      <c r="BK310" s="67"/>
      <c r="BL310" s="67"/>
      <c r="BM310" s="67"/>
      <c r="BN310" s="67"/>
      <c r="BO310" s="67"/>
      <c r="BP310" s="67"/>
      <c r="BQ310" s="67"/>
      <c r="BR310" s="67"/>
      <c r="BS310" s="67"/>
      <c r="BT310" s="67"/>
      <c r="BU310" s="67"/>
      <c r="BV310" s="67"/>
      <c r="BW310" s="67"/>
      <c r="BX310" s="67"/>
      <c r="BY310" s="67"/>
      <c r="BZ310" s="67"/>
      <c r="CA310" s="67"/>
      <c r="CB310" s="67"/>
      <c r="CC310" s="67"/>
      <c r="CD310" s="67"/>
      <c r="CE310" s="67"/>
      <c r="CF310" s="67"/>
      <c r="CG310" s="67"/>
      <c r="CH310" s="67"/>
      <c r="CI310" s="67"/>
      <c r="CJ310" s="67"/>
      <c r="CK310" s="67"/>
      <c r="CL310" s="67"/>
      <c r="CM310" s="67"/>
      <c r="CN310" s="67"/>
      <c r="CO310" s="67"/>
      <c r="CP310" s="67"/>
      <c r="CQ310" s="67"/>
      <c r="CR310" s="67"/>
      <c r="CS310" s="67"/>
      <c r="CT310" s="67"/>
      <c r="CU310" s="67"/>
      <c r="CV310" s="67"/>
      <c r="CW310" s="67"/>
      <c r="CX310" s="67"/>
      <c r="CY310" s="67"/>
      <c r="CZ310" s="67"/>
      <c r="DA310" s="67"/>
      <c r="DB310" s="67"/>
      <c r="DC310" s="67"/>
      <c r="DD310" s="67"/>
      <c r="DE310" s="67"/>
      <c r="DF310" s="67"/>
    </row>
    <row r="311">
      <c r="A311" s="62"/>
      <c r="B311" s="88"/>
      <c r="C311" s="88"/>
      <c r="D311" s="88"/>
      <c r="E311" s="90"/>
      <c r="F311" s="91"/>
      <c r="G311" s="49"/>
      <c r="H311" s="70"/>
      <c r="I311" s="88"/>
      <c r="J311" s="88"/>
      <c r="K311" s="88"/>
      <c r="L311" s="90"/>
      <c r="M311" s="91"/>
      <c r="N311" s="49"/>
      <c r="O311" s="71"/>
      <c r="P311" s="92"/>
      <c r="Q311" s="71"/>
      <c r="R311" s="92"/>
      <c r="S311" s="71"/>
      <c r="T311" s="71"/>
      <c r="U311" s="68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29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  <c r="BC311" s="67"/>
      <c r="BD311" s="67"/>
      <c r="BE311" s="67"/>
      <c r="BF311" s="67"/>
      <c r="BG311" s="67"/>
      <c r="BH311" s="67"/>
      <c r="BI311" s="67"/>
      <c r="BJ311" s="67"/>
      <c r="BK311" s="67"/>
      <c r="BL311" s="67"/>
      <c r="BM311" s="67"/>
      <c r="BN311" s="67"/>
      <c r="BO311" s="67"/>
      <c r="BP311" s="67"/>
      <c r="BQ311" s="67"/>
      <c r="BR311" s="67"/>
      <c r="BS311" s="67"/>
      <c r="BT311" s="67"/>
      <c r="BU311" s="67"/>
      <c r="BV311" s="67"/>
      <c r="BW311" s="67"/>
      <c r="BX311" s="67"/>
      <c r="BY311" s="67"/>
      <c r="BZ311" s="67"/>
      <c r="CA311" s="67"/>
      <c r="CB311" s="67"/>
      <c r="CC311" s="67"/>
      <c r="CD311" s="67"/>
      <c r="CE311" s="67"/>
      <c r="CF311" s="67"/>
      <c r="CG311" s="67"/>
      <c r="CH311" s="67"/>
      <c r="CI311" s="67"/>
      <c r="CJ311" s="67"/>
      <c r="CK311" s="67"/>
      <c r="CL311" s="67"/>
      <c r="CM311" s="67"/>
      <c r="CN311" s="67"/>
      <c r="CO311" s="67"/>
      <c r="CP311" s="67"/>
      <c r="CQ311" s="67"/>
      <c r="CR311" s="67"/>
      <c r="CS311" s="67"/>
      <c r="CT311" s="67"/>
      <c r="CU311" s="67"/>
      <c r="CV311" s="67"/>
      <c r="CW311" s="67"/>
      <c r="CX311" s="67"/>
      <c r="CY311" s="67"/>
      <c r="CZ311" s="67"/>
      <c r="DA311" s="67"/>
      <c r="DB311" s="67"/>
      <c r="DC311" s="67"/>
      <c r="DD311" s="67"/>
      <c r="DE311" s="67"/>
      <c r="DF311" s="67"/>
    </row>
    <row r="312">
      <c r="A312" s="62"/>
      <c r="B312" s="88"/>
      <c r="C312" s="88"/>
      <c r="D312" s="88"/>
      <c r="E312" s="90"/>
      <c r="F312" s="91"/>
      <c r="G312" s="49"/>
      <c r="H312" s="70"/>
      <c r="I312" s="88"/>
      <c r="J312" s="88"/>
      <c r="K312" s="88"/>
      <c r="L312" s="90"/>
      <c r="M312" s="91"/>
      <c r="N312" s="49"/>
      <c r="O312" s="71"/>
      <c r="P312" s="92"/>
      <c r="Q312" s="71"/>
      <c r="R312" s="92"/>
      <c r="S312" s="71"/>
      <c r="T312" s="71"/>
      <c r="U312" s="68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29"/>
      <c r="AN312" s="67"/>
      <c r="AO312" s="67"/>
      <c r="AP312" s="67"/>
      <c r="AQ312" s="67"/>
      <c r="AR312" s="67"/>
      <c r="AS312" s="67"/>
      <c r="AT312" s="67"/>
      <c r="AU312" s="67"/>
      <c r="AV312" s="67"/>
      <c r="AW312" s="67"/>
      <c r="AX312" s="67"/>
      <c r="AY312" s="67"/>
      <c r="AZ312" s="67"/>
      <c r="BA312" s="67"/>
      <c r="BB312" s="67"/>
      <c r="BC312" s="67"/>
      <c r="BD312" s="67"/>
      <c r="BE312" s="67"/>
      <c r="BF312" s="67"/>
      <c r="BG312" s="67"/>
      <c r="BH312" s="67"/>
      <c r="BI312" s="67"/>
      <c r="BJ312" s="67"/>
      <c r="BK312" s="67"/>
      <c r="BL312" s="67"/>
      <c r="BM312" s="67"/>
      <c r="BN312" s="67"/>
      <c r="BO312" s="67"/>
      <c r="BP312" s="67"/>
      <c r="BQ312" s="67"/>
      <c r="BR312" s="67"/>
      <c r="BS312" s="67"/>
      <c r="BT312" s="67"/>
      <c r="BU312" s="67"/>
      <c r="BV312" s="67"/>
      <c r="BW312" s="67"/>
      <c r="BX312" s="67"/>
      <c r="BY312" s="67"/>
      <c r="BZ312" s="67"/>
      <c r="CA312" s="67"/>
      <c r="CB312" s="67"/>
      <c r="CC312" s="67"/>
      <c r="CD312" s="67"/>
      <c r="CE312" s="67"/>
      <c r="CF312" s="67"/>
      <c r="CG312" s="67"/>
      <c r="CH312" s="67"/>
      <c r="CI312" s="67"/>
      <c r="CJ312" s="67"/>
      <c r="CK312" s="67"/>
      <c r="CL312" s="67"/>
      <c r="CM312" s="67"/>
      <c r="CN312" s="67"/>
      <c r="CO312" s="67"/>
      <c r="CP312" s="67"/>
      <c r="CQ312" s="67"/>
      <c r="CR312" s="67"/>
      <c r="CS312" s="67"/>
      <c r="CT312" s="67"/>
      <c r="CU312" s="67"/>
      <c r="CV312" s="67"/>
      <c r="CW312" s="67"/>
      <c r="CX312" s="67"/>
      <c r="CY312" s="67"/>
      <c r="CZ312" s="67"/>
      <c r="DA312" s="67"/>
      <c r="DB312" s="67"/>
      <c r="DC312" s="67"/>
      <c r="DD312" s="67"/>
      <c r="DE312" s="67"/>
      <c r="DF312" s="67"/>
    </row>
    <row r="313">
      <c r="A313" s="62"/>
      <c r="B313" s="88"/>
      <c r="C313" s="88"/>
      <c r="D313" s="88"/>
      <c r="E313" s="90"/>
      <c r="F313" s="91"/>
      <c r="G313" s="49"/>
      <c r="H313" s="70"/>
      <c r="I313" s="88"/>
      <c r="J313" s="88"/>
      <c r="K313" s="88"/>
      <c r="L313" s="90"/>
      <c r="M313" s="91"/>
      <c r="N313" s="49"/>
      <c r="O313" s="71"/>
      <c r="P313" s="92"/>
      <c r="Q313" s="71"/>
      <c r="R313" s="92"/>
      <c r="S313" s="71"/>
      <c r="T313" s="71"/>
      <c r="U313" s="68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29"/>
      <c r="AN313" s="67"/>
      <c r="AO313" s="67"/>
      <c r="AP313" s="67"/>
      <c r="AQ313" s="67"/>
      <c r="AR313" s="67"/>
      <c r="AS313" s="67"/>
      <c r="AT313" s="67"/>
      <c r="AU313" s="67"/>
      <c r="AV313" s="67"/>
      <c r="AW313" s="67"/>
      <c r="AX313" s="67"/>
      <c r="AY313" s="67"/>
      <c r="AZ313" s="67"/>
      <c r="BA313" s="67"/>
      <c r="BB313" s="67"/>
      <c r="BC313" s="67"/>
      <c r="BD313" s="67"/>
      <c r="BE313" s="67"/>
      <c r="BF313" s="67"/>
      <c r="BG313" s="67"/>
      <c r="BH313" s="67"/>
      <c r="BI313" s="67"/>
      <c r="BJ313" s="67"/>
      <c r="BK313" s="67"/>
      <c r="BL313" s="67"/>
      <c r="BM313" s="67"/>
      <c r="BN313" s="67"/>
      <c r="BO313" s="67"/>
      <c r="BP313" s="67"/>
      <c r="BQ313" s="67"/>
      <c r="BR313" s="67"/>
      <c r="BS313" s="67"/>
      <c r="BT313" s="67"/>
      <c r="BU313" s="67"/>
      <c r="BV313" s="67"/>
      <c r="BW313" s="67"/>
      <c r="BX313" s="67"/>
      <c r="BY313" s="67"/>
      <c r="BZ313" s="67"/>
      <c r="CA313" s="67"/>
      <c r="CB313" s="67"/>
      <c r="CC313" s="67"/>
      <c r="CD313" s="67"/>
      <c r="CE313" s="67"/>
      <c r="CF313" s="67"/>
      <c r="CG313" s="67"/>
      <c r="CH313" s="67"/>
      <c r="CI313" s="67"/>
      <c r="CJ313" s="67"/>
      <c r="CK313" s="67"/>
      <c r="CL313" s="67"/>
      <c r="CM313" s="67"/>
      <c r="CN313" s="67"/>
      <c r="CO313" s="67"/>
      <c r="CP313" s="67"/>
      <c r="CQ313" s="67"/>
      <c r="CR313" s="67"/>
      <c r="CS313" s="67"/>
      <c r="CT313" s="67"/>
      <c r="CU313" s="67"/>
      <c r="CV313" s="67"/>
      <c r="CW313" s="67"/>
      <c r="CX313" s="67"/>
      <c r="CY313" s="67"/>
      <c r="CZ313" s="67"/>
      <c r="DA313" s="67"/>
      <c r="DB313" s="67"/>
      <c r="DC313" s="67"/>
      <c r="DD313" s="67"/>
      <c r="DE313" s="67"/>
      <c r="DF313" s="67"/>
    </row>
    <row r="314">
      <c r="A314" s="62"/>
      <c r="B314" s="88"/>
      <c r="C314" s="88"/>
      <c r="D314" s="88"/>
      <c r="E314" s="90"/>
      <c r="F314" s="91"/>
      <c r="G314" s="49"/>
      <c r="H314" s="70"/>
      <c r="I314" s="88"/>
      <c r="J314" s="88"/>
      <c r="K314" s="88"/>
      <c r="L314" s="90"/>
      <c r="M314" s="91"/>
      <c r="N314" s="49"/>
      <c r="O314" s="71"/>
      <c r="P314" s="92"/>
      <c r="Q314" s="71"/>
      <c r="R314" s="92"/>
      <c r="S314" s="71"/>
      <c r="T314" s="71"/>
      <c r="U314" s="68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29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  <c r="BK314" s="67"/>
      <c r="BL314" s="67"/>
      <c r="BM314" s="67"/>
      <c r="BN314" s="67"/>
      <c r="BO314" s="67"/>
      <c r="BP314" s="67"/>
      <c r="BQ314" s="67"/>
      <c r="BR314" s="67"/>
      <c r="BS314" s="67"/>
      <c r="BT314" s="67"/>
      <c r="BU314" s="67"/>
      <c r="BV314" s="67"/>
      <c r="BW314" s="67"/>
      <c r="BX314" s="67"/>
      <c r="BY314" s="67"/>
      <c r="BZ314" s="67"/>
      <c r="CA314" s="67"/>
      <c r="CB314" s="67"/>
      <c r="CC314" s="67"/>
      <c r="CD314" s="67"/>
      <c r="CE314" s="67"/>
      <c r="CF314" s="67"/>
      <c r="CG314" s="67"/>
      <c r="CH314" s="67"/>
      <c r="CI314" s="67"/>
      <c r="CJ314" s="67"/>
      <c r="CK314" s="67"/>
      <c r="CL314" s="67"/>
      <c r="CM314" s="67"/>
      <c r="CN314" s="67"/>
      <c r="CO314" s="67"/>
      <c r="CP314" s="67"/>
      <c r="CQ314" s="67"/>
      <c r="CR314" s="67"/>
      <c r="CS314" s="67"/>
      <c r="CT314" s="67"/>
      <c r="CU314" s="67"/>
      <c r="CV314" s="67"/>
      <c r="CW314" s="67"/>
      <c r="CX314" s="67"/>
      <c r="CY314" s="67"/>
      <c r="CZ314" s="67"/>
      <c r="DA314" s="67"/>
      <c r="DB314" s="67"/>
      <c r="DC314" s="67"/>
      <c r="DD314" s="67"/>
      <c r="DE314" s="67"/>
      <c r="DF314" s="67"/>
    </row>
    <row r="315">
      <c r="A315" s="62"/>
      <c r="B315" s="88"/>
      <c r="C315" s="88"/>
      <c r="D315" s="88"/>
      <c r="E315" s="90"/>
      <c r="F315" s="91"/>
      <c r="G315" s="49"/>
      <c r="H315" s="70"/>
      <c r="I315" s="88"/>
      <c r="J315" s="88"/>
      <c r="K315" s="88"/>
      <c r="L315" s="90"/>
      <c r="M315" s="91"/>
      <c r="N315" s="49"/>
      <c r="O315" s="71"/>
      <c r="P315" s="92"/>
      <c r="Q315" s="71"/>
      <c r="R315" s="92"/>
      <c r="S315" s="71"/>
      <c r="T315" s="71"/>
      <c r="U315" s="68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29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C315" s="67"/>
      <c r="BD315" s="67"/>
      <c r="BE315" s="67"/>
      <c r="BF315" s="67"/>
      <c r="BG315" s="67"/>
      <c r="BH315" s="67"/>
      <c r="BI315" s="67"/>
      <c r="BJ315" s="67"/>
      <c r="BK315" s="67"/>
      <c r="BL315" s="67"/>
      <c r="BM315" s="67"/>
      <c r="BN315" s="67"/>
      <c r="BO315" s="67"/>
      <c r="BP315" s="67"/>
      <c r="BQ315" s="67"/>
      <c r="BR315" s="67"/>
      <c r="BS315" s="67"/>
      <c r="BT315" s="67"/>
      <c r="BU315" s="67"/>
      <c r="BV315" s="67"/>
      <c r="BW315" s="67"/>
      <c r="BX315" s="67"/>
      <c r="BY315" s="67"/>
      <c r="BZ315" s="67"/>
      <c r="CA315" s="67"/>
      <c r="CB315" s="67"/>
      <c r="CC315" s="67"/>
      <c r="CD315" s="67"/>
      <c r="CE315" s="67"/>
      <c r="CF315" s="67"/>
      <c r="CG315" s="67"/>
      <c r="CH315" s="67"/>
      <c r="CI315" s="67"/>
      <c r="CJ315" s="67"/>
      <c r="CK315" s="67"/>
      <c r="CL315" s="67"/>
      <c r="CM315" s="67"/>
      <c r="CN315" s="67"/>
      <c r="CO315" s="67"/>
      <c r="CP315" s="67"/>
      <c r="CQ315" s="67"/>
      <c r="CR315" s="67"/>
      <c r="CS315" s="67"/>
      <c r="CT315" s="67"/>
      <c r="CU315" s="67"/>
      <c r="CV315" s="67"/>
      <c r="CW315" s="67"/>
      <c r="CX315" s="67"/>
      <c r="CY315" s="67"/>
      <c r="CZ315" s="67"/>
      <c r="DA315" s="67"/>
      <c r="DB315" s="67"/>
      <c r="DC315" s="67"/>
      <c r="DD315" s="67"/>
      <c r="DE315" s="67"/>
      <c r="DF315" s="67"/>
    </row>
    <row r="316">
      <c r="A316" s="62"/>
      <c r="B316" s="88"/>
      <c r="C316" s="88"/>
      <c r="D316" s="88"/>
      <c r="E316" s="90"/>
      <c r="F316" s="91"/>
      <c r="G316" s="49"/>
      <c r="H316" s="70"/>
      <c r="I316" s="88"/>
      <c r="J316" s="88"/>
      <c r="K316" s="88"/>
      <c r="L316" s="90"/>
      <c r="M316" s="91"/>
      <c r="N316" s="49"/>
      <c r="O316" s="71"/>
      <c r="P316" s="92"/>
      <c r="Q316" s="71"/>
      <c r="R316" s="92"/>
      <c r="S316" s="71"/>
      <c r="T316" s="71"/>
      <c r="U316" s="68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29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  <c r="BK316" s="67"/>
      <c r="BL316" s="67"/>
      <c r="BM316" s="67"/>
      <c r="BN316" s="67"/>
      <c r="BO316" s="67"/>
      <c r="BP316" s="67"/>
      <c r="BQ316" s="67"/>
      <c r="BR316" s="67"/>
      <c r="BS316" s="67"/>
      <c r="BT316" s="67"/>
      <c r="BU316" s="67"/>
      <c r="BV316" s="67"/>
      <c r="BW316" s="67"/>
      <c r="BX316" s="67"/>
      <c r="BY316" s="67"/>
      <c r="BZ316" s="67"/>
      <c r="CA316" s="67"/>
      <c r="CB316" s="67"/>
      <c r="CC316" s="67"/>
      <c r="CD316" s="67"/>
      <c r="CE316" s="67"/>
      <c r="CF316" s="67"/>
      <c r="CG316" s="67"/>
      <c r="CH316" s="67"/>
      <c r="CI316" s="67"/>
      <c r="CJ316" s="67"/>
      <c r="CK316" s="67"/>
      <c r="CL316" s="67"/>
      <c r="CM316" s="67"/>
      <c r="CN316" s="67"/>
      <c r="CO316" s="67"/>
      <c r="CP316" s="67"/>
      <c r="CQ316" s="67"/>
      <c r="CR316" s="67"/>
      <c r="CS316" s="67"/>
      <c r="CT316" s="67"/>
      <c r="CU316" s="67"/>
      <c r="CV316" s="67"/>
      <c r="CW316" s="67"/>
      <c r="CX316" s="67"/>
      <c r="CY316" s="67"/>
      <c r="CZ316" s="67"/>
      <c r="DA316" s="67"/>
      <c r="DB316" s="67"/>
      <c r="DC316" s="67"/>
      <c r="DD316" s="67"/>
      <c r="DE316" s="67"/>
      <c r="DF316" s="67"/>
    </row>
    <row r="317">
      <c r="A317" s="62"/>
      <c r="B317" s="88"/>
      <c r="C317" s="88"/>
      <c r="D317" s="88"/>
      <c r="E317" s="90"/>
      <c r="F317" s="91"/>
      <c r="G317" s="49"/>
      <c r="H317" s="70"/>
      <c r="I317" s="88"/>
      <c r="J317" s="88"/>
      <c r="K317" s="88"/>
      <c r="L317" s="90"/>
      <c r="M317" s="91"/>
      <c r="N317" s="49"/>
      <c r="O317" s="71"/>
      <c r="P317" s="92"/>
      <c r="Q317" s="71"/>
      <c r="R317" s="92"/>
      <c r="S317" s="71"/>
      <c r="T317" s="71"/>
      <c r="U317" s="68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29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/>
      <c r="BR317" s="67"/>
      <c r="BS317" s="67"/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67"/>
      <c r="CP317" s="67"/>
      <c r="CQ317" s="67"/>
      <c r="CR317" s="67"/>
      <c r="CS317" s="67"/>
      <c r="CT317" s="67"/>
      <c r="CU317" s="67"/>
      <c r="CV317" s="67"/>
      <c r="CW317" s="67"/>
      <c r="CX317" s="67"/>
      <c r="CY317" s="67"/>
      <c r="CZ317" s="67"/>
      <c r="DA317" s="67"/>
      <c r="DB317" s="67"/>
      <c r="DC317" s="67"/>
      <c r="DD317" s="67"/>
      <c r="DE317" s="67"/>
      <c r="DF317" s="67"/>
    </row>
    <row r="318">
      <c r="A318" s="62"/>
      <c r="B318" s="88"/>
      <c r="C318" s="88"/>
      <c r="D318" s="88"/>
      <c r="E318" s="90"/>
      <c r="F318" s="91"/>
      <c r="G318" s="49"/>
      <c r="H318" s="70"/>
      <c r="I318" s="88"/>
      <c r="J318" s="88"/>
      <c r="K318" s="88"/>
      <c r="L318" s="90"/>
      <c r="M318" s="91"/>
      <c r="N318" s="49"/>
      <c r="O318" s="71"/>
      <c r="P318" s="92"/>
      <c r="Q318" s="71"/>
      <c r="R318" s="92"/>
      <c r="S318" s="71"/>
      <c r="T318" s="71"/>
      <c r="U318" s="68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29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  <c r="BC318" s="67"/>
      <c r="BD318" s="67"/>
      <c r="BE318" s="67"/>
      <c r="BF318" s="67"/>
      <c r="BG318" s="67"/>
      <c r="BH318" s="67"/>
      <c r="BI318" s="67"/>
      <c r="BJ318" s="67"/>
      <c r="BK318" s="67"/>
      <c r="BL318" s="67"/>
      <c r="BM318" s="67"/>
      <c r="BN318" s="67"/>
      <c r="BO318" s="67"/>
      <c r="BP318" s="67"/>
      <c r="BQ318" s="67"/>
      <c r="BR318" s="67"/>
      <c r="BS318" s="67"/>
      <c r="BT318" s="67"/>
      <c r="BU318" s="67"/>
      <c r="BV318" s="67"/>
      <c r="BW318" s="67"/>
      <c r="BX318" s="67"/>
      <c r="BY318" s="67"/>
      <c r="BZ318" s="67"/>
      <c r="CA318" s="67"/>
      <c r="CB318" s="67"/>
      <c r="CC318" s="67"/>
      <c r="CD318" s="67"/>
      <c r="CE318" s="67"/>
      <c r="CF318" s="67"/>
      <c r="CG318" s="67"/>
      <c r="CH318" s="67"/>
      <c r="CI318" s="67"/>
      <c r="CJ318" s="67"/>
      <c r="CK318" s="67"/>
      <c r="CL318" s="67"/>
      <c r="CM318" s="67"/>
      <c r="CN318" s="67"/>
      <c r="CO318" s="67"/>
      <c r="CP318" s="67"/>
      <c r="CQ318" s="67"/>
      <c r="CR318" s="67"/>
      <c r="CS318" s="67"/>
      <c r="CT318" s="67"/>
      <c r="CU318" s="67"/>
      <c r="CV318" s="67"/>
      <c r="CW318" s="67"/>
      <c r="CX318" s="67"/>
      <c r="CY318" s="67"/>
      <c r="CZ318" s="67"/>
      <c r="DA318" s="67"/>
      <c r="DB318" s="67"/>
      <c r="DC318" s="67"/>
      <c r="DD318" s="67"/>
      <c r="DE318" s="67"/>
      <c r="DF318" s="67"/>
    </row>
    <row r="319">
      <c r="A319" s="62"/>
      <c r="B319" s="88"/>
      <c r="C319" s="88"/>
      <c r="D319" s="88"/>
      <c r="E319" s="90"/>
      <c r="F319" s="91"/>
      <c r="G319" s="49"/>
      <c r="H319" s="70"/>
      <c r="I319" s="88"/>
      <c r="J319" s="88"/>
      <c r="K319" s="88"/>
      <c r="L319" s="90"/>
      <c r="M319" s="91"/>
      <c r="N319" s="49"/>
      <c r="O319" s="71"/>
      <c r="P319" s="92"/>
      <c r="Q319" s="71"/>
      <c r="R319" s="92"/>
      <c r="S319" s="71"/>
      <c r="T319" s="71"/>
      <c r="U319" s="68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29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  <c r="BM319" s="67"/>
      <c r="BN319" s="67"/>
      <c r="BO319" s="67"/>
      <c r="BP319" s="67"/>
      <c r="BQ319" s="67"/>
      <c r="BR319" s="67"/>
      <c r="BS319" s="67"/>
      <c r="BT319" s="67"/>
      <c r="BU319" s="67"/>
      <c r="BV319" s="67"/>
      <c r="BW319" s="67"/>
      <c r="BX319" s="67"/>
      <c r="BY319" s="67"/>
      <c r="BZ319" s="67"/>
      <c r="CA319" s="67"/>
      <c r="CB319" s="67"/>
      <c r="CC319" s="67"/>
      <c r="CD319" s="67"/>
      <c r="CE319" s="67"/>
      <c r="CF319" s="67"/>
      <c r="CG319" s="67"/>
      <c r="CH319" s="67"/>
      <c r="CI319" s="67"/>
      <c r="CJ319" s="67"/>
      <c r="CK319" s="67"/>
      <c r="CL319" s="67"/>
      <c r="CM319" s="67"/>
      <c r="CN319" s="67"/>
      <c r="CO319" s="67"/>
      <c r="CP319" s="67"/>
      <c r="CQ319" s="67"/>
      <c r="CR319" s="67"/>
      <c r="CS319" s="67"/>
      <c r="CT319" s="67"/>
      <c r="CU319" s="67"/>
      <c r="CV319" s="67"/>
      <c r="CW319" s="67"/>
      <c r="CX319" s="67"/>
      <c r="CY319" s="67"/>
      <c r="CZ319" s="67"/>
      <c r="DA319" s="67"/>
      <c r="DB319" s="67"/>
      <c r="DC319" s="67"/>
      <c r="DD319" s="67"/>
      <c r="DE319" s="67"/>
      <c r="DF319" s="67"/>
    </row>
    <row r="320">
      <c r="A320" s="62"/>
      <c r="B320" s="88"/>
      <c r="C320" s="88"/>
      <c r="D320" s="88"/>
      <c r="E320" s="90"/>
      <c r="F320" s="91"/>
      <c r="G320" s="49"/>
      <c r="H320" s="70"/>
      <c r="I320" s="88"/>
      <c r="J320" s="88"/>
      <c r="K320" s="88"/>
      <c r="L320" s="90"/>
      <c r="M320" s="91"/>
      <c r="N320" s="49"/>
      <c r="O320" s="71"/>
      <c r="P320" s="92"/>
      <c r="Q320" s="71"/>
      <c r="R320" s="92"/>
      <c r="S320" s="71"/>
      <c r="T320" s="71"/>
      <c r="U320" s="68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29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  <c r="BK320" s="67"/>
      <c r="BL320" s="67"/>
      <c r="BM320" s="67"/>
      <c r="BN320" s="67"/>
      <c r="BO320" s="67"/>
      <c r="BP320" s="67"/>
      <c r="BQ320" s="67"/>
      <c r="BR320" s="67"/>
      <c r="BS320" s="67"/>
      <c r="BT320" s="67"/>
      <c r="BU320" s="67"/>
      <c r="BV320" s="67"/>
      <c r="BW320" s="67"/>
      <c r="BX320" s="67"/>
      <c r="BY320" s="67"/>
      <c r="BZ320" s="67"/>
      <c r="CA320" s="67"/>
      <c r="CB320" s="67"/>
      <c r="CC320" s="67"/>
      <c r="CD320" s="67"/>
      <c r="CE320" s="67"/>
      <c r="CF320" s="67"/>
      <c r="CG320" s="67"/>
      <c r="CH320" s="67"/>
      <c r="CI320" s="67"/>
      <c r="CJ320" s="67"/>
      <c r="CK320" s="67"/>
      <c r="CL320" s="67"/>
      <c r="CM320" s="67"/>
      <c r="CN320" s="67"/>
      <c r="CO320" s="67"/>
      <c r="CP320" s="67"/>
      <c r="CQ320" s="67"/>
      <c r="CR320" s="67"/>
      <c r="CS320" s="67"/>
      <c r="CT320" s="67"/>
      <c r="CU320" s="67"/>
      <c r="CV320" s="67"/>
      <c r="CW320" s="67"/>
      <c r="CX320" s="67"/>
      <c r="CY320" s="67"/>
      <c r="CZ320" s="67"/>
      <c r="DA320" s="67"/>
      <c r="DB320" s="67"/>
      <c r="DC320" s="67"/>
      <c r="DD320" s="67"/>
      <c r="DE320" s="67"/>
      <c r="DF320" s="67"/>
    </row>
    <row r="321">
      <c r="A321" s="62"/>
      <c r="B321" s="88"/>
      <c r="C321" s="88"/>
      <c r="D321" s="88"/>
      <c r="E321" s="90"/>
      <c r="F321" s="91"/>
      <c r="G321" s="49"/>
      <c r="H321" s="70"/>
      <c r="I321" s="88"/>
      <c r="J321" s="88"/>
      <c r="K321" s="88"/>
      <c r="L321" s="90"/>
      <c r="M321" s="91"/>
      <c r="N321" s="49"/>
      <c r="O321" s="71"/>
      <c r="P321" s="92"/>
      <c r="Q321" s="71"/>
      <c r="R321" s="92"/>
      <c r="S321" s="71"/>
      <c r="T321" s="71"/>
      <c r="U321" s="68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29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  <c r="BC321" s="67"/>
      <c r="BD321" s="67"/>
      <c r="BE321" s="67"/>
      <c r="BF321" s="67"/>
      <c r="BG321" s="67"/>
      <c r="BH321" s="67"/>
      <c r="BI321" s="67"/>
      <c r="BJ321" s="67"/>
      <c r="BK321" s="67"/>
      <c r="BL321" s="67"/>
      <c r="BM321" s="67"/>
      <c r="BN321" s="67"/>
      <c r="BO321" s="67"/>
      <c r="BP321" s="67"/>
      <c r="BQ321" s="67"/>
      <c r="BR321" s="67"/>
      <c r="BS321" s="67"/>
      <c r="BT321" s="67"/>
      <c r="BU321" s="67"/>
      <c r="BV321" s="67"/>
      <c r="BW321" s="67"/>
      <c r="BX321" s="67"/>
      <c r="BY321" s="67"/>
      <c r="BZ321" s="67"/>
      <c r="CA321" s="67"/>
      <c r="CB321" s="67"/>
      <c r="CC321" s="67"/>
      <c r="CD321" s="67"/>
      <c r="CE321" s="67"/>
      <c r="CF321" s="67"/>
      <c r="CG321" s="67"/>
      <c r="CH321" s="67"/>
      <c r="CI321" s="67"/>
      <c r="CJ321" s="67"/>
      <c r="CK321" s="67"/>
      <c r="CL321" s="67"/>
      <c r="CM321" s="67"/>
      <c r="CN321" s="67"/>
      <c r="CO321" s="67"/>
      <c r="CP321" s="67"/>
      <c r="CQ321" s="67"/>
      <c r="CR321" s="67"/>
      <c r="CS321" s="67"/>
      <c r="CT321" s="67"/>
      <c r="CU321" s="67"/>
      <c r="CV321" s="67"/>
      <c r="CW321" s="67"/>
      <c r="CX321" s="67"/>
      <c r="CY321" s="67"/>
      <c r="CZ321" s="67"/>
      <c r="DA321" s="67"/>
      <c r="DB321" s="67"/>
      <c r="DC321" s="67"/>
      <c r="DD321" s="67"/>
      <c r="DE321" s="67"/>
      <c r="DF321" s="67"/>
    </row>
    <row r="322">
      <c r="A322" s="62"/>
      <c r="B322" s="88"/>
      <c r="C322" s="88"/>
      <c r="D322" s="88"/>
      <c r="E322" s="90"/>
      <c r="F322" s="91"/>
      <c r="G322" s="49"/>
      <c r="H322" s="70"/>
      <c r="I322" s="88"/>
      <c r="J322" s="88"/>
      <c r="K322" s="88"/>
      <c r="L322" s="90"/>
      <c r="M322" s="91"/>
      <c r="N322" s="49"/>
      <c r="O322" s="71"/>
      <c r="P322" s="92"/>
      <c r="Q322" s="71"/>
      <c r="R322" s="92"/>
      <c r="S322" s="71"/>
      <c r="T322" s="71"/>
      <c r="U322" s="68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29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  <c r="BM322" s="67"/>
      <c r="BN322" s="67"/>
      <c r="BO322" s="67"/>
      <c r="BP322" s="67"/>
      <c r="BQ322" s="67"/>
      <c r="BR322" s="67"/>
      <c r="BS322" s="67"/>
      <c r="BT322" s="67"/>
      <c r="BU322" s="67"/>
      <c r="BV322" s="67"/>
      <c r="BW322" s="67"/>
      <c r="BX322" s="67"/>
      <c r="BY322" s="67"/>
      <c r="BZ322" s="67"/>
      <c r="CA322" s="67"/>
      <c r="CB322" s="67"/>
      <c r="CC322" s="67"/>
      <c r="CD322" s="67"/>
      <c r="CE322" s="67"/>
      <c r="CF322" s="67"/>
      <c r="CG322" s="67"/>
      <c r="CH322" s="67"/>
      <c r="CI322" s="67"/>
      <c r="CJ322" s="67"/>
      <c r="CK322" s="67"/>
      <c r="CL322" s="67"/>
      <c r="CM322" s="67"/>
      <c r="CN322" s="67"/>
      <c r="CO322" s="67"/>
      <c r="CP322" s="67"/>
      <c r="CQ322" s="67"/>
      <c r="CR322" s="67"/>
      <c r="CS322" s="67"/>
      <c r="CT322" s="67"/>
      <c r="CU322" s="67"/>
      <c r="CV322" s="67"/>
      <c r="CW322" s="67"/>
      <c r="CX322" s="67"/>
      <c r="CY322" s="67"/>
      <c r="CZ322" s="67"/>
      <c r="DA322" s="67"/>
      <c r="DB322" s="67"/>
      <c r="DC322" s="67"/>
      <c r="DD322" s="67"/>
      <c r="DE322" s="67"/>
      <c r="DF322" s="67"/>
    </row>
    <row r="323">
      <c r="A323" s="62"/>
      <c r="B323" s="88"/>
      <c r="C323" s="88"/>
      <c r="D323" s="88"/>
      <c r="E323" s="90"/>
      <c r="F323" s="91"/>
      <c r="G323" s="49"/>
      <c r="H323" s="70"/>
      <c r="I323" s="88"/>
      <c r="J323" s="88"/>
      <c r="K323" s="88"/>
      <c r="L323" s="90"/>
      <c r="M323" s="91"/>
      <c r="N323" s="49"/>
      <c r="O323" s="71"/>
      <c r="P323" s="92"/>
      <c r="Q323" s="71"/>
      <c r="R323" s="92"/>
      <c r="S323" s="71"/>
      <c r="T323" s="71"/>
      <c r="U323" s="68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29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  <c r="BM323" s="67"/>
      <c r="BN323" s="67"/>
      <c r="BO323" s="67"/>
      <c r="BP323" s="67"/>
      <c r="BQ323" s="67"/>
      <c r="BR323" s="67"/>
      <c r="BS323" s="67"/>
      <c r="BT323" s="67"/>
      <c r="BU323" s="67"/>
      <c r="BV323" s="67"/>
      <c r="BW323" s="67"/>
      <c r="BX323" s="67"/>
      <c r="BY323" s="67"/>
      <c r="BZ323" s="67"/>
      <c r="CA323" s="67"/>
      <c r="CB323" s="67"/>
      <c r="CC323" s="67"/>
      <c r="CD323" s="67"/>
      <c r="CE323" s="67"/>
      <c r="CF323" s="67"/>
      <c r="CG323" s="67"/>
      <c r="CH323" s="67"/>
      <c r="CI323" s="67"/>
      <c r="CJ323" s="67"/>
      <c r="CK323" s="67"/>
      <c r="CL323" s="67"/>
      <c r="CM323" s="67"/>
      <c r="CN323" s="67"/>
      <c r="CO323" s="67"/>
      <c r="CP323" s="67"/>
      <c r="CQ323" s="67"/>
      <c r="CR323" s="67"/>
      <c r="CS323" s="67"/>
      <c r="CT323" s="67"/>
      <c r="CU323" s="67"/>
      <c r="CV323" s="67"/>
      <c r="CW323" s="67"/>
      <c r="CX323" s="67"/>
      <c r="CY323" s="67"/>
      <c r="CZ323" s="67"/>
      <c r="DA323" s="67"/>
      <c r="DB323" s="67"/>
      <c r="DC323" s="67"/>
      <c r="DD323" s="67"/>
      <c r="DE323" s="67"/>
      <c r="DF323" s="67"/>
    </row>
    <row r="324">
      <c r="A324" s="62"/>
      <c r="B324" s="88"/>
      <c r="C324" s="88"/>
      <c r="D324" s="88"/>
      <c r="E324" s="90"/>
      <c r="F324" s="91"/>
      <c r="G324" s="49"/>
      <c r="H324" s="70"/>
      <c r="I324" s="88"/>
      <c r="J324" s="88"/>
      <c r="K324" s="88"/>
      <c r="L324" s="90"/>
      <c r="M324" s="91"/>
      <c r="N324" s="49"/>
      <c r="O324" s="71"/>
      <c r="P324" s="92"/>
      <c r="Q324" s="71"/>
      <c r="R324" s="92"/>
      <c r="S324" s="71"/>
      <c r="T324" s="71"/>
      <c r="U324" s="68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29"/>
      <c r="AN324" s="67"/>
      <c r="AO324" s="67"/>
      <c r="AP324" s="67"/>
      <c r="AQ324" s="67"/>
      <c r="AR324" s="67"/>
      <c r="AS324" s="67"/>
      <c r="AT324" s="67"/>
      <c r="AU324" s="67"/>
      <c r="AV324" s="67"/>
      <c r="AW324" s="67"/>
      <c r="AX324" s="67"/>
      <c r="AY324" s="67"/>
      <c r="AZ324" s="67"/>
      <c r="BA324" s="67"/>
      <c r="BB324" s="67"/>
      <c r="BC324" s="67"/>
      <c r="BD324" s="67"/>
      <c r="BE324" s="67"/>
      <c r="BF324" s="67"/>
      <c r="BG324" s="67"/>
      <c r="BH324" s="67"/>
      <c r="BI324" s="67"/>
      <c r="BJ324" s="67"/>
      <c r="BK324" s="67"/>
      <c r="BL324" s="67"/>
      <c r="BM324" s="67"/>
      <c r="BN324" s="67"/>
      <c r="BO324" s="67"/>
      <c r="BP324" s="67"/>
      <c r="BQ324" s="67"/>
      <c r="BR324" s="67"/>
      <c r="BS324" s="67"/>
      <c r="BT324" s="67"/>
      <c r="BU324" s="67"/>
      <c r="BV324" s="67"/>
      <c r="BW324" s="67"/>
      <c r="BX324" s="67"/>
      <c r="BY324" s="67"/>
      <c r="BZ324" s="67"/>
      <c r="CA324" s="67"/>
      <c r="CB324" s="67"/>
      <c r="CC324" s="67"/>
      <c r="CD324" s="67"/>
      <c r="CE324" s="67"/>
      <c r="CF324" s="67"/>
      <c r="CG324" s="67"/>
      <c r="CH324" s="67"/>
      <c r="CI324" s="67"/>
      <c r="CJ324" s="67"/>
      <c r="CK324" s="67"/>
      <c r="CL324" s="67"/>
      <c r="CM324" s="67"/>
      <c r="CN324" s="67"/>
      <c r="CO324" s="67"/>
      <c r="CP324" s="67"/>
      <c r="CQ324" s="67"/>
      <c r="CR324" s="67"/>
      <c r="CS324" s="67"/>
      <c r="CT324" s="67"/>
      <c r="CU324" s="67"/>
      <c r="CV324" s="67"/>
      <c r="CW324" s="67"/>
      <c r="CX324" s="67"/>
      <c r="CY324" s="67"/>
      <c r="CZ324" s="67"/>
      <c r="DA324" s="67"/>
      <c r="DB324" s="67"/>
      <c r="DC324" s="67"/>
      <c r="DD324" s="67"/>
      <c r="DE324" s="67"/>
      <c r="DF324" s="67"/>
    </row>
    <row r="325">
      <c r="A325" s="62"/>
      <c r="B325" s="88"/>
      <c r="C325" s="88"/>
      <c r="D325" s="88"/>
      <c r="E325" s="90"/>
      <c r="F325" s="91"/>
      <c r="G325" s="49"/>
      <c r="H325" s="70"/>
      <c r="I325" s="88"/>
      <c r="J325" s="88"/>
      <c r="K325" s="88"/>
      <c r="L325" s="90"/>
      <c r="M325" s="91"/>
      <c r="N325" s="49"/>
      <c r="O325" s="71"/>
      <c r="P325" s="92"/>
      <c r="Q325" s="71"/>
      <c r="R325" s="92"/>
      <c r="S325" s="71"/>
      <c r="T325" s="71"/>
      <c r="U325" s="68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29"/>
      <c r="AN325" s="67"/>
      <c r="AO325" s="67"/>
      <c r="AP325" s="67"/>
      <c r="AQ325" s="67"/>
      <c r="AR325" s="67"/>
      <c r="AS325" s="67"/>
      <c r="AT325" s="67"/>
      <c r="AU325" s="67"/>
      <c r="AV325" s="67"/>
      <c r="AW325" s="67"/>
      <c r="AX325" s="67"/>
      <c r="AY325" s="67"/>
      <c r="AZ325" s="67"/>
      <c r="BA325" s="67"/>
      <c r="BB325" s="67"/>
      <c r="BC325" s="67"/>
      <c r="BD325" s="67"/>
      <c r="BE325" s="67"/>
      <c r="BF325" s="67"/>
      <c r="BG325" s="67"/>
      <c r="BH325" s="67"/>
      <c r="BI325" s="67"/>
      <c r="BJ325" s="67"/>
      <c r="BK325" s="67"/>
      <c r="BL325" s="67"/>
      <c r="BM325" s="67"/>
      <c r="BN325" s="67"/>
      <c r="BO325" s="67"/>
      <c r="BP325" s="67"/>
      <c r="BQ325" s="67"/>
      <c r="BR325" s="67"/>
      <c r="BS325" s="67"/>
      <c r="BT325" s="67"/>
      <c r="BU325" s="67"/>
      <c r="BV325" s="67"/>
      <c r="BW325" s="67"/>
      <c r="BX325" s="67"/>
      <c r="BY325" s="67"/>
      <c r="BZ325" s="67"/>
      <c r="CA325" s="67"/>
      <c r="CB325" s="67"/>
      <c r="CC325" s="67"/>
      <c r="CD325" s="67"/>
      <c r="CE325" s="67"/>
      <c r="CF325" s="67"/>
      <c r="CG325" s="67"/>
      <c r="CH325" s="67"/>
      <c r="CI325" s="67"/>
      <c r="CJ325" s="67"/>
      <c r="CK325" s="67"/>
      <c r="CL325" s="67"/>
      <c r="CM325" s="67"/>
      <c r="CN325" s="67"/>
      <c r="CO325" s="67"/>
      <c r="CP325" s="67"/>
      <c r="CQ325" s="67"/>
      <c r="CR325" s="67"/>
      <c r="CS325" s="67"/>
      <c r="CT325" s="67"/>
      <c r="CU325" s="67"/>
      <c r="CV325" s="67"/>
      <c r="CW325" s="67"/>
      <c r="CX325" s="67"/>
      <c r="CY325" s="67"/>
      <c r="CZ325" s="67"/>
      <c r="DA325" s="67"/>
      <c r="DB325" s="67"/>
      <c r="DC325" s="67"/>
      <c r="DD325" s="67"/>
      <c r="DE325" s="67"/>
      <c r="DF325" s="67"/>
    </row>
    <row r="326">
      <c r="A326" s="62"/>
      <c r="B326" s="88"/>
      <c r="C326" s="88"/>
      <c r="D326" s="88"/>
      <c r="E326" s="90"/>
      <c r="F326" s="91"/>
      <c r="G326" s="49"/>
      <c r="H326" s="70"/>
      <c r="I326" s="88"/>
      <c r="J326" s="88"/>
      <c r="K326" s="88"/>
      <c r="L326" s="90"/>
      <c r="M326" s="91"/>
      <c r="N326" s="49"/>
      <c r="O326" s="71"/>
      <c r="P326" s="92"/>
      <c r="Q326" s="71"/>
      <c r="R326" s="92"/>
      <c r="S326" s="71"/>
      <c r="T326" s="71"/>
      <c r="U326" s="68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29"/>
      <c r="AN326" s="67"/>
      <c r="AO326" s="67"/>
      <c r="AP326" s="67"/>
      <c r="AQ326" s="67"/>
      <c r="AR326" s="67"/>
      <c r="AS326" s="67"/>
      <c r="AT326" s="67"/>
      <c r="AU326" s="67"/>
      <c r="AV326" s="67"/>
      <c r="AW326" s="67"/>
      <c r="AX326" s="67"/>
      <c r="AY326" s="67"/>
      <c r="AZ326" s="67"/>
      <c r="BA326" s="67"/>
      <c r="BB326" s="67"/>
      <c r="BC326" s="67"/>
      <c r="BD326" s="67"/>
      <c r="BE326" s="67"/>
      <c r="BF326" s="67"/>
      <c r="BG326" s="67"/>
      <c r="BH326" s="67"/>
      <c r="BI326" s="67"/>
      <c r="BJ326" s="67"/>
      <c r="BK326" s="67"/>
      <c r="BL326" s="67"/>
      <c r="BM326" s="67"/>
      <c r="BN326" s="67"/>
      <c r="BO326" s="67"/>
      <c r="BP326" s="67"/>
      <c r="BQ326" s="67"/>
      <c r="BR326" s="67"/>
      <c r="BS326" s="67"/>
      <c r="BT326" s="67"/>
      <c r="BU326" s="67"/>
      <c r="BV326" s="67"/>
      <c r="BW326" s="67"/>
      <c r="BX326" s="67"/>
      <c r="BY326" s="67"/>
      <c r="BZ326" s="67"/>
      <c r="CA326" s="67"/>
      <c r="CB326" s="67"/>
      <c r="CC326" s="67"/>
      <c r="CD326" s="67"/>
      <c r="CE326" s="67"/>
      <c r="CF326" s="67"/>
      <c r="CG326" s="67"/>
      <c r="CH326" s="67"/>
      <c r="CI326" s="67"/>
      <c r="CJ326" s="67"/>
      <c r="CK326" s="67"/>
      <c r="CL326" s="67"/>
      <c r="CM326" s="67"/>
      <c r="CN326" s="67"/>
      <c r="CO326" s="67"/>
      <c r="CP326" s="67"/>
      <c r="CQ326" s="67"/>
      <c r="CR326" s="67"/>
      <c r="CS326" s="67"/>
      <c r="CT326" s="67"/>
      <c r="CU326" s="67"/>
      <c r="CV326" s="67"/>
      <c r="CW326" s="67"/>
      <c r="CX326" s="67"/>
      <c r="CY326" s="67"/>
      <c r="CZ326" s="67"/>
      <c r="DA326" s="67"/>
      <c r="DB326" s="67"/>
      <c r="DC326" s="67"/>
      <c r="DD326" s="67"/>
      <c r="DE326" s="67"/>
      <c r="DF326" s="67"/>
    </row>
    <row r="327">
      <c r="A327" s="62"/>
      <c r="B327" s="88"/>
      <c r="C327" s="88"/>
      <c r="D327" s="88"/>
      <c r="E327" s="90"/>
      <c r="F327" s="91"/>
      <c r="G327" s="49"/>
      <c r="H327" s="70"/>
      <c r="I327" s="88"/>
      <c r="J327" s="88"/>
      <c r="K327" s="88"/>
      <c r="L327" s="90"/>
      <c r="M327" s="91"/>
      <c r="N327" s="49"/>
      <c r="O327" s="71"/>
      <c r="P327" s="92"/>
      <c r="Q327" s="71"/>
      <c r="R327" s="92"/>
      <c r="S327" s="71"/>
      <c r="T327" s="71"/>
      <c r="U327" s="68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29"/>
      <c r="AN327" s="67"/>
      <c r="AO327" s="67"/>
      <c r="AP327" s="67"/>
      <c r="AQ327" s="67"/>
      <c r="AR327" s="67"/>
      <c r="AS327" s="67"/>
      <c r="AT327" s="67"/>
      <c r="AU327" s="67"/>
      <c r="AV327" s="67"/>
      <c r="AW327" s="67"/>
      <c r="AX327" s="67"/>
      <c r="AY327" s="67"/>
      <c r="AZ327" s="67"/>
      <c r="BA327" s="67"/>
      <c r="BB327" s="67"/>
      <c r="BC327" s="67"/>
      <c r="BD327" s="67"/>
      <c r="BE327" s="67"/>
      <c r="BF327" s="67"/>
      <c r="BG327" s="67"/>
      <c r="BH327" s="67"/>
      <c r="BI327" s="67"/>
      <c r="BJ327" s="67"/>
      <c r="BK327" s="67"/>
      <c r="BL327" s="67"/>
      <c r="BM327" s="67"/>
      <c r="BN327" s="67"/>
      <c r="BO327" s="67"/>
      <c r="BP327" s="67"/>
      <c r="BQ327" s="67"/>
      <c r="BR327" s="67"/>
      <c r="BS327" s="67"/>
      <c r="BT327" s="67"/>
      <c r="BU327" s="67"/>
      <c r="BV327" s="67"/>
      <c r="BW327" s="67"/>
      <c r="BX327" s="67"/>
      <c r="BY327" s="67"/>
      <c r="BZ327" s="67"/>
      <c r="CA327" s="67"/>
      <c r="CB327" s="67"/>
      <c r="CC327" s="67"/>
      <c r="CD327" s="67"/>
      <c r="CE327" s="67"/>
      <c r="CF327" s="67"/>
      <c r="CG327" s="67"/>
      <c r="CH327" s="67"/>
      <c r="CI327" s="67"/>
      <c r="CJ327" s="67"/>
      <c r="CK327" s="67"/>
      <c r="CL327" s="67"/>
      <c r="CM327" s="67"/>
      <c r="CN327" s="67"/>
      <c r="CO327" s="67"/>
      <c r="CP327" s="67"/>
      <c r="CQ327" s="67"/>
      <c r="CR327" s="67"/>
      <c r="CS327" s="67"/>
      <c r="CT327" s="67"/>
      <c r="CU327" s="67"/>
      <c r="CV327" s="67"/>
      <c r="CW327" s="67"/>
      <c r="CX327" s="67"/>
      <c r="CY327" s="67"/>
      <c r="CZ327" s="67"/>
      <c r="DA327" s="67"/>
      <c r="DB327" s="67"/>
      <c r="DC327" s="67"/>
      <c r="DD327" s="67"/>
      <c r="DE327" s="67"/>
      <c r="DF327" s="67"/>
    </row>
    <row r="328">
      <c r="A328" s="62"/>
      <c r="B328" s="88"/>
      <c r="C328" s="88"/>
      <c r="D328" s="88"/>
      <c r="E328" s="90"/>
      <c r="F328" s="91"/>
      <c r="G328" s="49"/>
      <c r="H328" s="70"/>
      <c r="I328" s="88"/>
      <c r="J328" s="88"/>
      <c r="K328" s="88"/>
      <c r="L328" s="90"/>
      <c r="M328" s="91"/>
      <c r="N328" s="49"/>
      <c r="O328" s="71"/>
      <c r="P328" s="92"/>
      <c r="Q328" s="71"/>
      <c r="R328" s="92"/>
      <c r="S328" s="71"/>
      <c r="T328" s="71"/>
      <c r="U328" s="68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29"/>
      <c r="AN328" s="67"/>
      <c r="AO328" s="67"/>
      <c r="AP328" s="67"/>
      <c r="AQ328" s="67"/>
      <c r="AR328" s="67"/>
      <c r="AS328" s="67"/>
      <c r="AT328" s="67"/>
      <c r="AU328" s="67"/>
      <c r="AV328" s="67"/>
      <c r="AW328" s="67"/>
      <c r="AX328" s="67"/>
      <c r="AY328" s="67"/>
      <c r="AZ328" s="67"/>
      <c r="BA328" s="67"/>
      <c r="BB328" s="67"/>
      <c r="BC328" s="67"/>
      <c r="BD328" s="67"/>
      <c r="BE328" s="67"/>
      <c r="BF328" s="67"/>
      <c r="BG328" s="67"/>
      <c r="BH328" s="67"/>
      <c r="BI328" s="67"/>
      <c r="BJ328" s="67"/>
      <c r="BK328" s="67"/>
      <c r="BL328" s="67"/>
      <c r="BM328" s="67"/>
      <c r="BN328" s="67"/>
      <c r="BO328" s="67"/>
      <c r="BP328" s="67"/>
      <c r="BQ328" s="67"/>
      <c r="BR328" s="67"/>
      <c r="BS328" s="67"/>
      <c r="BT328" s="67"/>
      <c r="BU328" s="67"/>
      <c r="BV328" s="67"/>
      <c r="BW328" s="67"/>
      <c r="BX328" s="67"/>
      <c r="BY328" s="67"/>
      <c r="BZ328" s="67"/>
      <c r="CA328" s="67"/>
      <c r="CB328" s="67"/>
      <c r="CC328" s="67"/>
      <c r="CD328" s="67"/>
      <c r="CE328" s="67"/>
      <c r="CF328" s="67"/>
      <c r="CG328" s="67"/>
      <c r="CH328" s="67"/>
      <c r="CI328" s="67"/>
      <c r="CJ328" s="67"/>
      <c r="CK328" s="67"/>
      <c r="CL328" s="67"/>
      <c r="CM328" s="67"/>
      <c r="CN328" s="67"/>
      <c r="CO328" s="67"/>
      <c r="CP328" s="67"/>
      <c r="CQ328" s="67"/>
      <c r="CR328" s="67"/>
      <c r="CS328" s="67"/>
      <c r="CT328" s="67"/>
      <c r="CU328" s="67"/>
      <c r="CV328" s="67"/>
      <c r="CW328" s="67"/>
      <c r="CX328" s="67"/>
      <c r="CY328" s="67"/>
      <c r="CZ328" s="67"/>
      <c r="DA328" s="67"/>
      <c r="DB328" s="67"/>
      <c r="DC328" s="67"/>
      <c r="DD328" s="67"/>
      <c r="DE328" s="67"/>
      <c r="DF328" s="67"/>
    </row>
    <row r="329">
      <c r="A329" s="62"/>
      <c r="B329" s="88"/>
      <c r="C329" s="88"/>
      <c r="D329" s="88"/>
      <c r="E329" s="90"/>
      <c r="F329" s="91"/>
      <c r="G329" s="49"/>
      <c r="H329" s="70"/>
      <c r="I329" s="88"/>
      <c r="J329" s="88"/>
      <c r="K329" s="88"/>
      <c r="L329" s="90"/>
      <c r="M329" s="91"/>
      <c r="N329" s="49"/>
      <c r="O329" s="71"/>
      <c r="P329" s="92"/>
      <c r="Q329" s="71"/>
      <c r="R329" s="92"/>
      <c r="S329" s="71"/>
      <c r="T329" s="71"/>
      <c r="U329" s="68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29"/>
      <c r="AN329" s="67"/>
      <c r="AO329" s="67"/>
      <c r="AP329" s="67"/>
      <c r="AQ329" s="67"/>
      <c r="AR329" s="67"/>
      <c r="AS329" s="67"/>
      <c r="AT329" s="67"/>
      <c r="AU329" s="67"/>
      <c r="AV329" s="67"/>
      <c r="AW329" s="67"/>
      <c r="AX329" s="67"/>
      <c r="AY329" s="67"/>
      <c r="AZ329" s="67"/>
      <c r="BA329" s="67"/>
      <c r="BB329" s="67"/>
      <c r="BC329" s="67"/>
      <c r="BD329" s="67"/>
      <c r="BE329" s="67"/>
      <c r="BF329" s="67"/>
      <c r="BG329" s="67"/>
      <c r="BH329" s="67"/>
      <c r="BI329" s="67"/>
      <c r="BJ329" s="67"/>
      <c r="BK329" s="67"/>
      <c r="BL329" s="67"/>
      <c r="BM329" s="67"/>
      <c r="BN329" s="67"/>
      <c r="BO329" s="67"/>
      <c r="BP329" s="67"/>
      <c r="BQ329" s="67"/>
      <c r="BR329" s="67"/>
      <c r="BS329" s="67"/>
      <c r="BT329" s="67"/>
      <c r="BU329" s="67"/>
      <c r="BV329" s="67"/>
      <c r="BW329" s="67"/>
      <c r="BX329" s="67"/>
      <c r="BY329" s="67"/>
      <c r="BZ329" s="67"/>
      <c r="CA329" s="67"/>
      <c r="CB329" s="67"/>
      <c r="CC329" s="67"/>
      <c r="CD329" s="67"/>
      <c r="CE329" s="67"/>
      <c r="CF329" s="67"/>
      <c r="CG329" s="67"/>
      <c r="CH329" s="67"/>
      <c r="CI329" s="67"/>
      <c r="CJ329" s="67"/>
      <c r="CK329" s="67"/>
      <c r="CL329" s="67"/>
      <c r="CM329" s="67"/>
      <c r="CN329" s="67"/>
      <c r="CO329" s="67"/>
      <c r="CP329" s="67"/>
      <c r="CQ329" s="67"/>
      <c r="CR329" s="67"/>
      <c r="CS329" s="67"/>
      <c r="CT329" s="67"/>
      <c r="CU329" s="67"/>
      <c r="CV329" s="67"/>
      <c r="CW329" s="67"/>
      <c r="CX329" s="67"/>
      <c r="CY329" s="67"/>
      <c r="CZ329" s="67"/>
      <c r="DA329" s="67"/>
      <c r="DB329" s="67"/>
      <c r="DC329" s="67"/>
      <c r="DD329" s="67"/>
      <c r="DE329" s="67"/>
      <c r="DF329" s="67"/>
    </row>
    <row r="330">
      <c r="A330" s="62"/>
      <c r="B330" s="88"/>
      <c r="C330" s="88"/>
      <c r="D330" s="88"/>
      <c r="E330" s="90"/>
      <c r="F330" s="91"/>
      <c r="G330" s="49"/>
      <c r="H330" s="70"/>
      <c r="I330" s="88"/>
      <c r="J330" s="88"/>
      <c r="K330" s="88"/>
      <c r="L330" s="90"/>
      <c r="M330" s="91"/>
      <c r="N330" s="49"/>
      <c r="O330" s="71"/>
      <c r="P330" s="92"/>
      <c r="Q330" s="71"/>
      <c r="R330" s="92"/>
      <c r="S330" s="71"/>
      <c r="T330" s="71"/>
      <c r="U330" s="68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29"/>
      <c r="AN330" s="67"/>
      <c r="AO330" s="67"/>
      <c r="AP330" s="67"/>
      <c r="AQ330" s="67"/>
      <c r="AR330" s="67"/>
      <c r="AS330" s="67"/>
      <c r="AT330" s="67"/>
      <c r="AU330" s="67"/>
      <c r="AV330" s="67"/>
      <c r="AW330" s="67"/>
      <c r="AX330" s="67"/>
      <c r="AY330" s="67"/>
      <c r="AZ330" s="67"/>
      <c r="BA330" s="67"/>
      <c r="BB330" s="67"/>
      <c r="BC330" s="67"/>
      <c r="BD330" s="67"/>
      <c r="BE330" s="67"/>
      <c r="BF330" s="67"/>
      <c r="BG330" s="67"/>
      <c r="BH330" s="67"/>
      <c r="BI330" s="67"/>
      <c r="BJ330" s="67"/>
      <c r="BK330" s="67"/>
      <c r="BL330" s="67"/>
      <c r="BM330" s="67"/>
      <c r="BN330" s="67"/>
      <c r="BO330" s="67"/>
      <c r="BP330" s="67"/>
      <c r="BQ330" s="67"/>
      <c r="BR330" s="67"/>
      <c r="BS330" s="67"/>
      <c r="BT330" s="67"/>
      <c r="BU330" s="67"/>
      <c r="BV330" s="67"/>
      <c r="BW330" s="67"/>
      <c r="BX330" s="67"/>
      <c r="BY330" s="67"/>
      <c r="BZ330" s="67"/>
      <c r="CA330" s="67"/>
      <c r="CB330" s="67"/>
      <c r="CC330" s="67"/>
      <c r="CD330" s="67"/>
      <c r="CE330" s="67"/>
      <c r="CF330" s="67"/>
      <c r="CG330" s="67"/>
      <c r="CH330" s="67"/>
      <c r="CI330" s="67"/>
      <c r="CJ330" s="67"/>
      <c r="CK330" s="67"/>
      <c r="CL330" s="67"/>
      <c r="CM330" s="67"/>
      <c r="CN330" s="67"/>
      <c r="CO330" s="67"/>
      <c r="CP330" s="67"/>
      <c r="CQ330" s="67"/>
      <c r="CR330" s="67"/>
      <c r="CS330" s="67"/>
      <c r="CT330" s="67"/>
      <c r="CU330" s="67"/>
      <c r="CV330" s="67"/>
      <c r="CW330" s="67"/>
      <c r="CX330" s="67"/>
      <c r="CY330" s="67"/>
      <c r="CZ330" s="67"/>
      <c r="DA330" s="67"/>
      <c r="DB330" s="67"/>
      <c r="DC330" s="67"/>
      <c r="DD330" s="67"/>
      <c r="DE330" s="67"/>
      <c r="DF330" s="67"/>
    </row>
    <row r="331">
      <c r="A331" s="62"/>
      <c r="B331" s="88"/>
      <c r="C331" s="88"/>
      <c r="D331" s="88"/>
      <c r="E331" s="90"/>
      <c r="F331" s="91"/>
      <c r="G331" s="49"/>
      <c r="H331" s="70"/>
      <c r="I331" s="88"/>
      <c r="J331" s="88"/>
      <c r="K331" s="88"/>
      <c r="L331" s="90"/>
      <c r="M331" s="91"/>
      <c r="N331" s="49"/>
      <c r="O331" s="71"/>
      <c r="P331" s="92"/>
      <c r="Q331" s="71"/>
      <c r="R331" s="92"/>
      <c r="S331" s="71"/>
      <c r="T331" s="71"/>
      <c r="U331" s="68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29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  <c r="BC331" s="67"/>
      <c r="BD331" s="67"/>
      <c r="BE331" s="67"/>
      <c r="BF331" s="67"/>
      <c r="BG331" s="67"/>
      <c r="BH331" s="67"/>
      <c r="BI331" s="67"/>
      <c r="BJ331" s="67"/>
      <c r="BK331" s="67"/>
      <c r="BL331" s="67"/>
      <c r="BM331" s="67"/>
      <c r="BN331" s="67"/>
      <c r="BO331" s="67"/>
      <c r="BP331" s="67"/>
      <c r="BQ331" s="67"/>
      <c r="BR331" s="67"/>
      <c r="BS331" s="67"/>
      <c r="BT331" s="67"/>
      <c r="BU331" s="67"/>
      <c r="BV331" s="67"/>
      <c r="BW331" s="67"/>
      <c r="BX331" s="67"/>
      <c r="BY331" s="67"/>
      <c r="BZ331" s="67"/>
      <c r="CA331" s="67"/>
      <c r="CB331" s="67"/>
      <c r="CC331" s="67"/>
      <c r="CD331" s="67"/>
      <c r="CE331" s="67"/>
      <c r="CF331" s="67"/>
      <c r="CG331" s="67"/>
      <c r="CH331" s="67"/>
      <c r="CI331" s="67"/>
      <c r="CJ331" s="67"/>
      <c r="CK331" s="67"/>
      <c r="CL331" s="67"/>
      <c r="CM331" s="67"/>
      <c r="CN331" s="67"/>
      <c r="CO331" s="67"/>
      <c r="CP331" s="67"/>
      <c r="CQ331" s="67"/>
      <c r="CR331" s="67"/>
      <c r="CS331" s="67"/>
      <c r="CT331" s="67"/>
      <c r="CU331" s="67"/>
      <c r="CV331" s="67"/>
      <c r="CW331" s="67"/>
      <c r="CX331" s="67"/>
      <c r="CY331" s="67"/>
      <c r="CZ331" s="67"/>
      <c r="DA331" s="67"/>
      <c r="DB331" s="67"/>
      <c r="DC331" s="67"/>
      <c r="DD331" s="67"/>
      <c r="DE331" s="67"/>
      <c r="DF331" s="67"/>
    </row>
    <row r="332">
      <c r="A332" s="62"/>
      <c r="B332" s="88"/>
      <c r="C332" s="88"/>
      <c r="D332" s="88"/>
      <c r="E332" s="90"/>
      <c r="F332" s="91"/>
      <c r="G332" s="49"/>
      <c r="H332" s="70"/>
      <c r="I332" s="88"/>
      <c r="J332" s="88"/>
      <c r="K332" s="88"/>
      <c r="L332" s="90"/>
      <c r="M332" s="91"/>
      <c r="N332" s="49"/>
      <c r="O332" s="71"/>
      <c r="P332" s="92"/>
      <c r="Q332" s="71"/>
      <c r="R332" s="92"/>
      <c r="S332" s="71"/>
      <c r="T332" s="71"/>
      <c r="U332" s="68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29"/>
      <c r="AN332" s="67"/>
      <c r="AO332" s="67"/>
      <c r="AP332" s="67"/>
      <c r="AQ332" s="67"/>
      <c r="AR332" s="67"/>
      <c r="AS332" s="67"/>
      <c r="AT332" s="67"/>
      <c r="AU332" s="67"/>
      <c r="AV332" s="67"/>
      <c r="AW332" s="67"/>
      <c r="AX332" s="67"/>
      <c r="AY332" s="67"/>
      <c r="AZ332" s="67"/>
      <c r="BA332" s="67"/>
      <c r="BB332" s="67"/>
      <c r="BC332" s="67"/>
      <c r="BD332" s="67"/>
      <c r="BE332" s="67"/>
      <c r="BF332" s="67"/>
      <c r="BG332" s="67"/>
      <c r="BH332" s="67"/>
      <c r="BI332" s="67"/>
      <c r="BJ332" s="67"/>
      <c r="BK332" s="67"/>
      <c r="BL332" s="67"/>
      <c r="BM332" s="67"/>
      <c r="BN332" s="67"/>
      <c r="BO332" s="67"/>
      <c r="BP332" s="67"/>
      <c r="BQ332" s="67"/>
      <c r="BR332" s="67"/>
      <c r="BS332" s="67"/>
      <c r="BT332" s="67"/>
      <c r="BU332" s="67"/>
      <c r="BV332" s="67"/>
      <c r="BW332" s="67"/>
      <c r="BX332" s="67"/>
      <c r="BY332" s="67"/>
      <c r="BZ332" s="67"/>
      <c r="CA332" s="67"/>
      <c r="CB332" s="67"/>
      <c r="CC332" s="67"/>
      <c r="CD332" s="67"/>
      <c r="CE332" s="67"/>
      <c r="CF332" s="67"/>
      <c r="CG332" s="67"/>
      <c r="CH332" s="67"/>
      <c r="CI332" s="67"/>
      <c r="CJ332" s="67"/>
      <c r="CK332" s="67"/>
      <c r="CL332" s="67"/>
      <c r="CM332" s="67"/>
      <c r="CN332" s="67"/>
      <c r="CO332" s="67"/>
      <c r="CP332" s="67"/>
      <c r="CQ332" s="67"/>
      <c r="CR332" s="67"/>
      <c r="CS332" s="67"/>
      <c r="CT332" s="67"/>
      <c r="CU332" s="67"/>
      <c r="CV332" s="67"/>
      <c r="CW332" s="67"/>
      <c r="CX332" s="67"/>
      <c r="CY332" s="67"/>
      <c r="CZ332" s="67"/>
      <c r="DA332" s="67"/>
      <c r="DB332" s="67"/>
      <c r="DC332" s="67"/>
      <c r="DD332" s="67"/>
      <c r="DE332" s="67"/>
      <c r="DF332" s="67"/>
    </row>
    <row r="333">
      <c r="A333" s="62"/>
      <c r="B333" s="88"/>
      <c r="C333" s="88"/>
      <c r="D333" s="88"/>
      <c r="E333" s="90"/>
      <c r="F333" s="91"/>
      <c r="G333" s="49"/>
      <c r="H333" s="70"/>
      <c r="I333" s="88"/>
      <c r="J333" s="88"/>
      <c r="K333" s="88"/>
      <c r="L333" s="90"/>
      <c r="M333" s="91"/>
      <c r="N333" s="49"/>
      <c r="O333" s="71"/>
      <c r="P333" s="92"/>
      <c r="Q333" s="71"/>
      <c r="R333" s="92"/>
      <c r="S333" s="71"/>
      <c r="T333" s="71"/>
      <c r="U333" s="68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29"/>
      <c r="AN333" s="67"/>
      <c r="AO333" s="67"/>
      <c r="AP333" s="67"/>
      <c r="AQ333" s="67"/>
      <c r="AR333" s="67"/>
      <c r="AS333" s="67"/>
      <c r="AT333" s="67"/>
      <c r="AU333" s="67"/>
      <c r="AV333" s="67"/>
      <c r="AW333" s="67"/>
      <c r="AX333" s="67"/>
      <c r="AY333" s="67"/>
      <c r="AZ333" s="67"/>
      <c r="BA333" s="67"/>
      <c r="BB333" s="67"/>
      <c r="BC333" s="67"/>
      <c r="BD333" s="67"/>
      <c r="BE333" s="67"/>
      <c r="BF333" s="67"/>
      <c r="BG333" s="67"/>
      <c r="BH333" s="67"/>
      <c r="BI333" s="67"/>
      <c r="BJ333" s="67"/>
      <c r="BK333" s="67"/>
      <c r="BL333" s="67"/>
      <c r="BM333" s="67"/>
      <c r="BN333" s="67"/>
      <c r="BO333" s="67"/>
      <c r="BP333" s="67"/>
      <c r="BQ333" s="67"/>
      <c r="BR333" s="67"/>
      <c r="BS333" s="67"/>
      <c r="BT333" s="67"/>
      <c r="BU333" s="67"/>
      <c r="BV333" s="67"/>
      <c r="BW333" s="67"/>
      <c r="BX333" s="67"/>
      <c r="BY333" s="67"/>
      <c r="BZ333" s="67"/>
      <c r="CA333" s="67"/>
      <c r="CB333" s="67"/>
      <c r="CC333" s="67"/>
      <c r="CD333" s="67"/>
      <c r="CE333" s="67"/>
      <c r="CF333" s="67"/>
      <c r="CG333" s="67"/>
      <c r="CH333" s="67"/>
      <c r="CI333" s="67"/>
      <c r="CJ333" s="67"/>
      <c r="CK333" s="67"/>
      <c r="CL333" s="67"/>
      <c r="CM333" s="67"/>
      <c r="CN333" s="67"/>
      <c r="CO333" s="67"/>
      <c r="CP333" s="67"/>
      <c r="CQ333" s="67"/>
      <c r="CR333" s="67"/>
      <c r="CS333" s="67"/>
      <c r="CT333" s="67"/>
      <c r="CU333" s="67"/>
      <c r="CV333" s="67"/>
      <c r="CW333" s="67"/>
      <c r="CX333" s="67"/>
      <c r="CY333" s="67"/>
      <c r="CZ333" s="67"/>
      <c r="DA333" s="67"/>
      <c r="DB333" s="67"/>
      <c r="DC333" s="67"/>
      <c r="DD333" s="67"/>
      <c r="DE333" s="67"/>
      <c r="DF333" s="67"/>
    </row>
    <row r="334">
      <c r="A334" s="62"/>
      <c r="B334" s="88"/>
      <c r="C334" s="88"/>
      <c r="D334" s="88"/>
      <c r="E334" s="90"/>
      <c r="F334" s="91"/>
      <c r="G334" s="49"/>
      <c r="H334" s="70"/>
      <c r="I334" s="88"/>
      <c r="J334" s="88"/>
      <c r="K334" s="88"/>
      <c r="L334" s="90"/>
      <c r="M334" s="91"/>
      <c r="N334" s="49"/>
      <c r="O334" s="71"/>
      <c r="P334" s="92"/>
      <c r="Q334" s="71"/>
      <c r="R334" s="92"/>
      <c r="S334" s="71"/>
      <c r="T334" s="71"/>
      <c r="U334" s="68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29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  <c r="BC334" s="67"/>
      <c r="BD334" s="67"/>
      <c r="BE334" s="67"/>
      <c r="BF334" s="67"/>
      <c r="BG334" s="67"/>
      <c r="BH334" s="67"/>
      <c r="BI334" s="67"/>
      <c r="BJ334" s="67"/>
      <c r="BK334" s="67"/>
      <c r="BL334" s="67"/>
      <c r="BM334" s="67"/>
      <c r="BN334" s="67"/>
      <c r="BO334" s="67"/>
      <c r="BP334" s="67"/>
      <c r="BQ334" s="67"/>
      <c r="BR334" s="67"/>
      <c r="BS334" s="67"/>
      <c r="BT334" s="67"/>
      <c r="BU334" s="67"/>
      <c r="BV334" s="67"/>
      <c r="BW334" s="67"/>
      <c r="BX334" s="67"/>
      <c r="BY334" s="67"/>
      <c r="BZ334" s="67"/>
      <c r="CA334" s="67"/>
      <c r="CB334" s="67"/>
      <c r="CC334" s="67"/>
      <c r="CD334" s="67"/>
      <c r="CE334" s="67"/>
      <c r="CF334" s="67"/>
      <c r="CG334" s="67"/>
      <c r="CH334" s="67"/>
      <c r="CI334" s="67"/>
      <c r="CJ334" s="67"/>
      <c r="CK334" s="67"/>
      <c r="CL334" s="67"/>
      <c r="CM334" s="67"/>
      <c r="CN334" s="67"/>
      <c r="CO334" s="67"/>
      <c r="CP334" s="67"/>
      <c r="CQ334" s="67"/>
      <c r="CR334" s="67"/>
      <c r="CS334" s="67"/>
      <c r="CT334" s="67"/>
      <c r="CU334" s="67"/>
      <c r="CV334" s="67"/>
      <c r="CW334" s="67"/>
      <c r="CX334" s="67"/>
      <c r="CY334" s="67"/>
      <c r="CZ334" s="67"/>
      <c r="DA334" s="67"/>
      <c r="DB334" s="67"/>
      <c r="DC334" s="67"/>
      <c r="DD334" s="67"/>
      <c r="DE334" s="67"/>
      <c r="DF334" s="67"/>
    </row>
    <row r="335">
      <c r="A335" s="62"/>
      <c r="B335" s="88"/>
      <c r="C335" s="88"/>
      <c r="D335" s="88"/>
      <c r="E335" s="90"/>
      <c r="F335" s="91"/>
      <c r="G335" s="49"/>
      <c r="H335" s="70"/>
      <c r="I335" s="88"/>
      <c r="J335" s="88"/>
      <c r="K335" s="88"/>
      <c r="L335" s="90"/>
      <c r="M335" s="91"/>
      <c r="N335" s="49"/>
      <c r="O335" s="71"/>
      <c r="P335" s="92"/>
      <c r="Q335" s="71"/>
      <c r="R335" s="92"/>
      <c r="S335" s="71"/>
      <c r="T335" s="71"/>
      <c r="U335" s="68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29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  <c r="BC335" s="67"/>
      <c r="BD335" s="67"/>
      <c r="BE335" s="67"/>
      <c r="BF335" s="67"/>
      <c r="BG335" s="67"/>
      <c r="BH335" s="67"/>
      <c r="BI335" s="67"/>
      <c r="BJ335" s="67"/>
      <c r="BK335" s="67"/>
      <c r="BL335" s="67"/>
      <c r="BM335" s="67"/>
      <c r="BN335" s="67"/>
      <c r="BO335" s="67"/>
      <c r="BP335" s="67"/>
      <c r="BQ335" s="67"/>
      <c r="BR335" s="67"/>
      <c r="BS335" s="67"/>
      <c r="BT335" s="67"/>
      <c r="BU335" s="67"/>
      <c r="BV335" s="67"/>
      <c r="BW335" s="67"/>
      <c r="BX335" s="67"/>
      <c r="BY335" s="67"/>
      <c r="BZ335" s="67"/>
      <c r="CA335" s="67"/>
      <c r="CB335" s="67"/>
      <c r="CC335" s="67"/>
      <c r="CD335" s="67"/>
      <c r="CE335" s="67"/>
      <c r="CF335" s="67"/>
      <c r="CG335" s="67"/>
      <c r="CH335" s="67"/>
      <c r="CI335" s="67"/>
      <c r="CJ335" s="67"/>
      <c r="CK335" s="67"/>
      <c r="CL335" s="67"/>
      <c r="CM335" s="67"/>
      <c r="CN335" s="67"/>
      <c r="CO335" s="67"/>
      <c r="CP335" s="67"/>
      <c r="CQ335" s="67"/>
      <c r="CR335" s="67"/>
      <c r="CS335" s="67"/>
      <c r="CT335" s="67"/>
      <c r="CU335" s="67"/>
      <c r="CV335" s="67"/>
      <c r="CW335" s="67"/>
      <c r="CX335" s="67"/>
      <c r="CY335" s="67"/>
      <c r="CZ335" s="67"/>
      <c r="DA335" s="67"/>
      <c r="DB335" s="67"/>
      <c r="DC335" s="67"/>
      <c r="DD335" s="67"/>
      <c r="DE335" s="67"/>
      <c r="DF335" s="67"/>
    </row>
    <row r="336">
      <c r="A336" s="62"/>
      <c r="B336" s="88"/>
      <c r="C336" s="88"/>
      <c r="D336" s="88"/>
      <c r="E336" s="90"/>
      <c r="F336" s="91"/>
      <c r="G336" s="49"/>
      <c r="H336" s="70"/>
      <c r="I336" s="88"/>
      <c r="J336" s="88"/>
      <c r="K336" s="88"/>
      <c r="L336" s="90"/>
      <c r="M336" s="91"/>
      <c r="N336" s="49"/>
      <c r="O336" s="71"/>
      <c r="P336" s="92"/>
      <c r="Q336" s="71"/>
      <c r="R336" s="92"/>
      <c r="S336" s="71"/>
      <c r="T336" s="71"/>
      <c r="U336" s="68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29"/>
      <c r="AN336" s="67"/>
      <c r="AO336" s="67"/>
      <c r="AP336" s="67"/>
      <c r="AQ336" s="67"/>
      <c r="AR336" s="67"/>
      <c r="AS336" s="67"/>
      <c r="AT336" s="67"/>
      <c r="AU336" s="67"/>
      <c r="AV336" s="67"/>
      <c r="AW336" s="67"/>
      <c r="AX336" s="67"/>
      <c r="AY336" s="67"/>
      <c r="AZ336" s="67"/>
      <c r="BA336" s="67"/>
      <c r="BB336" s="67"/>
      <c r="BC336" s="67"/>
      <c r="BD336" s="67"/>
      <c r="BE336" s="67"/>
      <c r="BF336" s="67"/>
      <c r="BG336" s="67"/>
      <c r="BH336" s="67"/>
      <c r="BI336" s="67"/>
      <c r="BJ336" s="67"/>
      <c r="BK336" s="67"/>
      <c r="BL336" s="67"/>
      <c r="BM336" s="67"/>
      <c r="BN336" s="67"/>
      <c r="BO336" s="67"/>
      <c r="BP336" s="67"/>
      <c r="BQ336" s="67"/>
      <c r="BR336" s="67"/>
      <c r="BS336" s="67"/>
      <c r="BT336" s="67"/>
      <c r="BU336" s="67"/>
      <c r="BV336" s="67"/>
      <c r="BW336" s="67"/>
      <c r="BX336" s="67"/>
      <c r="BY336" s="67"/>
      <c r="BZ336" s="67"/>
      <c r="CA336" s="67"/>
      <c r="CB336" s="67"/>
      <c r="CC336" s="67"/>
      <c r="CD336" s="67"/>
      <c r="CE336" s="67"/>
      <c r="CF336" s="67"/>
      <c r="CG336" s="67"/>
      <c r="CH336" s="67"/>
      <c r="CI336" s="67"/>
      <c r="CJ336" s="67"/>
      <c r="CK336" s="67"/>
      <c r="CL336" s="67"/>
      <c r="CM336" s="67"/>
      <c r="CN336" s="67"/>
      <c r="CO336" s="67"/>
      <c r="CP336" s="67"/>
      <c r="CQ336" s="67"/>
      <c r="CR336" s="67"/>
      <c r="CS336" s="67"/>
      <c r="CT336" s="67"/>
      <c r="CU336" s="67"/>
      <c r="CV336" s="67"/>
      <c r="CW336" s="67"/>
      <c r="CX336" s="67"/>
      <c r="CY336" s="67"/>
      <c r="CZ336" s="67"/>
      <c r="DA336" s="67"/>
      <c r="DB336" s="67"/>
      <c r="DC336" s="67"/>
      <c r="DD336" s="67"/>
      <c r="DE336" s="67"/>
      <c r="DF336" s="67"/>
    </row>
    <row r="337">
      <c r="A337" s="62"/>
      <c r="B337" s="88"/>
      <c r="C337" s="88"/>
      <c r="D337" s="88"/>
      <c r="E337" s="90"/>
      <c r="F337" s="91"/>
      <c r="G337" s="49"/>
      <c r="H337" s="70"/>
      <c r="I337" s="88"/>
      <c r="J337" s="88"/>
      <c r="K337" s="88"/>
      <c r="L337" s="90"/>
      <c r="M337" s="91"/>
      <c r="N337" s="49"/>
      <c r="O337" s="71"/>
      <c r="P337" s="92"/>
      <c r="Q337" s="71"/>
      <c r="R337" s="92"/>
      <c r="S337" s="71"/>
      <c r="T337" s="71"/>
      <c r="U337" s="68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29"/>
      <c r="AN337" s="67"/>
      <c r="AO337" s="67"/>
      <c r="AP337" s="67"/>
      <c r="AQ337" s="67"/>
      <c r="AR337" s="67"/>
      <c r="AS337" s="67"/>
      <c r="AT337" s="67"/>
      <c r="AU337" s="67"/>
      <c r="AV337" s="67"/>
      <c r="AW337" s="67"/>
      <c r="AX337" s="67"/>
      <c r="AY337" s="67"/>
      <c r="AZ337" s="67"/>
      <c r="BA337" s="67"/>
      <c r="BB337" s="67"/>
      <c r="BC337" s="67"/>
      <c r="BD337" s="67"/>
      <c r="BE337" s="67"/>
      <c r="BF337" s="67"/>
      <c r="BG337" s="67"/>
      <c r="BH337" s="67"/>
      <c r="BI337" s="67"/>
      <c r="BJ337" s="67"/>
      <c r="BK337" s="67"/>
      <c r="BL337" s="67"/>
      <c r="BM337" s="67"/>
      <c r="BN337" s="67"/>
      <c r="BO337" s="67"/>
      <c r="BP337" s="67"/>
      <c r="BQ337" s="67"/>
      <c r="BR337" s="67"/>
      <c r="BS337" s="67"/>
      <c r="BT337" s="67"/>
      <c r="BU337" s="67"/>
      <c r="BV337" s="67"/>
      <c r="BW337" s="67"/>
      <c r="BX337" s="67"/>
      <c r="BY337" s="67"/>
      <c r="BZ337" s="67"/>
      <c r="CA337" s="67"/>
      <c r="CB337" s="67"/>
      <c r="CC337" s="67"/>
      <c r="CD337" s="67"/>
      <c r="CE337" s="67"/>
      <c r="CF337" s="67"/>
      <c r="CG337" s="67"/>
      <c r="CH337" s="67"/>
      <c r="CI337" s="67"/>
      <c r="CJ337" s="67"/>
      <c r="CK337" s="67"/>
      <c r="CL337" s="67"/>
      <c r="CM337" s="67"/>
      <c r="CN337" s="67"/>
      <c r="CO337" s="67"/>
      <c r="CP337" s="67"/>
      <c r="CQ337" s="67"/>
      <c r="CR337" s="67"/>
      <c r="CS337" s="67"/>
      <c r="CT337" s="67"/>
      <c r="CU337" s="67"/>
      <c r="CV337" s="67"/>
      <c r="CW337" s="67"/>
      <c r="CX337" s="67"/>
      <c r="CY337" s="67"/>
      <c r="CZ337" s="67"/>
      <c r="DA337" s="67"/>
      <c r="DB337" s="67"/>
      <c r="DC337" s="67"/>
      <c r="DD337" s="67"/>
      <c r="DE337" s="67"/>
      <c r="DF337" s="67"/>
    </row>
    <row r="338">
      <c r="A338" s="62"/>
      <c r="B338" s="88"/>
      <c r="C338" s="88"/>
      <c r="D338" s="88"/>
      <c r="E338" s="90"/>
      <c r="F338" s="91"/>
      <c r="G338" s="49"/>
      <c r="H338" s="70"/>
      <c r="I338" s="88"/>
      <c r="J338" s="88"/>
      <c r="K338" s="88"/>
      <c r="L338" s="90"/>
      <c r="M338" s="91"/>
      <c r="N338" s="49"/>
      <c r="O338" s="71"/>
      <c r="P338" s="92"/>
      <c r="Q338" s="71"/>
      <c r="R338" s="92"/>
      <c r="S338" s="71"/>
      <c r="T338" s="71"/>
      <c r="U338" s="68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29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  <c r="BM338" s="67"/>
      <c r="BN338" s="67"/>
      <c r="BO338" s="67"/>
      <c r="BP338" s="67"/>
      <c r="BQ338" s="67"/>
      <c r="BR338" s="67"/>
      <c r="BS338" s="67"/>
      <c r="BT338" s="67"/>
      <c r="BU338" s="67"/>
      <c r="BV338" s="67"/>
      <c r="BW338" s="67"/>
      <c r="BX338" s="67"/>
      <c r="BY338" s="67"/>
      <c r="BZ338" s="67"/>
      <c r="CA338" s="67"/>
      <c r="CB338" s="67"/>
      <c r="CC338" s="67"/>
      <c r="CD338" s="67"/>
      <c r="CE338" s="67"/>
      <c r="CF338" s="67"/>
      <c r="CG338" s="67"/>
      <c r="CH338" s="67"/>
      <c r="CI338" s="67"/>
      <c r="CJ338" s="67"/>
      <c r="CK338" s="67"/>
      <c r="CL338" s="67"/>
      <c r="CM338" s="67"/>
      <c r="CN338" s="67"/>
      <c r="CO338" s="67"/>
      <c r="CP338" s="67"/>
      <c r="CQ338" s="67"/>
      <c r="CR338" s="67"/>
      <c r="CS338" s="67"/>
      <c r="CT338" s="67"/>
      <c r="CU338" s="67"/>
      <c r="CV338" s="67"/>
      <c r="CW338" s="67"/>
      <c r="CX338" s="67"/>
      <c r="CY338" s="67"/>
      <c r="CZ338" s="67"/>
      <c r="DA338" s="67"/>
      <c r="DB338" s="67"/>
      <c r="DC338" s="67"/>
      <c r="DD338" s="67"/>
      <c r="DE338" s="67"/>
      <c r="DF338" s="67"/>
    </row>
    <row r="339">
      <c r="A339" s="62"/>
      <c r="B339" s="88"/>
      <c r="C339" s="88"/>
      <c r="D339" s="88"/>
      <c r="E339" s="90"/>
      <c r="F339" s="91"/>
      <c r="G339" s="49"/>
      <c r="H339" s="70"/>
      <c r="I339" s="88"/>
      <c r="J339" s="88"/>
      <c r="K339" s="88"/>
      <c r="L339" s="90"/>
      <c r="M339" s="91"/>
      <c r="N339" s="49"/>
      <c r="O339" s="71"/>
      <c r="P339" s="92"/>
      <c r="Q339" s="71"/>
      <c r="R339" s="92"/>
      <c r="S339" s="71"/>
      <c r="T339" s="71"/>
      <c r="U339" s="68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29"/>
      <c r="AN339" s="67"/>
      <c r="AO339" s="67"/>
      <c r="AP339" s="67"/>
      <c r="AQ339" s="67"/>
      <c r="AR339" s="67"/>
      <c r="AS339" s="67"/>
      <c r="AT339" s="67"/>
      <c r="AU339" s="67"/>
      <c r="AV339" s="67"/>
      <c r="AW339" s="67"/>
      <c r="AX339" s="67"/>
      <c r="AY339" s="67"/>
      <c r="AZ339" s="67"/>
      <c r="BA339" s="67"/>
      <c r="BB339" s="67"/>
      <c r="BC339" s="67"/>
      <c r="BD339" s="67"/>
      <c r="BE339" s="67"/>
      <c r="BF339" s="67"/>
      <c r="BG339" s="67"/>
      <c r="BH339" s="67"/>
      <c r="BI339" s="67"/>
      <c r="BJ339" s="67"/>
      <c r="BK339" s="67"/>
      <c r="BL339" s="67"/>
      <c r="BM339" s="67"/>
      <c r="BN339" s="67"/>
      <c r="BO339" s="67"/>
      <c r="BP339" s="67"/>
      <c r="BQ339" s="67"/>
      <c r="BR339" s="67"/>
      <c r="BS339" s="67"/>
      <c r="BT339" s="67"/>
      <c r="BU339" s="67"/>
      <c r="BV339" s="67"/>
      <c r="BW339" s="67"/>
      <c r="BX339" s="67"/>
      <c r="BY339" s="67"/>
      <c r="BZ339" s="67"/>
      <c r="CA339" s="67"/>
      <c r="CB339" s="67"/>
      <c r="CC339" s="67"/>
      <c r="CD339" s="67"/>
      <c r="CE339" s="67"/>
      <c r="CF339" s="67"/>
      <c r="CG339" s="67"/>
      <c r="CH339" s="67"/>
      <c r="CI339" s="67"/>
      <c r="CJ339" s="67"/>
      <c r="CK339" s="67"/>
      <c r="CL339" s="67"/>
      <c r="CM339" s="67"/>
      <c r="CN339" s="67"/>
      <c r="CO339" s="67"/>
      <c r="CP339" s="67"/>
      <c r="CQ339" s="67"/>
      <c r="CR339" s="67"/>
      <c r="CS339" s="67"/>
      <c r="CT339" s="67"/>
      <c r="CU339" s="67"/>
      <c r="CV339" s="67"/>
      <c r="CW339" s="67"/>
      <c r="CX339" s="67"/>
      <c r="CY339" s="67"/>
      <c r="CZ339" s="67"/>
      <c r="DA339" s="67"/>
      <c r="DB339" s="67"/>
      <c r="DC339" s="67"/>
      <c r="DD339" s="67"/>
      <c r="DE339" s="67"/>
      <c r="DF339" s="67"/>
    </row>
    <row r="340">
      <c r="A340" s="62"/>
      <c r="B340" s="88"/>
      <c r="C340" s="88"/>
      <c r="D340" s="88"/>
      <c r="E340" s="90"/>
      <c r="F340" s="91"/>
      <c r="G340" s="49"/>
      <c r="H340" s="70"/>
      <c r="I340" s="88"/>
      <c r="J340" s="88"/>
      <c r="K340" s="88"/>
      <c r="L340" s="90"/>
      <c r="M340" s="91"/>
      <c r="N340" s="49"/>
      <c r="O340" s="71"/>
      <c r="P340" s="92"/>
      <c r="Q340" s="71"/>
      <c r="R340" s="92"/>
      <c r="S340" s="71"/>
      <c r="T340" s="71"/>
      <c r="U340" s="68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29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  <c r="BC340" s="67"/>
      <c r="BD340" s="67"/>
      <c r="BE340" s="67"/>
      <c r="BF340" s="67"/>
      <c r="BG340" s="67"/>
      <c r="BH340" s="67"/>
      <c r="BI340" s="67"/>
      <c r="BJ340" s="67"/>
      <c r="BK340" s="67"/>
      <c r="BL340" s="67"/>
      <c r="BM340" s="67"/>
      <c r="BN340" s="67"/>
      <c r="BO340" s="67"/>
      <c r="BP340" s="67"/>
      <c r="BQ340" s="67"/>
      <c r="BR340" s="67"/>
      <c r="BS340" s="67"/>
      <c r="BT340" s="67"/>
      <c r="BU340" s="67"/>
      <c r="BV340" s="67"/>
      <c r="BW340" s="67"/>
      <c r="BX340" s="67"/>
      <c r="BY340" s="67"/>
      <c r="BZ340" s="67"/>
      <c r="CA340" s="67"/>
      <c r="CB340" s="67"/>
      <c r="CC340" s="67"/>
      <c r="CD340" s="67"/>
      <c r="CE340" s="67"/>
      <c r="CF340" s="67"/>
      <c r="CG340" s="67"/>
      <c r="CH340" s="67"/>
      <c r="CI340" s="67"/>
      <c r="CJ340" s="67"/>
      <c r="CK340" s="67"/>
      <c r="CL340" s="67"/>
      <c r="CM340" s="67"/>
      <c r="CN340" s="67"/>
      <c r="CO340" s="67"/>
      <c r="CP340" s="67"/>
      <c r="CQ340" s="67"/>
      <c r="CR340" s="67"/>
      <c r="CS340" s="67"/>
      <c r="CT340" s="67"/>
      <c r="CU340" s="67"/>
      <c r="CV340" s="67"/>
      <c r="CW340" s="67"/>
      <c r="CX340" s="67"/>
      <c r="CY340" s="67"/>
      <c r="CZ340" s="67"/>
      <c r="DA340" s="67"/>
      <c r="DB340" s="67"/>
      <c r="DC340" s="67"/>
      <c r="DD340" s="67"/>
      <c r="DE340" s="67"/>
      <c r="DF340" s="67"/>
    </row>
    <row r="341">
      <c r="A341" s="62"/>
      <c r="B341" s="88"/>
      <c r="C341" s="88"/>
      <c r="D341" s="88"/>
      <c r="E341" s="90"/>
      <c r="F341" s="91"/>
      <c r="G341" s="49"/>
      <c r="H341" s="70"/>
      <c r="I341" s="88"/>
      <c r="J341" s="88"/>
      <c r="K341" s="88"/>
      <c r="L341" s="90"/>
      <c r="M341" s="91"/>
      <c r="N341" s="49"/>
      <c r="O341" s="71"/>
      <c r="P341" s="92"/>
      <c r="Q341" s="71"/>
      <c r="R341" s="92"/>
      <c r="S341" s="71"/>
      <c r="T341" s="71"/>
      <c r="U341" s="68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29"/>
      <c r="AN341" s="67"/>
      <c r="AO341" s="67"/>
      <c r="AP341" s="67"/>
      <c r="AQ341" s="67"/>
      <c r="AR341" s="67"/>
      <c r="AS341" s="67"/>
      <c r="AT341" s="67"/>
      <c r="AU341" s="67"/>
      <c r="AV341" s="67"/>
      <c r="AW341" s="67"/>
      <c r="AX341" s="67"/>
      <c r="AY341" s="67"/>
      <c r="AZ341" s="67"/>
      <c r="BA341" s="67"/>
      <c r="BB341" s="67"/>
      <c r="BC341" s="67"/>
      <c r="BD341" s="67"/>
      <c r="BE341" s="67"/>
      <c r="BF341" s="67"/>
      <c r="BG341" s="67"/>
      <c r="BH341" s="67"/>
      <c r="BI341" s="67"/>
      <c r="BJ341" s="67"/>
      <c r="BK341" s="67"/>
      <c r="BL341" s="67"/>
      <c r="BM341" s="67"/>
      <c r="BN341" s="67"/>
      <c r="BO341" s="67"/>
      <c r="BP341" s="67"/>
      <c r="BQ341" s="67"/>
      <c r="BR341" s="67"/>
      <c r="BS341" s="67"/>
      <c r="BT341" s="67"/>
      <c r="BU341" s="67"/>
      <c r="BV341" s="67"/>
      <c r="BW341" s="67"/>
      <c r="BX341" s="67"/>
      <c r="BY341" s="67"/>
      <c r="BZ341" s="67"/>
      <c r="CA341" s="67"/>
      <c r="CB341" s="67"/>
      <c r="CC341" s="67"/>
      <c r="CD341" s="67"/>
      <c r="CE341" s="67"/>
      <c r="CF341" s="67"/>
      <c r="CG341" s="67"/>
      <c r="CH341" s="67"/>
      <c r="CI341" s="67"/>
      <c r="CJ341" s="67"/>
      <c r="CK341" s="67"/>
      <c r="CL341" s="67"/>
      <c r="CM341" s="67"/>
      <c r="CN341" s="67"/>
      <c r="CO341" s="67"/>
      <c r="CP341" s="67"/>
      <c r="CQ341" s="67"/>
      <c r="CR341" s="67"/>
      <c r="CS341" s="67"/>
      <c r="CT341" s="67"/>
      <c r="CU341" s="67"/>
      <c r="CV341" s="67"/>
      <c r="CW341" s="67"/>
      <c r="CX341" s="67"/>
      <c r="CY341" s="67"/>
      <c r="CZ341" s="67"/>
      <c r="DA341" s="67"/>
      <c r="DB341" s="67"/>
      <c r="DC341" s="67"/>
      <c r="DD341" s="67"/>
      <c r="DE341" s="67"/>
      <c r="DF341" s="67"/>
    </row>
    <row r="342">
      <c r="A342" s="61"/>
      <c r="B342" s="98"/>
      <c r="C342" s="88"/>
      <c r="D342" s="88"/>
      <c r="E342" s="90"/>
      <c r="F342" s="91"/>
      <c r="G342" s="49"/>
      <c r="H342" s="70"/>
      <c r="I342" s="98"/>
      <c r="J342" s="88"/>
      <c r="K342" s="88"/>
      <c r="L342" s="90"/>
      <c r="M342" s="91"/>
      <c r="N342" s="49"/>
      <c r="O342" s="71"/>
      <c r="P342" s="92"/>
      <c r="Q342" s="71"/>
      <c r="R342" s="92"/>
      <c r="S342" s="71"/>
      <c r="T342" s="71"/>
      <c r="U342" s="68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29"/>
      <c r="AN342" s="67"/>
      <c r="AO342" s="67"/>
      <c r="AP342" s="67"/>
      <c r="AQ342" s="67"/>
      <c r="AR342" s="67"/>
      <c r="AS342" s="67"/>
      <c r="AT342" s="67"/>
      <c r="AU342" s="67"/>
      <c r="AV342" s="67"/>
      <c r="AW342" s="67"/>
      <c r="AX342" s="67"/>
      <c r="AY342" s="67"/>
      <c r="AZ342" s="67"/>
      <c r="BA342" s="67"/>
      <c r="BB342" s="67"/>
      <c r="BC342" s="67"/>
      <c r="BD342" s="67"/>
      <c r="BE342" s="67"/>
      <c r="BF342" s="67"/>
      <c r="BG342" s="67"/>
      <c r="BH342" s="67"/>
      <c r="BI342" s="67"/>
      <c r="BJ342" s="67"/>
      <c r="BK342" s="67"/>
      <c r="BL342" s="67"/>
      <c r="BM342" s="67"/>
      <c r="BN342" s="67"/>
      <c r="BO342" s="67"/>
      <c r="BP342" s="67"/>
      <c r="BQ342" s="67"/>
      <c r="BR342" s="67"/>
      <c r="BS342" s="67"/>
      <c r="BT342" s="67"/>
      <c r="BU342" s="67"/>
      <c r="BV342" s="67"/>
      <c r="BW342" s="67"/>
      <c r="BX342" s="67"/>
      <c r="BY342" s="67"/>
      <c r="BZ342" s="67"/>
      <c r="CA342" s="67"/>
      <c r="CB342" s="67"/>
      <c r="CC342" s="67"/>
      <c r="CD342" s="67"/>
      <c r="CE342" s="67"/>
      <c r="CF342" s="67"/>
      <c r="CG342" s="67"/>
      <c r="CH342" s="67"/>
      <c r="CI342" s="67"/>
      <c r="CJ342" s="67"/>
      <c r="CK342" s="67"/>
      <c r="CL342" s="67"/>
      <c r="CM342" s="67"/>
      <c r="CN342" s="67"/>
      <c r="CO342" s="67"/>
      <c r="CP342" s="67"/>
      <c r="CQ342" s="67"/>
      <c r="CR342" s="67"/>
      <c r="CS342" s="67"/>
      <c r="CT342" s="67"/>
      <c r="CU342" s="67"/>
      <c r="CV342" s="67"/>
      <c r="CW342" s="67"/>
      <c r="CX342" s="67"/>
      <c r="CY342" s="67"/>
      <c r="CZ342" s="67"/>
      <c r="DA342" s="67"/>
      <c r="DB342" s="67"/>
      <c r="DC342" s="67"/>
      <c r="DD342" s="67"/>
      <c r="DE342" s="67"/>
      <c r="DF342" s="67"/>
    </row>
    <row r="343">
      <c r="A343" s="62"/>
      <c r="B343" s="88"/>
      <c r="C343" s="88"/>
      <c r="D343" s="88"/>
      <c r="E343" s="90"/>
      <c r="F343" s="91"/>
      <c r="G343" s="49"/>
      <c r="H343" s="70"/>
      <c r="I343" s="88"/>
      <c r="J343" s="88"/>
      <c r="K343" s="88"/>
      <c r="L343" s="90"/>
      <c r="M343" s="91"/>
      <c r="N343" s="49"/>
      <c r="O343" s="71"/>
      <c r="P343" s="92"/>
      <c r="Q343" s="71"/>
      <c r="R343" s="92"/>
      <c r="S343" s="71"/>
      <c r="T343" s="71"/>
      <c r="U343" s="68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29"/>
      <c r="AN343" s="67"/>
      <c r="AO343" s="67"/>
      <c r="AP343" s="67"/>
      <c r="AQ343" s="67"/>
      <c r="AR343" s="67"/>
      <c r="AS343" s="67"/>
      <c r="AT343" s="67"/>
      <c r="AU343" s="67"/>
      <c r="AV343" s="67"/>
      <c r="AW343" s="67"/>
      <c r="AX343" s="67"/>
      <c r="AY343" s="67"/>
      <c r="AZ343" s="67"/>
      <c r="BA343" s="67"/>
      <c r="BB343" s="67"/>
      <c r="BC343" s="67"/>
      <c r="BD343" s="67"/>
      <c r="BE343" s="67"/>
      <c r="BF343" s="67"/>
      <c r="BG343" s="67"/>
      <c r="BH343" s="67"/>
      <c r="BI343" s="67"/>
      <c r="BJ343" s="67"/>
      <c r="BK343" s="67"/>
      <c r="BL343" s="67"/>
      <c r="BM343" s="67"/>
      <c r="BN343" s="67"/>
      <c r="BO343" s="67"/>
      <c r="BP343" s="67"/>
      <c r="BQ343" s="67"/>
      <c r="BR343" s="67"/>
      <c r="BS343" s="67"/>
      <c r="BT343" s="67"/>
      <c r="BU343" s="67"/>
      <c r="BV343" s="67"/>
      <c r="BW343" s="67"/>
      <c r="BX343" s="67"/>
      <c r="BY343" s="67"/>
      <c r="BZ343" s="67"/>
      <c r="CA343" s="67"/>
      <c r="CB343" s="67"/>
      <c r="CC343" s="67"/>
      <c r="CD343" s="67"/>
      <c r="CE343" s="67"/>
      <c r="CF343" s="67"/>
      <c r="CG343" s="67"/>
      <c r="CH343" s="67"/>
      <c r="CI343" s="67"/>
      <c r="CJ343" s="67"/>
      <c r="CK343" s="67"/>
      <c r="CL343" s="67"/>
      <c r="CM343" s="67"/>
      <c r="CN343" s="67"/>
      <c r="CO343" s="67"/>
      <c r="CP343" s="67"/>
      <c r="CQ343" s="67"/>
      <c r="CR343" s="67"/>
      <c r="CS343" s="67"/>
      <c r="CT343" s="67"/>
      <c r="CU343" s="67"/>
      <c r="CV343" s="67"/>
      <c r="CW343" s="67"/>
      <c r="CX343" s="67"/>
      <c r="CY343" s="67"/>
      <c r="CZ343" s="67"/>
      <c r="DA343" s="67"/>
      <c r="DB343" s="67"/>
      <c r="DC343" s="67"/>
      <c r="DD343" s="67"/>
      <c r="DE343" s="67"/>
      <c r="DF343" s="67"/>
    </row>
    <row r="344">
      <c r="A344" s="62"/>
      <c r="B344" s="88"/>
      <c r="C344" s="88"/>
      <c r="D344" s="88"/>
      <c r="E344" s="90"/>
      <c r="F344" s="91"/>
      <c r="G344" s="49"/>
      <c r="H344" s="70"/>
      <c r="I344" s="88"/>
      <c r="J344" s="88"/>
      <c r="K344" s="88"/>
      <c r="L344" s="90"/>
      <c r="M344" s="91"/>
      <c r="N344" s="49"/>
      <c r="O344" s="71"/>
      <c r="P344" s="92"/>
      <c r="Q344" s="71"/>
      <c r="R344" s="92"/>
      <c r="S344" s="71"/>
      <c r="T344" s="71"/>
      <c r="U344" s="68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29"/>
      <c r="AN344" s="67"/>
      <c r="AO344" s="67"/>
      <c r="AP344" s="67"/>
      <c r="AQ344" s="67"/>
      <c r="AR344" s="67"/>
      <c r="AS344" s="67"/>
      <c r="AT344" s="67"/>
      <c r="AU344" s="67"/>
      <c r="AV344" s="67"/>
      <c r="AW344" s="67"/>
      <c r="AX344" s="67"/>
      <c r="AY344" s="67"/>
      <c r="AZ344" s="67"/>
      <c r="BA344" s="67"/>
      <c r="BB344" s="67"/>
      <c r="BC344" s="67"/>
      <c r="BD344" s="67"/>
      <c r="BE344" s="67"/>
      <c r="BF344" s="67"/>
      <c r="BG344" s="67"/>
      <c r="BH344" s="67"/>
      <c r="BI344" s="67"/>
      <c r="BJ344" s="67"/>
      <c r="BK344" s="67"/>
      <c r="BL344" s="67"/>
      <c r="BM344" s="67"/>
      <c r="BN344" s="67"/>
      <c r="BO344" s="67"/>
      <c r="BP344" s="67"/>
      <c r="BQ344" s="67"/>
      <c r="BR344" s="67"/>
      <c r="BS344" s="67"/>
      <c r="BT344" s="67"/>
      <c r="BU344" s="67"/>
      <c r="BV344" s="67"/>
      <c r="BW344" s="67"/>
      <c r="BX344" s="67"/>
      <c r="BY344" s="67"/>
      <c r="BZ344" s="67"/>
      <c r="CA344" s="67"/>
      <c r="CB344" s="67"/>
      <c r="CC344" s="67"/>
      <c r="CD344" s="67"/>
      <c r="CE344" s="67"/>
      <c r="CF344" s="67"/>
      <c r="CG344" s="67"/>
      <c r="CH344" s="67"/>
      <c r="CI344" s="67"/>
      <c r="CJ344" s="67"/>
      <c r="CK344" s="67"/>
      <c r="CL344" s="67"/>
      <c r="CM344" s="67"/>
      <c r="CN344" s="67"/>
      <c r="CO344" s="67"/>
      <c r="CP344" s="67"/>
      <c r="CQ344" s="67"/>
      <c r="CR344" s="67"/>
      <c r="CS344" s="67"/>
      <c r="CT344" s="67"/>
      <c r="CU344" s="67"/>
      <c r="CV344" s="67"/>
      <c r="CW344" s="67"/>
      <c r="CX344" s="67"/>
      <c r="CY344" s="67"/>
      <c r="CZ344" s="67"/>
      <c r="DA344" s="67"/>
      <c r="DB344" s="67"/>
      <c r="DC344" s="67"/>
      <c r="DD344" s="67"/>
      <c r="DE344" s="67"/>
      <c r="DF344" s="67"/>
    </row>
    <row r="345">
      <c r="A345" s="62"/>
      <c r="B345" s="88"/>
      <c r="C345" s="88"/>
      <c r="D345" s="88"/>
      <c r="E345" s="90"/>
      <c r="F345" s="91"/>
      <c r="G345" s="49"/>
      <c r="H345" s="70"/>
      <c r="I345" s="88"/>
      <c r="J345" s="88"/>
      <c r="K345" s="88"/>
      <c r="L345" s="90"/>
      <c r="M345" s="91"/>
      <c r="N345" s="49"/>
      <c r="O345" s="71"/>
      <c r="P345" s="92"/>
      <c r="Q345" s="71"/>
      <c r="R345" s="92"/>
      <c r="S345" s="71"/>
      <c r="T345" s="71"/>
      <c r="U345" s="68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29"/>
      <c r="AN345" s="67"/>
      <c r="AO345" s="67"/>
      <c r="AP345" s="67"/>
      <c r="AQ345" s="67"/>
      <c r="AR345" s="67"/>
      <c r="AS345" s="67"/>
      <c r="AT345" s="67"/>
      <c r="AU345" s="67"/>
      <c r="AV345" s="67"/>
      <c r="AW345" s="67"/>
      <c r="AX345" s="67"/>
      <c r="AY345" s="67"/>
      <c r="AZ345" s="67"/>
      <c r="BA345" s="67"/>
      <c r="BB345" s="67"/>
      <c r="BC345" s="67"/>
      <c r="BD345" s="67"/>
      <c r="BE345" s="67"/>
      <c r="BF345" s="67"/>
      <c r="BG345" s="67"/>
      <c r="BH345" s="67"/>
      <c r="BI345" s="67"/>
      <c r="BJ345" s="67"/>
      <c r="BK345" s="67"/>
      <c r="BL345" s="67"/>
      <c r="BM345" s="67"/>
      <c r="BN345" s="67"/>
      <c r="BO345" s="67"/>
      <c r="BP345" s="67"/>
      <c r="BQ345" s="67"/>
      <c r="BR345" s="67"/>
      <c r="BS345" s="67"/>
      <c r="BT345" s="67"/>
      <c r="BU345" s="67"/>
      <c r="BV345" s="67"/>
      <c r="BW345" s="67"/>
      <c r="BX345" s="67"/>
      <c r="BY345" s="67"/>
      <c r="BZ345" s="67"/>
      <c r="CA345" s="67"/>
      <c r="CB345" s="67"/>
      <c r="CC345" s="67"/>
      <c r="CD345" s="67"/>
      <c r="CE345" s="67"/>
      <c r="CF345" s="67"/>
      <c r="CG345" s="67"/>
      <c r="CH345" s="67"/>
      <c r="CI345" s="67"/>
      <c r="CJ345" s="67"/>
      <c r="CK345" s="67"/>
      <c r="CL345" s="67"/>
      <c r="CM345" s="67"/>
      <c r="CN345" s="67"/>
      <c r="CO345" s="67"/>
      <c r="CP345" s="67"/>
      <c r="CQ345" s="67"/>
      <c r="CR345" s="67"/>
      <c r="CS345" s="67"/>
      <c r="CT345" s="67"/>
      <c r="CU345" s="67"/>
      <c r="CV345" s="67"/>
      <c r="CW345" s="67"/>
      <c r="CX345" s="67"/>
      <c r="CY345" s="67"/>
      <c r="CZ345" s="67"/>
      <c r="DA345" s="67"/>
      <c r="DB345" s="67"/>
      <c r="DC345" s="67"/>
      <c r="DD345" s="67"/>
      <c r="DE345" s="67"/>
      <c r="DF345" s="67"/>
    </row>
    <row r="346">
      <c r="A346" s="62"/>
      <c r="B346" s="88"/>
      <c r="C346" s="88"/>
      <c r="D346" s="88"/>
      <c r="E346" s="90"/>
      <c r="F346" s="91"/>
      <c r="G346" s="49"/>
      <c r="H346" s="70"/>
      <c r="I346" s="88"/>
      <c r="J346" s="88"/>
      <c r="K346" s="88"/>
      <c r="L346" s="90"/>
      <c r="M346" s="91"/>
      <c r="N346" s="49"/>
      <c r="O346" s="71"/>
      <c r="P346" s="92"/>
      <c r="Q346" s="71"/>
      <c r="R346" s="92"/>
      <c r="S346" s="71"/>
      <c r="T346" s="71"/>
      <c r="U346" s="68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29"/>
      <c r="AN346" s="67"/>
      <c r="AO346" s="67"/>
      <c r="AP346" s="67"/>
      <c r="AQ346" s="67"/>
      <c r="AR346" s="67"/>
      <c r="AS346" s="67"/>
      <c r="AT346" s="67"/>
      <c r="AU346" s="67"/>
      <c r="AV346" s="67"/>
      <c r="AW346" s="67"/>
      <c r="AX346" s="67"/>
      <c r="AY346" s="67"/>
      <c r="AZ346" s="67"/>
      <c r="BA346" s="67"/>
      <c r="BB346" s="67"/>
      <c r="BC346" s="67"/>
      <c r="BD346" s="67"/>
      <c r="BE346" s="67"/>
      <c r="BF346" s="67"/>
      <c r="BG346" s="67"/>
      <c r="BH346" s="67"/>
      <c r="BI346" s="67"/>
      <c r="BJ346" s="67"/>
      <c r="BK346" s="67"/>
      <c r="BL346" s="67"/>
      <c r="BM346" s="67"/>
      <c r="BN346" s="67"/>
      <c r="BO346" s="67"/>
      <c r="BP346" s="67"/>
      <c r="BQ346" s="67"/>
      <c r="BR346" s="67"/>
      <c r="BS346" s="67"/>
      <c r="BT346" s="67"/>
      <c r="BU346" s="67"/>
      <c r="BV346" s="67"/>
      <c r="BW346" s="67"/>
      <c r="BX346" s="67"/>
      <c r="BY346" s="67"/>
      <c r="BZ346" s="67"/>
      <c r="CA346" s="67"/>
      <c r="CB346" s="67"/>
      <c r="CC346" s="67"/>
      <c r="CD346" s="67"/>
      <c r="CE346" s="67"/>
      <c r="CF346" s="67"/>
      <c r="CG346" s="67"/>
      <c r="CH346" s="67"/>
      <c r="CI346" s="67"/>
      <c r="CJ346" s="67"/>
      <c r="CK346" s="67"/>
      <c r="CL346" s="67"/>
      <c r="CM346" s="67"/>
      <c r="CN346" s="67"/>
      <c r="CO346" s="67"/>
      <c r="CP346" s="67"/>
      <c r="CQ346" s="67"/>
      <c r="CR346" s="67"/>
      <c r="CS346" s="67"/>
      <c r="CT346" s="67"/>
      <c r="CU346" s="67"/>
      <c r="CV346" s="67"/>
      <c r="CW346" s="67"/>
      <c r="CX346" s="67"/>
      <c r="CY346" s="67"/>
      <c r="CZ346" s="67"/>
      <c r="DA346" s="67"/>
      <c r="DB346" s="67"/>
      <c r="DC346" s="67"/>
      <c r="DD346" s="67"/>
      <c r="DE346" s="67"/>
      <c r="DF346" s="67"/>
    </row>
    <row r="347">
      <c r="A347" s="62"/>
      <c r="B347" s="88"/>
      <c r="C347" s="88"/>
      <c r="D347" s="88"/>
      <c r="E347" s="90"/>
      <c r="F347" s="91"/>
      <c r="G347" s="49"/>
      <c r="H347" s="70"/>
      <c r="I347" s="88"/>
      <c r="J347" s="88"/>
      <c r="K347" s="88"/>
      <c r="L347" s="90"/>
      <c r="M347" s="91"/>
      <c r="N347" s="49"/>
      <c r="O347" s="71"/>
      <c r="P347" s="92"/>
      <c r="Q347" s="71"/>
      <c r="R347" s="92"/>
      <c r="S347" s="71"/>
      <c r="T347" s="71"/>
      <c r="U347" s="68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29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  <c r="BK347" s="67"/>
      <c r="BL347" s="67"/>
      <c r="BM347" s="67"/>
      <c r="BN347" s="67"/>
      <c r="BO347" s="67"/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7"/>
      <c r="CA347" s="67"/>
      <c r="CB347" s="67"/>
      <c r="CC347" s="67"/>
      <c r="CD347" s="67"/>
      <c r="CE347" s="67"/>
      <c r="CF347" s="67"/>
      <c r="CG347" s="67"/>
      <c r="CH347" s="67"/>
      <c r="CI347" s="67"/>
      <c r="CJ347" s="67"/>
      <c r="CK347" s="67"/>
      <c r="CL347" s="67"/>
      <c r="CM347" s="67"/>
      <c r="CN347" s="67"/>
      <c r="CO347" s="67"/>
      <c r="CP347" s="67"/>
      <c r="CQ347" s="67"/>
      <c r="CR347" s="67"/>
      <c r="CS347" s="67"/>
      <c r="CT347" s="67"/>
      <c r="CU347" s="67"/>
      <c r="CV347" s="67"/>
      <c r="CW347" s="67"/>
      <c r="CX347" s="67"/>
      <c r="CY347" s="67"/>
      <c r="CZ347" s="67"/>
      <c r="DA347" s="67"/>
      <c r="DB347" s="67"/>
      <c r="DC347" s="67"/>
      <c r="DD347" s="67"/>
      <c r="DE347" s="67"/>
      <c r="DF347" s="67"/>
    </row>
    <row r="348">
      <c r="A348" s="62"/>
      <c r="B348" s="88"/>
      <c r="C348" s="88"/>
      <c r="D348" s="88"/>
      <c r="E348" s="90"/>
      <c r="F348" s="91"/>
      <c r="G348" s="49"/>
      <c r="H348" s="70"/>
      <c r="I348" s="88"/>
      <c r="J348" s="88"/>
      <c r="K348" s="88"/>
      <c r="L348" s="90"/>
      <c r="M348" s="91"/>
      <c r="N348" s="49"/>
      <c r="O348" s="71"/>
      <c r="P348" s="92"/>
      <c r="Q348" s="71"/>
      <c r="R348" s="92"/>
      <c r="S348" s="71"/>
      <c r="T348" s="71"/>
      <c r="U348" s="68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29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  <c r="BM348" s="67"/>
      <c r="BN348" s="67"/>
      <c r="BO348" s="67"/>
      <c r="BP348" s="67"/>
      <c r="BQ348" s="67"/>
      <c r="BR348" s="67"/>
      <c r="BS348" s="67"/>
      <c r="BT348" s="67"/>
      <c r="BU348" s="67"/>
      <c r="BV348" s="67"/>
      <c r="BW348" s="67"/>
      <c r="BX348" s="67"/>
      <c r="BY348" s="67"/>
      <c r="BZ348" s="67"/>
      <c r="CA348" s="67"/>
      <c r="CB348" s="67"/>
      <c r="CC348" s="67"/>
      <c r="CD348" s="67"/>
      <c r="CE348" s="67"/>
      <c r="CF348" s="67"/>
      <c r="CG348" s="67"/>
      <c r="CH348" s="67"/>
      <c r="CI348" s="67"/>
      <c r="CJ348" s="67"/>
      <c r="CK348" s="67"/>
      <c r="CL348" s="67"/>
      <c r="CM348" s="67"/>
      <c r="CN348" s="67"/>
      <c r="CO348" s="67"/>
      <c r="CP348" s="67"/>
      <c r="CQ348" s="67"/>
      <c r="CR348" s="67"/>
      <c r="CS348" s="67"/>
      <c r="CT348" s="67"/>
      <c r="CU348" s="67"/>
      <c r="CV348" s="67"/>
      <c r="CW348" s="67"/>
      <c r="CX348" s="67"/>
      <c r="CY348" s="67"/>
      <c r="CZ348" s="67"/>
      <c r="DA348" s="67"/>
      <c r="DB348" s="67"/>
      <c r="DC348" s="67"/>
      <c r="DD348" s="67"/>
      <c r="DE348" s="67"/>
      <c r="DF348" s="67"/>
    </row>
    <row r="349">
      <c r="A349" s="62"/>
      <c r="B349" s="88"/>
      <c r="C349" s="88"/>
      <c r="D349" s="88"/>
      <c r="E349" s="90"/>
      <c r="F349" s="91"/>
      <c r="G349" s="49"/>
      <c r="H349" s="70"/>
      <c r="I349" s="88"/>
      <c r="J349" s="88"/>
      <c r="K349" s="88"/>
      <c r="L349" s="90"/>
      <c r="M349" s="91"/>
      <c r="N349" s="49"/>
      <c r="O349" s="71"/>
      <c r="P349" s="92"/>
      <c r="Q349" s="71"/>
      <c r="R349" s="92"/>
      <c r="S349" s="71"/>
      <c r="T349" s="71"/>
      <c r="U349" s="68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29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67"/>
      <c r="BJ349" s="67"/>
      <c r="BK349" s="67"/>
      <c r="BL349" s="67"/>
      <c r="BM349" s="67"/>
      <c r="BN349" s="67"/>
      <c r="BO349" s="67"/>
      <c r="BP349" s="67"/>
      <c r="BQ349" s="67"/>
      <c r="BR349" s="67"/>
      <c r="BS349" s="67"/>
      <c r="BT349" s="67"/>
      <c r="BU349" s="67"/>
      <c r="BV349" s="67"/>
      <c r="BW349" s="67"/>
      <c r="BX349" s="67"/>
      <c r="BY349" s="67"/>
      <c r="BZ349" s="67"/>
      <c r="CA349" s="67"/>
      <c r="CB349" s="67"/>
      <c r="CC349" s="67"/>
      <c r="CD349" s="67"/>
      <c r="CE349" s="67"/>
      <c r="CF349" s="67"/>
      <c r="CG349" s="67"/>
      <c r="CH349" s="67"/>
      <c r="CI349" s="67"/>
      <c r="CJ349" s="67"/>
      <c r="CK349" s="67"/>
      <c r="CL349" s="67"/>
      <c r="CM349" s="67"/>
      <c r="CN349" s="67"/>
      <c r="CO349" s="67"/>
      <c r="CP349" s="67"/>
      <c r="CQ349" s="67"/>
      <c r="CR349" s="67"/>
      <c r="CS349" s="67"/>
      <c r="CT349" s="67"/>
      <c r="CU349" s="67"/>
      <c r="CV349" s="67"/>
      <c r="CW349" s="67"/>
      <c r="CX349" s="67"/>
      <c r="CY349" s="67"/>
      <c r="CZ349" s="67"/>
      <c r="DA349" s="67"/>
      <c r="DB349" s="67"/>
      <c r="DC349" s="67"/>
      <c r="DD349" s="67"/>
      <c r="DE349" s="67"/>
      <c r="DF349" s="67"/>
    </row>
    <row r="350">
      <c r="A350" s="62"/>
      <c r="B350" s="88"/>
      <c r="C350" s="88"/>
      <c r="D350" s="88"/>
      <c r="E350" s="90"/>
      <c r="F350" s="91"/>
      <c r="G350" s="49"/>
      <c r="H350" s="70"/>
      <c r="I350" s="88"/>
      <c r="J350" s="88"/>
      <c r="K350" s="88"/>
      <c r="L350" s="90"/>
      <c r="M350" s="91"/>
      <c r="N350" s="49"/>
      <c r="O350" s="71"/>
      <c r="P350" s="92"/>
      <c r="Q350" s="71"/>
      <c r="R350" s="92"/>
      <c r="S350" s="71"/>
      <c r="T350" s="71"/>
      <c r="U350" s="68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29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  <c r="BM350" s="67"/>
      <c r="BN350" s="67"/>
      <c r="BO350" s="67"/>
      <c r="BP350" s="67"/>
      <c r="BQ350" s="67"/>
      <c r="BR350" s="67"/>
      <c r="BS350" s="67"/>
      <c r="BT350" s="67"/>
      <c r="BU350" s="67"/>
      <c r="BV350" s="67"/>
      <c r="BW350" s="67"/>
      <c r="BX350" s="67"/>
      <c r="BY350" s="67"/>
      <c r="BZ350" s="67"/>
      <c r="CA350" s="67"/>
      <c r="CB350" s="67"/>
      <c r="CC350" s="67"/>
      <c r="CD350" s="67"/>
      <c r="CE350" s="67"/>
      <c r="CF350" s="67"/>
      <c r="CG350" s="67"/>
      <c r="CH350" s="67"/>
      <c r="CI350" s="67"/>
      <c r="CJ350" s="67"/>
      <c r="CK350" s="67"/>
      <c r="CL350" s="67"/>
      <c r="CM350" s="67"/>
      <c r="CN350" s="67"/>
      <c r="CO350" s="67"/>
      <c r="CP350" s="67"/>
      <c r="CQ350" s="67"/>
      <c r="CR350" s="67"/>
      <c r="CS350" s="67"/>
      <c r="CT350" s="67"/>
      <c r="CU350" s="67"/>
      <c r="CV350" s="67"/>
      <c r="CW350" s="67"/>
      <c r="CX350" s="67"/>
      <c r="CY350" s="67"/>
      <c r="CZ350" s="67"/>
      <c r="DA350" s="67"/>
      <c r="DB350" s="67"/>
      <c r="DC350" s="67"/>
      <c r="DD350" s="67"/>
      <c r="DE350" s="67"/>
      <c r="DF350" s="67"/>
    </row>
    <row r="351">
      <c r="A351" s="62"/>
      <c r="B351" s="88"/>
      <c r="C351" s="88"/>
      <c r="D351" s="88"/>
      <c r="E351" s="90"/>
      <c r="F351" s="91"/>
      <c r="G351" s="49"/>
      <c r="H351" s="70"/>
      <c r="I351" s="88"/>
      <c r="J351" s="88"/>
      <c r="K351" s="88"/>
      <c r="L351" s="90"/>
      <c r="M351" s="91"/>
      <c r="N351" s="49"/>
      <c r="O351" s="71"/>
      <c r="P351" s="92"/>
      <c r="Q351" s="71"/>
      <c r="R351" s="92"/>
      <c r="S351" s="71"/>
      <c r="T351" s="71"/>
      <c r="U351" s="68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29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C351" s="67"/>
      <c r="BD351" s="67"/>
      <c r="BE351" s="67"/>
      <c r="BF351" s="67"/>
      <c r="BG351" s="67"/>
      <c r="BH351" s="67"/>
      <c r="BI351" s="67"/>
      <c r="BJ351" s="67"/>
      <c r="BK351" s="67"/>
      <c r="BL351" s="67"/>
      <c r="BM351" s="67"/>
      <c r="BN351" s="67"/>
      <c r="BO351" s="67"/>
      <c r="BP351" s="67"/>
      <c r="BQ351" s="67"/>
      <c r="BR351" s="67"/>
      <c r="BS351" s="67"/>
      <c r="BT351" s="67"/>
      <c r="BU351" s="67"/>
      <c r="BV351" s="67"/>
      <c r="BW351" s="67"/>
      <c r="BX351" s="67"/>
      <c r="BY351" s="67"/>
      <c r="BZ351" s="67"/>
      <c r="CA351" s="67"/>
      <c r="CB351" s="67"/>
      <c r="CC351" s="67"/>
      <c r="CD351" s="67"/>
      <c r="CE351" s="67"/>
      <c r="CF351" s="67"/>
      <c r="CG351" s="67"/>
      <c r="CH351" s="67"/>
      <c r="CI351" s="67"/>
      <c r="CJ351" s="67"/>
      <c r="CK351" s="67"/>
      <c r="CL351" s="67"/>
      <c r="CM351" s="67"/>
      <c r="CN351" s="67"/>
      <c r="CO351" s="67"/>
      <c r="CP351" s="67"/>
      <c r="CQ351" s="67"/>
      <c r="CR351" s="67"/>
      <c r="CS351" s="67"/>
      <c r="CT351" s="67"/>
      <c r="CU351" s="67"/>
      <c r="CV351" s="67"/>
      <c r="CW351" s="67"/>
      <c r="CX351" s="67"/>
      <c r="CY351" s="67"/>
      <c r="CZ351" s="67"/>
      <c r="DA351" s="67"/>
      <c r="DB351" s="67"/>
      <c r="DC351" s="67"/>
      <c r="DD351" s="67"/>
      <c r="DE351" s="67"/>
      <c r="DF351" s="67"/>
    </row>
    <row r="352">
      <c r="A352" s="62"/>
      <c r="B352" s="88"/>
      <c r="C352" s="88"/>
      <c r="D352" s="88"/>
      <c r="E352" s="90"/>
      <c r="F352" s="91"/>
      <c r="G352" s="49"/>
      <c r="H352" s="70"/>
      <c r="I352" s="88"/>
      <c r="J352" s="88"/>
      <c r="K352" s="88"/>
      <c r="L352" s="90"/>
      <c r="M352" s="91"/>
      <c r="N352" s="49"/>
      <c r="O352" s="71"/>
      <c r="P352" s="92"/>
      <c r="Q352" s="71"/>
      <c r="R352" s="92"/>
      <c r="S352" s="71"/>
      <c r="T352" s="71"/>
      <c r="U352" s="68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29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67"/>
      <c r="CD352" s="67"/>
      <c r="CE352" s="67"/>
      <c r="CF352" s="67"/>
      <c r="CG352" s="67"/>
      <c r="CH352" s="67"/>
      <c r="CI352" s="67"/>
      <c r="CJ352" s="67"/>
      <c r="CK352" s="67"/>
      <c r="CL352" s="67"/>
      <c r="CM352" s="67"/>
      <c r="CN352" s="67"/>
      <c r="CO352" s="67"/>
      <c r="CP352" s="67"/>
      <c r="CQ352" s="67"/>
      <c r="CR352" s="67"/>
      <c r="CS352" s="67"/>
      <c r="CT352" s="67"/>
      <c r="CU352" s="67"/>
      <c r="CV352" s="67"/>
      <c r="CW352" s="67"/>
      <c r="CX352" s="67"/>
      <c r="CY352" s="67"/>
      <c r="CZ352" s="67"/>
      <c r="DA352" s="67"/>
      <c r="DB352" s="67"/>
      <c r="DC352" s="67"/>
      <c r="DD352" s="67"/>
      <c r="DE352" s="67"/>
      <c r="DF352" s="67"/>
    </row>
    <row r="353">
      <c r="A353" s="62"/>
      <c r="B353" s="88"/>
      <c r="C353" s="88"/>
      <c r="D353" s="88"/>
      <c r="E353" s="90"/>
      <c r="F353" s="91"/>
      <c r="G353" s="49"/>
      <c r="H353" s="70"/>
      <c r="I353" s="88"/>
      <c r="J353" s="88"/>
      <c r="K353" s="88"/>
      <c r="L353" s="90"/>
      <c r="M353" s="91"/>
      <c r="N353" s="49"/>
      <c r="O353" s="71"/>
      <c r="P353" s="92"/>
      <c r="Q353" s="71"/>
      <c r="R353" s="92"/>
      <c r="S353" s="71"/>
      <c r="T353" s="71"/>
      <c r="U353" s="68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29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  <c r="BM353" s="67"/>
      <c r="BN353" s="67"/>
      <c r="BO353" s="67"/>
      <c r="BP353" s="67"/>
      <c r="BQ353" s="67"/>
      <c r="BR353" s="67"/>
      <c r="BS353" s="67"/>
      <c r="BT353" s="67"/>
      <c r="BU353" s="67"/>
      <c r="BV353" s="67"/>
      <c r="BW353" s="67"/>
      <c r="BX353" s="67"/>
      <c r="BY353" s="67"/>
      <c r="BZ353" s="67"/>
      <c r="CA353" s="67"/>
      <c r="CB353" s="67"/>
      <c r="CC353" s="67"/>
      <c r="CD353" s="67"/>
      <c r="CE353" s="67"/>
      <c r="CF353" s="67"/>
      <c r="CG353" s="67"/>
      <c r="CH353" s="67"/>
      <c r="CI353" s="67"/>
      <c r="CJ353" s="67"/>
      <c r="CK353" s="67"/>
      <c r="CL353" s="67"/>
      <c r="CM353" s="67"/>
      <c r="CN353" s="67"/>
      <c r="CO353" s="67"/>
      <c r="CP353" s="67"/>
      <c r="CQ353" s="67"/>
      <c r="CR353" s="67"/>
      <c r="CS353" s="67"/>
      <c r="CT353" s="67"/>
      <c r="CU353" s="67"/>
      <c r="CV353" s="67"/>
      <c r="CW353" s="67"/>
      <c r="CX353" s="67"/>
      <c r="CY353" s="67"/>
      <c r="CZ353" s="67"/>
      <c r="DA353" s="67"/>
      <c r="DB353" s="67"/>
      <c r="DC353" s="67"/>
      <c r="DD353" s="67"/>
      <c r="DE353" s="67"/>
      <c r="DF353" s="67"/>
    </row>
    <row r="354">
      <c r="A354" s="62"/>
      <c r="B354" s="88"/>
      <c r="C354" s="88"/>
      <c r="D354" s="88"/>
      <c r="E354" s="90"/>
      <c r="F354" s="91"/>
      <c r="G354" s="49"/>
      <c r="H354" s="70"/>
      <c r="I354" s="88"/>
      <c r="J354" s="88"/>
      <c r="K354" s="88"/>
      <c r="L354" s="90"/>
      <c r="M354" s="91"/>
      <c r="N354" s="49"/>
      <c r="O354" s="71"/>
      <c r="P354" s="92"/>
      <c r="Q354" s="71"/>
      <c r="R354" s="92"/>
      <c r="S354" s="71"/>
      <c r="T354" s="71"/>
      <c r="U354" s="68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29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  <c r="BM354" s="67"/>
      <c r="BN354" s="67"/>
      <c r="BO354" s="67"/>
      <c r="BP354" s="67"/>
      <c r="BQ354" s="67"/>
      <c r="BR354" s="67"/>
      <c r="BS354" s="67"/>
      <c r="BT354" s="67"/>
      <c r="BU354" s="67"/>
      <c r="BV354" s="67"/>
      <c r="BW354" s="67"/>
      <c r="BX354" s="67"/>
      <c r="BY354" s="67"/>
      <c r="BZ354" s="67"/>
      <c r="CA354" s="67"/>
      <c r="CB354" s="67"/>
      <c r="CC354" s="67"/>
      <c r="CD354" s="67"/>
      <c r="CE354" s="67"/>
      <c r="CF354" s="67"/>
      <c r="CG354" s="67"/>
      <c r="CH354" s="67"/>
      <c r="CI354" s="67"/>
      <c r="CJ354" s="67"/>
      <c r="CK354" s="67"/>
      <c r="CL354" s="67"/>
      <c r="CM354" s="67"/>
      <c r="CN354" s="67"/>
      <c r="CO354" s="67"/>
      <c r="CP354" s="67"/>
      <c r="CQ354" s="67"/>
      <c r="CR354" s="67"/>
      <c r="CS354" s="67"/>
      <c r="CT354" s="67"/>
      <c r="CU354" s="67"/>
      <c r="CV354" s="67"/>
      <c r="CW354" s="67"/>
      <c r="CX354" s="67"/>
      <c r="CY354" s="67"/>
      <c r="CZ354" s="67"/>
      <c r="DA354" s="67"/>
      <c r="DB354" s="67"/>
      <c r="DC354" s="67"/>
      <c r="DD354" s="67"/>
      <c r="DE354" s="67"/>
      <c r="DF354" s="67"/>
    </row>
    <row r="355">
      <c r="A355" s="62"/>
      <c r="B355" s="88"/>
      <c r="C355" s="88"/>
      <c r="D355" s="88"/>
      <c r="E355" s="90"/>
      <c r="F355" s="91"/>
      <c r="G355" s="49"/>
      <c r="H355" s="70"/>
      <c r="I355" s="88"/>
      <c r="J355" s="88"/>
      <c r="K355" s="88"/>
      <c r="L355" s="90"/>
      <c r="M355" s="91"/>
      <c r="N355" s="49"/>
      <c r="O355" s="71"/>
      <c r="P355" s="92"/>
      <c r="Q355" s="71"/>
      <c r="R355" s="92"/>
      <c r="S355" s="71"/>
      <c r="T355" s="71"/>
      <c r="U355" s="68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29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  <c r="BM355" s="67"/>
      <c r="BN355" s="67"/>
      <c r="BO355" s="67"/>
      <c r="BP355" s="67"/>
      <c r="BQ355" s="67"/>
      <c r="BR355" s="67"/>
      <c r="BS355" s="67"/>
      <c r="BT355" s="67"/>
      <c r="BU355" s="67"/>
      <c r="BV355" s="67"/>
      <c r="BW355" s="67"/>
      <c r="BX355" s="67"/>
      <c r="BY355" s="67"/>
      <c r="BZ355" s="67"/>
      <c r="CA355" s="67"/>
      <c r="CB355" s="67"/>
      <c r="CC355" s="67"/>
      <c r="CD355" s="67"/>
      <c r="CE355" s="67"/>
      <c r="CF355" s="67"/>
      <c r="CG355" s="67"/>
      <c r="CH355" s="67"/>
      <c r="CI355" s="67"/>
      <c r="CJ355" s="67"/>
      <c r="CK355" s="67"/>
      <c r="CL355" s="67"/>
      <c r="CM355" s="67"/>
      <c r="CN355" s="67"/>
      <c r="CO355" s="67"/>
      <c r="CP355" s="67"/>
      <c r="CQ355" s="67"/>
      <c r="CR355" s="67"/>
      <c r="CS355" s="67"/>
      <c r="CT355" s="67"/>
      <c r="CU355" s="67"/>
      <c r="CV355" s="67"/>
      <c r="CW355" s="67"/>
      <c r="CX355" s="67"/>
      <c r="CY355" s="67"/>
      <c r="CZ355" s="67"/>
      <c r="DA355" s="67"/>
      <c r="DB355" s="67"/>
      <c r="DC355" s="67"/>
      <c r="DD355" s="67"/>
      <c r="DE355" s="67"/>
      <c r="DF355" s="67"/>
    </row>
    <row r="356">
      <c r="A356" s="62"/>
      <c r="B356" s="88"/>
      <c r="C356" s="88"/>
      <c r="D356" s="88"/>
      <c r="E356" s="90"/>
      <c r="F356" s="91"/>
      <c r="G356" s="49"/>
      <c r="H356" s="70"/>
      <c r="I356" s="88"/>
      <c r="J356" s="88"/>
      <c r="K356" s="88"/>
      <c r="L356" s="90"/>
      <c r="M356" s="91"/>
      <c r="N356" s="49"/>
      <c r="O356" s="71"/>
      <c r="P356" s="92"/>
      <c r="Q356" s="71"/>
      <c r="R356" s="92"/>
      <c r="S356" s="71"/>
      <c r="T356" s="71"/>
      <c r="U356" s="68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29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BM356" s="67"/>
      <c r="BN356" s="67"/>
      <c r="BO356" s="67"/>
      <c r="BP356" s="67"/>
      <c r="BQ356" s="67"/>
      <c r="BR356" s="67"/>
      <c r="BS356" s="67"/>
      <c r="BT356" s="67"/>
      <c r="BU356" s="67"/>
      <c r="BV356" s="67"/>
      <c r="BW356" s="67"/>
      <c r="BX356" s="67"/>
      <c r="BY356" s="67"/>
      <c r="BZ356" s="67"/>
      <c r="CA356" s="67"/>
      <c r="CB356" s="67"/>
      <c r="CC356" s="67"/>
      <c r="CD356" s="67"/>
      <c r="CE356" s="67"/>
      <c r="CF356" s="67"/>
      <c r="CG356" s="67"/>
      <c r="CH356" s="67"/>
      <c r="CI356" s="67"/>
      <c r="CJ356" s="67"/>
      <c r="CK356" s="67"/>
      <c r="CL356" s="67"/>
      <c r="CM356" s="67"/>
      <c r="CN356" s="67"/>
      <c r="CO356" s="67"/>
      <c r="CP356" s="67"/>
      <c r="CQ356" s="67"/>
      <c r="CR356" s="67"/>
      <c r="CS356" s="67"/>
      <c r="CT356" s="67"/>
      <c r="CU356" s="67"/>
      <c r="CV356" s="67"/>
      <c r="CW356" s="67"/>
      <c r="CX356" s="67"/>
      <c r="CY356" s="67"/>
      <c r="CZ356" s="67"/>
      <c r="DA356" s="67"/>
      <c r="DB356" s="67"/>
      <c r="DC356" s="67"/>
      <c r="DD356" s="67"/>
      <c r="DE356" s="67"/>
      <c r="DF356" s="67"/>
    </row>
    <row r="357">
      <c r="A357" s="62"/>
      <c r="B357" s="88"/>
      <c r="C357" s="88"/>
      <c r="D357" s="88"/>
      <c r="E357" s="90"/>
      <c r="F357" s="91"/>
      <c r="G357" s="49"/>
      <c r="H357" s="70"/>
      <c r="I357" s="88"/>
      <c r="J357" s="88"/>
      <c r="K357" s="88"/>
      <c r="L357" s="90"/>
      <c r="M357" s="91"/>
      <c r="N357" s="49"/>
      <c r="O357" s="71"/>
      <c r="P357" s="92"/>
      <c r="Q357" s="71"/>
      <c r="R357" s="92"/>
      <c r="S357" s="71"/>
      <c r="T357" s="71"/>
      <c r="U357" s="68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29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  <c r="BM357" s="67"/>
      <c r="BN357" s="67"/>
      <c r="BO357" s="67"/>
      <c r="BP357" s="67"/>
      <c r="BQ357" s="67"/>
      <c r="BR357" s="67"/>
      <c r="BS357" s="67"/>
      <c r="BT357" s="67"/>
      <c r="BU357" s="67"/>
      <c r="BV357" s="67"/>
      <c r="BW357" s="67"/>
      <c r="BX357" s="67"/>
      <c r="BY357" s="67"/>
      <c r="BZ357" s="67"/>
      <c r="CA357" s="67"/>
      <c r="CB357" s="67"/>
      <c r="CC357" s="67"/>
      <c r="CD357" s="67"/>
      <c r="CE357" s="67"/>
      <c r="CF357" s="67"/>
      <c r="CG357" s="67"/>
      <c r="CH357" s="67"/>
      <c r="CI357" s="67"/>
      <c r="CJ357" s="67"/>
      <c r="CK357" s="67"/>
      <c r="CL357" s="67"/>
      <c r="CM357" s="67"/>
      <c r="CN357" s="67"/>
      <c r="CO357" s="67"/>
      <c r="CP357" s="67"/>
      <c r="CQ357" s="67"/>
      <c r="CR357" s="67"/>
      <c r="CS357" s="67"/>
      <c r="CT357" s="67"/>
      <c r="CU357" s="67"/>
      <c r="CV357" s="67"/>
      <c r="CW357" s="67"/>
      <c r="CX357" s="67"/>
      <c r="CY357" s="67"/>
      <c r="CZ357" s="67"/>
      <c r="DA357" s="67"/>
      <c r="DB357" s="67"/>
      <c r="DC357" s="67"/>
      <c r="DD357" s="67"/>
      <c r="DE357" s="67"/>
      <c r="DF357" s="67"/>
    </row>
    <row r="358">
      <c r="A358" s="61"/>
      <c r="B358" s="98"/>
      <c r="C358" s="88"/>
      <c r="D358" s="88"/>
      <c r="E358" s="90"/>
      <c r="F358" s="91"/>
      <c r="G358" s="49"/>
      <c r="H358" s="70"/>
      <c r="I358" s="98"/>
      <c r="J358" s="88"/>
      <c r="K358" s="88"/>
      <c r="L358" s="90"/>
      <c r="M358" s="91"/>
      <c r="N358" s="49"/>
      <c r="O358" s="71"/>
      <c r="P358" s="92"/>
      <c r="Q358" s="71"/>
      <c r="R358" s="92"/>
      <c r="S358" s="71"/>
      <c r="T358" s="71"/>
      <c r="U358" s="68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29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BM358" s="67"/>
      <c r="BN358" s="67"/>
      <c r="BO358" s="67"/>
      <c r="BP358" s="67"/>
      <c r="BQ358" s="67"/>
      <c r="BR358" s="67"/>
      <c r="BS358" s="67"/>
      <c r="BT358" s="67"/>
      <c r="BU358" s="67"/>
      <c r="BV358" s="67"/>
      <c r="BW358" s="67"/>
      <c r="BX358" s="67"/>
      <c r="BY358" s="67"/>
      <c r="BZ358" s="67"/>
      <c r="CA358" s="67"/>
      <c r="CB358" s="67"/>
      <c r="CC358" s="67"/>
      <c r="CD358" s="67"/>
      <c r="CE358" s="67"/>
      <c r="CF358" s="67"/>
      <c r="CG358" s="67"/>
      <c r="CH358" s="67"/>
      <c r="CI358" s="67"/>
      <c r="CJ358" s="67"/>
      <c r="CK358" s="67"/>
      <c r="CL358" s="67"/>
      <c r="CM358" s="67"/>
      <c r="CN358" s="67"/>
      <c r="CO358" s="67"/>
      <c r="CP358" s="67"/>
      <c r="CQ358" s="67"/>
      <c r="CR358" s="67"/>
      <c r="CS358" s="67"/>
      <c r="CT358" s="67"/>
      <c r="CU358" s="67"/>
      <c r="CV358" s="67"/>
      <c r="CW358" s="67"/>
      <c r="CX358" s="67"/>
      <c r="CY358" s="67"/>
      <c r="CZ358" s="67"/>
      <c r="DA358" s="67"/>
      <c r="DB358" s="67"/>
      <c r="DC358" s="67"/>
      <c r="DD358" s="67"/>
      <c r="DE358" s="67"/>
      <c r="DF358" s="67"/>
    </row>
    <row r="359">
      <c r="A359" s="62"/>
      <c r="B359" s="88"/>
      <c r="C359" s="88"/>
      <c r="D359" s="88"/>
      <c r="E359" s="90"/>
      <c r="F359" s="91"/>
      <c r="G359" s="49"/>
      <c r="H359" s="70"/>
      <c r="I359" s="88"/>
      <c r="J359" s="88"/>
      <c r="K359" s="88"/>
      <c r="L359" s="90"/>
      <c r="M359" s="91"/>
      <c r="N359" s="49"/>
      <c r="O359" s="71"/>
      <c r="P359" s="92"/>
      <c r="Q359" s="71"/>
      <c r="R359" s="92"/>
      <c r="S359" s="71"/>
      <c r="T359" s="71"/>
      <c r="U359" s="68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29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BM359" s="67"/>
      <c r="BN359" s="67"/>
      <c r="BO359" s="67"/>
      <c r="BP359" s="67"/>
      <c r="BQ359" s="67"/>
      <c r="BR359" s="67"/>
      <c r="BS359" s="67"/>
      <c r="BT359" s="67"/>
      <c r="BU359" s="67"/>
      <c r="BV359" s="67"/>
      <c r="BW359" s="67"/>
      <c r="BX359" s="67"/>
      <c r="BY359" s="67"/>
      <c r="BZ359" s="67"/>
      <c r="CA359" s="67"/>
      <c r="CB359" s="67"/>
      <c r="CC359" s="67"/>
      <c r="CD359" s="67"/>
      <c r="CE359" s="67"/>
      <c r="CF359" s="67"/>
      <c r="CG359" s="67"/>
      <c r="CH359" s="67"/>
      <c r="CI359" s="67"/>
      <c r="CJ359" s="67"/>
      <c r="CK359" s="67"/>
      <c r="CL359" s="67"/>
      <c r="CM359" s="67"/>
      <c r="CN359" s="67"/>
      <c r="CO359" s="67"/>
      <c r="CP359" s="67"/>
      <c r="CQ359" s="67"/>
      <c r="CR359" s="67"/>
      <c r="CS359" s="67"/>
      <c r="CT359" s="67"/>
      <c r="CU359" s="67"/>
      <c r="CV359" s="67"/>
      <c r="CW359" s="67"/>
      <c r="CX359" s="67"/>
      <c r="CY359" s="67"/>
      <c r="CZ359" s="67"/>
      <c r="DA359" s="67"/>
      <c r="DB359" s="67"/>
      <c r="DC359" s="67"/>
      <c r="DD359" s="67"/>
      <c r="DE359" s="67"/>
      <c r="DF359" s="67"/>
    </row>
    <row r="360">
      <c r="A360" s="62"/>
      <c r="B360" s="88"/>
      <c r="C360" s="88"/>
      <c r="D360" s="88"/>
      <c r="E360" s="90"/>
      <c r="F360" s="91"/>
      <c r="G360" s="49"/>
      <c r="H360" s="70"/>
      <c r="I360" s="88"/>
      <c r="J360" s="88"/>
      <c r="K360" s="88"/>
      <c r="L360" s="90"/>
      <c r="M360" s="91"/>
      <c r="N360" s="49"/>
      <c r="O360" s="71"/>
      <c r="P360" s="92"/>
      <c r="Q360" s="71"/>
      <c r="R360" s="92"/>
      <c r="S360" s="71"/>
      <c r="T360" s="71"/>
      <c r="U360" s="68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29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  <c r="BM360" s="67"/>
      <c r="BN360" s="67"/>
      <c r="BO360" s="67"/>
      <c r="BP360" s="67"/>
      <c r="BQ360" s="67"/>
      <c r="BR360" s="67"/>
      <c r="BS360" s="67"/>
      <c r="BT360" s="67"/>
      <c r="BU360" s="67"/>
      <c r="BV360" s="67"/>
      <c r="BW360" s="67"/>
      <c r="BX360" s="67"/>
      <c r="BY360" s="67"/>
      <c r="BZ360" s="67"/>
      <c r="CA360" s="67"/>
      <c r="CB360" s="67"/>
      <c r="CC360" s="67"/>
      <c r="CD360" s="67"/>
      <c r="CE360" s="67"/>
      <c r="CF360" s="67"/>
      <c r="CG360" s="67"/>
      <c r="CH360" s="67"/>
      <c r="CI360" s="67"/>
      <c r="CJ360" s="67"/>
      <c r="CK360" s="67"/>
      <c r="CL360" s="67"/>
      <c r="CM360" s="67"/>
      <c r="CN360" s="67"/>
      <c r="CO360" s="67"/>
      <c r="CP360" s="67"/>
      <c r="CQ360" s="67"/>
      <c r="CR360" s="67"/>
      <c r="CS360" s="67"/>
      <c r="CT360" s="67"/>
      <c r="CU360" s="67"/>
      <c r="CV360" s="67"/>
      <c r="CW360" s="67"/>
      <c r="CX360" s="67"/>
      <c r="CY360" s="67"/>
      <c r="CZ360" s="67"/>
      <c r="DA360" s="67"/>
      <c r="DB360" s="67"/>
      <c r="DC360" s="67"/>
      <c r="DD360" s="67"/>
      <c r="DE360" s="67"/>
      <c r="DF360" s="67"/>
    </row>
    <row r="361">
      <c r="A361" s="62"/>
      <c r="B361" s="88"/>
      <c r="C361" s="88"/>
      <c r="D361" s="88"/>
      <c r="E361" s="90"/>
      <c r="F361" s="91"/>
      <c r="G361" s="49"/>
      <c r="H361" s="70"/>
      <c r="I361" s="88"/>
      <c r="J361" s="88"/>
      <c r="K361" s="88"/>
      <c r="L361" s="90"/>
      <c r="M361" s="91"/>
      <c r="N361" s="49"/>
      <c r="O361" s="71"/>
      <c r="P361" s="92"/>
      <c r="Q361" s="71"/>
      <c r="R361" s="92"/>
      <c r="S361" s="71"/>
      <c r="T361" s="71"/>
      <c r="U361" s="68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29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  <c r="BM361" s="67"/>
      <c r="BN361" s="67"/>
      <c r="BO361" s="67"/>
      <c r="BP361" s="67"/>
      <c r="BQ361" s="67"/>
      <c r="BR361" s="67"/>
      <c r="BS361" s="67"/>
      <c r="BT361" s="67"/>
      <c r="BU361" s="67"/>
      <c r="BV361" s="67"/>
      <c r="BW361" s="67"/>
      <c r="BX361" s="67"/>
      <c r="BY361" s="67"/>
      <c r="BZ361" s="67"/>
      <c r="CA361" s="67"/>
      <c r="CB361" s="67"/>
      <c r="CC361" s="67"/>
      <c r="CD361" s="67"/>
      <c r="CE361" s="67"/>
      <c r="CF361" s="67"/>
      <c r="CG361" s="67"/>
      <c r="CH361" s="67"/>
      <c r="CI361" s="67"/>
      <c r="CJ361" s="67"/>
      <c r="CK361" s="67"/>
      <c r="CL361" s="67"/>
      <c r="CM361" s="67"/>
      <c r="CN361" s="67"/>
      <c r="CO361" s="67"/>
      <c r="CP361" s="67"/>
      <c r="CQ361" s="67"/>
      <c r="CR361" s="67"/>
      <c r="CS361" s="67"/>
      <c r="CT361" s="67"/>
      <c r="CU361" s="67"/>
      <c r="CV361" s="67"/>
      <c r="CW361" s="67"/>
      <c r="CX361" s="67"/>
      <c r="CY361" s="67"/>
      <c r="CZ361" s="67"/>
      <c r="DA361" s="67"/>
      <c r="DB361" s="67"/>
      <c r="DC361" s="67"/>
      <c r="DD361" s="67"/>
      <c r="DE361" s="67"/>
      <c r="DF361" s="67"/>
    </row>
    <row r="362">
      <c r="A362" s="62"/>
      <c r="B362" s="88"/>
      <c r="C362" s="88"/>
      <c r="D362" s="88"/>
      <c r="E362" s="90"/>
      <c r="F362" s="91"/>
      <c r="G362" s="49"/>
      <c r="H362" s="70"/>
      <c r="I362" s="88"/>
      <c r="J362" s="88"/>
      <c r="K362" s="88"/>
      <c r="L362" s="90"/>
      <c r="M362" s="91"/>
      <c r="N362" s="49"/>
      <c r="O362" s="71"/>
      <c r="P362" s="92"/>
      <c r="Q362" s="71"/>
      <c r="R362" s="92"/>
      <c r="S362" s="71"/>
      <c r="T362" s="71"/>
      <c r="U362" s="68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29"/>
      <c r="AN362" s="67"/>
      <c r="AO362" s="67"/>
      <c r="AP362" s="67"/>
      <c r="AQ362" s="67"/>
      <c r="AR362" s="67"/>
      <c r="AS362" s="67"/>
      <c r="AT362" s="67"/>
      <c r="AU362" s="67"/>
      <c r="AV362" s="67"/>
      <c r="AW362" s="67"/>
      <c r="AX362" s="67"/>
      <c r="AY362" s="67"/>
      <c r="AZ362" s="67"/>
      <c r="BA362" s="67"/>
      <c r="BB362" s="67"/>
      <c r="BC362" s="67"/>
      <c r="BD362" s="67"/>
      <c r="BE362" s="67"/>
      <c r="BF362" s="67"/>
      <c r="BG362" s="67"/>
      <c r="BH362" s="67"/>
      <c r="BI362" s="67"/>
      <c r="BJ362" s="67"/>
      <c r="BK362" s="67"/>
      <c r="BL362" s="67"/>
      <c r="BM362" s="67"/>
      <c r="BN362" s="67"/>
      <c r="BO362" s="67"/>
      <c r="BP362" s="67"/>
      <c r="BQ362" s="67"/>
      <c r="BR362" s="67"/>
      <c r="BS362" s="67"/>
      <c r="BT362" s="67"/>
      <c r="BU362" s="67"/>
      <c r="BV362" s="67"/>
      <c r="BW362" s="67"/>
      <c r="BX362" s="67"/>
      <c r="BY362" s="67"/>
      <c r="BZ362" s="67"/>
      <c r="CA362" s="67"/>
      <c r="CB362" s="67"/>
      <c r="CC362" s="67"/>
      <c r="CD362" s="67"/>
      <c r="CE362" s="67"/>
      <c r="CF362" s="67"/>
      <c r="CG362" s="67"/>
      <c r="CH362" s="67"/>
      <c r="CI362" s="67"/>
      <c r="CJ362" s="67"/>
      <c r="CK362" s="67"/>
      <c r="CL362" s="67"/>
      <c r="CM362" s="67"/>
      <c r="CN362" s="67"/>
      <c r="CO362" s="67"/>
      <c r="CP362" s="67"/>
      <c r="CQ362" s="67"/>
      <c r="CR362" s="67"/>
      <c r="CS362" s="67"/>
      <c r="CT362" s="67"/>
      <c r="CU362" s="67"/>
      <c r="CV362" s="67"/>
      <c r="CW362" s="67"/>
      <c r="CX362" s="67"/>
      <c r="CY362" s="67"/>
      <c r="CZ362" s="67"/>
      <c r="DA362" s="67"/>
      <c r="DB362" s="67"/>
      <c r="DC362" s="67"/>
      <c r="DD362" s="67"/>
      <c r="DE362" s="67"/>
      <c r="DF362" s="67"/>
    </row>
    <row r="363">
      <c r="A363" s="62"/>
      <c r="B363" s="88"/>
      <c r="C363" s="88"/>
      <c r="D363" s="88"/>
      <c r="E363" s="90"/>
      <c r="F363" s="91"/>
      <c r="G363" s="49"/>
      <c r="H363" s="70"/>
      <c r="I363" s="88"/>
      <c r="J363" s="88"/>
      <c r="K363" s="88"/>
      <c r="L363" s="90"/>
      <c r="M363" s="91"/>
      <c r="N363" s="49"/>
      <c r="O363" s="71"/>
      <c r="P363" s="92"/>
      <c r="Q363" s="71"/>
      <c r="R363" s="92"/>
      <c r="S363" s="71"/>
      <c r="T363" s="71"/>
      <c r="U363" s="68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29"/>
      <c r="AN363" s="67"/>
      <c r="AO363" s="67"/>
      <c r="AP363" s="67"/>
      <c r="AQ363" s="67"/>
      <c r="AR363" s="67"/>
      <c r="AS363" s="67"/>
      <c r="AT363" s="67"/>
      <c r="AU363" s="67"/>
      <c r="AV363" s="67"/>
      <c r="AW363" s="67"/>
      <c r="AX363" s="67"/>
      <c r="AY363" s="67"/>
      <c r="AZ363" s="67"/>
      <c r="BA363" s="67"/>
      <c r="BB363" s="67"/>
      <c r="BC363" s="67"/>
      <c r="BD363" s="67"/>
      <c r="BE363" s="67"/>
      <c r="BF363" s="67"/>
      <c r="BG363" s="67"/>
      <c r="BH363" s="67"/>
      <c r="BI363" s="67"/>
      <c r="BJ363" s="67"/>
      <c r="BK363" s="67"/>
      <c r="BL363" s="67"/>
      <c r="BM363" s="67"/>
      <c r="BN363" s="67"/>
      <c r="BO363" s="67"/>
      <c r="BP363" s="67"/>
      <c r="BQ363" s="67"/>
      <c r="BR363" s="67"/>
      <c r="BS363" s="67"/>
      <c r="BT363" s="67"/>
      <c r="BU363" s="67"/>
      <c r="BV363" s="67"/>
      <c r="BW363" s="67"/>
      <c r="BX363" s="67"/>
      <c r="BY363" s="67"/>
      <c r="BZ363" s="67"/>
      <c r="CA363" s="67"/>
      <c r="CB363" s="67"/>
      <c r="CC363" s="67"/>
      <c r="CD363" s="67"/>
      <c r="CE363" s="67"/>
      <c r="CF363" s="67"/>
      <c r="CG363" s="67"/>
      <c r="CH363" s="67"/>
      <c r="CI363" s="67"/>
      <c r="CJ363" s="67"/>
      <c r="CK363" s="67"/>
      <c r="CL363" s="67"/>
      <c r="CM363" s="67"/>
      <c r="CN363" s="67"/>
      <c r="CO363" s="67"/>
      <c r="CP363" s="67"/>
      <c r="CQ363" s="67"/>
      <c r="CR363" s="67"/>
      <c r="CS363" s="67"/>
      <c r="CT363" s="67"/>
      <c r="CU363" s="67"/>
      <c r="CV363" s="67"/>
      <c r="CW363" s="67"/>
      <c r="CX363" s="67"/>
      <c r="CY363" s="67"/>
      <c r="CZ363" s="67"/>
      <c r="DA363" s="67"/>
      <c r="DB363" s="67"/>
      <c r="DC363" s="67"/>
      <c r="DD363" s="67"/>
      <c r="DE363" s="67"/>
      <c r="DF363" s="67"/>
    </row>
    <row r="364">
      <c r="A364" s="62"/>
      <c r="B364" s="88"/>
      <c r="C364" s="88"/>
      <c r="D364" s="88"/>
      <c r="E364" s="90"/>
      <c r="F364" s="91"/>
      <c r="G364" s="49"/>
      <c r="H364" s="70"/>
      <c r="I364" s="88"/>
      <c r="J364" s="88"/>
      <c r="K364" s="88"/>
      <c r="L364" s="90"/>
      <c r="M364" s="91"/>
      <c r="N364" s="49"/>
      <c r="O364" s="71"/>
      <c r="P364" s="92"/>
      <c r="Q364" s="71"/>
      <c r="R364" s="92"/>
      <c r="S364" s="71"/>
      <c r="T364" s="71"/>
      <c r="U364" s="68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29"/>
      <c r="AN364" s="67"/>
      <c r="AO364" s="67"/>
      <c r="AP364" s="67"/>
      <c r="AQ364" s="67"/>
      <c r="AR364" s="67"/>
      <c r="AS364" s="67"/>
      <c r="AT364" s="67"/>
      <c r="AU364" s="67"/>
      <c r="AV364" s="67"/>
      <c r="AW364" s="67"/>
      <c r="AX364" s="67"/>
      <c r="AY364" s="67"/>
      <c r="AZ364" s="67"/>
      <c r="BA364" s="67"/>
      <c r="BB364" s="67"/>
      <c r="BC364" s="67"/>
      <c r="BD364" s="67"/>
      <c r="BE364" s="67"/>
      <c r="BF364" s="67"/>
      <c r="BG364" s="67"/>
      <c r="BH364" s="67"/>
      <c r="BI364" s="67"/>
      <c r="BJ364" s="67"/>
      <c r="BK364" s="67"/>
      <c r="BL364" s="67"/>
      <c r="BM364" s="67"/>
      <c r="BN364" s="67"/>
      <c r="BO364" s="67"/>
      <c r="BP364" s="67"/>
      <c r="BQ364" s="67"/>
      <c r="BR364" s="67"/>
      <c r="BS364" s="67"/>
      <c r="BT364" s="67"/>
      <c r="BU364" s="67"/>
      <c r="BV364" s="67"/>
      <c r="BW364" s="67"/>
      <c r="BX364" s="67"/>
      <c r="BY364" s="67"/>
      <c r="BZ364" s="67"/>
      <c r="CA364" s="67"/>
      <c r="CB364" s="67"/>
      <c r="CC364" s="67"/>
      <c r="CD364" s="67"/>
      <c r="CE364" s="67"/>
      <c r="CF364" s="67"/>
      <c r="CG364" s="67"/>
      <c r="CH364" s="67"/>
      <c r="CI364" s="67"/>
      <c r="CJ364" s="67"/>
      <c r="CK364" s="67"/>
      <c r="CL364" s="67"/>
      <c r="CM364" s="67"/>
      <c r="CN364" s="67"/>
      <c r="CO364" s="67"/>
      <c r="CP364" s="67"/>
      <c r="CQ364" s="67"/>
      <c r="CR364" s="67"/>
      <c r="CS364" s="67"/>
      <c r="CT364" s="67"/>
      <c r="CU364" s="67"/>
      <c r="CV364" s="67"/>
      <c r="CW364" s="67"/>
      <c r="CX364" s="67"/>
      <c r="CY364" s="67"/>
      <c r="CZ364" s="67"/>
      <c r="DA364" s="67"/>
      <c r="DB364" s="67"/>
      <c r="DC364" s="67"/>
      <c r="DD364" s="67"/>
      <c r="DE364" s="67"/>
      <c r="DF364" s="67"/>
    </row>
    <row r="365">
      <c r="A365" s="62"/>
      <c r="B365" s="88"/>
      <c r="C365" s="88"/>
      <c r="D365" s="88"/>
      <c r="E365" s="90"/>
      <c r="F365" s="91"/>
      <c r="G365" s="49"/>
      <c r="H365" s="70"/>
      <c r="I365" s="88"/>
      <c r="J365" s="88"/>
      <c r="K365" s="88"/>
      <c r="L365" s="90"/>
      <c r="M365" s="91"/>
      <c r="N365" s="49"/>
      <c r="O365" s="71"/>
      <c r="P365" s="92"/>
      <c r="Q365" s="71"/>
      <c r="R365" s="92"/>
      <c r="S365" s="71"/>
      <c r="T365" s="71"/>
      <c r="U365" s="68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29"/>
      <c r="AN365" s="67"/>
      <c r="AO365" s="67"/>
      <c r="AP365" s="67"/>
      <c r="AQ365" s="67"/>
      <c r="AR365" s="67"/>
      <c r="AS365" s="67"/>
      <c r="AT365" s="67"/>
      <c r="AU365" s="67"/>
      <c r="AV365" s="67"/>
      <c r="AW365" s="67"/>
      <c r="AX365" s="67"/>
      <c r="AY365" s="67"/>
      <c r="AZ365" s="67"/>
      <c r="BA365" s="67"/>
      <c r="BB365" s="67"/>
      <c r="BC365" s="67"/>
      <c r="BD365" s="67"/>
      <c r="BE365" s="67"/>
      <c r="BF365" s="67"/>
      <c r="BG365" s="67"/>
      <c r="BH365" s="67"/>
      <c r="BI365" s="67"/>
      <c r="BJ365" s="67"/>
      <c r="BK365" s="67"/>
      <c r="BL365" s="67"/>
      <c r="BM365" s="67"/>
      <c r="BN365" s="67"/>
      <c r="BO365" s="67"/>
      <c r="BP365" s="67"/>
      <c r="BQ365" s="67"/>
      <c r="BR365" s="67"/>
      <c r="BS365" s="67"/>
      <c r="BT365" s="67"/>
      <c r="BU365" s="67"/>
      <c r="BV365" s="67"/>
      <c r="BW365" s="67"/>
      <c r="BX365" s="67"/>
      <c r="BY365" s="67"/>
      <c r="BZ365" s="67"/>
      <c r="CA365" s="67"/>
      <c r="CB365" s="67"/>
      <c r="CC365" s="67"/>
      <c r="CD365" s="67"/>
      <c r="CE365" s="67"/>
      <c r="CF365" s="67"/>
      <c r="CG365" s="67"/>
      <c r="CH365" s="67"/>
      <c r="CI365" s="67"/>
      <c r="CJ365" s="67"/>
      <c r="CK365" s="67"/>
      <c r="CL365" s="67"/>
      <c r="CM365" s="67"/>
      <c r="CN365" s="67"/>
      <c r="CO365" s="67"/>
      <c r="CP365" s="67"/>
      <c r="CQ365" s="67"/>
      <c r="CR365" s="67"/>
      <c r="CS365" s="67"/>
      <c r="CT365" s="67"/>
      <c r="CU365" s="67"/>
      <c r="CV365" s="67"/>
      <c r="CW365" s="67"/>
      <c r="CX365" s="67"/>
      <c r="CY365" s="67"/>
      <c r="CZ365" s="67"/>
      <c r="DA365" s="67"/>
      <c r="DB365" s="67"/>
      <c r="DC365" s="67"/>
      <c r="DD365" s="67"/>
      <c r="DE365" s="67"/>
      <c r="DF365" s="67"/>
    </row>
    <row r="366">
      <c r="A366" s="62"/>
      <c r="B366" s="88"/>
      <c r="C366" s="88"/>
      <c r="D366" s="88"/>
      <c r="E366" s="90"/>
      <c r="F366" s="91"/>
      <c r="G366" s="49"/>
      <c r="H366" s="70"/>
      <c r="I366" s="88"/>
      <c r="J366" s="88"/>
      <c r="K366" s="88"/>
      <c r="L366" s="90"/>
      <c r="M366" s="91"/>
      <c r="N366" s="49"/>
      <c r="O366" s="71"/>
      <c r="P366" s="92"/>
      <c r="Q366" s="71"/>
      <c r="R366" s="92"/>
      <c r="S366" s="71"/>
      <c r="T366" s="71"/>
      <c r="U366" s="68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29"/>
      <c r="AN366" s="67"/>
      <c r="AO366" s="67"/>
      <c r="AP366" s="67"/>
      <c r="AQ366" s="67"/>
      <c r="AR366" s="67"/>
      <c r="AS366" s="67"/>
      <c r="AT366" s="67"/>
      <c r="AU366" s="67"/>
      <c r="AV366" s="67"/>
      <c r="AW366" s="67"/>
      <c r="AX366" s="67"/>
      <c r="AY366" s="67"/>
      <c r="AZ366" s="67"/>
      <c r="BA366" s="67"/>
      <c r="BB366" s="67"/>
      <c r="BC366" s="67"/>
      <c r="BD366" s="67"/>
      <c r="BE366" s="67"/>
      <c r="BF366" s="67"/>
      <c r="BG366" s="67"/>
      <c r="BH366" s="67"/>
      <c r="BI366" s="67"/>
      <c r="BJ366" s="67"/>
      <c r="BK366" s="67"/>
      <c r="BL366" s="67"/>
      <c r="BM366" s="67"/>
      <c r="BN366" s="67"/>
      <c r="BO366" s="67"/>
      <c r="BP366" s="67"/>
      <c r="BQ366" s="67"/>
      <c r="BR366" s="67"/>
      <c r="BS366" s="67"/>
      <c r="BT366" s="67"/>
      <c r="BU366" s="67"/>
      <c r="BV366" s="67"/>
      <c r="BW366" s="67"/>
      <c r="BX366" s="67"/>
      <c r="BY366" s="67"/>
      <c r="BZ366" s="67"/>
      <c r="CA366" s="67"/>
      <c r="CB366" s="67"/>
      <c r="CC366" s="67"/>
      <c r="CD366" s="67"/>
      <c r="CE366" s="67"/>
      <c r="CF366" s="67"/>
      <c r="CG366" s="67"/>
      <c r="CH366" s="67"/>
      <c r="CI366" s="67"/>
      <c r="CJ366" s="67"/>
      <c r="CK366" s="67"/>
      <c r="CL366" s="67"/>
      <c r="CM366" s="67"/>
      <c r="CN366" s="67"/>
      <c r="CO366" s="67"/>
      <c r="CP366" s="67"/>
      <c r="CQ366" s="67"/>
      <c r="CR366" s="67"/>
      <c r="CS366" s="67"/>
      <c r="CT366" s="67"/>
      <c r="CU366" s="67"/>
      <c r="CV366" s="67"/>
      <c r="CW366" s="67"/>
      <c r="CX366" s="67"/>
      <c r="CY366" s="67"/>
      <c r="CZ366" s="67"/>
      <c r="DA366" s="67"/>
      <c r="DB366" s="67"/>
      <c r="DC366" s="67"/>
      <c r="DD366" s="67"/>
      <c r="DE366" s="67"/>
      <c r="DF366" s="67"/>
    </row>
    <row r="367">
      <c r="A367" s="62"/>
      <c r="B367" s="88"/>
      <c r="C367" s="88"/>
      <c r="D367" s="88"/>
      <c r="E367" s="90"/>
      <c r="F367" s="91"/>
      <c r="G367" s="49"/>
      <c r="H367" s="70"/>
      <c r="I367" s="88"/>
      <c r="J367" s="88"/>
      <c r="K367" s="88"/>
      <c r="L367" s="90"/>
      <c r="M367" s="91"/>
      <c r="N367" s="49"/>
      <c r="O367" s="71"/>
      <c r="P367" s="92"/>
      <c r="Q367" s="71"/>
      <c r="R367" s="92"/>
      <c r="S367" s="71"/>
      <c r="T367" s="71"/>
      <c r="U367" s="68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29"/>
      <c r="AN367" s="67"/>
      <c r="AO367" s="67"/>
      <c r="AP367" s="67"/>
      <c r="AQ367" s="67"/>
      <c r="AR367" s="67"/>
      <c r="AS367" s="67"/>
      <c r="AT367" s="67"/>
      <c r="AU367" s="67"/>
      <c r="AV367" s="67"/>
      <c r="AW367" s="67"/>
      <c r="AX367" s="67"/>
      <c r="AY367" s="67"/>
      <c r="AZ367" s="67"/>
      <c r="BA367" s="67"/>
      <c r="BB367" s="67"/>
      <c r="BC367" s="67"/>
      <c r="BD367" s="67"/>
      <c r="BE367" s="67"/>
      <c r="BF367" s="67"/>
      <c r="BG367" s="67"/>
      <c r="BH367" s="67"/>
      <c r="BI367" s="67"/>
      <c r="BJ367" s="67"/>
      <c r="BK367" s="67"/>
      <c r="BL367" s="67"/>
      <c r="BM367" s="67"/>
      <c r="BN367" s="67"/>
      <c r="BO367" s="67"/>
      <c r="BP367" s="67"/>
      <c r="BQ367" s="67"/>
      <c r="BR367" s="67"/>
      <c r="BS367" s="67"/>
      <c r="BT367" s="67"/>
      <c r="BU367" s="67"/>
      <c r="BV367" s="67"/>
      <c r="BW367" s="67"/>
      <c r="BX367" s="67"/>
      <c r="BY367" s="67"/>
      <c r="BZ367" s="67"/>
      <c r="CA367" s="67"/>
      <c r="CB367" s="67"/>
      <c r="CC367" s="67"/>
      <c r="CD367" s="67"/>
      <c r="CE367" s="67"/>
      <c r="CF367" s="67"/>
      <c r="CG367" s="67"/>
      <c r="CH367" s="67"/>
      <c r="CI367" s="67"/>
      <c r="CJ367" s="67"/>
      <c r="CK367" s="67"/>
      <c r="CL367" s="67"/>
      <c r="CM367" s="67"/>
      <c r="CN367" s="67"/>
      <c r="CO367" s="67"/>
      <c r="CP367" s="67"/>
      <c r="CQ367" s="67"/>
      <c r="CR367" s="67"/>
      <c r="CS367" s="67"/>
      <c r="CT367" s="67"/>
      <c r="CU367" s="67"/>
      <c r="CV367" s="67"/>
      <c r="CW367" s="67"/>
      <c r="CX367" s="67"/>
      <c r="CY367" s="67"/>
      <c r="CZ367" s="67"/>
      <c r="DA367" s="67"/>
      <c r="DB367" s="67"/>
      <c r="DC367" s="67"/>
      <c r="DD367" s="67"/>
      <c r="DE367" s="67"/>
      <c r="DF367" s="67"/>
    </row>
    <row r="368">
      <c r="A368" s="62"/>
      <c r="B368" s="88"/>
      <c r="C368" s="88"/>
      <c r="D368" s="88"/>
      <c r="E368" s="90"/>
      <c r="F368" s="91"/>
      <c r="G368" s="49"/>
      <c r="H368" s="70"/>
      <c r="I368" s="88"/>
      <c r="J368" s="88"/>
      <c r="K368" s="88"/>
      <c r="L368" s="90"/>
      <c r="M368" s="91"/>
      <c r="N368" s="49"/>
      <c r="O368" s="71"/>
      <c r="P368" s="92"/>
      <c r="Q368" s="71"/>
      <c r="R368" s="92"/>
      <c r="S368" s="71"/>
      <c r="T368" s="71"/>
      <c r="U368" s="68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29"/>
      <c r="AN368" s="67"/>
      <c r="AO368" s="67"/>
      <c r="AP368" s="67"/>
      <c r="AQ368" s="67"/>
      <c r="AR368" s="67"/>
      <c r="AS368" s="67"/>
      <c r="AT368" s="67"/>
      <c r="AU368" s="67"/>
      <c r="AV368" s="67"/>
      <c r="AW368" s="67"/>
      <c r="AX368" s="67"/>
      <c r="AY368" s="67"/>
      <c r="AZ368" s="67"/>
      <c r="BA368" s="67"/>
      <c r="BB368" s="67"/>
      <c r="BC368" s="67"/>
      <c r="BD368" s="67"/>
      <c r="BE368" s="67"/>
      <c r="BF368" s="67"/>
      <c r="BG368" s="67"/>
      <c r="BH368" s="67"/>
      <c r="BI368" s="67"/>
      <c r="BJ368" s="67"/>
      <c r="BK368" s="67"/>
      <c r="BL368" s="67"/>
      <c r="BM368" s="67"/>
      <c r="BN368" s="67"/>
      <c r="BO368" s="67"/>
      <c r="BP368" s="67"/>
      <c r="BQ368" s="67"/>
      <c r="BR368" s="67"/>
      <c r="BS368" s="67"/>
      <c r="BT368" s="67"/>
      <c r="BU368" s="67"/>
      <c r="BV368" s="67"/>
      <c r="BW368" s="67"/>
      <c r="BX368" s="67"/>
      <c r="BY368" s="67"/>
      <c r="BZ368" s="67"/>
      <c r="CA368" s="67"/>
      <c r="CB368" s="67"/>
      <c r="CC368" s="67"/>
      <c r="CD368" s="67"/>
      <c r="CE368" s="67"/>
      <c r="CF368" s="67"/>
      <c r="CG368" s="67"/>
      <c r="CH368" s="67"/>
      <c r="CI368" s="67"/>
      <c r="CJ368" s="67"/>
      <c r="CK368" s="67"/>
      <c r="CL368" s="67"/>
      <c r="CM368" s="67"/>
      <c r="CN368" s="67"/>
      <c r="CO368" s="67"/>
      <c r="CP368" s="67"/>
      <c r="CQ368" s="67"/>
      <c r="CR368" s="67"/>
      <c r="CS368" s="67"/>
      <c r="CT368" s="67"/>
      <c r="CU368" s="67"/>
      <c r="CV368" s="67"/>
      <c r="CW368" s="67"/>
      <c r="CX368" s="67"/>
      <c r="CY368" s="67"/>
      <c r="CZ368" s="67"/>
      <c r="DA368" s="67"/>
      <c r="DB368" s="67"/>
      <c r="DC368" s="67"/>
      <c r="DD368" s="67"/>
      <c r="DE368" s="67"/>
      <c r="DF368" s="67"/>
    </row>
    <row r="369">
      <c r="A369" s="62"/>
      <c r="B369" s="88"/>
      <c r="C369" s="88"/>
      <c r="D369" s="88"/>
      <c r="E369" s="90"/>
      <c r="F369" s="91"/>
      <c r="G369" s="49"/>
      <c r="H369" s="70"/>
      <c r="I369" s="88"/>
      <c r="J369" s="88"/>
      <c r="K369" s="88"/>
      <c r="L369" s="90"/>
      <c r="M369" s="91"/>
      <c r="N369" s="49"/>
      <c r="O369" s="71"/>
      <c r="P369" s="92"/>
      <c r="Q369" s="71"/>
      <c r="R369" s="92"/>
      <c r="S369" s="71"/>
      <c r="T369" s="71"/>
      <c r="U369" s="68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29"/>
      <c r="AN369" s="67"/>
      <c r="AO369" s="67"/>
      <c r="AP369" s="67"/>
      <c r="AQ369" s="67"/>
      <c r="AR369" s="67"/>
      <c r="AS369" s="67"/>
      <c r="AT369" s="67"/>
      <c r="AU369" s="67"/>
      <c r="AV369" s="67"/>
      <c r="AW369" s="67"/>
      <c r="AX369" s="67"/>
      <c r="AY369" s="67"/>
      <c r="AZ369" s="67"/>
      <c r="BA369" s="67"/>
      <c r="BB369" s="67"/>
      <c r="BC369" s="67"/>
      <c r="BD369" s="67"/>
      <c r="BE369" s="67"/>
      <c r="BF369" s="67"/>
      <c r="BG369" s="67"/>
      <c r="BH369" s="67"/>
      <c r="BI369" s="67"/>
      <c r="BJ369" s="67"/>
      <c r="BK369" s="67"/>
      <c r="BL369" s="67"/>
      <c r="BM369" s="67"/>
      <c r="BN369" s="67"/>
      <c r="BO369" s="67"/>
      <c r="BP369" s="67"/>
      <c r="BQ369" s="67"/>
      <c r="BR369" s="67"/>
      <c r="BS369" s="67"/>
      <c r="BT369" s="67"/>
      <c r="BU369" s="67"/>
      <c r="BV369" s="67"/>
      <c r="BW369" s="67"/>
      <c r="BX369" s="67"/>
      <c r="BY369" s="67"/>
      <c r="BZ369" s="67"/>
      <c r="CA369" s="67"/>
      <c r="CB369" s="67"/>
      <c r="CC369" s="67"/>
      <c r="CD369" s="67"/>
      <c r="CE369" s="67"/>
      <c r="CF369" s="67"/>
      <c r="CG369" s="67"/>
      <c r="CH369" s="67"/>
      <c r="CI369" s="67"/>
      <c r="CJ369" s="67"/>
      <c r="CK369" s="67"/>
      <c r="CL369" s="67"/>
      <c r="CM369" s="67"/>
      <c r="CN369" s="67"/>
      <c r="CO369" s="67"/>
      <c r="CP369" s="67"/>
      <c r="CQ369" s="67"/>
      <c r="CR369" s="67"/>
      <c r="CS369" s="67"/>
      <c r="CT369" s="67"/>
      <c r="CU369" s="67"/>
      <c r="CV369" s="67"/>
      <c r="CW369" s="67"/>
      <c r="CX369" s="67"/>
      <c r="CY369" s="67"/>
      <c r="CZ369" s="67"/>
      <c r="DA369" s="67"/>
      <c r="DB369" s="67"/>
      <c r="DC369" s="67"/>
      <c r="DD369" s="67"/>
      <c r="DE369" s="67"/>
      <c r="DF369" s="67"/>
    </row>
    <row r="370">
      <c r="A370" s="62"/>
      <c r="B370" s="88"/>
      <c r="C370" s="88"/>
      <c r="D370" s="88"/>
      <c r="E370" s="90"/>
      <c r="F370" s="91"/>
      <c r="G370" s="49"/>
      <c r="H370" s="70"/>
      <c r="I370" s="88"/>
      <c r="J370" s="88"/>
      <c r="K370" s="88"/>
      <c r="L370" s="90"/>
      <c r="M370" s="91"/>
      <c r="N370" s="49"/>
      <c r="O370" s="71"/>
      <c r="P370" s="92"/>
      <c r="Q370" s="71"/>
      <c r="R370" s="92"/>
      <c r="S370" s="71"/>
      <c r="T370" s="71"/>
      <c r="U370" s="68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29"/>
      <c r="AN370" s="67"/>
      <c r="AO370" s="67"/>
      <c r="AP370" s="67"/>
      <c r="AQ370" s="67"/>
      <c r="AR370" s="67"/>
      <c r="AS370" s="67"/>
      <c r="AT370" s="67"/>
      <c r="AU370" s="67"/>
      <c r="AV370" s="67"/>
      <c r="AW370" s="67"/>
      <c r="AX370" s="67"/>
      <c r="AY370" s="67"/>
      <c r="AZ370" s="67"/>
      <c r="BA370" s="67"/>
      <c r="BB370" s="67"/>
      <c r="BC370" s="67"/>
      <c r="BD370" s="67"/>
      <c r="BE370" s="67"/>
      <c r="BF370" s="67"/>
      <c r="BG370" s="67"/>
      <c r="BH370" s="67"/>
      <c r="BI370" s="67"/>
      <c r="BJ370" s="67"/>
      <c r="BK370" s="67"/>
      <c r="BL370" s="67"/>
      <c r="BM370" s="67"/>
      <c r="BN370" s="67"/>
      <c r="BO370" s="67"/>
      <c r="BP370" s="67"/>
      <c r="BQ370" s="67"/>
      <c r="BR370" s="67"/>
      <c r="BS370" s="67"/>
      <c r="BT370" s="67"/>
      <c r="BU370" s="67"/>
      <c r="BV370" s="67"/>
      <c r="BW370" s="67"/>
      <c r="BX370" s="67"/>
      <c r="BY370" s="67"/>
      <c r="BZ370" s="67"/>
      <c r="CA370" s="67"/>
      <c r="CB370" s="67"/>
      <c r="CC370" s="67"/>
      <c r="CD370" s="67"/>
      <c r="CE370" s="67"/>
      <c r="CF370" s="67"/>
      <c r="CG370" s="67"/>
      <c r="CH370" s="67"/>
      <c r="CI370" s="67"/>
      <c r="CJ370" s="67"/>
      <c r="CK370" s="67"/>
      <c r="CL370" s="67"/>
      <c r="CM370" s="67"/>
      <c r="CN370" s="67"/>
      <c r="CO370" s="67"/>
      <c r="CP370" s="67"/>
      <c r="CQ370" s="67"/>
      <c r="CR370" s="67"/>
      <c r="CS370" s="67"/>
      <c r="CT370" s="67"/>
      <c r="CU370" s="67"/>
      <c r="CV370" s="67"/>
      <c r="CW370" s="67"/>
      <c r="CX370" s="67"/>
      <c r="CY370" s="67"/>
      <c r="CZ370" s="67"/>
      <c r="DA370" s="67"/>
      <c r="DB370" s="67"/>
      <c r="DC370" s="67"/>
      <c r="DD370" s="67"/>
      <c r="DE370" s="67"/>
      <c r="DF370" s="67"/>
    </row>
    <row r="371">
      <c r="A371" s="62"/>
      <c r="B371" s="88"/>
      <c r="C371" s="88"/>
      <c r="D371" s="88"/>
      <c r="E371" s="90"/>
      <c r="F371" s="91"/>
      <c r="G371" s="49"/>
      <c r="H371" s="70"/>
      <c r="I371" s="88"/>
      <c r="J371" s="88"/>
      <c r="K371" s="88"/>
      <c r="L371" s="90"/>
      <c r="M371" s="91"/>
      <c r="N371" s="49"/>
      <c r="O371" s="71"/>
      <c r="P371" s="92"/>
      <c r="Q371" s="71"/>
      <c r="R371" s="92"/>
      <c r="S371" s="71"/>
      <c r="T371" s="71"/>
      <c r="U371" s="68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29"/>
      <c r="AN371" s="67"/>
      <c r="AO371" s="67"/>
      <c r="AP371" s="67"/>
      <c r="AQ371" s="67"/>
      <c r="AR371" s="67"/>
      <c r="AS371" s="67"/>
      <c r="AT371" s="67"/>
      <c r="AU371" s="67"/>
      <c r="AV371" s="67"/>
      <c r="AW371" s="67"/>
      <c r="AX371" s="67"/>
      <c r="AY371" s="67"/>
      <c r="AZ371" s="67"/>
      <c r="BA371" s="67"/>
      <c r="BB371" s="67"/>
      <c r="BC371" s="67"/>
      <c r="BD371" s="67"/>
      <c r="BE371" s="67"/>
      <c r="BF371" s="67"/>
      <c r="BG371" s="67"/>
      <c r="BH371" s="67"/>
      <c r="BI371" s="67"/>
      <c r="BJ371" s="67"/>
      <c r="BK371" s="67"/>
      <c r="BL371" s="67"/>
      <c r="BM371" s="67"/>
      <c r="BN371" s="67"/>
      <c r="BO371" s="67"/>
      <c r="BP371" s="67"/>
      <c r="BQ371" s="67"/>
      <c r="BR371" s="67"/>
      <c r="BS371" s="67"/>
      <c r="BT371" s="67"/>
      <c r="BU371" s="67"/>
      <c r="BV371" s="67"/>
      <c r="BW371" s="67"/>
      <c r="BX371" s="67"/>
      <c r="BY371" s="67"/>
      <c r="BZ371" s="67"/>
      <c r="CA371" s="67"/>
      <c r="CB371" s="67"/>
      <c r="CC371" s="67"/>
      <c r="CD371" s="67"/>
      <c r="CE371" s="67"/>
      <c r="CF371" s="67"/>
      <c r="CG371" s="67"/>
      <c r="CH371" s="67"/>
      <c r="CI371" s="67"/>
      <c r="CJ371" s="67"/>
      <c r="CK371" s="67"/>
      <c r="CL371" s="67"/>
      <c r="CM371" s="67"/>
      <c r="CN371" s="67"/>
      <c r="CO371" s="67"/>
      <c r="CP371" s="67"/>
      <c r="CQ371" s="67"/>
      <c r="CR371" s="67"/>
      <c r="CS371" s="67"/>
      <c r="CT371" s="67"/>
      <c r="CU371" s="67"/>
      <c r="CV371" s="67"/>
      <c r="CW371" s="67"/>
      <c r="CX371" s="67"/>
      <c r="CY371" s="67"/>
      <c r="CZ371" s="67"/>
      <c r="DA371" s="67"/>
      <c r="DB371" s="67"/>
      <c r="DC371" s="67"/>
      <c r="DD371" s="67"/>
      <c r="DE371" s="67"/>
      <c r="DF371" s="67"/>
    </row>
    <row r="372">
      <c r="A372" s="62"/>
      <c r="B372" s="88"/>
      <c r="C372" s="88"/>
      <c r="D372" s="88"/>
      <c r="E372" s="90"/>
      <c r="F372" s="91"/>
      <c r="G372" s="49"/>
      <c r="H372" s="70"/>
      <c r="I372" s="88"/>
      <c r="J372" s="88"/>
      <c r="K372" s="88"/>
      <c r="L372" s="90"/>
      <c r="M372" s="91"/>
      <c r="N372" s="49"/>
      <c r="O372" s="71"/>
      <c r="P372" s="92"/>
      <c r="Q372" s="71"/>
      <c r="R372" s="92"/>
      <c r="S372" s="71"/>
      <c r="T372" s="71"/>
      <c r="U372" s="68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29"/>
      <c r="AN372" s="67"/>
      <c r="AO372" s="67"/>
      <c r="AP372" s="67"/>
      <c r="AQ372" s="67"/>
      <c r="AR372" s="67"/>
      <c r="AS372" s="67"/>
      <c r="AT372" s="67"/>
      <c r="AU372" s="67"/>
      <c r="AV372" s="67"/>
      <c r="AW372" s="67"/>
      <c r="AX372" s="67"/>
      <c r="AY372" s="67"/>
      <c r="AZ372" s="67"/>
      <c r="BA372" s="67"/>
      <c r="BB372" s="67"/>
      <c r="BC372" s="67"/>
      <c r="BD372" s="67"/>
      <c r="BE372" s="67"/>
      <c r="BF372" s="67"/>
      <c r="BG372" s="67"/>
      <c r="BH372" s="67"/>
      <c r="BI372" s="67"/>
      <c r="BJ372" s="67"/>
      <c r="BK372" s="67"/>
      <c r="BL372" s="67"/>
      <c r="BM372" s="67"/>
      <c r="BN372" s="67"/>
      <c r="BO372" s="67"/>
      <c r="BP372" s="67"/>
      <c r="BQ372" s="67"/>
      <c r="BR372" s="67"/>
      <c r="BS372" s="67"/>
      <c r="BT372" s="67"/>
      <c r="BU372" s="67"/>
      <c r="BV372" s="67"/>
      <c r="BW372" s="67"/>
      <c r="BX372" s="67"/>
      <c r="BY372" s="67"/>
      <c r="BZ372" s="67"/>
      <c r="CA372" s="67"/>
      <c r="CB372" s="67"/>
      <c r="CC372" s="67"/>
      <c r="CD372" s="67"/>
      <c r="CE372" s="67"/>
      <c r="CF372" s="67"/>
      <c r="CG372" s="67"/>
      <c r="CH372" s="67"/>
      <c r="CI372" s="67"/>
      <c r="CJ372" s="67"/>
      <c r="CK372" s="67"/>
      <c r="CL372" s="67"/>
      <c r="CM372" s="67"/>
      <c r="CN372" s="67"/>
      <c r="CO372" s="67"/>
      <c r="CP372" s="67"/>
      <c r="CQ372" s="67"/>
      <c r="CR372" s="67"/>
      <c r="CS372" s="67"/>
      <c r="CT372" s="67"/>
      <c r="CU372" s="67"/>
      <c r="CV372" s="67"/>
      <c r="CW372" s="67"/>
      <c r="CX372" s="67"/>
      <c r="CY372" s="67"/>
      <c r="CZ372" s="67"/>
      <c r="DA372" s="67"/>
      <c r="DB372" s="67"/>
      <c r="DC372" s="67"/>
      <c r="DD372" s="67"/>
      <c r="DE372" s="67"/>
      <c r="DF372" s="67"/>
    </row>
    <row r="373">
      <c r="A373" s="62"/>
      <c r="B373" s="88"/>
      <c r="C373" s="88"/>
      <c r="D373" s="88"/>
      <c r="E373" s="90"/>
      <c r="F373" s="91"/>
      <c r="G373" s="49"/>
      <c r="H373" s="70"/>
      <c r="I373" s="88"/>
      <c r="J373" s="88"/>
      <c r="K373" s="88"/>
      <c r="L373" s="90"/>
      <c r="M373" s="91"/>
      <c r="N373" s="49"/>
      <c r="O373" s="71"/>
      <c r="P373" s="92"/>
      <c r="Q373" s="71"/>
      <c r="R373" s="92"/>
      <c r="S373" s="71"/>
      <c r="T373" s="71"/>
      <c r="U373" s="68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29"/>
      <c r="AN373" s="67"/>
      <c r="AO373" s="67"/>
      <c r="AP373" s="67"/>
      <c r="AQ373" s="67"/>
      <c r="AR373" s="67"/>
      <c r="AS373" s="67"/>
      <c r="AT373" s="67"/>
      <c r="AU373" s="67"/>
      <c r="AV373" s="67"/>
      <c r="AW373" s="67"/>
      <c r="AX373" s="67"/>
      <c r="AY373" s="67"/>
      <c r="AZ373" s="67"/>
      <c r="BA373" s="67"/>
      <c r="BB373" s="67"/>
      <c r="BC373" s="67"/>
      <c r="BD373" s="67"/>
      <c r="BE373" s="67"/>
      <c r="BF373" s="67"/>
      <c r="BG373" s="67"/>
      <c r="BH373" s="67"/>
      <c r="BI373" s="67"/>
      <c r="BJ373" s="67"/>
      <c r="BK373" s="67"/>
      <c r="BL373" s="67"/>
      <c r="BM373" s="67"/>
      <c r="BN373" s="67"/>
      <c r="BO373" s="67"/>
      <c r="BP373" s="67"/>
      <c r="BQ373" s="67"/>
      <c r="BR373" s="67"/>
      <c r="BS373" s="67"/>
      <c r="BT373" s="67"/>
      <c r="BU373" s="67"/>
      <c r="BV373" s="67"/>
      <c r="BW373" s="67"/>
      <c r="BX373" s="67"/>
      <c r="BY373" s="67"/>
      <c r="BZ373" s="67"/>
      <c r="CA373" s="67"/>
      <c r="CB373" s="67"/>
      <c r="CC373" s="67"/>
      <c r="CD373" s="67"/>
      <c r="CE373" s="67"/>
      <c r="CF373" s="67"/>
      <c r="CG373" s="67"/>
      <c r="CH373" s="67"/>
      <c r="CI373" s="67"/>
      <c r="CJ373" s="67"/>
      <c r="CK373" s="67"/>
      <c r="CL373" s="67"/>
      <c r="CM373" s="67"/>
      <c r="CN373" s="67"/>
      <c r="CO373" s="67"/>
      <c r="CP373" s="67"/>
      <c r="CQ373" s="67"/>
      <c r="CR373" s="67"/>
      <c r="CS373" s="67"/>
      <c r="CT373" s="67"/>
      <c r="CU373" s="67"/>
      <c r="CV373" s="67"/>
      <c r="CW373" s="67"/>
      <c r="CX373" s="67"/>
      <c r="CY373" s="67"/>
      <c r="CZ373" s="67"/>
      <c r="DA373" s="67"/>
      <c r="DB373" s="67"/>
      <c r="DC373" s="67"/>
      <c r="DD373" s="67"/>
      <c r="DE373" s="67"/>
      <c r="DF373" s="67"/>
    </row>
    <row r="374">
      <c r="A374" s="62"/>
      <c r="B374" s="88"/>
      <c r="C374" s="88"/>
      <c r="D374" s="88"/>
      <c r="E374" s="90"/>
      <c r="F374" s="91"/>
      <c r="G374" s="49"/>
      <c r="H374" s="70"/>
      <c r="I374" s="88"/>
      <c r="J374" s="88"/>
      <c r="K374" s="88"/>
      <c r="L374" s="90"/>
      <c r="M374" s="91"/>
      <c r="N374" s="49"/>
      <c r="O374" s="71"/>
      <c r="P374" s="92"/>
      <c r="Q374" s="71"/>
      <c r="R374" s="92"/>
      <c r="S374" s="71"/>
      <c r="T374" s="71"/>
      <c r="U374" s="68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29"/>
      <c r="AN374" s="67"/>
      <c r="AO374" s="67"/>
      <c r="AP374" s="67"/>
      <c r="AQ374" s="67"/>
      <c r="AR374" s="67"/>
      <c r="AS374" s="67"/>
      <c r="AT374" s="67"/>
      <c r="AU374" s="67"/>
      <c r="AV374" s="67"/>
      <c r="AW374" s="67"/>
      <c r="AX374" s="67"/>
      <c r="AY374" s="67"/>
      <c r="AZ374" s="67"/>
      <c r="BA374" s="67"/>
      <c r="BB374" s="67"/>
      <c r="BC374" s="67"/>
      <c r="BD374" s="67"/>
      <c r="BE374" s="67"/>
      <c r="BF374" s="67"/>
      <c r="BG374" s="67"/>
      <c r="BH374" s="67"/>
      <c r="BI374" s="67"/>
      <c r="BJ374" s="67"/>
      <c r="BK374" s="67"/>
      <c r="BL374" s="67"/>
      <c r="BM374" s="67"/>
      <c r="BN374" s="67"/>
      <c r="BO374" s="67"/>
      <c r="BP374" s="67"/>
      <c r="BQ374" s="67"/>
      <c r="BR374" s="67"/>
      <c r="BS374" s="67"/>
      <c r="BT374" s="67"/>
      <c r="BU374" s="67"/>
      <c r="BV374" s="67"/>
      <c r="BW374" s="67"/>
      <c r="BX374" s="67"/>
      <c r="BY374" s="67"/>
      <c r="BZ374" s="67"/>
      <c r="CA374" s="67"/>
      <c r="CB374" s="67"/>
      <c r="CC374" s="67"/>
      <c r="CD374" s="67"/>
      <c r="CE374" s="67"/>
      <c r="CF374" s="67"/>
      <c r="CG374" s="67"/>
      <c r="CH374" s="67"/>
      <c r="CI374" s="67"/>
      <c r="CJ374" s="67"/>
      <c r="CK374" s="67"/>
      <c r="CL374" s="67"/>
      <c r="CM374" s="67"/>
      <c r="CN374" s="67"/>
      <c r="CO374" s="67"/>
      <c r="CP374" s="67"/>
      <c r="CQ374" s="67"/>
      <c r="CR374" s="67"/>
      <c r="CS374" s="67"/>
      <c r="CT374" s="67"/>
      <c r="CU374" s="67"/>
      <c r="CV374" s="67"/>
      <c r="CW374" s="67"/>
      <c r="CX374" s="67"/>
      <c r="CY374" s="67"/>
      <c r="CZ374" s="67"/>
      <c r="DA374" s="67"/>
      <c r="DB374" s="67"/>
      <c r="DC374" s="67"/>
      <c r="DD374" s="67"/>
      <c r="DE374" s="67"/>
      <c r="DF374" s="67"/>
    </row>
    <row r="375">
      <c r="A375" s="62"/>
      <c r="B375" s="88"/>
      <c r="C375" s="88"/>
      <c r="D375" s="88"/>
      <c r="E375" s="90"/>
      <c r="F375" s="91"/>
      <c r="G375" s="49"/>
      <c r="H375" s="70"/>
      <c r="I375" s="88"/>
      <c r="J375" s="88"/>
      <c r="K375" s="88"/>
      <c r="L375" s="90"/>
      <c r="M375" s="91"/>
      <c r="N375" s="49"/>
      <c r="O375" s="71"/>
      <c r="P375" s="92"/>
      <c r="Q375" s="71"/>
      <c r="R375" s="92"/>
      <c r="S375" s="71"/>
      <c r="T375" s="71"/>
      <c r="U375" s="68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29"/>
      <c r="AN375" s="67"/>
      <c r="AO375" s="67"/>
      <c r="AP375" s="67"/>
      <c r="AQ375" s="67"/>
      <c r="AR375" s="67"/>
      <c r="AS375" s="67"/>
      <c r="AT375" s="67"/>
      <c r="AU375" s="67"/>
      <c r="AV375" s="67"/>
      <c r="AW375" s="67"/>
      <c r="AX375" s="67"/>
      <c r="AY375" s="67"/>
      <c r="AZ375" s="67"/>
      <c r="BA375" s="67"/>
      <c r="BB375" s="67"/>
      <c r="BC375" s="67"/>
      <c r="BD375" s="67"/>
      <c r="BE375" s="67"/>
      <c r="BF375" s="67"/>
      <c r="BG375" s="67"/>
      <c r="BH375" s="67"/>
      <c r="BI375" s="67"/>
      <c r="BJ375" s="67"/>
      <c r="BK375" s="67"/>
      <c r="BL375" s="67"/>
      <c r="BM375" s="67"/>
      <c r="BN375" s="67"/>
      <c r="BO375" s="67"/>
      <c r="BP375" s="67"/>
      <c r="BQ375" s="67"/>
      <c r="BR375" s="67"/>
      <c r="BS375" s="67"/>
      <c r="BT375" s="67"/>
      <c r="BU375" s="67"/>
      <c r="BV375" s="67"/>
      <c r="BW375" s="67"/>
      <c r="BX375" s="67"/>
      <c r="BY375" s="67"/>
      <c r="BZ375" s="67"/>
      <c r="CA375" s="67"/>
      <c r="CB375" s="67"/>
      <c r="CC375" s="67"/>
      <c r="CD375" s="67"/>
      <c r="CE375" s="67"/>
      <c r="CF375" s="67"/>
      <c r="CG375" s="67"/>
      <c r="CH375" s="67"/>
      <c r="CI375" s="67"/>
      <c r="CJ375" s="67"/>
      <c r="CK375" s="67"/>
      <c r="CL375" s="67"/>
      <c r="CM375" s="67"/>
      <c r="CN375" s="67"/>
      <c r="CO375" s="67"/>
      <c r="CP375" s="67"/>
      <c r="CQ375" s="67"/>
      <c r="CR375" s="67"/>
      <c r="CS375" s="67"/>
      <c r="CT375" s="67"/>
      <c r="CU375" s="67"/>
      <c r="CV375" s="67"/>
      <c r="CW375" s="67"/>
      <c r="CX375" s="67"/>
      <c r="CY375" s="67"/>
      <c r="CZ375" s="67"/>
      <c r="DA375" s="67"/>
      <c r="DB375" s="67"/>
      <c r="DC375" s="67"/>
      <c r="DD375" s="67"/>
      <c r="DE375" s="67"/>
      <c r="DF375" s="67"/>
    </row>
    <row r="376">
      <c r="A376" s="62"/>
      <c r="B376" s="88"/>
      <c r="C376" s="88"/>
      <c r="D376" s="88"/>
      <c r="E376" s="90"/>
      <c r="F376" s="91"/>
      <c r="G376" s="49"/>
      <c r="H376" s="70"/>
      <c r="I376" s="88"/>
      <c r="J376" s="88"/>
      <c r="K376" s="88"/>
      <c r="L376" s="90"/>
      <c r="M376" s="91"/>
      <c r="N376" s="49"/>
      <c r="O376" s="71"/>
      <c r="P376" s="92"/>
      <c r="Q376" s="71"/>
      <c r="R376" s="92"/>
      <c r="S376" s="71"/>
      <c r="T376" s="71"/>
      <c r="U376" s="68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29"/>
      <c r="AN376" s="67"/>
      <c r="AO376" s="67"/>
      <c r="AP376" s="67"/>
      <c r="AQ376" s="67"/>
      <c r="AR376" s="67"/>
      <c r="AS376" s="67"/>
      <c r="AT376" s="67"/>
      <c r="AU376" s="67"/>
      <c r="AV376" s="67"/>
      <c r="AW376" s="67"/>
      <c r="AX376" s="67"/>
      <c r="AY376" s="67"/>
      <c r="AZ376" s="67"/>
      <c r="BA376" s="67"/>
      <c r="BB376" s="67"/>
      <c r="BC376" s="67"/>
      <c r="BD376" s="67"/>
      <c r="BE376" s="67"/>
      <c r="BF376" s="67"/>
      <c r="BG376" s="67"/>
      <c r="BH376" s="67"/>
      <c r="BI376" s="67"/>
      <c r="BJ376" s="67"/>
      <c r="BK376" s="67"/>
      <c r="BL376" s="67"/>
      <c r="BM376" s="67"/>
      <c r="BN376" s="67"/>
      <c r="BO376" s="67"/>
      <c r="BP376" s="67"/>
      <c r="BQ376" s="67"/>
      <c r="BR376" s="67"/>
      <c r="BS376" s="67"/>
      <c r="BT376" s="67"/>
      <c r="BU376" s="67"/>
      <c r="BV376" s="67"/>
      <c r="BW376" s="67"/>
      <c r="BX376" s="67"/>
      <c r="BY376" s="67"/>
      <c r="BZ376" s="67"/>
      <c r="CA376" s="67"/>
      <c r="CB376" s="67"/>
      <c r="CC376" s="67"/>
      <c r="CD376" s="67"/>
      <c r="CE376" s="67"/>
      <c r="CF376" s="67"/>
      <c r="CG376" s="67"/>
      <c r="CH376" s="67"/>
      <c r="CI376" s="67"/>
      <c r="CJ376" s="67"/>
      <c r="CK376" s="67"/>
      <c r="CL376" s="67"/>
      <c r="CM376" s="67"/>
      <c r="CN376" s="67"/>
      <c r="CO376" s="67"/>
      <c r="CP376" s="67"/>
      <c r="CQ376" s="67"/>
      <c r="CR376" s="67"/>
      <c r="CS376" s="67"/>
      <c r="CT376" s="67"/>
      <c r="CU376" s="67"/>
      <c r="CV376" s="67"/>
      <c r="CW376" s="67"/>
      <c r="CX376" s="67"/>
      <c r="CY376" s="67"/>
      <c r="CZ376" s="67"/>
      <c r="DA376" s="67"/>
      <c r="DB376" s="67"/>
      <c r="DC376" s="67"/>
      <c r="DD376" s="67"/>
      <c r="DE376" s="67"/>
      <c r="DF376" s="67"/>
    </row>
    <row r="377">
      <c r="A377" s="62"/>
      <c r="B377" s="88"/>
      <c r="C377" s="88"/>
      <c r="D377" s="88"/>
      <c r="E377" s="90"/>
      <c r="F377" s="91"/>
      <c r="G377" s="49"/>
      <c r="H377" s="70"/>
      <c r="I377" s="88"/>
      <c r="J377" s="88"/>
      <c r="K377" s="88"/>
      <c r="L377" s="90"/>
      <c r="M377" s="91"/>
      <c r="N377" s="49"/>
      <c r="O377" s="71"/>
      <c r="P377" s="92"/>
      <c r="Q377" s="71"/>
      <c r="R377" s="92"/>
      <c r="S377" s="71"/>
      <c r="T377" s="71"/>
      <c r="U377" s="68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29"/>
      <c r="AN377" s="67"/>
      <c r="AO377" s="67"/>
      <c r="AP377" s="67"/>
      <c r="AQ377" s="67"/>
      <c r="AR377" s="67"/>
      <c r="AS377" s="67"/>
      <c r="AT377" s="67"/>
      <c r="AU377" s="67"/>
      <c r="AV377" s="67"/>
      <c r="AW377" s="67"/>
      <c r="AX377" s="67"/>
      <c r="AY377" s="67"/>
      <c r="AZ377" s="67"/>
      <c r="BA377" s="67"/>
      <c r="BB377" s="67"/>
      <c r="BC377" s="67"/>
      <c r="BD377" s="67"/>
      <c r="BE377" s="67"/>
      <c r="BF377" s="67"/>
      <c r="BG377" s="67"/>
      <c r="BH377" s="67"/>
      <c r="BI377" s="67"/>
      <c r="BJ377" s="67"/>
      <c r="BK377" s="67"/>
      <c r="BL377" s="67"/>
      <c r="BM377" s="67"/>
      <c r="BN377" s="67"/>
      <c r="BO377" s="67"/>
      <c r="BP377" s="67"/>
      <c r="BQ377" s="67"/>
      <c r="BR377" s="67"/>
      <c r="BS377" s="67"/>
      <c r="BT377" s="67"/>
      <c r="BU377" s="67"/>
      <c r="BV377" s="67"/>
      <c r="BW377" s="67"/>
      <c r="BX377" s="67"/>
      <c r="BY377" s="67"/>
      <c r="BZ377" s="67"/>
      <c r="CA377" s="67"/>
      <c r="CB377" s="67"/>
      <c r="CC377" s="67"/>
      <c r="CD377" s="67"/>
      <c r="CE377" s="67"/>
      <c r="CF377" s="67"/>
      <c r="CG377" s="67"/>
      <c r="CH377" s="67"/>
      <c r="CI377" s="67"/>
      <c r="CJ377" s="67"/>
      <c r="CK377" s="67"/>
      <c r="CL377" s="67"/>
      <c r="CM377" s="67"/>
      <c r="CN377" s="67"/>
      <c r="CO377" s="67"/>
      <c r="CP377" s="67"/>
      <c r="CQ377" s="67"/>
      <c r="CR377" s="67"/>
      <c r="CS377" s="67"/>
      <c r="CT377" s="67"/>
      <c r="CU377" s="67"/>
      <c r="CV377" s="67"/>
      <c r="CW377" s="67"/>
      <c r="CX377" s="67"/>
      <c r="CY377" s="67"/>
      <c r="CZ377" s="67"/>
      <c r="DA377" s="67"/>
      <c r="DB377" s="67"/>
      <c r="DC377" s="67"/>
      <c r="DD377" s="67"/>
      <c r="DE377" s="67"/>
      <c r="DF377" s="67"/>
    </row>
    <row r="378">
      <c r="A378" s="62"/>
      <c r="B378" s="88"/>
      <c r="C378" s="88"/>
      <c r="D378" s="88"/>
      <c r="E378" s="90"/>
      <c r="F378" s="91"/>
      <c r="G378" s="49"/>
      <c r="H378" s="70"/>
      <c r="I378" s="88"/>
      <c r="J378" s="88"/>
      <c r="K378" s="88"/>
      <c r="L378" s="90"/>
      <c r="M378" s="91"/>
      <c r="N378" s="49"/>
      <c r="O378" s="71"/>
      <c r="P378" s="92"/>
      <c r="Q378" s="71"/>
      <c r="R378" s="92"/>
      <c r="S378" s="71"/>
      <c r="T378" s="71"/>
      <c r="U378" s="68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29"/>
      <c r="AN378" s="67"/>
      <c r="AO378" s="67"/>
      <c r="AP378" s="67"/>
      <c r="AQ378" s="67"/>
      <c r="AR378" s="67"/>
      <c r="AS378" s="67"/>
      <c r="AT378" s="67"/>
      <c r="AU378" s="67"/>
      <c r="AV378" s="67"/>
      <c r="AW378" s="67"/>
      <c r="AX378" s="67"/>
      <c r="AY378" s="67"/>
      <c r="AZ378" s="67"/>
      <c r="BA378" s="67"/>
      <c r="BB378" s="67"/>
      <c r="BC378" s="67"/>
      <c r="BD378" s="67"/>
      <c r="BE378" s="67"/>
      <c r="BF378" s="67"/>
      <c r="BG378" s="67"/>
      <c r="BH378" s="67"/>
      <c r="BI378" s="67"/>
      <c r="BJ378" s="67"/>
      <c r="BK378" s="67"/>
      <c r="BL378" s="67"/>
      <c r="BM378" s="67"/>
      <c r="BN378" s="67"/>
      <c r="BO378" s="67"/>
      <c r="BP378" s="67"/>
      <c r="BQ378" s="67"/>
      <c r="BR378" s="67"/>
      <c r="BS378" s="67"/>
      <c r="BT378" s="67"/>
      <c r="BU378" s="67"/>
      <c r="BV378" s="67"/>
      <c r="BW378" s="67"/>
      <c r="BX378" s="67"/>
      <c r="BY378" s="67"/>
      <c r="BZ378" s="67"/>
      <c r="CA378" s="67"/>
      <c r="CB378" s="67"/>
      <c r="CC378" s="67"/>
      <c r="CD378" s="67"/>
      <c r="CE378" s="67"/>
      <c r="CF378" s="67"/>
      <c r="CG378" s="67"/>
      <c r="CH378" s="67"/>
      <c r="CI378" s="67"/>
      <c r="CJ378" s="67"/>
      <c r="CK378" s="67"/>
      <c r="CL378" s="67"/>
      <c r="CM378" s="67"/>
      <c r="CN378" s="67"/>
      <c r="CO378" s="67"/>
      <c r="CP378" s="67"/>
      <c r="CQ378" s="67"/>
      <c r="CR378" s="67"/>
      <c r="CS378" s="67"/>
      <c r="CT378" s="67"/>
      <c r="CU378" s="67"/>
      <c r="CV378" s="67"/>
      <c r="CW378" s="67"/>
      <c r="CX378" s="67"/>
      <c r="CY378" s="67"/>
      <c r="CZ378" s="67"/>
      <c r="DA378" s="67"/>
      <c r="DB378" s="67"/>
      <c r="DC378" s="67"/>
      <c r="DD378" s="67"/>
      <c r="DE378" s="67"/>
      <c r="DF378" s="67"/>
    </row>
    <row r="379">
      <c r="A379" s="62"/>
      <c r="B379" s="88"/>
      <c r="C379" s="88"/>
      <c r="D379" s="88"/>
      <c r="E379" s="90"/>
      <c r="F379" s="91"/>
      <c r="G379" s="49"/>
      <c r="H379" s="70"/>
      <c r="I379" s="88"/>
      <c r="J379" s="88"/>
      <c r="K379" s="88"/>
      <c r="L379" s="90"/>
      <c r="M379" s="91"/>
      <c r="N379" s="49"/>
      <c r="O379" s="71"/>
      <c r="P379" s="92"/>
      <c r="Q379" s="71"/>
      <c r="R379" s="92"/>
      <c r="S379" s="71"/>
      <c r="T379" s="71"/>
      <c r="U379" s="68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29"/>
      <c r="AN379" s="67"/>
      <c r="AO379" s="67"/>
      <c r="AP379" s="67"/>
      <c r="AQ379" s="67"/>
      <c r="AR379" s="67"/>
      <c r="AS379" s="67"/>
      <c r="AT379" s="67"/>
      <c r="AU379" s="67"/>
      <c r="AV379" s="67"/>
      <c r="AW379" s="67"/>
      <c r="AX379" s="67"/>
      <c r="AY379" s="67"/>
      <c r="AZ379" s="67"/>
      <c r="BA379" s="67"/>
      <c r="BB379" s="67"/>
      <c r="BC379" s="67"/>
      <c r="BD379" s="67"/>
      <c r="BE379" s="67"/>
      <c r="BF379" s="67"/>
      <c r="BG379" s="67"/>
      <c r="BH379" s="67"/>
      <c r="BI379" s="67"/>
      <c r="BJ379" s="67"/>
      <c r="BK379" s="67"/>
      <c r="BL379" s="67"/>
      <c r="BM379" s="67"/>
      <c r="BN379" s="67"/>
      <c r="BO379" s="67"/>
      <c r="BP379" s="67"/>
      <c r="BQ379" s="67"/>
      <c r="BR379" s="67"/>
      <c r="BS379" s="67"/>
      <c r="BT379" s="67"/>
      <c r="BU379" s="67"/>
      <c r="BV379" s="67"/>
      <c r="BW379" s="67"/>
      <c r="BX379" s="67"/>
      <c r="BY379" s="67"/>
      <c r="BZ379" s="67"/>
      <c r="CA379" s="67"/>
      <c r="CB379" s="67"/>
      <c r="CC379" s="67"/>
      <c r="CD379" s="67"/>
      <c r="CE379" s="67"/>
      <c r="CF379" s="67"/>
      <c r="CG379" s="67"/>
      <c r="CH379" s="67"/>
      <c r="CI379" s="67"/>
      <c r="CJ379" s="67"/>
      <c r="CK379" s="67"/>
      <c r="CL379" s="67"/>
      <c r="CM379" s="67"/>
      <c r="CN379" s="67"/>
      <c r="CO379" s="67"/>
      <c r="CP379" s="67"/>
      <c r="CQ379" s="67"/>
      <c r="CR379" s="67"/>
      <c r="CS379" s="67"/>
      <c r="CT379" s="67"/>
      <c r="CU379" s="67"/>
      <c r="CV379" s="67"/>
      <c r="CW379" s="67"/>
      <c r="CX379" s="67"/>
      <c r="CY379" s="67"/>
      <c r="CZ379" s="67"/>
      <c r="DA379" s="67"/>
      <c r="DB379" s="67"/>
      <c r="DC379" s="67"/>
      <c r="DD379" s="67"/>
      <c r="DE379" s="67"/>
      <c r="DF379" s="67"/>
    </row>
    <row r="380">
      <c r="A380" s="62"/>
      <c r="B380" s="88"/>
      <c r="C380" s="88"/>
      <c r="D380" s="88"/>
      <c r="E380" s="90"/>
      <c r="F380" s="91"/>
      <c r="G380" s="49"/>
      <c r="H380" s="70"/>
      <c r="I380" s="88"/>
      <c r="J380" s="88"/>
      <c r="K380" s="88"/>
      <c r="L380" s="90"/>
      <c r="M380" s="91"/>
      <c r="N380" s="49"/>
      <c r="O380" s="71"/>
      <c r="P380" s="92"/>
      <c r="Q380" s="71"/>
      <c r="R380" s="92"/>
      <c r="S380" s="71"/>
      <c r="T380" s="71"/>
      <c r="U380" s="68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29"/>
      <c r="AN380" s="67"/>
      <c r="AO380" s="67"/>
      <c r="AP380" s="67"/>
      <c r="AQ380" s="67"/>
      <c r="AR380" s="67"/>
      <c r="AS380" s="67"/>
      <c r="AT380" s="67"/>
      <c r="AU380" s="67"/>
      <c r="AV380" s="67"/>
      <c r="AW380" s="67"/>
      <c r="AX380" s="67"/>
      <c r="AY380" s="67"/>
      <c r="AZ380" s="67"/>
      <c r="BA380" s="67"/>
      <c r="BB380" s="67"/>
      <c r="BC380" s="67"/>
      <c r="BD380" s="67"/>
      <c r="BE380" s="67"/>
      <c r="BF380" s="67"/>
      <c r="BG380" s="67"/>
      <c r="BH380" s="67"/>
      <c r="BI380" s="67"/>
      <c r="BJ380" s="67"/>
      <c r="BK380" s="67"/>
      <c r="BL380" s="67"/>
      <c r="BM380" s="67"/>
      <c r="BN380" s="67"/>
      <c r="BO380" s="67"/>
      <c r="BP380" s="67"/>
      <c r="BQ380" s="67"/>
      <c r="BR380" s="67"/>
      <c r="BS380" s="67"/>
      <c r="BT380" s="67"/>
      <c r="BU380" s="67"/>
      <c r="BV380" s="67"/>
      <c r="BW380" s="67"/>
      <c r="BX380" s="67"/>
      <c r="BY380" s="67"/>
      <c r="BZ380" s="67"/>
      <c r="CA380" s="67"/>
      <c r="CB380" s="67"/>
      <c r="CC380" s="67"/>
      <c r="CD380" s="67"/>
      <c r="CE380" s="67"/>
      <c r="CF380" s="67"/>
      <c r="CG380" s="67"/>
      <c r="CH380" s="67"/>
      <c r="CI380" s="67"/>
      <c r="CJ380" s="67"/>
      <c r="CK380" s="67"/>
      <c r="CL380" s="67"/>
      <c r="CM380" s="67"/>
      <c r="CN380" s="67"/>
      <c r="CO380" s="67"/>
      <c r="CP380" s="67"/>
      <c r="CQ380" s="67"/>
      <c r="CR380" s="67"/>
      <c r="CS380" s="67"/>
      <c r="CT380" s="67"/>
      <c r="CU380" s="67"/>
      <c r="CV380" s="67"/>
      <c r="CW380" s="67"/>
      <c r="CX380" s="67"/>
      <c r="CY380" s="67"/>
      <c r="CZ380" s="67"/>
      <c r="DA380" s="67"/>
      <c r="DB380" s="67"/>
      <c r="DC380" s="67"/>
      <c r="DD380" s="67"/>
      <c r="DE380" s="67"/>
      <c r="DF380" s="67"/>
    </row>
    <row r="381">
      <c r="A381" s="62"/>
      <c r="B381" s="88"/>
      <c r="C381" s="88"/>
      <c r="D381" s="88"/>
      <c r="E381" s="90"/>
      <c r="F381" s="91"/>
      <c r="G381" s="49"/>
      <c r="H381" s="70"/>
      <c r="I381" s="88"/>
      <c r="J381" s="88"/>
      <c r="K381" s="88"/>
      <c r="L381" s="90"/>
      <c r="M381" s="91"/>
      <c r="N381" s="49"/>
      <c r="O381" s="71"/>
      <c r="P381" s="92"/>
      <c r="Q381" s="71"/>
      <c r="R381" s="92"/>
      <c r="S381" s="71"/>
      <c r="T381" s="71"/>
      <c r="U381" s="68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29"/>
      <c r="AN381" s="67"/>
      <c r="AO381" s="67"/>
      <c r="AP381" s="67"/>
      <c r="AQ381" s="67"/>
      <c r="AR381" s="67"/>
      <c r="AS381" s="67"/>
      <c r="AT381" s="67"/>
      <c r="AU381" s="67"/>
      <c r="AV381" s="67"/>
      <c r="AW381" s="67"/>
      <c r="AX381" s="67"/>
      <c r="AY381" s="67"/>
      <c r="AZ381" s="67"/>
      <c r="BA381" s="67"/>
      <c r="BB381" s="67"/>
      <c r="BC381" s="67"/>
      <c r="BD381" s="67"/>
      <c r="BE381" s="67"/>
      <c r="BF381" s="67"/>
      <c r="BG381" s="67"/>
      <c r="BH381" s="67"/>
      <c r="BI381" s="67"/>
      <c r="BJ381" s="67"/>
      <c r="BK381" s="67"/>
      <c r="BL381" s="67"/>
      <c r="BM381" s="67"/>
      <c r="BN381" s="67"/>
      <c r="BO381" s="67"/>
      <c r="BP381" s="67"/>
      <c r="BQ381" s="67"/>
      <c r="BR381" s="67"/>
      <c r="BS381" s="67"/>
      <c r="BT381" s="67"/>
      <c r="BU381" s="67"/>
      <c r="BV381" s="67"/>
      <c r="BW381" s="67"/>
      <c r="BX381" s="67"/>
      <c r="BY381" s="67"/>
      <c r="BZ381" s="67"/>
      <c r="CA381" s="67"/>
      <c r="CB381" s="67"/>
      <c r="CC381" s="67"/>
      <c r="CD381" s="67"/>
      <c r="CE381" s="67"/>
      <c r="CF381" s="67"/>
      <c r="CG381" s="67"/>
      <c r="CH381" s="67"/>
      <c r="CI381" s="67"/>
      <c r="CJ381" s="67"/>
      <c r="CK381" s="67"/>
      <c r="CL381" s="67"/>
      <c r="CM381" s="67"/>
      <c r="CN381" s="67"/>
      <c r="CO381" s="67"/>
      <c r="CP381" s="67"/>
      <c r="CQ381" s="67"/>
      <c r="CR381" s="67"/>
      <c r="CS381" s="67"/>
      <c r="CT381" s="67"/>
      <c r="CU381" s="67"/>
      <c r="CV381" s="67"/>
      <c r="CW381" s="67"/>
      <c r="CX381" s="67"/>
      <c r="CY381" s="67"/>
      <c r="CZ381" s="67"/>
      <c r="DA381" s="67"/>
      <c r="DB381" s="67"/>
      <c r="DC381" s="67"/>
      <c r="DD381" s="67"/>
      <c r="DE381" s="67"/>
      <c r="DF381" s="67"/>
    </row>
    <row r="382">
      <c r="A382" s="62"/>
      <c r="B382" s="88"/>
      <c r="C382" s="88"/>
      <c r="D382" s="88"/>
      <c r="E382" s="90"/>
      <c r="F382" s="91"/>
      <c r="G382" s="49"/>
      <c r="H382" s="70"/>
      <c r="I382" s="88"/>
      <c r="J382" s="88"/>
      <c r="K382" s="88"/>
      <c r="L382" s="90"/>
      <c r="M382" s="91"/>
      <c r="N382" s="49"/>
      <c r="O382" s="71"/>
      <c r="P382" s="92"/>
      <c r="Q382" s="71"/>
      <c r="R382" s="92"/>
      <c r="S382" s="71"/>
      <c r="T382" s="71"/>
      <c r="U382" s="68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29"/>
      <c r="AN382" s="67"/>
      <c r="AO382" s="67"/>
      <c r="AP382" s="67"/>
      <c r="AQ382" s="67"/>
      <c r="AR382" s="67"/>
      <c r="AS382" s="67"/>
      <c r="AT382" s="67"/>
      <c r="AU382" s="67"/>
      <c r="AV382" s="67"/>
      <c r="AW382" s="67"/>
      <c r="AX382" s="67"/>
      <c r="AY382" s="67"/>
      <c r="AZ382" s="67"/>
      <c r="BA382" s="67"/>
      <c r="BB382" s="67"/>
      <c r="BC382" s="67"/>
      <c r="BD382" s="67"/>
      <c r="BE382" s="67"/>
      <c r="BF382" s="67"/>
      <c r="BG382" s="67"/>
      <c r="BH382" s="67"/>
      <c r="BI382" s="67"/>
      <c r="BJ382" s="67"/>
      <c r="BK382" s="67"/>
      <c r="BL382" s="67"/>
      <c r="BM382" s="67"/>
      <c r="BN382" s="67"/>
      <c r="BO382" s="67"/>
      <c r="BP382" s="67"/>
      <c r="BQ382" s="67"/>
      <c r="BR382" s="67"/>
      <c r="BS382" s="67"/>
      <c r="BT382" s="67"/>
      <c r="BU382" s="67"/>
      <c r="BV382" s="67"/>
      <c r="BW382" s="67"/>
      <c r="BX382" s="67"/>
      <c r="BY382" s="67"/>
      <c r="BZ382" s="67"/>
      <c r="CA382" s="67"/>
      <c r="CB382" s="67"/>
      <c r="CC382" s="67"/>
      <c r="CD382" s="67"/>
      <c r="CE382" s="67"/>
      <c r="CF382" s="67"/>
      <c r="CG382" s="67"/>
      <c r="CH382" s="67"/>
      <c r="CI382" s="67"/>
      <c r="CJ382" s="67"/>
      <c r="CK382" s="67"/>
      <c r="CL382" s="67"/>
      <c r="CM382" s="67"/>
      <c r="CN382" s="67"/>
      <c r="CO382" s="67"/>
      <c r="CP382" s="67"/>
      <c r="CQ382" s="67"/>
      <c r="CR382" s="67"/>
      <c r="CS382" s="67"/>
      <c r="CT382" s="67"/>
      <c r="CU382" s="67"/>
      <c r="CV382" s="67"/>
      <c r="CW382" s="67"/>
      <c r="CX382" s="67"/>
      <c r="CY382" s="67"/>
      <c r="CZ382" s="67"/>
      <c r="DA382" s="67"/>
      <c r="DB382" s="67"/>
      <c r="DC382" s="67"/>
      <c r="DD382" s="67"/>
      <c r="DE382" s="67"/>
      <c r="DF382" s="67"/>
    </row>
    <row r="383">
      <c r="A383" s="62"/>
      <c r="B383" s="88"/>
      <c r="C383" s="88"/>
      <c r="D383" s="88"/>
      <c r="E383" s="90"/>
      <c r="F383" s="91"/>
      <c r="G383" s="49"/>
      <c r="H383" s="70"/>
      <c r="I383" s="88"/>
      <c r="J383" s="88"/>
      <c r="K383" s="88"/>
      <c r="L383" s="90"/>
      <c r="M383" s="91"/>
      <c r="N383" s="49"/>
      <c r="O383" s="71"/>
      <c r="P383" s="92"/>
      <c r="Q383" s="71"/>
      <c r="R383" s="92"/>
      <c r="S383" s="71"/>
      <c r="T383" s="71"/>
      <c r="U383" s="68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29"/>
      <c r="AN383" s="67"/>
      <c r="AO383" s="67"/>
      <c r="AP383" s="67"/>
      <c r="AQ383" s="67"/>
      <c r="AR383" s="67"/>
      <c r="AS383" s="67"/>
      <c r="AT383" s="67"/>
      <c r="AU383" s="67"/>
      <c r="AV383" s="67"/>
      <c r="AW383" s="67"/>
      <c r="AX383" s="67"/>
      <c r="AY383" s="67"/>
      <c r="AZ383" s="67"/>
      <c r="BA383" s="67"/>
      <c r="BB383" s="67"/>
      <c r="BC383" s="67"/>
      <c r="BD383" s="67"/>
      <c r="BE383" s="67"/>
      <c r="BF383" s="67"/>
      <c r="BG383" s="67"/>
      <c r="BH383" s="67"/>
      <c r="BI383" s="67"/>
      <c r="BJ383" s="67"/>
      <c r="BK383" s="67"/>
      <c r="BL383" s="67"/>
      <c r="BM383" s="67"/>
      <c r="BN383" s="67"/>
      <c r="BO383" s="67"/>
      <c r="BP383" s="67"/>
      <c r="BQ383" s="67"/>
      <c r="BR383" s="67"/>
      <c r="BS383" s="67"/>
      <c r="BT383" s="67"/>
      <c r="BU383" s="67"/>
      <c r="BV383" s="67"/>
      <c r="BW383" s="67"/>
      <c r="BX383" s="67"/>
      <c r="BY383" s="67"/>
      <c r="BZ383" s="67"/>
      <c r="CA383" s="67"/>
      <c r="CB383" s="67"/>
      <c r="CC383" s="67"/>
      <c r="CD383" s="67"/>
      <c r="CE383" s="67"/>
      <c r="CF383" s="67"/>
      <c r="CG383" s="67"/>
      <c r="CH383" s="67"/>
      <c r="CI383" s="67"/>
      <c r="CJ383" s="67"/>
      <c r="CK383" s="67"/>
      <c r="CL383" s="67"/>
      <c r="CM383" s="67"/>
      <c r="CN383" s="67"/>
      <c r="CO383" s="67"/>
      <c r="CP383" s="67"/>
      <c r="CQ383" s="67"/>
      <c r="CR383" s="67"/>
      <c r="CS383" s="67"/>
      <c r="CT383" s="67"/>
      <c r="CU383" s="67"/>
      <c r="CV383" s="67"/>
      <c r="CW383" s="67"/>
      <c r="CX383" s="67"/>
      <c r="CY383" s="67"/>
      <c r="CZ383" s="67"/>
      <c r="DA383" s="67"/>
      <c r="DB383" s="67"/>
      <c r="DC383" s="67"/>
      <c r="DD383" s="67"/>
      <c r="DE383" s="67"/>
      <c r="DF383" s="67"/>
    </row>
    <row r="384">
      <c r="A384" s="62"/>
      <c r="B384" s="88"/>
      <c r="C384" s="88"/>
      <c r="D384" s="88"/>
      <c r="E384" s="90"/>
      <c r="F384" s="91"/>
      <c r="G384" s="49"/>
      <c r="H384" s="70"/>
      <c r="I384" s="88"/>
      <c r="J384" s="88"/>
      <c r="K384" s="88"/>
      <c r="L384" s="90"/>
      <c r="M384" s="91"/>
      <c r="N384" s="49"/>
      <c r="O384" s="71"/>
      <c r="P384" s="92"/>
      <c r="Q384" s="71"/>
      <c r="R384" s="92"/>
      <c r="S384" s="71"/>
      <c r="T384" s="71"/>
      <c r="U384" s="68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29"/>
      <c r="AN384" s="67"/>
      <c r="AO384" s="67"/>
      <c r="AP384" s="67"/>
      <c r="AQ384" s="67"/>
      <c r="AR384" s="67"/>
      <c r="AS384" s="67"/>
      <c r="AT384" s="67"/>
      <c r="AU384" s="67"/>
      <c r="AV384" s="67"/>
      <c r="AW384" s="67"/>
      <c r="AX384" s="67"/>
      <c r="AY384" s="67"/>
      <c r="AZ384" s="67"/>
      <c r="BA384" s="67"/>
      <c r="BB384" s="67"/>
      <c r="BC384" s="67"/>
      <c r="BD384" s="67"/>
      <c r="BE384" s="67"/>
      <c r="BF384" s="67"/>
      <c r="BG384" s="67"/>
      <c r="BH384" s="67"/>
      <c r="BI384" s="67"/>
      <c r="BJ384" s="67"/>
      <c r="BK384" s="67"/>
      <c r="BL384" s="67"/>
      <c r="BM384" s="67"/>
      <c r="BN384" s="67"/>
      <c r="BO384" s="67"/>
      <c r="BP384" s="67"/>
      <c r="BQ384" s="67"/>
      <c r="BR384" s="67"/>
      <c r="BS384" s="67"/>
      <c r="BT384" s="67"/>
      <c r="BU384" s="67"/>
      <c r="BV384" s="67"/>
      <c r="BW384" s="67"/>
      <c r="BX384" s="67"/>
      <c r="BY384" s="67"/>
      <c r="BZ384" s="67"/>
      <c r="CA384" s="67"/>
      <c r="CB384" s="67"/>
      <c r="CC384" s="67"/>
      <c r="CD384" s="67"/>
      <c r="CE384" s="67"/>
      <c r="CF384" s="67"/>
      <c r="CG384" s="67"/>
      <c r="CH384" s="67"/>
      <c r="CI384" s="67"/>
      <c r="CJ384" s="67"/>
      <c r="CK384" s="67"/>
      <c r="CL384" s="67"/>
      <c r="CM384" s="67"/>
      <c r="CN384" s="67"/>
      <c r="CO384" s="67"/>
      <c r="CP384" s="67"/>
      <c r="CQ384" s="67"/>
      <c r="CR384" s="67"/>
      <c r="CS384" s="67"/>
      <c r="CT384" s="67"/>
      <c r="CU384" s="67"/>
      <c r="CV384" s="67"/>
      <c r="CW384" s="67"/>
      <c r="CX384" s="67"/>
      <c r="CY384" s="67"/>
      <c r="CZ384" s="67"/>
      <c r="DA384" s="67"/>
      <c r="DB384" s="67"/>
      <c r="DC384" s="67"/>
      <c r="DD384" s="67"/>
      <c r="DE384" s="67"/>
      <c r="DF384" s="67"/>
    </row>
    <row r="385">
      <c r="A385" s="62"/>
      <c r="B385" s="88"/>
      <c r="C385" s="88"/>
      <c r="D385" s="88"/>
      <c r="E385" s="90"/>
      <c r="F385" s="91"/>
      <c r="G385" s="49"/>
      <c r="H385" s="70"/>
      <c r="I385" s="88"/>
      <c r="J385" s="88"/>
      <c r="K385" s="88"/>
      <c r="L385" s="90"/>
      <c r="M385" s="91"/>
      <c r="N385" s="49"/>
      <c r="O385" s="71"/>
      <c r="P385" s="92"/>
      <c r="Q385" s="71"/>
      <c r="R385" s="92"/>
      <c r="S385" s="71"/>
      <c r="T385" s="71"/>
      <c r="U385" s="68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29"/>
      <c r="AN385" s="67"/>
      <c r="AO385" s="67"/>
      <c r="AP385" s="67"/>
      <c r="AQ385" s="67"/>
      <c r="AR385" s="67"/>
      <c r="AS385" s="67"/>
      <c r="AT385" s="67"/>
      <c r="AU385" s="67"/>
      <c r="AV385" s="67"/>
      <c r="AW385" s="67"/>
      <c r="AX385" s="67"/>
      <c r="AY385" s="67"/>
      <c r="AZ385" s="67"/>
      <c r="BA385" s="67"/>
      <c r="BB385" s="67"/>
      <c r="BC385" s="67"/>
      <c r="BD385" s="67"/>
      <c r="BE385" s="67"/>
      <c r="BF385" s="67"/>
      <c r="BG385" s="67"/>
      <c r="BH385" s="67"/>
      <c r="BI385" s="67"/>
      <c r="BJ385" s="67"/>
      <c r="BK385" s="67"/>
      <c r="BL385" s="67"/>
      <c r="BM385" s="67"/>
      <c r="BN385" s="67"/>
      <c r="BO385" s="67"/>
      <c r="BP385" s="67"/>
      <c r="BQ385" s="67"/>
      <c r="BR385" s="67"/>
      <c r="BS385" s="67"/>
      <c r="BT385" s="67"/>
      <c r="BU385" s="67"/>
      <c r="BV385" s="67"/>
      <c r="BW385" s="67"/>
      <c r="BX385" s="67"/>
      <c r="BY385" s="67"/>
      <c r="BZ385" s="67"/>
      <c r="CA385" s="67"/>
      <c r="CB385" s="67"/>
      <c r="CC385" s="67"/>
      <c r="CD385" s="67"/>
      <c r="CE385" s="67"/>
      <c r="CF385" s="67"/>
      <c r="CG385" s="67"/>
      <c r="CH385" s="67"/>
      <c r="CI385" s="67"/>
      <c r="CJ385" s="67"/>
      <c r="CK385" s="67"/>
      <c r="CL385" s="67"/>
      <c r="CM385" s="67"/>
      <c r="CN385" s="67"/>
      <c r="CO385" s="67"/>
      <c r="CP385" s="67"/>
      <c r="CQ385" s="67"/>
      <c r="CR385" s="67"/>
      <c r="CS385" s="67"/>
      <c r="CT385" s="67"/>
      <c r="CU385" s="67"/>
      <c r="CV385" s="67"/>
      <c r="CW385" s="67"/>
      <c r="CX385" s="67"/>
      <c r="CY385" s="67"/>
      <c r="CZ385" s="67"/>
      <c r="DA385" s="67"/>
      <c r="DB385" s="67"/>
      <c r="DC385" s="67"/>
      <c r="DD385" s="67"/>
      <c r="DE385" s="67"/>
      <c r="DF385" s="67"/>
    </row>
    <row r="386">
      <c r="A386" s="62"/>
      <c r="B386" s="88"/>
      <c r="C386" s="88"/>
      <c r="D386" s="88"/>
      <c r="E386" s="90"/>
      <c r="F386" s="91"/>
      <c r="G386" s="49"/>
      <c r="H386" s="70"/>
      <c r="I386" s="88"/>
      <c r="J386" s="88"/>
      <c r="K386" s="88"/>
      <c r="L386" s="90"/>
      <c r="M386" s="91"/>
      <c r="N386" s="49"/>
      <c r="O386" s="71"/>
      <c r="P386" s="92"/>
      <c r="Q386" s="71"/>
      <c r="R386" s="92"/>
      <c r="S386" s="71"/>
      <c r="T386" s="71"/>
      <c r="U386" s="68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29"/>
      <c r="AN386" s="67"/>
      <c r="AO386" s="67"/>
      <c r="AP386" s="67"/>
      <c r="AQ386" s="67"/>
      <c r="AR386" s="67"/>
      <c r="AS386" s="67"/>
      <c r="AT386" s="67"/>
      <c r="AU386" s="67"/>
      <c r="AV386" s="67"/>
      <c r="AW386" s="67"/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67"/>
      <c r="BJ386" s="67"/>
      <c r="BK386" s="67"/>
      <c r="BL386" s="67"/>
      <c r="BM386" s="67"/>
      <c r="BN386" s="67"/>
      <c r="BO386" s="67"/>
      <c r="BP386" s="67"/>
      <c r="BQ386" s="67"/>
      <c r="BR386" s="67"/>
      <c r="BS386" s="67"/>
      <c r="BT386" s="67"/>
      <c r="BU386" s="67"/>
      <c r="BV386" s="67"/>
      <c r="BW386" s="67"/>
      <c r="BX386" s="67"/>
      <c r="BY386" s="67"/>
      <c r="BZ386" s="67"/>
      <c r="CA386" s="67"/>
      <c r="CB386" s="67"/>
      <c r="CC386" s="67"/>
      <c r="CD386" s="67"/>
      <c r="CE386" s="67"/>
      <c r="CF386" s="67"/>
      <c r="CG386" s="67"/>
      <c r="CH386" s="67"/>
      <c r="CI386" s="67"/>
      <c r="CJ386" s="67"/>
      <c r="CK386" s="67"/>
      <c r="CL386" s="67"/>
      <c r="CM386" s="67"/>
      <c r="CN386" s="67"/>
      <c r="CO386" s="67"/>
      <c r="CP386" s="67"/>
      <c r="CQ386" s="67"/>
      <c r="CR386" s="67"/>
      <c r="CS386" s="67"/>
      <c r="CT386" s="67"/>
      <c r="CU386" s="67"/>
      <c r="CV386" s="67"/>
      <c r="CW386" s="67"/>
      <c r="CX386" s="67"/>
      <c r="CY386" s="67"/>
      <c r="CZ386" s="67"/>
      <c r="DA386" s="67"/>
      <c r="DB386" s="67"/>
      <c r="DC386" s="67"/>
      <c r="DD386" s="67"/>
      <c r="DE386" s="67"/>
      <c r="DF386" s="67"/>
    </row>
    <row r="387">
      <c r="A387" s="62"/>
      <c r="B387" s="88"/>
      <c r="C387" s="88"/>
      <c r="D387" s="88"/>
      <c r="E387" s="90"/>
      <c r="F387" s="91"/>
      <c r="G387" s="49"/>
      <c r="H387" s="70"/>
      <c r="I387" s="88"/>
      <c r="J387" s="88"/>
      <c r="K387" s="88"/>
      <c r="L387" s="90"/>
      <c r="M387" s="91"/>
      <c r="N387" s="49"/>
      <c r="O387" s="71"/>
      <c r="P387" s="92"/>
      <c r="Q387" s="71"/>
      <c r="R387" s="92"/>
      <c r="S387" s="71"/>
      <c r="T387" s="71"/>
      <c r="U387" s="68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29"/>
      <c r="AN387" s="67"/>
      <c r="AO387" s="67"/>
      <c r="AP387" s="67"/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67"/>
      <c r="BJ387" s="67"/>
      <c r="BK387" s="67"/>
      <c r="BL387" s="67"/>
      <c r="BM387" s="67"/>
      <c r="BN387" s="67"/>
      <c r="BO387" s="67"/>
      <c r="BP387" s="67"/>
      <c r="BQ387" s="67"/>
      <c r="BR387" s="67"/>
      <c r="BS387" s="67"/>
      <c r="BT387" s="67"/>
      <c r="BU387" s="67"/>
      <c r="BV387" s="67"/>
      <c r="BW387" s="67"/>
      <c r="BX387" s="67"/>
      <c r="BY387" s="67"/>
      <c r="BZ387" s="67"/>
      <c r="CA387" s="67"/>
      <c r="CB387" s="67"/>
      <c r="CC387" s="67"/>
      <c r="CD387" s="67"/>
      <c r="CE387" s="67"/>
      <c r="CF387" s="67"/>
      <c r="CG387" s="67"/>
      <c r="CH387" s="67"/>
      <c r="CI387" s="67"/>
      <c r="CJ387" s="67"/>
      <c r="CK387" s="67"/>
      <c r="CL387" s="67"/>
      <c r="CM387" s="67"/>
      <c r="CN387" s="67"/>
      <c r="CO387" s="67"/>
      <c r="CP387" s="67"/>
      <c r="CQ387" s="67"/>
      <c r="CR387" s="67"/>
      <c r="CS387" s="67"/>
      <c r="CT387" s="67"/>
      <c r="CU387" s="67"/>
      <c r="CV387" s="67"/>
      <c r="CW387" s="67"/>
      <c r="CX387" s="67"/>
      <c r="CY387" s="67"/>
      <c r="CZ387" s="67"/>
      <c r="DA387" s="67"/>
      <c r="DB387" s="67"/>
      <c r="DC387" s="67"/>
      <c r="DD387" s="67"/>
      <c r="DE387" s="67"/>
      <c r="DF387" s="67"/>
    </row>
    <row r="388">
      <c r="A388" s="62"/>
      <c r="B388" s="88"/>
      <c r="C388" s="88"/>
      <c r="D388" s="88"/>
      <c r="E388" s="90"/>
      <c r="F388" s="91"/>
      <c r="G388" s="49"/>
      <c r="H388" s="70"/>
      <c r="I388" s="88"/>
      <c r="J388" s="88"/>
      <c r="K388" s="88"/>
      <c r="L388" s="90"/>
      <c r="M388" s="91"/>
      <c r="N388" s="49"/>
      <c r="O388" s="71"/>
      <c r="P388" s="92"/>
      <c r="Q388" s="71"/>
      <c r="R388" s="92"/>
      <c r="S388" s="71"/>
      <c r="T388" s="71"/>
      <c r="U388" s="68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29"/>
      <c r="AN388" s="67"/>
      <c r="AO388" s="67"/>
      <c r="AP388" s="67"/>
      <c r="AQ388" s="67"/>
      <c r="AR388" s="67"/>
      <c r="AS388" s="67"/>
      <c r="AT388" s="67"/>
      <c r="AU388" s="67"/>
      <c r="AV388" s="67"/>
      <c r="AW388" s="67"/>
      <c r="AX388" s="67"/>
      <c r="AY388" s="67"/>
      <c r="AZ388" s="67"/>
      <c r="BA388" s="67"/>
      <c r="BB388" s="67"/>
      <c r="BC388" s="67"/>
      <c r="BD388" s="67"/>
      <c r="BE388" s="67"/>
      <c r="BF388" s="67"/>
      <c r="BG388" s="67"/>
      <c r="BH388" s="67"/>
      <c r="BI388" s="67"/>
      <c r="BJ388" s="67"/>
      <c r="BK388" s="67"/>
      <c r="BL388" s="67"/>
      <c r="BM388" s="67"/>
      <c r="BN388" s="67"/>
      <c r="BO388" s="67"/>
      <c r="BP388" s="67"/>
      <c r="BQ388" s="67"/>
      <c r="BR388" s="67"/>
      <c r="BS388" s="67"/>
      <c r="BT388" s="67"/>
      <c r="BU388" s="67"/>
      <c r="BV388" s="67"/>
      <c r="BW388" s="67"/>
      <c r="BX388" s="67"/>
      <c r="BY388" s="67"/>
      <c r="BZ388" s="67"/>
      <c r="CA388" s="67"/>
      <c r="CB388" s="67"/>
      <c r="CC388" s="67"/>
      <c r="CD388" s="67"/>
      <c r="CE388" s="67"/>
      <c r="CF388" s="67"/>
      <c r="CG388" s="67"/>
      <c r="CH388" s="67"/>
      <c r="CI388" s="67"/>
      <c r="CJ388" s="67"/>
      <c r="CK388" s="67"/>
      <c r="CL388" s="67"/>
      <c r="CM388" s="67"/>
      <c r="CN388" s="67"/>
      <c r="CO388" s="67"/>
      <c r="CP388" s="67"/>
      <c r="CQ388" s="67"/>
      <c r="CR388" s="67"/>
      <c r="CS388" s="67"/>
      <c r="CT388" s="67"/>
      <c r="CU388" s="67"/>
      <c r="CV388" s="67"/>
      <c r="CW388" s="67"/>
      <c r="CX388" s="67"/>
      <c r="CY388" s="67"/>
      <c r="CZ388" s="67"/>
      <c r="DA388" s="67"/>
      <c r="DB388" s="67"/>
      <c r="DC388" s="67"/>
      <c r="DD388" s="67"/>
      <c r="DE388" s="67"/>
      <c r="DF388" s="67"/>
    </row>
    <row r="389">
      <c r="A389" s="62"/>
      <c r="B389" s="88"/>
      <c r="C389" s="88"/>
      <c r="D389" s="88"/>
      <c r="E389" s="90"/>
      <c r="F389" s="91"/>
      <c r="G389" s="49"/>
      <c r="H389" s="70"/>
      <c r="I389" s="88"/>
      <c r="J389" s="88"/>
      <c r="K389" s="88"/>
      <c r="L389" s="90"/>
      <c r="M389" s="91"/>
      <c r="N389" s="49"/>
      <c r="O389" s="71"/>
      <c r="P389" s="92"/>
      <c r="Q389" s="71"/>
      <c r="R389" s="92"/>
      <c r="S389" s="71"/>
      <c r="T389" s="71"/>
      <c r="U389" s="68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29"/>
      <c r="AN389" s="67"/>
      <c r="AO389" s="67"/>
      <c r="AP389" s="67"/>
      <c r="AQ389" s="67"/>
      <c r="AR389" s="67"/>
      <c r="AS389" s="67"/>
      <c r="AT389" s="67"/>
      <c r="AU389" s="67"/>
      <c r="AV389" s="67"/>
      <c r="AW389" s="67"/>
      <c r="AX389" s="67"/>
      <c r="AY389" s="67"/>
      <c r="AZ389" s="67"/>
      <c r="BA389" s="67"/>
      <c r="BB389" s="67"/>
      <c r="BC389" s="67"/>
      <c r="BD389" s="67"/>
      <c r="BE389" s="67"/>
      <c r="BF389" s="67"/>
      <c r="BG389" s="67"/>
      <c r="BH389" s="67"/>
      <c r="BI389" s="67"/>
      <c r="BJ389" s="67"/>
      <c r="BK389" s="67"/>
      <c r="BL389" s="67"/>
      <c r="BM389" s="67"/>
      <c r="BN389" s="67"/>
      <c r="BO389" s="67"/>
      <c r="BP389" s="67"/>
      <c r="BQ389" s="67"/>
      <c r="BR389" s="67"/>
      <c r="BS389" s="67"/>
      <c r="BT389" s="67"/>
      <c r="BU389" s="67"/>
      <c r="BV389" s="67"/>
      <c r="BW389" s="67"/>
      <c r="BX389" s="67"/>
      <c r="BY389" s="67"/>
      <c r="BZ389" s="67"/>
      <c r="CA389" s="67"/>
      <c r="CB389" s="67"/>
      <c r="CC389" s="67"/>
      <c r="CD389" s="67"/>
      <c r="CE389" s="67"/>
      <c r="CF389" s="67"/>
      <c r="CG389" s="67"/>
      <c r="CH389" s="67"/>
      <c r="CI389" s="67"/>
      <c r="CJ389" s="67"/>
      <c r="CK389" s="67"/>
      <c r="CL389" s="67"/>
      <c r="CM389" s="67"/>
      <c r="CN389" s="67"/>
      <c r="CO389" s="67"/>
      <c r="CP389" s="67"/>
      <c r="CQ389" s="67"/>
      <c r="CR389" s="67"/>
      <c r="CS389" s="67"/>
      <c r="CT389" s="67"/>
      <c r="CU389" s="67"/>
      <c r="CV389" s="67"/>
      <c r="CW389" s="67"/>
      <c r="CX389" s="67"/>
      <c r="CY389" s="67"/>
      <c r="CZ389" s="67"/>
      <c r="DA389" s="67"/>
      <c r="DB389" s="67"/>
      <c r="DC389" s="67"/>
      <c r="DD389" s="67"/>
      <c r="DE389" s="67"/>
      <c r="DF389" s="67"/>
    </row>
    <row r="390">
      <c r="A390" s="62"/>
      <c r="B390" s="88"/>
      <c r="C390" s="88"/>
      <c r="D390" s="88"/>
      <c r="E390" s="90"/>
      <c r="F390" s="91"/>
      <c r="G390" s="49"/>
      <c r="H390" s="70"/>
      <c r="I390" s="88"/>
      <c r="J390" s="88"/>
      <c r="K390" s="88"/>
      <c r="L390" s="90"/>
      <c r="M390" s="91"/>
      <c r="N390" s="49"/>
      <c r="O390" s="71"/>
      <c r="P390" s="92"/>
      <c r="Q390" s="71"/>
      <c r="R390" s="92"/>
      <c r="S390" s="71"/>
      <c r="T390" s="71"/>
      <c r="U390" s="68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29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  <c r="BM390" s="67"/>
      <c r="BN390" s="67"/>
      <c r="BO390" s="67"/>
      <c r="BP390" s="67"/>
      <c r="BQ390" s="67"/>
      <c r="BR390" s="67"/>
      <c r="BS390" s="67"/>
      <c r="BT390" s="67"/>
      <c r="BU390" s="67"/>
      <c r="BV390" s="67"/>
      <c r="BW390" s="67"/>
      <c r="BX390" s="67"/>
      <c r="BY390" s="67"/>
      <c r="BZ390" s="67"/>
      <c r="CA390" s="67"/>
      <c r="CB390" s="67"/>
      <c r="CC390" s="67"/>
      <c r="CD390" s="67"/>
      <c r="CE390" s="67"/>
      <c r="CF390" s="67"/>
      <c r="CG390" s="67"/>
      <c r="CH390" s="67"/>
      <c r="CI390" s="67"/>
      <c r="CJ390" s="67"/>
      <c r="CK390" s="67"/>
      <c r="CL390" s="67"/>
      <c r="CM390" s="67"/>
      <c r="CN390" s="67"/>
      <c r="CO390" s="67"/>
      <c r="CP390" s="67"/>
      <c r="CQ390" s="67"/>
      <c r="CR390" s="67"/>
      <c r="CS390" s="67"/>
      <c r="CT390" s="67"/>
      <c r="CU390" s="67"/>
      <c r="CV390" s="67"/>
      <c r="CW390" s="67"/>
      <c r="CX390" s="67"/>
      <c r="CY390" s="67"/>
      <c r="CZ390" s="67"/>
      <c r="DA390" s="67"/>
      <c r="DB390" s="67"/>
      <c r="DC390" s="67"/>
      <c r="DD390" s="67"/>
      <c r="DE390" s="67"/>
      <c r="DF390" s="67"/>
    </row>
    <row r="391">
      <c r="A391" s="62"/>
      <c r="B391" s="88"/>
      <c r="C391" s="88"/>
      <c r="D391" s="88"/>
      <c r="E391" s="90"/>
      <c r="F391" s="91"/>
      <c r="G391" s="49"/>
      <c r="H391" s="70"/>
      <c r="I391" s="88"/>
      <c r="J391" s="88"/>
      <c r="K391" s="88"/>
      <c r="L391" s="90"/>
      <c r="M391" s="91"/>
      <c r="N391" s="49"/>
      <c r="O391" s="71"/>
      <c r="P391" s="92"/>
      <c r="Q391" s="71"/>
      <c r="R391" s="92"/>
      <c r="S391" s="71"/>
      <c r="T391" s="71"/>
      <c r="U391" s="68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29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BM391" s="67"/>
      <c r="BN391" s="67"/>
      <c r="BO391" s="67"/>
      <c r="BP391" s="67"/>
      <c r="BQ391" s="67"/>
      <c r="BR391" s="67"/>
      <c r="BS391" s="67"/>
      <c r="BT391" s="67"/>
      <c r="BU391" s="67"/>
      <c r="BV391" s="67"/>
      <c r="BW391" s="67"/>
      <c r="BX391" s="67"/>
      <c r="BY391" s="67"/>
      <c r="BZ391" s="67"/>
      <c r="CA391" s="67"/>
      <c r="CB391" s="67"/>
      <c r="CC391" s="67"/>
      <c r="CD391" s="67"/>
      <c r="CE391" s="67"/>
      <c r="CF391" s="67"/>
      <c r="CG391" s="67"/>
      <c r="CH391" s="67"/>
      <c r="CI391" s="67"/>
      <c r="CJ391" s="67"/>
      <c r="CK391" s="67"/>
      <c r="CL391" s="67"/>
      <c r="CM391" s="67"/>
      <c r="CN391" s="67"/>
      <c r="CO391" s="67"/>
      <c r="CP391" s="67"/>
      <c r="CQ391" s="67"/>
      <c r="CR391" s="67"/>
      <c r="CS391" s="67"/>
      <c r="CT391" s="67"/>
      <c r="CU391" s="67"/>
      <c r="CV391" s="67"/>
      <c r="CW391" s="67"/>
      <c r="CX391" s="67"/>
      <c r="CY391" s="67"/>
      <c r="CZ391" s="67"/>
      <c r="DA391" s="67"/>
      <c r="DB391" s="67"/>
      <c r="DC391" s="67"/>
      <c r="DD391" s="67"/>
      <c r="DE391" s="67"/>
      <c r="DF391" s="67"/>
    </row>
    <row r="392">
      <c r="A392" s="62"/>
      <c r="B392" s="88"/>
      <c r="C392" s="88"/>
      <c r="D392" s="88"/>
      <c r="E392" s="90"/>
      <c r="F392" s="91"/>
      <c r="G392" s="49"/>
      <c r="H392" s="70"/>
      <c r="I392" s="88"/>
      <c r="J392" s="88"/>
      <c r="K392" s="88"/>
      <c r="L392" s="90"/>
      <c r="M392" s="91"/>
      <c r="N392" s="49"/>
      <c r="O392" s="71"/>
      <c r="P392" s="92"/>
      <c r="Q392" s="71"/>
      <c r="R392" s="92"/>
      <c r="S392" s="71"/>
      <c r="T392" s="71"/>
      <c r="U392" s="68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29"/>
      <c r="AN392" s="67"/>
      <c r="AO392" s="67"/>
      <c r="AP392" s="67"/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  <c r="BK392" s="67"/>
      <c r="BL392" s="67"/>
      <c r="BM392" s="67"/>
      <c r="BN392" s="67"/>
      <c r="BO392" s="67"/>
      <c r="BP392" s="67"/>
      <c r="BQ392" s="67"/>
      <c r="BR392" s="67"/>
      <c r="BS392" s="67"/>
      <c r="BT392" s="67"/>
      <c r="BU392" s="67"/>
      <c r="BV392" s="67"/>
      <c r="BW392" s="67"/>
      <c r="BX392" s="67"/>
      <c r="BY392" s="67"/>
      <c r="BZ392" s="67"/>
      <c r="CA392" s="67"/>
      <c r="CB392" s="67"/>
      <c r="CC392" s="67"/>
      <c r="CD392" s="67"/>
      <c r="CE392" s="67"/>
      <c r="CF392" s="67"/>
      <c r="CG392" s="67"/>
      <c r="CH392" s="67"/>
      <c r="CI392" s="67"/>
      <c r="CJ392" s="67"/>
      <c r="CK392" s="67"/>
      <c r="CL392" s="67"/>
      <c r="CM392" s="67"/>
      <c r="CN392" s="67"/>
      <c r="CO392" s="67"/>
      <c r="CP392" s="67"/>
      <c r="CQ392" s="67"/>
      <c r="CR392" s="67"/>
      <c r="CS392" s="67"/>
      <c r="CT392" s="67"/>
      <c r="CU392" s="67"/>
      <c r="CV392" s="67"/>
      <c r="CW392" s="67"/>
      <c r="CX392" s="67"/>
      <c r="CY392" s="67"/>
      <c r="CZ392" s="67"/>
      <c r="DA392" s="67"/>
      <c r="DB392" s="67"/>
      <c r="DC392" s="67"/>
      <c r="DD392" s="67"/>
      <c r="DE392" s="67"/>
      <c r="DF392" s="67"/>
    </row>
    <row r="393">
      <c r="A393" s="62"/>
      <c r="B393" s="88"/>
      <c r="C393" s="88"/>
      <c r="D393" s="88"/>
      <c r="E393" s="90"/>
      <c r="F393" s="91"/>
      <c r="G393" s="49"/>
      <c r="H393" s="70"/>
      <c r="I393" s="88"/>
      <c r="J393" s="88"/>
      <c r="K393" s="88"/>
      <c r="L393" s="90"/>
      <c r="M393" s="91"/>
      <c r="N393" s="49"/>
      <c r="O393" s="71"/>
      <c r="P393" s="92"/>
      <c r="Q393" s="71"/>
      <c r="R393" s="92"/>
      <c r="S393" s="71"/>
      <c r="T393" s="71"/>
      <c r="U393" s="68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29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  <c r="BK393" s="67"/>
      <c r="BL393" s="67"/>
      <c r="BM393" s="67"/>
      <c r="BN393" s="67"/>
      <c r="BO393" s="67"/>
      <c r="BP393" s="67"/>
      <c r="BQ393" s="67"/>
      <c r="BR393" s="67"/>
      <c r="BS393" s="67"/>
      <c r="BT393" s="67"/>
      <c r="BU393" s="67"/>
      <c r="BV393" s="67"/>
      <c r="BW393" s="67"/>
      <c r="BX393" s="67"/>
      <c r="BY393" s="67"/>
      <c r="BZ393" s="67"/>
      <c r="CA393" s="67"/>
      <c r="CB393" s="67"/>
      <c r="CC393" s="67"/>
      <c r="CD393" s="67"/>
      <c r="CE393" s="67"/>
      <c r="CF393" s="67"/>
      <c r="CG393" s="67"/>
      <c r="CH393" s="67"/>
      <c r="CI393" s="67"/>
      <c r="CJ393" s="67"/>
      <c r="CK393" s="67"/>
      <c r="CL393" s="67"/>
      <c r="CM393" s="67"/>
      <c r="CN393" s="67"/>
      <c r="CO393" s="67"/>
      <c r="CP393" s="67"/>
      <c r="CQ393" s="67"/>
      <c r="CR393" s="67"/>
      <c r="CS393" s="67"/>
      <c r="CT393" s="67"/>
      <c r="CU393" s="67"/>
      <c r="CV393" s="67"/>
      <c r="CW393" s="67"/>
      <c r="CX393" s="67"/>
      <c r="CY393" s="67"/>
      <c r="CZ393" s="67"/>
      <c r="DA393" s="67"/>
      <c r="DB393" s="67"/>
      <c r="DC393" s="67"/>
      <c r="DD393" s="67"/>
      <c r="DE393" s="67"/>
      <c r="DF393" s="67"/>
    </row>
    <row r="394">
      <c r="A394" s="62"/>
      <c r="B394" s="88"/>
      <c r="C394" s="88"/>
      <c r="D394" s="88"/>
      <c r="E394" s="90"/>
      <c r="F394" s="91"/>
      <c r="G394" s="49"/>
      <c r="H394" s="70"/>
      <c r="I394" s="88"/>
      <c r="J394" s="88"/>
      <c r="K394" s="88"/>
      <c r="L394" s="90"/>
      <c r="M394" s="91"/>
      <c r="N394" s="49"/>
      <c r="O394" s="71"/>
      <c r="P394" s="92"/>
      <c r="Q394" s="71"/>
      <c r="R394" s="92"/>
      <c r="S394" s="71"/>
      <c r="T394" s="71"/>
      <c r="U394" s="68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29"/>
      <c r="AN394" s="67"/>
      <c r="AO394" s="67"/>
      <c r="AP394" s="67"/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  <c r="BK394" s="67"/>
      <c r="BL394" s="67"/>
      <c r="BM394" s="67"/>
      <c r="BN394" s="67"/>
      <c r="BO394" s="67"/>
      <c r="BP394" s="67"/>
      <c r="BQ394" s="67"/>
      <c r="BR394" s="67"/>
      <c r="BS394" s="67"/>
      <c r="BT394" s="67"/>
      <c r="BU394" s="67"/>
      <c r="BV394" s="67"/>
      <c r="BW394" s="67"/>
      <c r="BX394" s="67"/>
      <c r="BY394" s="67"/>
      <c r="BZ394" s="67"/>
      <c r="CA394" s="67"/>
      <c r="CB394" s="67"/>
      <c r="CC394" s="67"/>
      <c r="CD394" s="67"/>
      <c r="CE394" s="67"/>
      <c r="CF394" s="67"/>
      <c r="CG394" s="67"/>
      <c r="CH394" s="67"/>
      <c r="CI394" s="67"/>
      <c r="CJ394" s="67"/>
      <c r="CK394" s="67"/>
      <c r="CL394" s="67"/>
      <c r="CM394" s="67"/>
      <c r="CN394" s="67"/>
      <c r="CO394" s="67"/>
      <c r="CP394" s="67"/>
      <c r="CQ394" s="67"/>
      <c r="CR394" s="67"/>
      <c r="CS394" s="67"/>
      <c r="CT394" s="67"/>
      <c r="CU394" s="67"/>
      <c r="CV394" s="67"/>
      <c r="CW394" s="67"/>
      <c r="CX394" s="67"/>
      <c r="CY394" s="67"/>
      <c r="CZ394" s="67"/>
      <c r="DA394" s="67"/>
      <c r="DB394" s="67"/>
      <c r="DC394" s="67"/>
      <c r="DD394" s="67"/>
      <c r="DE394" s="67"/>
      <c r="DF394" s="67"/>
    </row>
    <row r="395">
      <c r="A395" s="62"/>
      <c r="B395" s="88"/>
      <c r="C395" s="88"/>
      <c r="D395" s="88"/>
      <c r="E395" s="90"/>
      <c r="F395" s="91"/>
      <c r="G395" s="49"/>
      <c r="H395" s="70"/>
      <c r="I395" s="88"/>
      <c r="J395" s="88"/>
      <c r="K395" s="88"/>
      <c r="L395" s="90"/>
      <c r="M395" s="91"/>
      <c r="N395" s="49"/>
      <c r="O395" s="71"/>
      <c r="P395" s="92"/>
      <c r="Q395" s="71"/>
      <c r="R395" s="92"/>
      <c r="S395" s="71"/>
      <c r="T395" s="71"/>
      <c r="U395" s="68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29"/>
      <c r="AN395" s="67"/>
      <c r="AO395" s="67"/>
      <c r="AP395" s="67"/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  <c r="BK395" s="67"/>
      <c r="BL395" s="67"/>
      <c r="BM395" s="67"/>
      <c r="BN395" s="67"/>
      <c r="BO395" s="67"/>
      <c r="BP395" s="67"/>
      <c r="BQ395" s="67"/>
      <c r="BR395" s="67"/>
      <c r="BS395" s="67"/>
      <c r="BT395" s="67"/>
      <c r="BU395" s="67"/>
      <c r="BV395" s="67"/>
      <c r="BW395" s="67"/>
      <c r="BX395" s="67"/>
      <c r="BY395" s="67"/>
      <c r="BZ395" s="67"/>
      <c r="CA395" s="67"/>
      <c r="CB395" s="67"/>
      <c r="CC395" s="67"/>
      <c r="CD395" s="67"/>
      <c r="CE395" s="67"/>
      <c r="CF395" s="67"/>
      <c r="CG395" s="67"/>
      <c r="CH395" s="67"/>
      <c r="CI395" s="67"/>
      <c r="CJ395" s="67"/>
      <c r="CK395" s="67"/>
      <c r="CL395" s="67"/>
      <c r="CM395" s="67"/>
      <c r="CN395" s="67"/>
      <c r="CO395" s="67"/>
      <c r="CP395" s="67"/>
      <c r="CQ395" s="67"/>
      <c r="CR395" s="67"/>
      <c r="CS395" s="67"/>
      <c r="CT395" s="67"/>
      <c r="CU395" s="67"/>
      <c r="CV395" s="67"/>
      <c r="CW395" s="67"/>
      <c r="CX395" s="67"/>
      <c r="CY395" s="67"/>
      <c r="CZ395" s="67"/>
      <c r="DA395" s="67"/>
      <c r="DB395" s="67"/>
      <c r="DC395" s="67"/>
      <c r="DD395" s="67"/>
      <c r="DE395" s="67"/>
      <c r="DF395" s="67"/>
    </row>
    <row r="396">
      <c r="A396" s="62"/>
      <c r="B396" s="88"/>
      <c r="C396" s="88"/>
      <c r="D396" s="88"/>
      <c r="E396" s="90"/>
      <c r="F396" s="91"/>
      <c r="G396" s="49"/>
      <c r="H396" s="70"/>
      <c r="I396" s="88"/>
      <c r="J396" s="88"/>
      <c r="K396" s="88"/>
      <c r="L396" s="90"/>
      <c r="M396" s="91"/>
      <c r="N396" s="49"/>
      <c r="O396" s="71"/>
      <c r="P396" s="92"/>
      <c r="Q396" s="71"/>
      <c r="R396" s="92"/>
      <c r="S396" s="71"/>
      <c r="T396" s="71"/>
      <c r="U396" s="68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29"/>
      <c r="AN396" s="67"/>
      <c r="AO396" s="67"/>
      <c r="AP396" s="67"/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  <c r="BK396" s="67"/>
      <c r="BL396" s="67"/>
      <c r="BM396" s="67"/>
      <c r="BN396" s="67"/>
      <c r="BO396" s="67"/>
      <c r="BP396" s="67"/>
      <c r="BQ396" s="67"/>
      <c r="BR396" s="67"/>
      <c r="BS396" s="67"/>
      <c r="BT396" s="67"/>
      <c r="BU396" s="67"/>
      <c r="BV396" s="67"/>
      <c r="BW396" s="67"/>
      <c r="BX396" s="67"/>
      <c r="BY396" s="67"/>
      <c r="BZ396" s="67"/>
      <c r="CA396" s="67"/>
      <c r="CB396" s="67"/>
      <c r="CC396" s="67"/>
      <c r="CD396" s="67"/>
      <c r="CE396" s="67"/>
      <c r="CF396" s="67"/>
      <c r="CG396" s="67"/>
      <c r="CH396" s="67"/>
      <c r="CI396" s="67"/>
      <c r="CJ396" s="67"/>
      <c r="CK396" s="67"/>
      <c r="CL396" s="67"/>
      <c r="CM396" s="67"/>
      <c r="CN396" s="67"/>
      <c r="CO396" s="67"/>
      <c r="CP396" s="67"/>
      <c r="CQ396" s="67"/>
      <c r="CR396" s="67"/>
      <c r="CS396" s="67"/>
      <c r="CT396" s="67"/>
      <c r="CU396" s="67"/>
      <c r="CV396" s="67"/>
      <c r="CW396" s="67"/>
      <c r="CX396" s="67"/>
      <c r="CY396" s="67"/>
      <c r="CZ396" s="67"/>
      <c r="DA396" s="67"/>
      <c r="DB396" s="67"/>
      <c r="DC396" s="67"/>
      <c r="DD396" s="67"/>
      <c r="DE396" s="67"/>
      <c r="DF396" s="67"/>
    </row>
    <row r="397">
      <c r="A397" s="62"/>
      <c r="B397" s="88"/>
      <c r="C397" s="88"/>
      <c r="D397" s="88"/>
      <c r="E397" s="90"/>
      <c r="F397" s="91"/>
      <c r="G397" s="49"/>
      <c r="H397" s="70"/>
      <c r="I397" s="88"/>
      <c r="J397" s="88"/>
      <c r="K397" s="88"/>
      <c r="L397" s="90"/>
      <c r="M397" s="91"/>
      <c r="N397" s="49"/>
      <c r="O397" s="71"/>
      <c r="P397" s="92"/>
      <c r="Q397" s="71"/>
      <c r="R397" s="92"/>
      <c r="S397" s="71"/>
      <c r="T397" s="71"/>
      <c r="U397" s="68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29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BM397" s="67"/>
      <c r="BN397" s="67"/>
      <c r="BO397" s="67"/>
      <c r="BP397" s="67"/>
      <c r="BQ397" s="67"/>
      <c r="BR397" s="67"/>
      <c r="BS397" s="67"/>
      <c r="BT397" s="67"/>
      <c r="BU397" s="67"/>
      <c r="BV397" s="67"/>
      <c r="BW397" s="67"/>
      <c r="BX397" s="67"/>
      <c r="BY397" s="67"/>
      <c r="BZ397" s="67"/>
      <c r="CA397" s="67"/>
      <c r="CB397" s="67"/>
      <c r="CC397" s="67"/>
      <c r="CD397" s="67"/>
      <c r="CE397" s="67"/>
      <c r="CF397" s="67"/>
      <c r="CG397" s="67"/>
      <c r="CH397" s="67"/>
      <c r="CI397" s="67"/>
      <c r="CJ397" s="67"/>
      <c r="CK397" s="67"/>
      <c r="CL397" s="67"/>
      <c r="CM397" s="67"/>
      <c r="CN397" s="67"/>
      <c r="CO397" s="67"/>
      <c r="CP397" s="67"/>
      <c r="CQ397" s="67"/>
      <c r="CR397" s="67"/>
      <c r="CS397" s="67"/>
      <c r="CT397" s="67"/>
      <c r="CU397" s="67"/>
      <c r="CV397" s="67"/>
      <c r="CW397" s="67"/>
      <c r="CX397" s="67"/>
      <c r="CY397" s="67"/>
      <c r="CZ397" s="67"/>
      <c r="DA397" s="67"/>
      <c r="DB397" s="67"/>
      <c r="DC397" s="67"/>
      <c r="DD397" s="67"/>
      <c r="DE397" s="67"/>
      <c r="DF397" s="67"/>
    </row>
    <row r="398">
      <c r="A398" s="62"/>
      <c r="B398" s="88"/>
      <c r="C398" s="88"/>
      <c r="D398" s="88"/>
      <c r="E398" s="90"/>
      <c r="F398" s="91"/>
      <c r="G398" s="49"/>
      <c r="H398" s="70"/>
      <c r="I398" s="88"/>
      <c r="J398" s="88"/>
      <c r="K398" s="88"/>
      <c r="L398" s="90"/>
      <c r="M398" s="91"/>
      <c r="N398" s="49"/>
      <c r="O398" s="71"/>
      <c r="P398" s="92"/>
      <c r="Q398" s="71"/>
      <c r="R398" s="92"/>
      <c r="S398" s="71"/>
      <c r="T398" s="71"/>
      <c r="U398" s="68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29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  <c r="BM398" s="67"/>
      <c r="BN398" s="67"/>
      <c r="BO398" s="67"/>
      <c r="BP398" s="67"/>
      <c r="BQ398" s="67"/>
      <c r="BR398" s="67"/>
      <c r="BS398" s="67"/>
      <c r="BT398" s="67"/>
      <c r="BU398" s="67"/>
      <c r="BV398" s="67"/>
      <c r="BW398" s="67"/>
      <c r="BX398" s="67"/>
      <c r="BY398" s="67"/>
      <c r="BZ398" s="67"/>
      <c r="CA398" s="67"/>
      <c r="CB398" s="67"/>
      <c r="CC398" s="67"/>
      <c r="CD398" s="67"/>
      <c r="CE398" s="67"/>
      <c r="CF398" s="67"/>
      <c r="CG398" s="67"/>
      <c r="CH398" s="67"/>
      <c r="CI398" s="67"/>
      <c r="CJ398" s="67"/>
      <c r="CK398" s="67"/>
      <c r="CL398" s="67"/>
      <c r="CM398" s="67"/>
      <c r="CN398" s="67"/>
      <c r="CO398" s="67"/>
      <c r="CP398" s="67"/>
      <c r="CQ398" s="67"/>
      <c r="CR398" s="67"/>
      <c r="CS398" s="67"/>
      <c r="CT398" s="67"/>
      <c r="CU398" s="67"/>
      <c r="CV398" s="67"/>
      <c r="CW398" s="67"/>
      <c r="CX398" s="67"/>
      <c r="CY398" s="67"/>
      <c r="CZ398" s="67"/>
      <c r="DA398" s="67"/>
      <c r="DB398" s="67"/>
      <c r="DC398" s="67"/>
      <c r="DD398" s="67"/>
      <c r="DE398" s="67"/>
      <c r="DF398" s="67"/>
    </row>
    <row r="399">
      <c r="A399" s="61"/>
      <c r="B399" s="98"/>
      <c r="C399" s="88"/>
      <c r="D399" s="88"/>
      <c r="E399" s="90"/>
      <c r="F399" s="91"/>
      <c r="G399" s="49"/>
      <c r="H399" s="70"/>
      <c r="I399" s="98"/>
      <c r="J399" s="88"/>
      <c r="K399" s="88"/>
      <c r="L399" s="90"/>
      <c r="M399" s="91"/>
      <c r="N399" s="49"/>
      <c r="O399" s="71"/>
      <c r="P399" s="92"/>
      <c r="Q399" s="71"/>
      <c r="R399" s="92"/>
      <c r="S399" s="71"/>
      <c r="T399" s="71"/>
      <c r="U399" s="68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29"/>
      <c r="AN399" s="67"/>
      <c r="AO399" s="67"/>
      <c r="AP399" s="67"/>
      <c r="AQ399" s="67"/>
      <c r="AR399" s="67"/>
      <c r="AS399" s="67"/>
      <c r="AT399" s="67"/>
      <c r="AU399" s="67"/>
      <c r="AV399" s="67"/>
      <c r="AW399" s="67"/>
      <c r="AX399" s="67"/>
      <c r="AY399" s="67"/>
      <c r="AZ399" s="67"/>
      <c r="BA399" s="67"/>
      <c r="BB399" s="67"/>
      <c r="BC399" s="67"/>
      <c r="BD399" s="67"/>
      <c r="BE399" s="67"/>
      <c r="BF399" s="67"/>
      <c r="BG399" s="67"/>
      <c r="BH399" s="67"/>
      <c r="BI399" s="67"/>
      <c r="BJ399" s="67"/>
      <c r="BK399" s="67"/>
      <c r="BL399" s="67"/>
      <c r="BM399" s="67"/>
      <c r="BN399" s="67"/>
      <c r="BO399" s="67"/>
      <c r="BP399" s="67"/>
      <c r="BQ399" s="67"/>
      <c r="BR399" s="67"/>
      <c r="BS399" s="67"/>
      <c r="BT399" s="67"/>
      <c r="BU399" s="67"/>
      <c r="BV399" s="67"/>
      <c r="BW399" s="67"/>
      <c r="BX399" s="67"/>
      <c r="BY399" s="67"/>
      <c r="BZ399" s="67"/>
      <c r="CA399" s="67"/>
      <c r="CB399" s="67"/>
      <c r="CC399" s="67"/>
      <c r="CD399" s="67"/>
      <c r="CE399" s="67"/>
      <c r="CF399" s="67"/>
      <c r="CG399" s="67"/>
      <c r="CH399" s="67"/>
      <c r="CI399" s="67"/>
      <c r="CJ399" s="67"/>
      <c r="CK399" s="67"/>
      <c r="CL399" s="67"/>
      <c r="CM399" s="67"/>
      <c r="CN399" s="67"/>
      <c r="CO399" s="67"/>
      <c r="CP399" s="67"/>
      <c r="CQ399" s="67"/>
      <c r="CR399" s="67"/>
      <c r="CS399" s="67"/>
      <c r="CT399" s="67"/>
      <c r="CU399" s="67"/>
      <c r="CV399" s="67"/>
      <c r="CW399" s="67"/>
      <c r="CX399" s="67"/>
      <c r="CY399" s="67"/>
      <c r="CZ399" s="67"/>
      <c r="DA399" s="67"/>
      <c r="DB399" s="67"/>
      <c r="DC399" s="67"/>
      <c r="DD399" s="67"/>
      <c r="DE399" s="67"/>
      <c r="DF399" s="67"/>
    </row>
    <row r="400">
      <c r="A400" s="62"/>
      <c r="B400" s="88"/>
      <c r="C400" s="88"/>
      <c r="D400" s="88"/>
      <c r="E400" s="90"/>
      <c r="F400" s="91"/>
      <c r="G400" s="49"/>
      <c r="H400" s="70"/>
      <c r="I400" s="88"/>
      <c r="J400" s="88"/>
      <c r="K400" s="88"/>
      <c r="L400" s="90"/>
      <c r="M400" s="91"/>
      <c r="N400" s="49"/>
      <c r="O400" s="71"/>
      <c r="P400" s="92"/>
      <c r="Q400" s="71"/>
      <c r="R400" s="92"/>
      <c r="S400" s="71"/>
      <c r="T400" s="71"/>
      <c r="U400" s="68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29"/>
      <c r="AN400" s="67"/>
      <c r="AO400" s="67"/>
      <c r="AP400" s="67"/>
      <c r="AQ400" s="67"/>
      <c r="AR400" s="67"/>
      <c r="AS400" s="67"/>
      <c r="AT400" s="67"/>
      <c r="AU400" s="67"/>
      <c r="AV400" s="67"/>
      <c r="AW400" s="67"/>
      <c r="AX400" s="67"/>
      <c r="AY400" s="67"/>
      <c r="AZ400" s="67"/>
      <c r="BA400" s="67"/>
      <c r="BB400" s="67"/>
      <c r="BC400" s="67"/>
      <c r="BD400" s="67"/>
      <c r="BE400" s="67"/>
      <c r="BF400" s="67"/>
      <c r="BG400" s="67"/>
      <c r="BH400" s="67"/>
      <c r="BI400" s="67"/>
      <c r="BJ400" s="67"/>
      <c r="BK400" s="67"/>
      <c r="BL400" s="67"/>
      <c r="BM400" s="67"/>
      <c r="BN400" s="67"/>
      <c r="BO400" s="67"/>
      <c r="BP400" s="67"/>
      <c r="BQ400" s="67"/>
      <c r="BR400" s="67"/>
      <c r="BS400" s="67"/>
      <c r="BT400" s="67"/>
      <c r="BU400" s="67"/>
      <c r="BV400" s="67"/>
      <c r="BW400" s="67"/>
      <c r="BX400" s="67"/>
      <c r="BY400" s="67"/>
      <c r="BZ400" s="67"/>
      <c r="CA400" s="67"/>
      <c r="CB400" s="67"/>
      <c r="CC400" s="67"/>
      <c r="CD400" s="67"/>
      <c r="CE400" s="67"/>
      <c r="CF400" s="67"/>
      <c r="CG400" s="67"/>
      <c r="CH400" s="67"/>
      <c r="CI400" s="67"/>
      <c r="CJ400" s="67"/>
      <c r="CK400" s="67"/>
      <c r="CL400" s="67"/>
      <c r="CM400" s="67"/>
      <c r="CN400" s="67"/>
      <c r="CO400" s="67"/>
      <c r="CP400" s="67"/>
      <c r="CQ400" s="67"/>
      <c r="CR400" s="67"/>
      <c r="CS400" s="67"/>
      <c r="CT400" s="67"/>
      <c r="CU400" s="67"/>
      <c r="CV400" s="67"/>
      <c r="CW400" s="67"/>
      <c r="CX400" s="67"/>
      <c r="CY400" s="67"/>
      <c r="CZ400" s="67"/>
      <c r="DA400" s="67"/>
      <c r="DB400" s="67"/>
      <c r="DC400" s="67"/>
      <c r="DD400" s="67"/>
      <c r="DE400" s="67"/>
      <c r="DF400" s="67"/>
    </row>
    <row r="401">
      <c r="A401" s="62"/>
      <c r="B401" s="88"/>
      <c r="C401" s="88"/>
      <c r="D401" s="88"/>
      <c r="E401" s="90"/>
      <c r="F401" s="91"/>
      <c r="G401" s="49"/>
      <c r="H401" s="70"/>
      <c r="I401" s="88"/>
      <c r="J401" s="88"/>
      <c r="K401" s="88"/>
      <c r="L401" s="90"/>
      <c r="M401" s="91"/>
      <c r="N401" s="49"/>
      <c r="O401" s="71"/>
      <c r="P401" s="92"/>
      <c r="Q401" s="71"/>
      <c r="R401" s="92"/>
      <c r="S401" s="71"/>
      <c r="T401" s="71"/>
      <c r="U401" s="68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29"/>
      <c r="AN401" s="67"/>
      <c r="AO401" s="67"/>
      <c r="AP401" s="67"/>
      <c r="AQ401" s="67"/>
      <c r="AR401" s="67"/>
      <c r="AS401" s="67"/>
      <c r="AT401" s="67"/>
      <c r="AU401" s="67"/>
      <c r="AV401" s="67"/>
      <c r="AW401" s="67"/>
      <c r="AX401" s="67"/>
      <c r="AY401" s="67"/>
      <c r="AZ401" s="67"/>
      <c r="BA401" s="67"/>
      <c r="BB401" s="67"/>
      <c r="BC401" s="67"/>
      <c r="BD401" s="67"/>
      <c r="BE401" s="67"/>
      <c r="BF401" s="67"/>
      <c r="BG401" s="67"/>
      <c r="BH401" s="67"/>
      <c r="BI401" s="67"/>
      <c r="BJ401" s="67"/>
      <c r="BK401" s="67"/>
      <c r="BL401" s="67"/>
      <c r="BM401" s="67"/>
      <c r="BN401" s="67"/>
      <c r="BO401" s="67"/>
      <c r="BP401" s="67"/>
      <c r="BQ401" s="67"/>
      <c r="BR401" s="67"/>
      <c r="BS401" s="67"/>
      <c r="BT401" s="67"/>
      <c r="BU401" s="67"/>
      <c r="BV401" s="67"/>
      <c r="BW401" s="67"/>
      <c r="BX401" s="67"/>
      <c r="BY401" s="67"/>
      <c r="BZ401" s="67"/>
      <c r="CA401" s="67"/>
      <c r="CB401" s="67"/>
      <c r="CC401" s="67"/>
      <c r="CD401" s="67"/>
      <c r="CE401" s="67"/>
      <c r="CF401" s="67"/>
      <c r="CG401" s="67"/>
      <c r="CH401" s="67"/>
      <c r="CI401" s="67"/>
      <c r="CJ401" s="67"/>
      <c r="CK401" s="67"/>
      <c r="CL401" s="67"/>
      <c r="CM401" s="67"/>
      <c r="CN401" s="67"/>
      <c r="CO401" s="67"/>
      <c r="CP401" s="67"/>
      <c r="CQ401" s="67"/>
      <c r="CR401" s="67"/>
      <c r="CS401" s="67"/>
      <c r="CT401" s="67"/>
      <c r="CU401" s="67"/>
      <c r="CV401" s="67"/>
      <c r="CW401" s="67"/>
      <c r="CX401" s="67"/>
      <c r="CY401" s="67"/>
      <c r="CZ401" s="67"/>
      <c r="DA401" s="67"/>
      <c r="DB401" s="67"/>
      <c r="DC401" s="67"/>
      <c r="DD401" s="67"/>
      <c r="DE401" s="67"/>
      <c r="DF401" s="67"/>
    </row>
    <row r="402">
      <c r="A402" s="62"/>
      <c r="B402" s="88"/>
      <c r="C402" s="88"/>
      <c r="D402" s="88"/>
      <c r="E402" s="90"/>
      <c r="F402" s="91"/>
      <c r="G402" s="49"/>
      <c r="H402" s="70"/>
      <c r="I402" s="88"/>
      <c r="J402" s="88"/>
      <c r="K402" s="88"/>
      <c r="L402" s="90"/>
      <c r="M402" s="91"/>
      <c r="N402" s="49"/>
      <c r="O402" s="71"/>
      <c r="P402" s="92"/>
      <c r="Q402" s="71"/>
      <c r="R402" s="92"/>
      <c r="S402" s="71"/>
      <c r="T402" s="71"/>
      <c r="U402" s="68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29"/>
      <c r="AN402" s="67"/>
      <c r="AO402" s="67"/>
      <c r="AP402" s="67"/>
      <c r="AQ402" s="67"/>
      <c r="AR402" s="67"/>
      <c r="AS402" s="67"/>
      <c r="AT402" s="67"/>
      <c r="AU402" s="67"/>
      <c r="AV402" s="67"/>
      <c r="AW402" s="67"/>
      <c r="AX402" s="67"/>
      <c r="AY402" s="67"/>
      <c r="AZ402" s="67"/>
      <c r="BA402" s="67"/>
      <c r="BB402" s="67"/>
      <c r="BC402" s="67"/>
      <c r="BD402" s="67"/>
      <c r="BE402" s="67"/>
      <c r="BF402" s="67"/>
      <c r="BG402" s="67"/>
      <c r="BH402" s="67"/>
      <c r="BI402" s="67"/>
      <c r="BJ402" s="67"/>
      <c r="BK402" s="67"/>
      <c r="BL402" s="67"/>
      <c r="BM402" s="67"/>
      <c r="BN402" s="67"/>
      <c r="BO402" s="67"/>
      <c r="BP402" s="67"/>
      <c r="BQ402" s="67"/>
      <c r="BR402" s="67"/>
      <c r="BS402" s="67"/>
      <c r="BT402" s="67"/>
      <c r="BU402" s="67"/>
      <c r="BV402" s="67"/>
      <c r="BW402" s="67"/>
      <c r="BX402" s="67"/>
      <c r="BY402" s="67"/>
      <c r="BZ402" s="67"/>
      <c r="CA402" s="67"/>
      <c r="CB402" s="67"/>
      <c r="CC402" s="67"/>
      <c r="CD402" s="67"/>
      <c r="CE402" s="67"/>
      <c r="CF402" s="67"/>
      <c r="CG402" s="67"/>
      <c r="CH402" s="67"/>
      <c r="CI402" s="67"/>
      <c r="CJ402" s="67"/>
      <c r="CK402" s="67"/>
      <c r="CL402" s="67"/>
      <c r="CM402" s="67"/>
      <c r="CN402" s="67"/>
      <c r="CO402" s="67"/>
      <c r="CP402" s="67"/>
      <c r="CQ402" s="67"/>
      <c r="CR402" s="67"/>
      <c r="CS402" s="67"/>
      <c r="CT402" s="67"/>
      <c r="CU402" s="67"/>
      <c r="CV402" s="67"/>
      <c r="CW402" s="67"/>
      <c r="CX402" s="67"/>
      <c r="CY402" s="67"/>
      <c r="CZ402" s="67"/>
      <c r="DA402" s="67"/>
      <c r="DB402" s="67"/>
      <c r="DC402" s="67"/>
      <c r="DD402" s="67"/>
      <c r="DE402" s="67"/>
      <c r="DF402" s="67"/>
    </row>
    <row r="403">
      <c r="A403" s="62"/>
      <c r="B403" s="88"/>
      <c r="C403" s="88"/>
      <c r="D403" s="88"/>
      <c r="E403" s="90"/>
      <c r="F403" s="91"/>
      <c r="G403" s="49"/>
      <c r="H403" s="70"/>
      <c r="I403" s="88"/>
      <c r="J403" s="88"/>
      <c r="K403" s="88"/>
      <c r="L403" s="90"/>
      <c r="M403" s="91"/>
      <c r="N403" s="49"/>
      <c r="O403" s="71"/>
      <c r="P403" s="92"/>
      <c r="Q403" s="71"/>
      <c r="R403" s="92"/>
      <c r="S403" s="71"/>
      <c r="T403" s="71"/>
      <c r="U403" s="68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29"/>
      <c r="AN403" s="67"/>
      <c r="AO403" s="67"/>
      <c r="AP403" s="67"/>
      <c r="AQ403" s="67"/>
      <c r="AR403" s="67"/>
      <c r="AS403" s="67"/>
      <c r="AT403" s="67"/>
      <c r="AU403" s="67"/>
      <c r="AV403" s="67"/>
      <c r="AW403" s="67"/>
      <c r="AX403" s="67"/>
      <c r="AY403" s="67"/>
      <c r="AZ403" s="67"/>
      <c r="BA403" s="67"/>
      <c r="BB403" s="67"/>
      <c r="BC403" s="67"/>
      <c r="BD403" s="67"/>
      <c r="BE403" s="67"/>
      <c r="BF403" s="67"/>
      <c r="BG403" s="67"/>
      <c r="BH403" s="67"/>
      <c r="BI403" s="67"/>
      <c r="BJ403" s="67"/>
      <c r="BK403" s="67"/>
      <c r="BL403" s="67"/>
      <c r="BM403" s="67"/>
      <c r="BN403" s="67"/>
      <c r="BO403" s="67"/>
      <c r="BP403" s="67"/>
      <c r="BQ403" s="67"/>
      <c r="BR403" s="67"/>
      <c r="BS403" s="67"/>
      <c r="BT403" s="67"/>
      <c r="BU403" s="67"/>
      <c r="BV403" s="67"/>
      <c r="BW403" s="67"/>
      <c r="BX403" s="67"/>
      <c r="BY403" s="67"/>
      <c r="BZ403" s="67"/>
      <c r="CA403" s="67"/>
      <c r="CB403" s="67"/>
      <c r="CC403" s="67"/>
      <c r="CD403" s="67"/>
      <c r="CE403" s="67"/>
      <c r="CF403" s="67"/>
      <c r="CG403" s="67"/>
      <c r="CH403" s="67"/>
      <c r="CI403" s="67"/>
      <c r="CJ403" s="67"/>
      <c r="CK403" s="67"/>
      <c r="CL403" s="67"/>
      <c r="CM403" s="67"/>
      <c r="CN403" s="67"/>
      <c r="CO403" s="67"/>
      <c r="CP403" s="67"/>
      <c r="CQ403" s="67"/>
      <c r="CR403" s="67"/>
      <c r="CS403" s="67"/>
      <c r="CT403" s="67"/>
      <c r="CU403" s="67"/>
      <c r="CV403" s="67"/>
      <c r="CW403" s="67"/>
      <c r="CX403" s="67"/>
      <c r="CY403" s="67"/>
      <c r="CZ403" s="67"/>
      <c r="DA403" s="67"/>
      <c r="DB403" s="67"/>
      <c r="DC403" s="67"/>
      <c r="DD403" s="67"/>
      <c r="DE403" s="67"/>
      <c r="DF403" s="67"/>
    </row>
    <row r="404">
      <c r="A404" s="62"/>
      <c r="B404" s="88"/>
      <c r="C404" s="88"/>
      <c r="D404" s="88"/>
      <c r="E404" s="90"/>
      <c r="F404" s="91"/>
      <c r="G404" s="49"/>
      <c r="H404" s="70"/>
      <c r="I404" s="88"/>
      <c r="J404" s="88"/>
      <c r="K404" s="88"/>
      <c r="L404" s="90"/>
      <c r="M404" s="91"/>
      <c r="N404" s="49"/>
      <c r="O404" s="71"/>
      <c r="P404" s="92"/>
      <c r="Q404" s="71"/>
      <c r="R404" s="92"/>
      <c r="S404" s="71"/>
      <c r="T404" s="71"/>
      <c r="U404" s="68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29"/>
      <c r="AN404" s="67"/>
      <c r="AO404" s="67"/>
      <c r="AP404" s="67"/>
      <c r="AQ404" s="67"/>
      <c r="AR404" s="67"/>
      <c r="AS404" s="67"/>
      <c r="AT404" s="67"/>
      <c r="AU404" s="67"/>
      <c r="AV404" s="67"/>
      <c r="AW404" s="67"/>
      <c r="AX404" s="67"/>
      <c r="AY404" s="67"/>
      <c r="AZ404" s="67"/>
      <c r="BA404" s="67"/>
      <c r="BB404" s="67"/>
      <c r="BC404" s="67"/>
      <c r="BD404" s="67"/>
      <c r="BE404" s="67"/>
      <c r="BF404" s="67"/>
      <c r="BG404" s="67"/>
      <c r="BH404" s="67"/>
      <c r="BI404" s="67"/>
      <c r="BJ404" s="67"/>
      <c r="BK404" s="67"/>
      <c r="BL404" s="67"/>
      <c r="BM404" s="67"/>
      <c r="BN404" s="67"/>
      <c r="BO404" s="67"/>
      <c r="BP404" s="67"/>
      <c r="BQ404" s="67"/>
      <c r="BR404" s="67"/>
      <c r="BS404" s="67"/>
      <c r="BT404" s="67"/>
      <c r="BU404" s="67"/>
      <c r="BV404" s="67"/>
      <c r="BW404" s="67"/>
      <c r="BX404" s="67"/>
      <c r="BY404" s="67"/>
      <c r="BZ404" s="67"/>
      <c r="CA404" s="67"/>
      <c r="CB404" s="67"/>
      <c r="CC404" s="67"/>
      <c r="CD404" s="67"/>
      <c r="CE404" s="67"/>
      <c r="CF404" s="67"/>
      <c r="CG404" s="67"/>
      <c r="CH404" s="67"/>
      <c r="CI404" s="67"/>
      <c r="CJ404" s="67"/>
      <c r="CK404" s="67"/>
      <c r="CL404" s="67"/>
      <c r="CM404" s="67"/>
      <c r="CN404" s="67"/>
      <c r="CO404" s="67"/>
      <c r="CP404" s="67"/>
      <c r="CQ404" s="67"/>
      <c r="CR404" s="67"/>
      <c r="CS404" s="67"/>
      <c r="CT404" s="67"/>
      <c r="CU404" s="67"/>
      <c r="CV404" s="67"/>
      <c r="CW404" s="67"/>
      <c r="CX404" s="67"/>
      <c r="CY404" s="67"/>
      <c r="CZ404" s="67"/>
      <c r="DA404" s="67"/>
      <c r="DB404" s="67"/>
      <c r="DC404" s="67"/>
      <c r="DD404" s="67"/>
      <c r="DE404" s="67"/>
      <c r="DF404" s="67"/>
    </row>
    <row r="405">
      <c r="A405" s="62"/>
      <c r="B405" s="88"/>
      <c r="C405" s="88"/>
      <c r="D405" s="88"/>
      <c r="E405" s="90"/>
      <c r="F405" s="91"/>
      <c r="G405" s="49"/>
      <c r="H405" s="70"/>
      <c r="I405" s="88"/>
      <c r="J405" s="88"/>
      <c r="K405" s="88"/>
      <c r="L405" s="90"/>
      <c r="M405" s="91"/>
      <c r="N405" s="49"/>
      <c r="O405" s="71"/>
      <c r="P405" s="92"/>
      <c r="Q405" s="71"/>
      <c r="R405" s="92"/>
      <c r="S405" s="71"/>
      <c r="T405" s="71"/>
      <c r="U405" s="68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29"/>
      <c r="AN405" s="67"/>
      <c r="AO405" s="67"/>
      <c r="AP405" s="67"/>
      <c r="AQ405" s="67"/>
      <c r="AR405" s="67"/>
      <c r="AS405" s="67"/>
      <c r="AT405" s="67"/>
      <c r="AU405" s="67"/>
      <c r="AV405" s="67"/>
      <c r="AW405" s="67"/>
      <c r="AX405" s="67"/>
      <c r="AY405" s="67"/>
      <c r="AZ405" s="67"/>
      <c r="BA405" s="67"/>
      <c r="BB405" s="67"/>
      <c r="BC405" s="67"/>
      <c r="BD405" s="67"/>
      <c r="BE405" s="67"/>
      <c r="BF405" s="67"/>
      <c r="BG405" s="67"/>
      <c r="BH405" s="67"/>
      <c r="BI405" s="67"/>
      <c r="BJ405" s="67"/>
      <c r="BK405" s="67"/>
      <c r="BL405" s="67"/>
      <c r="BM405" s="67"/>
      <c r="BN405" s="67"/>
      <c r="BO405" s="67"/>
      <c r="BP405" s="67"/>
      <c r="BQ405" s="67"/>
      <c r="BR405" s="67"/>
      <c r="BS405" s="67"/>
      <c r="BT405" s="67"/>
      <c r="BU405" s="67"/>
      <c r="BV405" s="67"/>
      <c r="BW405" s="67"/>
      <c r="BX405" s="67"/>
      <c r="BY405" s="67"/>
      <c r="BZ405" s="67"/>
      <c r="CA405" s="67"/>
      <c r="CB405" s="67"/>
      <c r="CC405" s="67"/>
      <c r="CD405" s="67"/>
      <c r="CE405" s="67"/>
      <c r="CF405" s="67"/>
      <c r="CG405" s="67"/>
      <c r="CH405" s="67"/>
      <c r="CI405" s="67"/>
      <c r="CJ405" s="67"/>
      <c r="CK405" s="67"/>
      <c r="CL405" s="67"/>
      <c r="CM405" s="67"/>
      <c r="CN405" s="67"/>
      <c r="CO405" s="67"/>
      <c r="CP405" s="67"/>
      <c r="CQ405" s="67"/>
      <c r="CR405" s="67"/>
      <c r="CS405" s="67"/>
      <c r="CT405" s="67"/>
      <c r="CU405" s="67"/>
      <c r="CV405" s="67"/>
      <c r="CW405" s="67"/>
      <c r="CX405" s="67"/>
      <c r="CY405" s="67"/>
      <c r="CZ405" s="67"/>
      <c r="DA405" s="67"/>
      <c r="DB405" s="67"/>
      <c r="DC405" s="67"/>
      <c r="DD405" s="67"/>
      <c r="DE405" s="67"/>
      <c r="DF405" s="67"/>
    </row>
    <row r="406">
      <c r="A406" s="62"/>
      <c r="B406" s="88"/>
      <c r="C406" s="88"/>
      <c r="D406" s="88"/>
      <c r="E406" s="90"/>
      <c r="F406" s="91"/>
      <c r="G406" s="49"/>
      <c r="H406" s="70"/>
      <c r="I406" s="88"/>
      <c r="J406" s="88"/>
      <c r="K406" s="88"/>
      <c r="L406" s="90"/>
      <c r="M406" s="91"/>
      <c r="N406" s="49"/>
      <c r="O406" s="71"/>
      <c r="P406" s="92"/>
      <c r="Q406" s="71"/>
      <c r="R406" s="92"/>
      <c r="S406" s="71"/>
      <c r="T406" s="71"/>
      <c r="U406" s="68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29"/>
      <c r="AN406" s="67"/>
      <c r="AO406" s="67"/>
      <c r="AP406" s="67"/>
      <c r="AQ406" s="67"/>
      <c r="AR406" s="67"/>
      <c r="AS406" s="67"/>
      <c r="AT406" s="67"/>
      <c r="AU406" s="67"/>
      <c r="AV406" s="67"/>
      <c r="AW406" s="67"/>
      <c r="AX406" s="67"/>
      <c r="AY406" s="67"/>
      <c r="AZ406" s="67"/>
      <c r="BA406" s="67"/>
      <c r="BB406" s="67"/>
      <c r="BC406" s="67"/>
      <c r="BD406" s="67"/>
      <c r="BE406" s="67"/>
      <c r="BF406" s="67"/>
      <c r="BG406" s="67"/>
      <c r="BH406" s="67"/>
      <c r="BI406" s="67"/>
      <c r="BJ406" s="67"/>
      <c r="BK406" s="67"/>
      <c r="BL406" s="67"/>
      <c r="BM406" s="67"/>
      <c r="BN406" s="67"/>
      <c r="BO406" s="67"/>
      <c r="BP406" s="67"/>
      <c r="BQ406" s="67"/>
      <c r="BR406" s="67"/>
      <c r="BS406" s="67"/>
      <c r="BT406" s="67"/>
      <c r="BU406" s="67"/>
      <c r="BV406" s="67"/>
      <c r="BW406" s="67"/>
      <c r="BX406" s="67"/>
      <c r="BY406" s="67"/>
      <c r="BZ406" s="67"/>
      <c r="CA406" s="67"/>
      <c r="CB406" s="67"/>
      <c r="CC406" s="67"/>
      <c r="CD406" s="67"/>
      <c r="CE406" s="67"/>
      <c r="CF406" s="67"/>
      <c r="CG406" s="67"/>
      <c r="CH406" s="67"/>
      <c r="CI406" s="67"/>
      <c r="CJ406" s="67"/>
      <c r="CK406" s="67"/>
      <c r="CL406" s="67"/>
      <c r="CM406" s="67"/>
      <c r="CN406" s="67"/>
      <c r="CO406" s="67"/>
      <c r="CP406" s="67"/>
      <c r="CQ406" s="67"/>
      <c r="CR406" s="67"/>
      <c r="CS406" s="67"/>
      <c r="CT406" s="67"/>
      <c r="CU406" s="67"/>
      <c r="CV406" s="67"/>
      <c r="CW406" s="67"/>
      <c r="CX406" s="67"/>
      <c r="CY406" s="67"/>
      <c r="CZ406" s="67"/>
      <c r="DA406" s="67"/>
      <c r="DB406" s="67"/>
      <c r="DC406" s="67"/>
      <c r="DD406" s="67"/>
      <c r="DE406" s="67"/>
      <c r="DF406" s="67"/>
    </row>
    <row r="407">
      <c r="A407" s="62"/>
      <c r="B407" s="88"/>
      <c r="C407" s="88"/>
      <c r="D407" s="88"/>
      <c r="E407" s="90"/>
      <c r="F407" s="91"/>
      <c r="G407" s="49"/>
      <c r="H407" s="70"/>
      <c r="I407" s="88"/>
      <c r="J407" s="88"/>
      <c r="K407" s="88"/>
      <c r="L407" s="90"/>
      <c r="M407" s="91"/>
      <c r="N407" s="49"/>
      <c r="O407" s="71"/>
      <c r="P407" s="92"/>
      <c r="Q407" s="71"/>
      <c r="R407" s="92"/>
      <c r="S407" s="71"/>
      <c r="T407" s="71"/>
      <c r="U407" s="68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29"/>
      <c r="AN407" s="67"/>
      <c r="AO407" s="67"/>
      <c r="AP407" s="67"/>
      <c r="AQ407" s="67"/>
      <c r="AR407" s="67"/>
      <c r="AS407" s="67"/>
      <c r="AT407" s="67"/>
      <c r="AU407" s="67"/>
      <c r="AV407" s="67"/>
      <c r="AW407" s="67"/>
      <c r="AX407" s="67"/>
      <c r="AY407" s="67"/>
      <c r="AZ407" s="67"/>
      <c r="BA407" s="67"/>
      <c r="BB407" s="67"/>
      <c r="BC407" s="67"/>
      <c r="BD407" s="67"/>
      <c r="BE407" s="67"/>
      <c r="BF407" s="67"/>
      <c r="BG407" s="67"/>
      <c r="BH407" s="67"/>
      <c r="BI407" s="67"/>
      <c r="BJ407" s="67"/>
      <c r="BK407" s="67"/>
      <c r="BL407" s="67"/>
      <c r="BM407" s="67"/>
      <c r="BN407" s="67"/>
      <c r="BO407" s="67"/>
      <c r="BP407" s="67"/>
      <c r="BQ407" s="67"/>
      <c r="BR407" s="67"/>
      <c r="BS407" s="67"/>
      <c r="BT407" s="67"/>
      <c r="BU407" s="67"/>
      <c r="BV407" s="67"/>
      <c r="BW407" s="67"/>
      <c r="BX407" s="67"/>
      <c r="BY407" s="67"/>
      <c r="BZ407" s="67"/>
      <c r="CA407" s="67"/>
      <c r="CB407" s="67"/>
      <c r="CC407" s="67"/>
      <c r="CD407" s="67"/>
      <c r="CE407" s="67"/>
      <c r="CF407" s="67"/>
      <c r="CG407" s="67"/>
      <c r="CH407" s="67"/>
      <c r="CI407" s="67"/>
      <c r="CJ407" s="67"/>
      <c r="CK407" s="67"/>
      <c r="CL407" s="67"/>
      <c r="CM407" s="67"/>
      <c r="CN407" s="67"/>
      <c r="CO407" s="67"/>
      <c r="CP407" s="67"/>
      <c r="CQ407" s="67"/>
      <c r="CR407" s="67"/>
      <c r="CS407" s="67"/>
      <c r="CT407" s="67"/>
      <c r="CU407" s="67"/>
      <c r="CV407" s="67"/>
      <c r="CW407" s="67"/>
      <c r="CX407" s="67"/>
      <c r="CY407" s="67"/>
      <c r="CZ407" s="67"/>
      <c r="DA407" s="67"/>
      <c r="DB407" s="67"/>
      <c r="DC407" s="67"/>
      <c r="DD407" s="67"/>
      <c r="DE407" s="67"/>
      <c r="DF407" s="67"/>
    </row>
    <row r="408">
      <c r="A408" s="62"/>
      <c r="B408" s="88"/>
      <c r="C408" s="88"/>
      <c r="D408" s="88"/>
      <c r="E408" s="90"/>
      <c r="F408" s="91"/>
      <c r="G408" s="49"/>
      <c r="H408" s="70"/>
      <c r="I408" s="88"/>
      <c r="J408" s="88"/>
      <c r="K408" s="88"/>
      <c r="L408" s="90"/>
      <c r="M408" s="91"/>
      <c r="N408" s="49"/>
      <c r="O408" s="71"/>
      <c r="P408" s="92"/>
      <c r="Q408" s="71"/>
      <c r="R408" s="92"/>
      <c r="S408" s="71"/>
      <c r="T408" s="71"/>
      <c r="U408" s="68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29"/>
      <c r="AN408" s="67"/>
      <c r="AO408" s="67"/>
      <c r="AP408" s="67"/>
      <c r="AQ408" s="67"/>
      <c r="AR408" s="67"/>
      <c r="AS408" s="67"/>
      <c r="AT408" s="67"/>
      <c r="AU408" s="67"/>
      <c r="AV408" s="67"/>
      <c r="AW408" s="67"/>
      <c r="AX408" s="67"/>
      <c r="AY408" s="67"/>
      <c r="AZ408" s="67"/>
      <c r="BA408" s="67"/>
      <c r="BB408" s="67"/>
      <c r="BC408" s="67"/>
      <c r="BD408" s="67"/>
      <c r="BE408" s="67"/>
      <c r="BF408" s="67"/>
      <c r="BG408" s="67"/>
      <c r="BH408" s="67"/>
      <c r="BI408" s="67"/>
      <c r="BJ408" s="67"/>
      <c r="BK408" s="67"/>
      <c r="BL408" s="67"/>
      <c r="BM408" s="67"/>
      <c r="BN408" s="67"/>
      <c r="BO408" s="67"/>
      <c r="BP408" s="67"/>
      <c r="BQ408" s="67"/>
      <c r="BR408" s="67"/>
      <c r="BS408" s="67"/>
      <c r="BT408" s="67"/>
      <c r="BU408" s="67"/>
      <c r="BV408" s="67"/>
      <c r="BW408" s="67"/>
      <c r="BX408" s="67"/>
      <c r="BY408" s="67"/>
      <c r="BZ408" s="67"/>
      <c r="CA408" s="67"/>
      <c r="CB408" s="67"/>
      <c r="CC408" s="67"/>
      <c r="CD408" s="67"/>
      <c r="CE408" s="67"/>
      <c r="CF408" s="67"/>
      <c r="CG408" s="67"/>
      <c r="CH408" s="67"/>
      <c r="CI408" s="67"/>
      <c r="CJ408" s="67"/>
      <c r="CK408" s="67"/>
      <c r="CL408" s="67"/>
      <c r="CM408" s="67"/>
      <c r="CN408" s="67"/>
      <c r="CO408" s="67"/>
      <c r="CP408" s="67"/>
      <c r="CQ408" s="67"/>
      <c r="CR408" s="67"/>
      <c r="CS408" s="67"/>
      <c r="CT408" s="67"/>
      <c r="CU408" s="67"/>
      <c r="CV408" s="67"/>
      <c r="CW408" s="67"/>
      <c r="CX408" s="67"/>
      <c r="CY408" s="67"/>
      <c r="CZ408" s="67"/>
      <c r="DA408" s="67"/>
      <c r="DB408" s="67"/>
      <c r="DC408" s="67"/>
      <c r="DD408" s="67"/>
      <c r="DE408" s="67"/>
      <c r="DF408" s="67"/>
    </row>
    <row r="409">
      <c r="A409" s="62"/>
      <c r="B409" s="88"/>
      <c r="C409" s="88"/>
      <c r="D409" s="88"/>
      <c r="E409" s="90"/>
      <c r="F409" s="91"/>
      <c r="G409" s="49"/>
      <c r="H409" s="70"/>
      <c r="I409" s="88"/>
      <c r="J409" s="88"/>
      <c r="K409" s="88"/>
      <c r="L409" s="90"/>
      <c r="M409" s="91"/>
      <c r="N409" s="49"/>
      <c r="O409" s="71"/>
      <c r="P409" s="92"/>
      <c r="Q409" s="71"/>
      <c r="R409" s="92"/>
      <c r="S409" s="71"/>
      <c r="T409" s="71"/>
      <c r="U409" s="68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29"/>
      <c r="AN409" s="67"/>
      <c r="AO409" s="67"/>
      <c r="AP409" s="67"/>
      <c r="AQ409" s="67"/>
      <c r="AR409" s="67"/>
      <c r="AS409" s="67"/>
      <c r="AT409" s="67"/>
      <c r="AU409" s="67"/>
      <c r="AV409" s="67"/>
      <c r="AW409" s="67"/>
      <c r="AX409" s="67"/>
      <c r="AY409" s="67"/>
      <c r="AZ409" s="67"/>
      <c r="BA409" s="67"/>
      <c r="BB409" s="67"/>
      <c r="BC409" s="67"/>
      <c r="BD409" s="67"/>
      <c r="BE409" s="67"/>
      <c r="BF409" s="67"/>
      <c r="BG409" s="67"/>
      <c r="BH409" s="67"/>
      <c r="BI409" s="67"/>
      <c r="BJ409" s="67"/>
      <c r="BK409" s="67"/>
      <c r="BL409" s="67"/>
      <c r="BM409" s="67"/>
      <c r="BN409" s="67"/>
      <c r="BO409" s="67"/>
      <c r="BP409" s="67"/>
      <c r="BQ409" s="67"/>
      <c r="BR409" s="67"/>
      <c r="BS409" s="67"/>
      <c r="BT409" s="67"/>
      <c r="BU409" s="67"/>
      <c r="BV409" s="67"/>
      <c r="BW409" s="67"/>
      <c r="BX409" s="67"/>
      <c r="BY409" s="67"/>
      <c r="BZ409" s="67"/>
      <c r="CA409" s="67"/>
      <c r="CB409" s="67"/>
      <c r="CC409" s="67"/>
      <c r="CD409" s="67"/>
      <c r="CE409" s="67"/>
      <c r="CF409" s="67"/>
      <c r="CG409" s="67"/>
      <c r="CH409" s="67"/>
      <c r="CI409" s="67"/>
      <c r="CJ409" s="67"/>
      <c r="CK409" s="67"/>
      <c r="CL409" s="67"/>
      <c r="CM409" s="67"/>
      <c r="CN409" s="67"/>
      <c r="CO409" s="67"/>
      <c r="CP409" s="67"/>
      <c r="CQ409" s="67"/>
      <c r="CR409" s="67"/>
      <c r="CS409" s="67"/>
      <c r="CT409" s="67"/>
      <c r="CU409" s="67"/>
      <c r="CV409" s="67"/>
      <c r="CW409" s="67"/>
      <c r="CX409" s="67"/>
      <c r="CY409" s="67"/>
      <c r="CZ409" s="67"/>
      <c r="DA409" s="67"/>
      <c r="DB409" s="67"/>
      <c r="DC409" s="67"/>
      <c r="DD409" s="67"/>
      <c r="DE409" s="67"/>
      <c r="DF409" s="67"/>
    </row>
    <row r="410">
      <c r="A410" s="62"/>
      <c r="B410" s="88"/>
      <c r="C410" s="88"/>
      <c r="D410" s="88"/>
      <c r="E410" s="90"/>
      <c r="F410" s="91"/>
      <c r="G410" s="49"/>
      <c r="H410" s="70"/>
      <c r="I410" s="88"/>
      <c r="J410" s="88"/>
      <c r="K410" s="88"/>
      <c r="L410" s="90"/>
      <c r="M410" s="91"/>
      <c r="N410" s="49"/>
      <c r="O410" s="71"/>
      <c r="P410" s="92"/>
      <c r="Q410" s="71"/>
      <c r="R410" s="92"/>
      <c r="S410" s="71"/>
      <c r="T410" s="71"/>
      <c r="U410" s="68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29"/>
      <c r="AN410" s="67"/>
      <c r="AO410" s="67"/>
      <c r="AP410" s="67"/>
      <c r="AQ410" s="67"/>
      <c r="AR410" s="67"/>
      <c r="AS410" s="67"/>
      <c r="AT410" s="67"/>
      <c r="AU410" s="67"/>
      <c r="AV410" s="67"/>
      <c r="AW410" s="67"/>
      <c r="AX410" s="67"/>
      <c r="AY410" s="67"/>
      <c r="AZ410" s="67"/>
      <c r="BA410" s="67"/>
      <c r="BB410" s="67"/>
      <c r="BC410" s="67"/>
      <c r="BD410" s="67"/>
      <c r="BE410" s="67"/>
      <c r="BF410" s="67"/>
      <c r="BG410" s="67"/>
      <c r="BH410" s="67"/>
      <c r="BI410" s="67"/>
      <c r="BJ410" s="67"/>
      <c r="BK410" s="67"/>
      <c r="BL410" s="67"/>
      <c r="BM410" s="67"/>
      <c r="BN410" s="67"/>
      <c r="BO410" s="67"/>
      <c r="BP410" s="67"/>
      <c r="BQ410" s="67"/>
      <c r="BR410" s="67"/>
      <c r="BS410" s="67"/>
      <c r="BT410" s="67"/>
      <c r="BU410" s="67"/>
      <c r="BV410" s="67"/>
      <c r="BW410" s="67"/>
      <c r="BX410" s="67"/>
      <c r="BY410" s="67"/>
      <c r="BZ410" s="67"/>
      <c r="CA410" s="67"/>
      <c r="CB410" s="67"/>
      <c r="CC410" s="67"/>
      <c r="CD410" s="67"/>
      <c r="CE410" s="67"/>
      <c r="CF410" s="67"/>
      <c r="CG410" s="67"/>
      <c r="CH410" s="67"/>
      <c r="CI410" s="67"/>
      <c r="CJ410" s="67"/>
      <c r="CK410" s="67"/>
      <c r="CL410" s="67"/>
      <c r="CM410" s="67"/>
      <c r="CN410" s="67"/>
      <c r="CO410" s="67"/>
      <c r="CP410" s="67"/>
      <c r="CQ410" s="67"/>
      <c r="CR410" s="67"/>
      <c r="CS410" s="67"/>
      <c r="CT410" s="67"/>
      <c r="CU410" s="67"/>
      <c r="CV410" s="67"/>
      <c r="CW410" s="67"/>
      <c r="CX410" s="67"/>
      <c r="CY410" s="67"/>
      <c r="CZ410" s="67"/>
      <c r="DA410" s="67"/>
      <c r="DB410" s="67"/>
      <c r="DC410" s="67"/>
      <c r="DD410" s="67"/>
      <c r="DE410" s="67"/>
      <c r="DF410" s="67"/>
    </row>
    <row r="411">
      <c r="A411" s="62"/>
      <c r="B411" s="88"/>
      <c r="C411" s="88"/>
      <c r="D411" s="88"/>
      <c r="E411" s="90"/>
      <c r="F411" s="91"/>
      <c r="G411" s="49"/>
      <c r="H411" s="70"/>
      <c r="I411" s="88"/>
      <c r="J411" s="88"/>
      <c r="K411" s="88"/>
      <c r="L411" s="90"/>
      <c r="M411" s="91"/>
      <c r="N411" s="49"/>
      <c r="O411" s="71"/>
      <c r="P411" s="92"/>
      <c r="Q411" s="71"/>
      <c r="R411" s="92"/>
      <c r="S411" s="71"/>
      <c r="T411" s="71"/>
      <c r="U411" s="68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29"/>
      <c r="AN411" s="67"/>
      <c r="AO411" s="67"/>
      <c r="AP411" s="67"/>
      <c r="AQ411" s="67"/>
      <c r="AR411" s="67"/>
      <c r="AS411" s="67"/>
      <c r="AT411" s="67"/>
      <c r="AU411" s="67"/>
      <c r="AV411" s="67"/>
      <c r="AW411" s="67"/>
      <c r="AX411" s="67"/>
      <c r="AY411" s="67"/>
      <c r="AZ411" s="67"/>
      <c r="BA411" s="67"/>
      <c r="BB411" s="67"/>
      <c r="BC411" s="67"/>
      <c r="BD411" s="67"/>
      <c r="BE411" s="67"/>
      <c r="BF411" s="67"/>
      <c r="BG411" s="67"/>
      <c r="BH411" s="67"/>
      <c r="BI411" s="67"/>
      <c r="BJ411" s="67"/>
      <c r="BK411" s="67"/>
      <c r="BL411" s="67"/>
      <c r="BM411" s="67"/>
      <c r="BN411" s="67"/>
      <c r="BO411" s="67"/>
      <c r="BP411" s="67"/>
      <c r="BQ411" s="67"/>
      <c r="BR411" s="67"/>
      <c r="BS411" s="67"/>
      <c r="BT411" s="67"/>
      <c r="BU411" s="67"/>
      <c r="BV411" s="67"/>
      <c r="BW411" s="67"/>
      <c r="BX411" s="67"/>
      <c r="BY411" s="67"/>
      <c r="BZ411" s="67"/>
      <c r="CA411" s="67"/>
      <c r="CB411" s="67"/>
      <c r="CC411" s="67"/>
      <c r="CD411" s="67"/>
      <c r="CE411" s="67"/>
      <c r="CF411" s="67"/>
      <c r="CG411" s="67"/>
      <c r="CH411" s="67"/>
      <c r="CI411" s="67"/>
      <c r="CJ411" s="67"/>
      <c r="CK411" s="67"/>
      <c r="CL411" s="67"/>
      <c r="CM411" s="67"/>
      <c r="CN411" s="67"/>
      <c r="CO411" s="67"/>
      <c r="CP411" s="67"/>
      <c r="CQ411" s="67"/>
      <c r="CR411" s="67"/>
      <c r="CS411" s="67"/>
      <c r="CT411" s="67"/>
      <c r="CU411" s="67"/>
      <c r="CV411" s="67"/>
      <c r="CW411" s="67"/>
      <c r="CX411" s="67"/>
      <c r="CY411" s="67"/>
      <c r="CZ411" s="67"/>
      <c r="DA411" s="67"/>
      <c r="DB411" s="67"/>
      <c r="DC411" s="67"/>
      <c r="DD411" s="67"/>
      <c r="DE411" s="67"/>
      <c r="DF411" s="67"/>
    </row>
    <row r="412">
      <c r="A412" s="62"/>
      <c r="B412" s="88"/>
      <c r="C412" s="88"/>
      <c r="D412" s="88"/>
      <c r="E412" s="90"/>
      <c r="F412" s="91"/>
      <c r="G412" s="49"/>
      <c r="H412" s="70"/>
      <c r="I412" s="88"/>
      <c r="J412" s="88"/>
      <c r="K412" s="88"/>
      <c r="L412" s="90"/>
      <c r="M412" s="91"/>
      <c r="N412" s="49"/>
      <c r="O412" s="71"/>
      <c r="P412" s="92"/>
      <c r="Q412" s="71"/>
      <c r="R412" s="92"/>
      <c r="S412" s="71"/>
      <c r="T412" s="71"/>
      <c r="U412" s="68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29"/>
      <c r="AN412" s="67"/>
      <c r="AO412" s="67"/>
      <c r="AP412" s="67"/>
      <c r="AQ412" s="67"/>
      <c r="AR412" s="67"/>
      <c r="AS412" s="67"/>
      <c r="AT412" s="67"/>
      <c r="AU412" s="67"/>
      <c r="AV412" s="67"/>
      <c r="AW412" s="67"/>
      <c r="AX412" s="67"/>
      <c r="AY412" s="67"/>
      <c r="AZ412" s="67"/>
      <c r="BA412" s="67"/>
      <c r="BB412" s="67"/>
      <c r="BC412" s="67"/>
      <c r="BD412" s="67"/>
      <c r="BE412" s="67"/>
      <c r="BF412" s="67"/>
      <c r="BG412" s="67"/>
      <c r="BH412" s="67"/>
      <c r="BI412" s="67"/>
      <c r="BJ412" s="67"/>
      <c r="BK412" s="67"/>
      <c r="BL412" s="67"/>
      <c r="BM412" s="67"/>
      <c r="BN412" s="67"/>
      <c r="BO412" s="67"/>
      <c r="BP412" s="67"/>
      <c r="BQ412" s="67"/>
      <c r="BR412" s="67"/>
      <c r="BS412" s="67"/>
      <c r="BT412" s="67"/>
      <c r="BU412" s="67"/>
      <c r="BV412" s="67"/>
      <c r="BW412" s="67"/>
      <c r="BX412" s="67"/>
      <c r="BY412" s="67"/>
      <c r="BZ412" s="67"/>
      <c r="CA412" s="67"/>
      <c r="CB412" s="67"/>
      <c r="CC412" s="67"/>
      <c r="CD412" s="67"/>
      <c r="CE412" s="67"/>
      <c r="CF412" s="67"/>
      <c r="CG412" s="67"/>
      <c r="CH412" s="67"/>
      <c r="CI412" s="67"/>
      <c r="CJ412" s="67"/>
      <c r="CK412" s="67"/>
      <c r="CL412" s="67"/>
      <c r="CM412" s="67"/>
      <c r="CN412" s="67"/>
      <c r="CO412" s="67"/>
      <c r="CP412" s="67"/>
      <c r="CQ412" s="67"/>
      <c r="CR412" s="67"/>
      <c r="CS412" s="67"/>
      <c r="CT412" s="67"/>
      <c r="CU412" s="67"/>
      <c r="CV412" s="67"/>
      <c r="CW412" s="67"/>
      <c r="CX412" s="67"/>
      <c r="CY412" s="67"/>
      <c r="CZ412" s="67"/>
      <c r="DA412" s="67"/>
      <c r="DB412" s="67"/>
      <c r="DC412" s="67"/>
      <c r="DD412" s="67"/>
      <c r="DE412" s="67"/>
      <c r="DF412" s="67"/>
    </row>
    <row r="413">
      <c r="A413" s="62"/>
      <c r="B413" s="88"/>
      <c r="C413" s="88"/>
      <c r="D413" s="88"/>
      <c r="E413" s="90"/>
      <c r="F413" s="91"/>
      <c r="G413" s="49"/>
      <c r="H413" s="70"/>
      <c r="I413" s="88"/>
      <c r="J413" s="88"/>
      <c r="K413" s="88"/>
      <c r="L413" s="90"/>
      <c r="M413" s="91"/>
      <c r="N413" s="49"/>
      <c r="O413" s="71"/>
      <c r="P413" s="92"/>
      <c r="Q413" s="71"/>
      <c r="R413" s="92"/>
      <c r="S413" s="71"/>
      <c r="T413" s="71"/>
      <c r="U413" s="68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29"/>
      <c r="AN413" s="67"/>
      <c r="AO413" s="67"/>
      <c r="AP413" s="67"/>
      <c r="AQ413" s="67"/>
      <c r="AR413" s="67"/>
      <c r="AS413" s="67"/>
      <c r="AT413" s="67"/>
      <c r="AU413" s="67"/>
      <c r="AV413" s="67"/>
      <c r="AW413" s="67"/>
      <c r="AX413" s="67"/>
      <c r="AY413" s="67"/>
      <c r="AZ413" s="67"/>
      <c r="BA413" s="67"/>
      <c r="BB413" s="67"/>
      <c r="BC413" s="67"/>
      <c r="BD413" s="67"/>
      <c r="BE413" s="67"/>
      <c r="BF413" s="67"/>
      <c r="BG413" s="67"/>
      <c r="BH413" s="67"/>
      <c r="BI413" s="67"/>
      <c r="BJ413" s="67"/>
      <c r="BK413" s="67"/>
      <c r="BL413" s="67"/>
      <c r="BM413" s="67"/>
      <c r="BN413" s="67"/>
      <c r="BO413" s="67"/>
      <c r="BP413" s="67"/>
      <c r="BQ413" s="67"/>
      <c r="BR413" s="67"/>
      <c r="BS413" s="67"/>
      <c r="BT413" s="67"/>
      <c r="BU413" s="67"/>
      <c r="BV413" s="67"/>
      <c r="BW413" s="67"/>
      <c r="BX413" s="67"/>
      <c r="BY413" s="67"/>
      <c r="BZ413" s="67"/>
      <c r="CA413" s="67"/>
      <c r="CB413" s="67"/>
      <c r="CC413" s="67"/>
      <c r="CD413" s="67"/>
      <c r="CE413" s="67"/>
      <c r="CF413" s="67"/>
      <c r="CG413" s="67"/>
      <c r="CH413" s="67"/>
      <c r="CI413" s="67"/>
      <c r="CJ413" s="67"/>
      <c r="CK413" s="67"/>
      <c r="CL413" s="67"/>
      <c r="CM413" s="67"/>
      <c r="CN413" s="67"/>
      <c r="CO413" s="67"/>
      <c r="CP413" s="67"/>
      <c r="CQ413" s="67"/>
      <c r="CR413" s="67"/>
      <c r="CS413" s="67"/>
      <c r="CT413" s="67"/>
      <c r="CU413" s="67"/>
      <c r="CV413" s="67"/>
      <c r="CW413" s="67"/>
      <c r="CX413" s="67"/>
      <c r="CY413" s="67"/>
      <c r="CZ413" s="67"/>
      <c r="DA413" s="67"/>
      <c r="DB413" s="67"/>
      <c r="DC413" s="67"/>
      <c r="DD413" s="67"/>
      <c r="DE413" s="67"/>
      <c r="DF413" s="67"/>
    </row>
    <row r="414">
      <c r="A414" s="62"/>
      <c r="B414" s="88"/>
      <c r="C414" s="88"/>
      <c r="D414" s="88"/>
      <c r="E414" s="90"/>
      <c r="F414" s="91"/>
      <c r="G414" s="49"/>
      <c r="H414" s="70"/>
      <c r="I414" s="88"/>
      <c r="J414" s="88"/>
      <c r="K414" s="88"/>
      <c r="L414" s="90"/>
      <c r="M414" s="91"/>
      <c r="N414" s="49"/>
      <c r="O414" s="71"/>
      <c r="P414" s="92"/>
      <c r="Q414" s="71"/>
      <c r="R414" s="92"/>
      <c r="S414" s="71"/>
      <c r="T414" s="71"/>
      <c r="U414" s="68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29"/>
      <c r="AN414" s="67"/>
      <c r="AO414" s="67"/>
      <c r="AP414" s="67"/>
      <c r="AQ414" s="67"/>
      <c r="AR414" s="67"/>
      <c r="AS414" s="67"/>
      <c r="AT414" s="67"/>
      <c r="AU414" s="67"/>
      <c r="AV414" s="67"/>
      <c r="AW414" s="67"/>
      <c r="AX414" s="67"/>
      <c r="AY414" s="67"/>
      <c r="AZ414" s="67"/>
      <c r="BA414" s="67"/>
      <c r="BB414" s="67"/>
      <c r="BC414" s="67"/>
      <c r="BD414" s="67"/>
      <c r="BE414" s="67"/>
      <c r="BF414" s="67"/>
      <c r="BG414" s="67"/>
      <c r="BH414" s="67"/>
      <c r="BI414" s="67"/>
      <c r="BJ414" s="67"/>
      <c r="BK414" s="67"/>
      <c r="BL414" s="67"/>
      <c r="BM414" s="67"/>
      <c r="BN414" s="67"/>
      <c r="BO414" s="67"/>
      <c r="BP414" s="67"/>
      <c r="BQ414" s="67"/>
      <c r="BR414" s="67"/>
      <c r="BS414" s="67"/>
      <c r="BT414" s="67"/>
      <c r="BU414" s="67"/>
      <c r="BV414" s="67"/>
      <c r="BW414" s="67"/>
      <c r="BX414" s="67"/>
      <c r="BY414" s="67"/>
      <c r="BZ414" s="67"/>
      <c r="CA414" s="67"/>
      <c r="CB414" s="67"/>
      <c r="CC414" s="67"/>
      <c r="CD414" s="67"/>
      <c r="CE414" s="67"/>
      <c r="CF414" s="67"/>
      <c r="CG414" s="67"/>
      <c r="CH414" s="67"/>
      <c r="CI414" s="67"/>
      <c r="CJ414" s="67"/>
      <c r="CK414" s="67"/>
      <c r="CL414" s="67"/>
      <c r="CM414" s="67"/>
      <c r="CN414" s="67"/>
      <c r="CO414" s="67"/>
      <c r="CP414" s="67"/>
      <c r="CQ414" s="67"/>
      <c r="CR414" s="67"/>
      <c r="CS414" s="67"/>
      <c r="CT414" s="67"/>
      <c r="CU414" s="67"/>
      <c r="CV414" s="67"/>
      <c r="CW414" s="67"/>
      <c r="CX414" s="67"/>
      <c r="CY414" s="67"/>
      <c r="CZ414" s="67"/>
      <c r="DA414" s="67"/>
      <c r="DB414" s="67"/>
      <c r="DC414" s="67"/>
      <c r="DD414" s="67"/>
      <c r="DE414" s="67"/>
      <c r="DF414" s="67"/>
    </row>
    <row r="415">
      <c r="A415" s="62"/>
      <c r="B415" s="88"/>
      <c r="C415" s="88"/>
      <c r="D415" s="88"/>
      <c r="E415" s="90"/>
      <c r="F415" s="91"/>
      <c r="G415" s="49"/>
      <c r="H415" s="70"/>
      <c r="I415" s="88"/>
      <c r="J415" s="88"/>
      <c r="K415" s="88"/>
      <c r="L415" s="90"/>
      <c r="M415" s="91"/>
      <c r="N415" s="49"/>
      <c r="O415" s="71"/>
      <c r="P415" s="92"/>
      <c r="Q415" s="71"/>
      <c r="R415" s="92"/>
      <c r="S415" s="71"/>
      <c r="T415" s="71"/>
      <c r="U415" s="68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29"/>
      <c r="AN415" s="67"/>
      <c r="AO415" s="67"/>
      <c r="AP415" s="67"/>
      <c r="AQ415" s="67"/>
      <c r="AR415" s="67"/>
      <c r="AS415" s="67"/>
      <c r="AT415" s="67"/>
      <c r="AU415" s="67"/>
      <c r="AV415" s="67"/>
      <c r="AW415" s="67"/>
      <c r="AX415" s="67"/>
      <c r="AY415" s="67"/>
      <c r="AZ415" s="67"/>
      <c r="BA415" s="67"/>
      <c r="BB415" s="67"/>
      <c r="BC415" s="67"/>
      <c r="BD415" s="67"/>
      <c r="BE415" s="67"/>
      <c r="BF415" s="67"/>
      <c r="BG415" s="67"/>
      <c r="BH415" s="67"/>
      <c r="BI415" s="67"/>
      <c r="BJ415" s="67"/>
      <c r="BK415" s="67"/>
      <c r="BL415" s="67"/>
      <c r="BM415" s="67"/>
      <c r="BN415" s="67"/>
      <c r="BO415" s="67"/>
      <c r="BP415" s="67"/>
      <c r="BQ415" s="67"/>
      <c r="BR415" s="67"/>
      <c r="BS415" s="67"/>
      <c r="BT415" s="67"/>
      <c r="BU415" s="67"/>
      <c r="BV415" s="67"/>
      <c r="BW415" s="67"/>
      <c r="BX415" s="67"/>
      <c r="BY415" s="67"/>
      <c r="BZ415" s="67"/>
      <c r="CA415" s="67"/>
      <c r="CB415" s="67"/>
      <c r="CC415" s="67"/>
      <c r="CD415" s="67"/>
      <c r="CE415" s="67"/>
      <c r="CF415" s="67"/>
      <c r="CG415" s="67"/>
      <c r="CH415" s="67"/>
      <c r="CI415" s="67"/>
      <c r="CJ415" s="67"/>
      <c r="CK415" s="67"/>
      <c r="CL415" s="67"/>
      <c r="CM415" s="67"/>
      <c r="CN415" s="67"/>
      <c r="CO415" s="67"/>
      <c r="CP415" s="67"/>
      <c r="CQ415" s="67"/>
      <c r="CR415" s="67"/>
      <c r="CS415" s="67"/>
      <c r="CT415" s="67"/>
      <c r="CU415" s="67"/>
      <c r="CV415" s="67"/>
      <c r="CW415" s="67"/>
      <c r="CX415" s="67"/>
      <c r="CY415" s="67"/>
      <c r="CZ415" s="67"/>
      <c r="DA415" s="67"/>
      <c r="DB415" s="67"/>
      <c r="DC415" s="67"/>
      <c r="DD415" s="67"/>
      <c r="DE415" s="67"/>
      <c r="DF415" s="67"/>
    </row>
    <row r="416">
      <c r="A416" s="62"/>
      <c r="B416" s="88"/>
      <c r="C416" s="88"/>
      <c r="D416" s="88"/>
      <c r="E416" s="90"/>
      <c r="F416" s="91"/>
      <c r="G416" s="49"/>
      <c r="H416" s="70"/>
      <c r="I416" s="88"/>
      <c r="J416" s="88"/>
      <c r="K416" s="88"/>
      <c r="L416" s="90"/>
      <c r="M416" s="91"/>
      <c r="N416" s="49"/>
      <c r="O416" s="71"/>
      <c r="P416" s="92"/>
      <c r="Q416" s="71"/>
      <c r="R416" s="92"/>
      <c r="S416" s="71"/>
      <c r="T416" s="71"/>
      <c r="U416" s="68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29"/>
      <c r="AN416" s="67"/>
      <c r="AO416" s="67"/>
      <c r="AP416" s="67"/>
      <c r="AQ416" s="67"/>
      <c r="AR416" s="67"/>
      <c r="AS416" s="67"/>
      <c r="AT416" s="67"/>
      <c r="AU416" s="67"/>
      <c r="AV416" s="67"/>
      <c r="AW416" s="67"/>
      <c r="AX416" s="67"/>
      <c r="AY416" s="67"/>
      <c r="AZ416" s="67"/>
      <c r="BA416" s="67"/>
      <c r="BB416" s="67"/>
      <c r="BC416" s="67"/>
      <c r="BD416" s="67"/>
      <c r="BE416" s="67"/>
      <c r="BF416" s="67"/>
      <c r="BG416" s="67"/>
      <c r="BH416" s="67"/>
      <c r="BI416" s="67"/>
      <c r="BJ416" s="67"/>
      <c r="BK416" s="67"/>
      <c r="BL416" s="67"/>
      <c r="BM416" s="67"/>
      <c r="BN416" s="67"/>
      <c r="BO416" s="67"/>
      <c r="BP416" s="67"/>
      <c r="BQ416" s="67"/>
      <c r="BR416" s="67"/>
      <c r="BS416" s="67"/>
      <c r="BT416" s="67"/>
      <c r="BU416" s="67"/>
      <c r="BV416" s="67"/>
      <c r="BW416" s="67"/>
      <c r="BX416" s="67"/>
      <c r="BY416" s="67"/>
      <c r="BZ416" s="67"/>
      <c r="CA416" s="67"/>
      <c r="CB416" s="67"/>
      <c r="CC416" s="67"/>
      <c r="CD416" s="67"/>
      <c r="CE416" s="67"/>
      <c r="CF416" s="67"/>
      <c r="CG416" s="67"/>
      <c r="CH416" s="67"/>
      <c r="CI416" s="67"/>
      <c r="CJ416" s="67"/>
      <c r="CK416" s="67"/>
      <c r="CL416" s="67"/>
      <c r="CM416" s="67"/>
      <c r="CN416" s="67"/>
      <c r="CO416" s="67"/>
      <c r="CP416" s="67"/>
      <c r="CQ416" s="67"/>
      <c r="CR416" s="67"/>
      <c r="CS416" s="67"/>
      <c r="CT416" s="67"/>
      <c r="CU416" s="67"/>
      <c r="CV416" s="67"/>
      <c r="CW416" s="67"/>
      <c r="CX416" s="67"/>
      <c r="CY416" s="67"/>
      <c r="CZ416" s="67"/>
      <c r="DA416" s="67"/>
      <c r="DB416" s="67"/>
      <c r="DC416" s="67"/>
      <c r="DD416" s="67"/>
      <c r="DE416" s="67"/>
      <c r="DF416" s="67"/>
    </row>
    <row r="417">
      <c r="A417" s="62"/>
      <c r="B417" s="88"/>
      <c r="C417" s="88"/>
      <c r="D417" s="88"/>
      <c r="E417" s="90"/>
      <c r="F417" s="91"/>
      <c r="G417" s="49"/>
      <c r="H417" s="70"/>
      <c r="I417" s="88"/>
      <c r="J417" s="88"/>
      <c r="K417" s="88"/>
      <c r="L417" s="90"/>
      <c r="M417" s="91"/>
      <c r="N417" s="49"/>
      <c r="O417" s="71"/>
      <c r="P417" s="92"/>
      <c r="Q417" s="71"/>
      <c r="R417" s="92"/>
      <c r="S417" s="71"/>
      <c r="T417" s="71"/>
      <c r="U417" s="68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29"/>
      <c r="AN417" s="67"/>
      <c r="AO417" s="67"/>
      <c r="AP417" s="67"/>
      <c r="AQ417" s="67"/>
      <c r="AR417" s="67"/>
      <c r="AS417" s="67"/>
      <c r="AT417" s="67"/>
      <c r="AU417" s="67"/>
      <c r="AV417" s="67"/>
      <c r="AW417" s="67"/>
      <c r="AX417" s="67"/>
      <c r="AY417" s="67"/>
      <c r="AZ417" s="67"/>
      <c r="BA417" s="67"/>
      <c r="BB417" s="67"/>
      <c r="BC417" s="67"/>
      <c r="BD417" s="67"/>
      <c r="BE417" s="67"/>
      <c r="BF417" s="67"/>
      <c r="BG417" s="67"/>
      <c r="BH417" s="67"/>
      <c r="BI417" s="67"/>
      <c r="BJ417" s="67"/>
      <c r="BK417" s="67"/>
      <c r="BL417" s="67"/>
      <c r="BM417" s="67"/>
      <c r="BN417" s="67"/>
      <c r="BO417" s="67"/>
      <c r="BP417" s="67"/>
      <c r="BQ417" s="67"/>
      <c r="BR417" s="67"/>
      <c r="BS417" s="67"/>
      <c r="BT417" s="67"/>
      <c r="BU417" s="67"/>
      <c r="BV417" s="67"/>
      <c r="BW417" s="67"/>
      <c r="BX417" s="67"/>
      <c r="BY417" s="67"/>
      <c r="BZ417" s="67"/>
      <c r="CA417" s="67"/>
      <c r="CB417" s="67"/>
      <c r="CC417" s="67"/>
      <c r="CD417" s="67"/>
      <c r="CE417" s="67"/>
      <c r="CF417" s="67"/>
      <c r="CG417" s="67"/>
      <c r="CH417" s="67"/>
      <c r="CI417" s="67"/>
      <c r="CJ417" s="67"/>
      <c r="CK417" s="67"/>
      <c r="CL417" s="67"/>
      <c r="CM417" s="67"/>
      <c r="CN417" s="67"/>
      <c r="CO417" s="67"/>
      <c r="CP417" s="67"/>
      <c r="CQ417" s="67"/>
      <c r="CR417" s="67"/>
      <c r="CS417" s="67"/>
      <c r="CT417" s="67"/>
      <c r="CU417" s="67"/>
      <c r="CV417" s="67"/>
      <c r="CW417" s="67"/>
      <c r="CX417" s="67"/>
      <c r="CY417" s="67"/>
      <c r="CZ417" s="67"/>
      <c r="DA417" s="67"/>
      <c r="DB417" s="67"/>
      <c r="DC417" s="67"/>
      <c r="DD417" s="67"/>
      <c r="DE417" s="67"/>
      <c r="DF417" s="67"/>
    </row>
    <row r="418">
      <c r="A418" s="62"/>
      <c r="B418" s="88"/>
      <c r="C418" s="88"/>
      <c r="D418" s="88"/>
      <c r="E418" s="90"/>
      <c r="F418" s="91"/>
      <c r="G418" s="49"/>
      <c r="H418" s="70"/>
      <c r="I418" s="88"/>
      <c r="J418" s="88"/>
      <c r="K418" s="88"/>
      <c r="L418" s="90"/>
      <c r="M418" s="91"/>
      <c r="N418" s="49"/>
      <c r="O418" s="71"/>
      <c r="P418" s="92"/>
      <c r="Q418" s="71"/>
      <c r="R418" s="92"/>
      <c r="S418" s="71"/>
      <c r="T418" s="71"/>
      <c r="U418" s="68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29"/>
      <c r="AN418" s="67"/>
      <c r="AO418" s="67"/>
      <c r="AP418" s="67"/>
      <c r="AQ418" s="67"/>
      <c r="AR418" s="67"/>
      <c r="AS418" s="67"/>
      <c r="AT418" s="67"/>
      <c r="AU418" s="67"/>
      <c r="AV418" s="67"/>
      <c r="AW418" s="67"/>
      <c r="AX418" s="67"/>
      <c r="AY418" s="67"/>
      <c r="AZ418" s="67"/>
      <c r="BA418" s="67"/>
      <c r="BB418" s="67"/>
      <c r="BC418" s="67"/>
      <c r="BD418" s="67"/>
      <c r="BE418" s="67"/>
      <c r="BF418" s="67"/>
      <c r="BG418" s="67"/>
      <c r="BH418" s="67"/>
      <c r="BI418" s="67"/>
      <c r="BJ418" s="67"/>
      <c r="BK418" s="67"/>
      <c r="BL418" s="67"/>
      <c r="BM418" s="67"/>
      <c r="BN418" s="67"/>
      <c r="BO418" s="67"/>
      <c r="BP418" s="67"/>
      <c r="BQ418" s="67"/>
      <c r="BR418" s="67"/>
      <c r="BS418" s="67"/>
      <c r="BT418" s="67"/>
      <c r="BU418" s="67"/>
      <c r="BV418" s="67"/>
      <c r="BW418" s="67"/>
      <c r="BX418" s="67"/>
      <c r="BY418" s="67"/>
      <c r="BZ418" s="67"/>
      <c r="CA418" s="67"/>
      <c r="CB418" s="67"/>
      <c r="CC418" s="67"/>
      <c r="CD418" s="67"/>
      <c r="CE418" s="67"/>
      <c r="CF418" s="67"/>
      <c r="CG418" s="67"/>
      <c r="CH418" s="67"/>
      <c r="CI418" s="67"/>
      <c r="CJ418" s="67"/>
      <c r="CK418" s="67"/>
      <c r="CL418" s="67"/>
      <c r="CM418" s="67"/>
      <c r="CN418" s="67"/>
      <c r="CO418" s="67"/>
      <c r="CP418" s="67"/>
      <c r="CQ418" s="67"/>
      <c r="CR418" s="67"/>
      <c r="CS418" s="67"/>
      <c r="CT418" s="67"/>
      <c r="CU418" s="67"/>
      <c r="CV418" s="67"/>
      <c r="CW418" s="67"/>
      <c r="CX418" s="67"/>
      <c r="CY418" s="67"/>
      <c r="CZ418" s="67"/>
      <c r="DA418" s="67"/>
      <c r="DB418" s="67"/>
      <c r="DC418" s="67"/>
      <c r="DD418" s="67"/>
      <c r="DE418" s="67"/>
      <c r="DF418" s="67"/>
    </row>
    <row r="419">
      <c r="A419" s="62"/>
      <c r="B419" s="88"/>
      <c r="C419" s="88"/>
      <c r="D419" s="88"/>
      <c r="E419" s="90"/>
      <c r="F419" s="91"/>
      <c r="G419" s="49"/>
      <c r="H419" s="70"/>
      <c r="I419" s="88"/>
      <c r="J419" s="88"/>
      <c r="K419" s="88"/>
      <c r="L419" s="90"/>
      <c r="M419" s="91"/>
      <c r="N419" s="49"/>
      <c r="O419" s="71"/>
      <c r="P419" s="92"/>
      <c r="Q419" s="71"/>
      <c r="R419" s="92"/>
      <c r="S419" s="71"/>
      <c r="T419" s="71"/>
      <c r="U419" s="68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29"/>
      <c r="AN419" s="67"/>
      <c r="AO419" s="67"/>
      <c r="AP419" s="67"/>
      <c r="AQ419" s="67"/>
      <c r="AR419" s="67"/>
      <c r="AS419" s="67"/>
      <c r="AT419" s="67"/>
      <c r="AU419" s="67"/>
      <c r="AV419" s="67"/>
      <c r="AW419" s="67"/>
      <c r="AX419" s="67"/>
      <c r="AY419" s="67"/>
      <c r="AZ419" s="67"/>
      <c r="BA419" s="67"/>
      <c r="BB419" s="67"/>
      <c r="BC419" s="67"/>
      <c r="BD419" s="67"/>
      <c r="BE419" s="67"/>
      <c r="BF419" s="67"/>
      <c r="BG419" s="67"/>
      <c r="BH419" s="67"/>
      <c r="BI419" s="67"/>
      <c r="BJ419" s="67"/>
      <c r="BK419" s="67"/>
      <c r="BL419" s="67"/>
      <c r="BM419" s="67"/>
      <c r="BN419" s="67"/>
      <c r="BO419" s="67"/>
      <c r="BP419" s="67"/>
      <c r="BQ419" s="67"/>
      <c r="BR419" s="67"/>
      <c r="BS419" s="67"/>
      <c r="BT419" s="67"/>
      <c r="BU419" s="67"/>
      <c r="BV419" s="67"/>
      <c r="BW419" s="67"/>
      <c r="BX419" s="67"/>
      <c r="BY419" s="67"/>
      <c r="BZ419" s="67"/>
      <c r="CA419" s="67"/>
      <c r="CB419" s="67"/>
      <c r="CC419" s="67"/>
      <c r="CD419" s="67"/>
      <c r="CE419" s="67"/>
      <c r="CF419" s="67"/>
      <c r="CG419" s="67"/>
      <c r="CH419" s="67"/>
      <c r="CI419" s="67"/>
      <c r="CJ419" s="67"/>
      <c r="CK419" s="67"/>
      <c r="CL419" s="67"/>
      <c r="CM419" s="67"/>
      <c r="CN419" s="67"/>
      <c r="CO419" s="67"/>
      <c r="CP419" s="67"/>
      <c r="CQ419" s="67"/>
      <c r="CR419" s="67"/>
      <c r="CS419" s="67"/>
      <c r="CT419" s="67"/>
      <c r="CU419" s="67"/>
      <c r="CV419" s="67"/>
      <c r="CW419" s="67"/>
      <c r="CX419" s="67"/>
      <c r="CY419" s="67"/>
      <c r="CZ419" s="67"/>
      <c r="DA419" s="67"/>
      <c r="DB419" s="67"/>
      <c r="DC419" s="67"/>
      <c r="DD419" s="67"/>
      <c r="DE419" s="67"/>
      <c r="DF419" s="67"/>
    </row>
    <row r="420">
      <c r="A420" s="62"/>
      <c r="B420" s="88"/>
      <c r="C420" s="88"/>
      <c r="D420" s="88"/>
      <c r="E420" s="90"/>
      <c r="F420" s="91"/>
      <c r="G420" s="49"/>
      <c r="H420" s="70"/>
      <c r="I420" s="88"/>
      <c r="J420" s="88"/>
      <c r="K420" s="88"/>
      <c r="L420" s="90"/>
      <c r="M420" s="91"/>
      <c r="N420" s="49"/>
      <c r="O420" s="71"/>
      <c r="P420" s="92"/>
      <c r="Q420" s="71"/>
      <c r="R420" s="92"/>
      <c r="S420" s="71"/>
      <c r="T420" s="71"/>
      <c r="U420" s="68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29"/>
      <c r="AN420" s="67"/>
      <c r="AO420" s="67"/>
      <c r="AP420" s="67"/>
      <c r="AQ420" s="67"/>
      <c r="AR420" s="67"/>
      <c r="AS420" s="67"/>
      <c r="AT420" s="67"/>
      <c r="AU420" s="67"/>
      <c r="AV420" s="67"/>
      <c r="AW420" s="67"/>
      <c r="AX420" s="67"/>
      <c r="AY420" s="67"/>
      <c r="AZ420" s="67"/>
      <c r="BA420" s="67"/>
      <c r="BB420" s="67"/>
      <c r="BC420" s="67"/>
      <c r="BD420" s="67"/>
      <c r="BE420" s="67"/>
      <c r="BF420" s="67"/>
      <c r="BG420" s="67"/>
      <c r="BH420" s="67"/>
      <c r="BI420" s="67"/>
      <c r="BJ420" s="67"/>
      <c r="BK420" s="67"/>
      <c r="BL420" s="67"/>
      <c r="BM420" s="67"/>
      <c r="BN420" s="67"/>
      <c r="BO420" s="67"/>
      <c r="BP420" s="67"/>
      <c r="BQ420" s="67"/>
      <c r="BR420" s="67"/>
      <c r="BS420" s="67"/>
      <c r="BT420" s="67"/>
      <c r="BU420" s="67"/>
      <c r="BV420" s="67"/>
      <c r="BW420" s="67"/>
      <c r="BX420" s="67"/>
      <c r="BY420" s="67"/>
      <c r="BZ420" s="67"/>
      <c r="CA420" s="67"/>
      <c r="CB420" s="67"/>
      <c r="CC420" s="67"/>
      <c r="CD420" s="67"/>
      <c r="CE420" s="67"/>
      <c r="CF420" s="67"/>
      <c r="CG420" s="67"/>
      <c r="CH420" s="67"/>
      <c r="CI420" s="67"/>
      <c r="CJ420" s="67"/>
      <c r="CK420" s="67"/>
      <c r="CL420" s="67"/>
      <c r="CM420" s="67"/>
      <c r="CN420" s="67"/>
      <c r="CO420" s="67"/>
      <c r="CP420" s="67"/>
      <c r="CQ420" s="67"/>
      <c r="CR420" s="67"/>
      <c r="CS420" s="67"/>
      <c r="CT420" s="67"/>
      <c r="CU420" s="67"/>
      <c r="CV420" s="67"/>
      <c r="CW420" s="67"/>
      <c r="CX420" s="67"/>
      <c r="CY420" s="67"/>
      <c r="CZ420" s="67"/>
      <c r="DA420" s="67"/>
      <c r="DB420" s="67"/>
      <c r="DC420" s="67"/>
      <c r="DD420" s="67"/>
      <c r="DE420" s="67"/>
      <c r="DF420" s="67"/>
    </row>
    <row r="421">
      <c r="A421" s="62"/>
      <c r="B421" s="88"/>
      <c r="C421" s="88"/>
      <c r="D421" s="88"/>
      <c r="E421" s="90"/>
      <c r="F421" s="91"/>
      <c r="G421" s="49"/>
      <c r="H421" s="70"/>
      <c r="I421" s="88"/>
      <c r="J421" s="88"/>
      <c r="K421" s="88"/>
      <c r="L421" s="90"/>
      <c r="M421" s="91"/>
      <c r="N421" s="49"/>
      <c r="O421" s="71"/>
      <c r="P421" s="92"/>
      <c r="Q421" s="71"/>
      <c r="R421" s="92"/>
      <c r="S421" s="71"/>
      <c r="T421" s="71"/>
      <c r="U421" s="68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29"/>
      <c r="AN421" s="67"/>
      <c r="AO421" s="67"/>
      <c r="AP421" s="67"/>
      <c r="AQ421" s="67"/>
      <c r="AR421" s="67"/>
      <c r="AS421" s="67"/>
      <c r="AT421" s="67"/>
      <c r="AU421" s="67"/>
      <c r="AV421" s="67"/>
      <c r="AW421" s="67"/>
      <c r="AX421" s="67"/>
      <c r="AY421" s="67"/>
      <c r="AZ421" s="67"/>
      <c r="BA421" s="67"/>
      <c r="BB421" s="67"/>
      <c r="BC421" s="67"/>
      <c r="BD421" s="67"/>
      <c r="BE421" s="67"/>
      <c r="BF421" s="67"/>
      <c r="BG421" s="67"/>
      <c r="BH421" s="67"/>
      <c r="BI421" s="67"/>
      <c r="BJ421" s="67"/>
      <c r="BK421" s="67"/>
      <c r="BL421" s="67"/>
      <c r="BM421" s="67"/>
      <c r="BN421" s="67"/>
      <c r="BO421" s="67"/>
      <c r="BP421" s="67"/>
      <c r="BQ421" s="67"/>
      <c r="BR421" s="67"/>
      <c r="BS421" s="67"/>
      <c r="BT421" s="67"/>
      <c r="BU421" s="67"/>
      <c r="BV421" s="67"/>
      <c r="BW421" s="67"/>
      <c r="BX421" s="67"/>
      <c r="BY421" s="67"/>
      <c r="BZ421" s="67"/>
      <c r="CA421" s="67"/>
      <c r="CB421" s="67"/>
      <c r="CC421" s="67"/>
      <c r="CD421" s="67"/>
      <c r="CE421" s="67"/>
      <c r="CF421" s="67"/>
      <c r="CG421" s="67"/>
      <c r="CH421" s="67"/>
      <c r="CI421" s="67"/>
      <c r="CJ421" s="67"/>
      <c r="CK421" s="67"/>
      <c r="CL421" s="67"/>
      <c r="CM421" s="67"/>
      <c r="CN421" s="67"/>
      <c r="CO421" s="67"/>
      <c r="CP421" s="67"/>
      <c r="CQ421" s="67"/>
      <c r="CR421" s="67"/>
      <c r="CS421" s="67"/>
      <c r="CT421" s="67"/>
      <c r="CU421" s="67"/>
      <c r="CV421" s="67"/>
      <c r="CW421" s="67"/>
      <c r="CX421" s="67"/>
      <c r="CY421" s="67"/>
      <c r="CZ421" s="67"/>
      <c r="DA421" s="67"/>
      <c r="DB421" s="67"/>
      <c r="DC421" s="67"/>
      <c r="DD421" s="67"/>
      <c r="DE421" s="67"/>
      <c r="DF421" s="67"/>
    </row>
    <row r="422">
      <c r="A422" s="62"/>
      <c r="B422" s="88"/>
      <c r="C422" s="88"/>
      <c r="D422" s="88"/>
      <c r="E422" s="90"/>
      <c r="F422" s="91"/>
      <c r="G422" s="49"/>
      <c r="H422" s="70"/>
      <c r="I422" s="88"/>
      <c r="J422" s="88"/>
      <c r="K422" s="88"/>
      <c r="L422" s="90"/>
      <c r="M422" s="91"/>
      <c r="N422" s="49"/>
      <c r="O422" s="71"/>
      <c r="P422" s="92"/>
      <c r="Q422" s="71"/>
      <c r="R422" s="92"/>
      <c r="S422" s="71"/>
      <c r="T422" s="71"/>
      <c r="U422" s="68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29"/>
      <c r="AN422" s="67"/>
      <c r="AO422" s="67"/>
      <c r="AP422" s="67"/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  <c r="BC422" s="67"/>
      <c r="BD422" s="67"/>
      <c r="BE422" s="67"/>
      <c r="BF422" s="67"/>
      <c r="BG422" s="67"/>
      <c r="BH422" s="67"/>
      <c r="BI422" s="67"/>
      <c r="BJ422" s="67"/>
      <c r="BK422" s="67"/>
      <c r="BL422" s="67"/>
      <c r="BM422" s="67"/>
      <c r="BN422" s="67"/>
      <c r="BO422" s="67"/>
      <c r="BP422" s="67"/>
      <c r="BQ422" s="67"/>
      <c r="BR422" s="67"/>
      <c r="BS422" s="67"/>
      <c r="BT422" s="67"/>
      <c r="BU422" s="67"/>
      <c r="BV422" s="67"/>
      <c r="BW422" s="67"/>
      <c r="BX422" s="67"/>
      <c r="BY422" s="67"/>
      <c r="BZ422" s="67"/>
      <c r="CA422" s="67"/>
      <c r="CB422" s="67"/>
      <c r="CC422" s="67"/>
      <c r="CD422" s="67"/>
      <c r="CE422" s="67"/>
      <c r="CF422" s="67"/>
      <c r="CG422" s="67"/>
      <c r="CH422" s="67"/>
      <c r="CI422" s="67"/>
      <c r="CJ422" s="67"/>
      <c r="CK422" s="67"/>
      <c r="CL422" s="67"/>
      <c r="CM422" s="67"/>
      <c r="CN422" s="67"/>
      <c r="CO422" s="67"/>
      <c r="CP422" s="67"/>
      <c r="CQ422" s="67"/>
      <c r="CR422" s="67"/>
      <c r="CS422" s="67"/>
      <c r="CT422" s="67"/>
      <c r="CU422" s="67"/>
      <c r="CV422" s="67"/>
      <c r="CW422" s="67"/>
      <c r="CX422" s="67"/>
      <c r="CY422" s="67"/>
      <c r="CZ422" s="67"/>
      <c r="DA422" s="67"/>
      <c r="DB422" s="67"/>
      <c r="DC422" s="67"/>
      <c r="DD422" s="67"/>
      <c r="DE422" s="67"/>
      <c r="DF422" s="67"/>
    </row>
    <row r="423">
      <c r="A423" s="62"/>
      <c r="B423" s="88"/>
      <c r="C423" s="88"/>
      <c r="D423" s="88"/>
      <c r="E423" s="90"/>
      <c r="F423" s="91"/>
      <c r="G423" s="49"/>
      <c r="H423" s="70"/>
      <c r="I423" s="88"/>
      <c r="J423" s="88"/>
      <c r="K423" s="88"/>
      <c r="L423" s="90"/>
      <c r="M423" s="91"/>
      <c r="N423" s="49"/>
      <c r="O423" s="71"/>
      <c r="P423" s="92"/>
      <c r="Q423" s="71"/>
      <c r="R423" s="92"/>
      <c r="S423" s="71"/>
      <c r="T423" s="71"/>
      <c r="U423" s="68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29"/>
      <c r="AN423" s="67"/>
      <c r="AO423" s="67"/>
      <c r="AP423" s="67"/>
      <c r="AQ423" s="67"/>
      <c r="AR423" s="67"/>
      <c r="AS423" s="67"/>
      <c r="AT423" s="67"/>
      <c r="AU423" s="67"/>
      <c r="AV423" s="67"/>
      <c r="AW423" s="67"/>
      <c r="AX423" s="67"/>
      <c r="AY423" s="67"/>
      <c r="AZ423" s="67"/>
      <c r="BA423" s="67"/>
      <c r="BB423" s="67"/>
      <c r="BC423" s="67"/>
      <c r="BD423" s="67"/>
      <c r="BE423" s="67"/>
      <c r="BF423" s="67"/>
      <c r="BG423" s="67"/>
      <c r="BH423" s="67"/>
      <c r="BI423" s="67"/>
      <c r="BJ423" s="67"/>
      <c r="BK423" s="67"/>
      <c r="BL423" s="67"/>
      <c r="BM423" s="67"/>
      <c r="BN423" s="67"/>
      <c r="BO423" s="67"/>
      <c r="BP423" s="67"/>
      <c r="BQ423" s="67"/>
      <c r="BR423" s="67"/>
      <c r="BS423" s="67"/>
      <c r="BT423" s="67"/>
      <c r="BU423" s="67"/>
      <c r="BV423" s="67"/>
      <c r="BW423" s="67"/>
      <c r="BX423" s="67"/>
      <c r="BY423" s="67"/>
      <c r="BZ423" s="67"/>
      <c r="CA423" s="67"/>
      <c r="CB423" s="67"/>
      <c r="CC423" s="67"/>
      <c r="CD423" s="67"/>
      <c r="CE423" s="67"/>
      <c r="CF423" s="67"/>
      <c r="CG423" s="67"/>
      <c r="CH423" s="67"/>
      <c r="CI423" s="67"/>
      <c r="CJ423" s="67"/>
      <c r="CK423" s="67"/>
      <c r="CL423" s="67"/>
      <c r="CM423" s="67"/>
      <c r="CN423" s="67"/>
      <c r="CO423" s="67"/>
      <c r="CP423" s="67"/>
      <c r="CQ423" s="67"/>
      <c r="CR423" s="67"/>
      <c r="CS423" s="67"/>
      <c r="CT423" s="67"/>
      <c r="CU423" s="67"/>
      <c r="CV423" s="67"/>
      <c r="CW423" s="67"/>
      <c r="CX423" s="67"/>
      <c r="CY423" s="67"/>
      <c r="CZ423" s="67"/>
      <c r="DA423" s="67"/>
      <c r="DB423" s="67"/>
      <c r="DC423" s="67"/>
      <c r="DD423" s="67"/>
      <c r="DE423" s="67"/>
      <c r="DF423" s="67"/>
    </row>
    <row r="424">
      <c r="A424" s="62"/>
      <c r="B424" s="88"/>
      <c r="C424" s="88"/>
      <c r="D424" s="88"/>
      <c r="E424" s="90"/>
      <c r="F424" s="91"/>
      <c r="G424" s="49"/>
      <c r="H424" s="70"/>
      <c r="I424" s="88"/>
      <c r="J424" s="88"/>
      <c r="K424" s="88"/>
      <c r="L424" s="90"/>
      <c r="M424" s="91"/>
      <c r="N424" s="49"/>
      <c r="O424" s="71"/>
      <c r="P424" s="92"/>
      <c r="Q424" s="71"/>
      <c r="R424" s="92"/>
      <c r="S424" s="71"/>
      <c r="T424" s="71"/>
      <c r="U424" s="68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29"/>
      <c r="AN424" s="67"/>
      <c r="AO424" s="67"/>
      <c r="AP424" s="67"/>
      <c r="AQ424" s="67"/>
      <c r="AR424" s="67"/>
      <c r="AS424" s="67"/>
      <c r="AT424" s="67"/>
      <c r="AU424" s="67"/>
      <c r="AV424" s="67"/>
      <c r="AW424" s="67"/>
      <c r="AX424" s="67"/>
      <c r="AY424" s="67"/>
      <c r="AZ424" s="67"/>
      <c r="BA424" s="67"/>
      <c r="BB424" s="67"/>
      <c r="BC424" s="67"/>
      <c r="BD424" s="67"/>
      <c r="BE424" s="67"/>
      <c r="BF424" s="67"/>
      <c r="BG424" s="67"/>
      <c r="BH424" s="67"/>
      <c r="BI424" s="67"/>
      <c r="BJ424" s="67"/>
      <c r="BK424" s="67"/>
      <c r="BL424" s="67"/>
      <c r="BM424" s="67"/>
      <c r="BN424" s="67"/>
      <c r="BO424" s="67"/>
      <c r="BP424" s="67"/>
      <c r="BQ424" s="67"/>
      <c r="BR424" s="67"/>
      <c r="BS424" s="67"/>
      <c r="BT424" s="67"/>
      <c r="BU424" s="67"/>
      <c r="BV424" s="67"/>
      <c r="BW424" s="67"/>
      <c r="BX424" s="67"/>
      <c r="BY424" s="67"/>
      <c r="BZ424" s="67"/>
      <c r="CA424" s="67"/>
      <c r="CB424" s="67"/>
      <c r="CC424" s="67"/>
      <c r="CD424" s="67"/>
      <c r="CE424" s="67"/>
      <c r="CF424" s="67"/>
      <c r="CG424" s="67"/>
      <c r="CH424" s="67"/>
      <c r="CI424" s="67"/>
      <c r="CJ424" s="67"/>
      <c r="CK424" s="67"/>
      <c r="CL424" s="67"/>
      <c r="CM424" s="67"/>
      <c r="CN424" s="67"/>
      <c r="CO424" s="67"/>
      <c r="CP424" s="67"/>
      <c r="CQ424" s="67"/>
      <c r="CR424" s="67"/>
      <c r="CS424" s="67"/>
      <c r="CT424" s="67"/>
      <c r="CU424" s="67"/>
      <c r="CV424" s="67"/>
      <c r="CW424" s="67"/>
      <c r="CX424" s="67"/>
      <c r="CY424" s="67"/>
      <c r="CZ424" s="67"/>
      <c r="DA424" s="67"/>
      <c r="DB424" s="67"/>
      <c r="DC424" s="67"/>
      <c r="DD424" s="67"/>
      <c r="DE424" s="67"/>
      <c r="DF424" s="67"/>
    </row>
    <row r="425">
      <c r="A425" s="62"/>
      <c r="B425" s="88"/>
      <c r="C425" s="88"/>
      <c r="D425" s="88"/>
      <c r="E425" s="90"/>
      <c r="F425" s="91"/>
      <c r="G425" s="49"/>
      <c r="H425" s="70"/>
      <c r="I425" s="88"/>
      <c r="J425" s="88"/>
      <c r="K425" s="88"/>
      <c r="L425" s="90"/>
      <c r="M425" s="91"/>
      <c r="N425" s="49"/>
      <c r="O425" s="71"/>
      <c r="P425" s="92"/>
      <c r="Q425" s="71"/>
      <c r="R425" s="92"/>
      <c r="S425" s="71"/>
      <c r="T425" s="71"/>
      <c r="U425" s="68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29"/>
      <c r="AN425" s="67"/>
      <c r="AO425" s="67"/>
      <c r="AP425" s="67"/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  <c r="BC425" s="67"/>
      <c r="BD425" s="67"/>
      <c r="BE425" s="67"/>
      <c r="BF425" s="67"/>
      <c r="BG425" s="67"/>
      <c r="BH425" s="67"/>
      <c r="BI425" s="67"/>
      <c r="BJ425" s="67"/>
      <c r="BK425" s="67"/>
      <c r="BL425" s="67"/>
      <c r="BM425" s="67"/>
      <c r="BN425" s="67"/>
      <c r="BO425" s="67"/>
      <c r="BP425" s="67"/>
      <c r="BQ425" s="67"/>
      <c r="BR425" s="67"/>
      <c r="BS425" s="67"/>
      <c r="BT425" s="67"/>
      <c r="BU425" s="67"/>
      <c r="BV425" s="67"/>
      <c r="BW425" s="67"/>
      <c r="BX425" s="67"/>
      <c r="BY425" s="67"/>
      <c r="BZ425" s="67"/>
      <c r="CA425" s="67"/>
      <c r="CB425" s="67"/>
      <c r="CC425" s="67"/>
      <c r="CD425" s="67"/>
      <c r="CE425" s="67"/>
      <c r="CF425" s="67"/>
      <c r="CG425" s="67"/>
      <c r="CH425" s="67"/>
      <c r="CI425" s="67"/>
      <c r="CJ425" s="67"/>
      <c r="CK425" s="67"/>
      <c r="CL425" s="67"/>
      <c r="CM425" s="67"/>
      <c r="CN425" s="67"/>
      <c r="CO425" s="67"/>
      <c r="CP425" s="67"/>
      <c r="CQ425" s="67"/>
      <c r="CR425" s="67"/>
      <c r="CS425" s="67"/>
      <c r="CT425" s="67"/>
      <c r="CU425" s="67"/>
      <c r="CV425" s="67"/>
      <c r="CW425" s="67"/>
      <c r="CX425" s="67"/>
      <c r="CY425" s="67"/>
      <c r="CZ425" s="67"/>
      <c r="DA425" s="67"/>
      <c r="DB425" s="67"/>
      <c r="DC425" s="67"/>
      <c r="DD425" s="67"/>
      <c r="DE425" s="67"/>
      <c r="DF425" s="67"/>
    </row>
    <row r="426">
      <c r="A426" s="62"/>
      <c r="B426" s="88"/>
      <c r="C426" s="88"/>
      <c r="D426" s="88"/>
      <c r="E426" s="90"/>
      <c r="F426" s="91"/>
      <c r="G426" s="49"/>
      <c r="H426" s="70"/>
      <c r="I426" s="88"/>
      <c r="J426" s="88"/>
      <c r="K426" s="88"/>
      <c r="L426" s="90"/>
      <c r="M426" s="91"/>
      <c r="N426" s="49"/>
      <c r="O426" s="71"/>
      <c r="P426" s="92"/>
      <c r="Q426" s="71"/>
      <c r="R426" s="92"/>
      <c r="S426" s="71"/>
      <c r="T426" s="71"/>
      <c r="U426" s="68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29"/>
      <c r="AN426" s="67"/>
      <c r="AO426" s="67"/>
      <c r="AP426" s="67"/>
      <c r="AQ426" s="67"/>
      <c r="AR426" s="67"/>
      <c r="AS426" s="67"/>
      <c r="AT426" s="67"/>
      <c r="AU426" s="67"/>
      <c r="AV426" s="67"/>
      <c r="AW426" s="67"/>
      <c r="AX426" s="67"/>
      <c r="AY426" s="67"/>
      <c r="AZ426" s="67"/>
      <c r="BA426" s="67"/>
      <c r="BB426" s="67"/>
      <c r="BC426" s="67"/>
      <c r="BD426" s="67"/>
      <c r="BE426" s="67"/>
      <c r="BF426" s="67"/>
      <c r="BG426" s="67"/>
      <c r="BH426" s="67"/>
      <c r="BI426" s="67"/>
      <c r="BJ426" s="67"/>
      <c r="BK426" s="67"/>
      <c r="BL426" s="67"/>
      <c r="BM426" s="67"/>
      <c r="BN426" s="67"/>
      <c r="BO426" s="67"/>
      <c r="BP426" s="67"/>
      <c r="BQ426" s="67"/>
      <c r="BR426" s="67"/>
      <c r="BS426" s="67"/>
      <c r="BT426" s="67"/>
      <c r="BU426" s="67"/>
      <c r="BV426" s="67"/>
      <c r="BW426" s="67"/>
      <c r="BX426" s="67"/>
      <c r="BY426" s="67"/>
      <c r="BZ426" s="67"/>
      <c r="CA426" s="67"/>
      <c r="CB426" s="67"/>
      <c r="CC426" s="67"/>
      <c r="CD426" s="67"/>
      <c r="CE426" s="67"/>
      <c r="CF426" s="67"/>
      <c r="CG426" s="67"/>
      <c r="CH426" s="67"/>
      <c r="CI426" s="67"/>
      <c r="CJ426" s="67"/>
      <c r="CK426" s="67"/>
      <c r="CL426" s="67"/>
      <c r="CM426" s="67"/>
      <c r="CN426" s="67"/>
      <c r="CO426" s="67"/>
      <c r="CP426" s="67"/>
      <c r="CQ426" s="67"/>
      <c r="CR426" s="67"/>
      <c r="CS426" s="67"/>
      <c r="CT426" s="67"/>
      <c r="CU426" s="67"/>
      <c r="CV426" s="67"/>
      <c r="CW426" s="67"/>
      <c r="CX426" s="67"/>
      <c r="CY426" s="67"/>
      <c r="CZ426" s="67"/>
      <c r="DA426" s="67"/>
      <c r="DB426" s="67"/>
      <c r="DC426" s="67"/>
      <c r="DD426" s="67"/>
      <c r="DE426" s="67"/>
      <c r="DF426" s="67"/>
    </row>
    <row r="427">
      <c r="A427" s="62"/>
      <c r="B427" s="88"/>
      <c r="C427" s="88"/>
      <c r="D427" s="88"/>
      <c r="E427" s="90"/>
      <c r="F427" s="91"/>
      <c r="G427" s="49"/>
      <c r="H427" s="70"/>
      <c r="I427" s="88"/>
      <c r="J427" s="88"/>
      <c r="K427" s="88"/>
      <c r="L427" s="90"/>
      <c r="M427" s="91"/>
      <c r="N427" s="49"/>
      <c r="O427" s="71"/>
      <c r="P427" s="92"/>
      <c r="Q427" s="71"/>
      <c r="R427" s="92"/>
      <c r="S427" s="71"/>
      <c r="T427" s="71"/>
      <c r="U427" s="68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29"/>
      <c r="AN427" s="67"/>
      <c r="AO427" s="67"/>
      <c r="AP427" s="67"/>
      <c r="AQ427" s="67"/>
      <c r="AR427" s="67"/>
      <c r="AS427" s="67"/>
      <c r="AT427" s="67"/>
      <c r="AU427" s="67"/>
      <c r="AV427" s="67"/>
      <c r="AW427" s="67"/>
      <c r="AX427" s="67"/>
      <c r="AY427" s="67"/>
      <c r="AZ427" s="67"/>
      <c r="BA427" s="67"/>
      <c r="BB427" s="67"/>
      <c r="BC427" s="67"/>
      <c r="BD427" s="67"/>
      <c r="BE427" s="67"/>
      <c r="BF427" s="67"/>
      <c r="BG427" s="67"/>
      <c r="BH427" s="67"/>
      <c r="BI427" s="67"/>
      <c r="BJ427" s="67"/>
      <c r="BK427" s="67"/>
      <c r="BL427" s="67"/>
      <c r="BM427" s="67"/>
      <c r="BN427" s="67"/>
      <c r="BO427" s="67"/>
      <c r="BP427" s="67"/>
      <c r="BQ427" s="67"/>
      <c r="BR427" s="67"/>
      <c r="BS427" s="67"/>
      <c r="BT427" s="67"/>
      <c r="BU427" s="67"/>
      <c r="BV427" s="67"/>
      <c r="BW427" s="67"/>
      <c r="BX427" s="67"/>
      <c r="BY427" s="67"/>
      <c r="BZ427" s="67"/>
      <c r="CA427" s="67"/>
      <c r="CB427" s="67"/>
      <c r="CC427" s="67"/>
      <c r="CD427" s="67"/>
      <c r="CE427" s="67"/>
      <c r="CF427" s="67"/>
      <c r="CG427" s="67"/>
      <c r="CH427" s="67"/>
      <c r="CI427" s="67"/>
      <c r="CJ427" s="67"/>
      <c r="CK427" s="67"/>
      <c r="CL427" s="67"/>
      <c r="CM427" s="67"/>
      <c r="CN427" s="67"/>
      <c r="CO427" s="67"/>
      <c r="CP427" s="67"/>
      <c r="CQ427" s="67"/>
      <c r="CR427" s="67"/>
      <c r="CS427" s="67"/>
      <c r="CT427" s="67"/>
      <c r="CU427" s="67"/>
      <c r="CV427" s="67"/>
      <c r="CW427" s="67"/>
      <c r="CX427" s="67"/>
      <c r="CY427" s="67"/>
      <c r="CZ427" s="67"/>
      <c r="DA427" s="67"/>
      <c r="DB427" s="67"/>
      <c r="DC427" s="67"/>
      <c r="DD427" s="67"/>
      <c r="DE427" s="67"/>
      <c r="DF427" s="67"/>
    </row>
    <row r="428">
      <c r="A428" s="62"/>
      <c r="B428" s="88"/>
      <c r="C428" s="88"/>
      <c r="D428" s="88"/>
      <c r="E428" s="90"/>
      <c r="F428" s="91"/>
      <c r="G428" s="49"/>
      <c r="H428" s="70"/>
      <c r="I428" s="88"/>
      <c r="J428" s="88"/>
      <c r="K428" s="88"/>
      <c r="L428" s="90"/>
      <c r="M428" s="91"/>
      <c r="N428" s="49"/>
      <c r="O428" s="71"/>
      <c r="P428" s="92"/>
      <c r="Q428" s="71"/>
      <c r="R428" s="92"/>
      <c r="S428" s="71"/>
      <c r="T428" s="71"/>
      <c r="U428" s="68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29"/>
      <c r="AN428" s="67"/>
      <c r="AO428" s="67"/>
      <c r="AP428" s="67"/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  <c r="BC428" s="67"/>
      <c r="BD428" s="67"/>
      <c r="BE428" s="67"/>
      <c r="BF428" s="67"/>
      <c r="BG428" s="67"/>
      <c r="BH428" s="67"/>
      <c r="BI428" s="67"/>
      <c r="BJ428" s="67"/>
      <c r="BK428" s="67"/>
      <c r="BL428" s="67"/>
      <c r="BM428" s="67"/>
      <c r="BN428" s="67"/>
      <c r="BO428" s="67"/>
      <c r="BP428" s="67"/>
      <c r="BQ428" s="67"/>
      <c r="BR428" s="67"/>
      <c r="BS428" s="67"/>
      <c r="BT428" s="67"/>
      <c r="BU428" s="67"/>
      <c r="BV428" s="67"/>
      <c r="BW428" s="67"/>
      <c r="BX428" s="67"/>
      <c r="BY428" s="67"/>
      <c r="BZ428" s="67"/>
      <c r="CA428" s="67"/>
      <c r="CB428" s="67"/>
      <c r="CC428" s="67"/>
      <c r="CD428" s="67"/>
      <c r="CE428" s="67"/>
      <c r="CF428" s="67"/>
      <c r="CG428" s="67"/>
      <c r="CH428" s="67"/>
      <c r="CI428" s="67"/>
      <c r="CJ428" s="67"/>
      <c r="CK428" s="67"/>
      <c r="CL428" s="67"/>
      <c r="CM428" s="67"/>
      <c r="CN428" s="67"/>
      <c r="CO428" s="67"/>
      <c r="CP428" s="67"/>
      <c r="CQ428" s="67"/>
      <c r="CR428" s="67"/>
      <c r="CS428" s="67"/>
      <c r="CT428" s="67"/>
      <c r="CU428" s="67"/>
      <c r="CV428" s="67"/>
      <c r="CW428" s="67"/>
      <c r="CX428" s="67"/>
      <c r="CY428" s="67"/>
      <c r="CZ428" s="67"/>
      <c r="DA428" s="67"/>
      <c r="DB428" s="67"/>
      <c r="DC428" s="67"/>
      <c r="DD428" s="67"/>
      <c r="DE428" s="67"/>
      <c r="DF428" s="67"/>
    </row>
    <row r="429">
      <c r="A429" s="62"/>
      <c r="B429" s="88"/>
      <c r="C429" s="88"/>
      <c r="D429" s="88"/>
      <c r="E429" s="90"/>
      <c r="F429" s="91"/>
      <c r="G429" s="49"/>
      <c r="H429" s="70"/>
      <c r="I429" s="88"/>
      <c r="J429" s="88"/>
      <c r="K429" s="88"/>
      <c r="L429" s="90"/>
      <c r="M429" s="91"/>
      <c r="N429" s="49"/>
      <c r="O429" s="71"/>
      <c r="P429" s="92"/>
      <c r="Q429" s="71"/>
      <c r="R429" s="92"/>
      <c r="S429" s="71"/>
      <c r="T429" s="71"/>
      <c r="U429" s="68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29"/>
      <c r="AN429" s="67"/>
      <c r="AO429" s="67"/>
      <c r="AP429" s="67"/>
      <c r="AQ429" s="67"/>
      <c r="AR429" s="67"/>
      <c r="AS429" s="67"/>
      <c r="AT429" s="67"/>
      <c r="AU429" s="67"/>
      <c r="AV429" s="67"/>
      <c r="AW429" s="67"/>
      <c r="AX429" s="67"/>
      <c r="AY429" s="67"/>
      <c r="AZ429" s="67"/>
      <c r="BA429" s="67"/>
      <c r="BB429" s="67"/>
      <c r="BC429" s="67"/>
      <c r="BD429" s="67"/>
      <c r="BE429" s="67"/>
      <c r="BF429" s="67"/>
      <c r="BG429" s="67"/>
      <c r="BH429" s="67"/>
      <c r="BI429" s="67"/>
      <c r="BJ429" s="67"/>
      <c r="BK429" s="67"/>
      <c r="BL429" s="67"/>
      <c r="BM429" s="67"/>
      <c r="BN429" s="67"/>
      <c r="BO429" s="67"/>
      <c r="BP429" s="67"/>
      <c r="BQ429" s="67"/>
      <c r="BR429" s="67"/>
      <c r="BS429" s="67"/>
      <c r="BT429" s="67"/>
      <c r="BU429" s="67"/>
      <c r="BV429" s="67"/>
      <c r="BW429" s="67"/>
      <c r="BX429" s="67"/>
      <c r="BY429" s="67"/>
      <c r="BZ429" s="67"/>
      <c r="CA429" s="67"/>
      <c r="CB429" s="67"/>
      <c r="CC429" s="67"/>
      <c r="CD429" s="67"/>
      <c r="CE429" s="67"/>
      <c r="CF429" s="67"/>
      <c r="CG429" s="67"/>
      <c r="CH429" s="67"/>
      <c r="CI429" s="67"/>
      <c r="CJ429" s="67"/>
      <c r="CK429" s="67"/>
      <c r="CL429" s="67"/>
      <c r="CM429" s="67"/>
      <c r="CN429" s="67"/>
      <c r="CO429" s="67"/>
      <c r="CP429" s="67"/>
      <c r="CQ429" s="67"/>
      <c r="CR429" s="67"/>
      <c r="CS429" s="67"/>
      <c r="CT429" s="67"/>
      <c r="CU429" s="67"/>
      <c r="CV429" s="67"/>
      <c r="CW429" s="67"/>
      <c r="CX429" s="67"/>
      <c r="CY429" s="67"/>
      <c r="CZ429" s="67"/>
      <c r="DA429" s="67"/>
      <c r="DB429" s="67"/>
      <c r="DC429" s="67"/>
      <c r="DD429" s="67"/>
      <c r="DE429" s="67"/>
      <c r="DF429" s="67"/>
    </row>
    <row r="430">
      <c r="A430" s="62"/>
      <c r="B430" s="88"/>
      <c r="C430" s="88"/>
      <c r="D430" s="88"/>
      <c r="E430" s="90"/>
      <c r="F430" s="91"/>
      <c r="G430" s="49"/>
      <c r="H430" s="70"/>
      <c r="I430" s="88"/>
      <c r="J430" s="88"/>
      <c r="K430" s="88"/>
      <c r="L430" s="90"/>
      <c r="M430" s="91"/>
      <c r="N430" s="49"/>
      <c r="O430" s="71"/>
      <c r="P430" s="92"/>
      <c r="Q430" s="71"/>
      <c r="R430" s="92"/>
      <c r="S430" s="71"/>
      <c r="T430" s="71"/>
      <c r="U430" s="68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29"/>
      <c r="AN430" s="67"/>
      <c r="AO430" s="67"/>
      <c r="AP430" s="67"/>
      <c r="AQ430" s="67"/>
      <c r="AR430" s="67"/>
      <c r="AS430" s="67"/>
      <c r="AT430" s="67"/>
      <c r="AU430" s="67"/>
      <c r="AV430" s="67"/>
      <c r="AW430" s="67"/>
      <c r="AX430" s="67"/>
      <c r="AY430" s="67"/>
      <c r="AZ430" s="67"/>
      <c r="BA430" s="67"/>
      <c r="BB430" s="67"/>
      <c r="BC430" s="67"/>
      <c r="BD430" s="67"/>
      <c r="BE430" s="67"/>
      <c r="BF430" s="67"/>
      <c r="BG430" s="67"/>
      <c r="BH430" s="67"/>
      <c r="BI430" s="67"/>
      <c r="BJ430" s="67"/>
      <c r="BK430" s="67"/>
      <c r="BL430" s="67"/>
      <c r="BM430" s="67"/>
      <c r="BN430" s="67"/>
      <c r="BO430" s="67"/>
      <c r="BP430" s="67"/>
      <c r="BQ430" s="67"/>
      <c r="BR430" s="67"/>
      <c r="BS430" s="67"/>
      <c r="BT430" s="67"/>
      <c r="BU430" s="67"/>
      <c r="BV430" s="67"/>
      <c r="BW430" s="67"/>
      <c r="BX430" s="67"/>
      <c r="BY430" s="67"/>
      <c r="BZ430" s="67"/>
      <c r="CA430" s="67"/>
      <c r="CB430" s="67"/>
      <c r="CC430" s="67"/>
      <c r="CD430" s="67"/>
      <c r="CE430" s="67"/>
      <c r="CF430" s="67"/>
      <c r="CG430" s="67"/>
      <c r="CH430" s="67"/>
      <c r="CI430" s="67"/>
      <c r="CJ430" s="67"/>
      <c r="CK430" s="67"/>
      <c r="CL430" s="67"/>
      <c r="CM430" s="67"/>
      <c r="CN430" s="67"/>
      <c r="CO430" s="67"/>
      <c r="CP430" s="67"/>
      <c r="CQ430" s="67"/>
      <c r="CR430" s="67"/>
      <c r="CS430" s="67"/>
      <c r="CT430" s="67"/>
      <c r="CU430" s="67"/>
      <c r="CV430" s="67"/>
      <c r="CW430" s="67"/>
      <c r="CX430" s="67"/>
      <c r="CY430" s="67"/>
      <c r="CZ430" s="67"/>
      <c r="DA430" s="67"/>
      <c r="DB430" s="67"/>
      <c r="DC430" s="67"/>
      <c r="DD430" s="67"/>
      <c r="DE430" s="67"/>
      <c r="DF430" s="67"/>
    </row>
    <row r="431">
      <c r="A431" s="62"/>
      <c r="B431" s="88"/>
      <c r="C431" s="88"/>
      <c r="D431" s="88"/>
      <c r="E431" s="90"/>
      <c r="F431" s="91"/>
      <c r="G431" s="49"/>
      <c r="H431" s="70"/>
      <c r="I431" s="88"/>
      <c r="J431" s="88"/>
      <c r="K431" s="88"/>
      <c r="L431" s="90"/>
      <c r="M431" s="91"/>
      <c r="N431" s="49"/>
      <c r="O431" s="71"/>
      <c r="P431" s="92"/>
      <c r="Q431" s="71"/>
      <c r="R431" s="92"/>
      <c r="S431" s="71"/>
      <c r="T431" s="71"/>
      <c r="U431" s="68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29"/>
      <c r="AN431" s="67"/>
      <c r="AO431" s="67"/>
      <c r="AP431" s="67"/>
      <c r="AQ431" s="67"/>
      <c r="AR431" s="67"/>
      <c r="AS431" s="67"/>
      <c r="AT431" s="67"/>
      <c r="AU431" s="67"/>
      <c r="AV431" s="67"/>
      <c r="AW431" s="67"/>
      <c r="AX431" s="67"/>
      <c r="AY431" s="67"/>
      <c r="AZ431" s="67"/>
      <c r="BA431" s="67"/>
      <c r="BB431" s="67"/>
      <c r="BC431" s="67"/>
      <c r="BD431" s="67"/>
      <c r="BE431" s="67"/>
      <c r="BF431" s="67"/>
      <c r="BG431" s="67"/>
      <c r="BH431" s="67"/>
      <c r="BI431" s="67"/>
      <c r="BJ431" s="67"/>
      <c r="BK431" s="67"/>
      <c r="BL431" s="67"/>
      <c r="BM431" s="67"/>
      <c r="BN431" s="67"/>
      <c r="BO431" s="67"/>
      <c r="BP431" s="67"/>
      <c r="BQ431" s="67"/>
      <c r="BR431" s="67"/>
      <c r="BS431" s="67"/>
      <c r="BT431" s="67"/>
      <c r="BU431" s="67"/>
      <c r="BV431" s="67"/>
      <c r="BW431" s="67"/>
      <c r="BX431" s="67"/>
      <c r="BY431" s="67"/>
      <c r="BZ431" s="67"/>
      <c r="CA431" s="67"/>
      <c r="CB431" s="67"/>
      <c r="CC431" s="67"/>
      <c r="CD431" s="67"/>
      <c r="CE431" s="67"/>
      <c r="CF431" s="67"/>
      <c r="CG431" s="67"/>
      <c r="CH431" s="67"/>
      <c r="CI431" s="67"/>
      <c r="CJ431" s="67"/>
      <c r="CK431" s="67"/>
      <c r="CL431" s="67"/>
      <c r="CM431" s="67"/>
      <c r="CN431" s="67"/>
      <c r="CO431" s="67"/>
      <c r="CP431" s="67"/>
      <c r="CQ431" s="67"/>
      <c r="CR431" s="67"/>
      <c r="CS431" s="67"/>
      <c r="CT431" s="67"/>
      <c r="CU431" s="67"/>
      <c r="CV431" s="67"/>
      <c r="CW431" s="67"/>
      <c r="CX431" s="67"/>
      <c r="CY431" s="67"/>
      <c r="CZ431" s="67"/>
      <c r="DA431" s="67"/>
      <c r="DB431" s="67"/>
      <c r="DC431" s="67"/>
      <c r="DD431" s="67"/>
      <c r="DE431" s="67"/>
      <c r="DF431" s="67"/>
    </row>
    <row r="432">
      <c r="A432" s="62"/>
      <c r="B432" s="88"/>
      <c r="C432" s="88"/>
      <c r="D432" s="88"/>
      <c r="E432" s="90"/>
      <c r="F432" s="91"/>
      <c r="G432" s="49"/>
      <c r="H432" s="70"/>
      <c r="I432" s="88"/>
      <c r="J432" s="88"/>
      <c r="K432" s="88"/>
      <c r="L432" s="90"/>
      <c r="M432" s="91"/>
      <c r="N432" s="49"/>
      <c r="O432" s="71"/>
      <c r="P432" s="92"/>
      <c r="Q432" s="71"/>
      <c r="R432" s="92"/>
      <c r="S432" s="71"/>
      <c r="T432" s="71"/>
      <c r="U432" s="68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29"/>
      <c r="AN432" s="67"/>
      <c r="AO432" s="67"/>
      <c r="AP432" s="67"/>
      <c r="AQ432" s="67"/>
      <c r="AR432" s="67"/>
      <c r="AS432" s="67"/>
      <c r="AT432" s="67"/>
      <c r="AU432" s="67"/>
      <c r="AV432" s="67"/>
      <c r="AW432" s="67"/>
      <c r="AX432" s="67"/>
      <c r="AY432" s="67"/>
      <c r="AZ432" s="67"/>
      <c r="BA432" s="67"/>
      <c r="BB432" s="67"/>
      <c r="BC432" s="67"/>
      <c r="BD432" s="67"/>
      <c r="BE432" s="67"/>
      <c r="BF432" s="67"/>
      <c r="BG432" s="67"/>
      <c r="BH432" s="67"/>
      <c r="BI432" s="67"/>
      <c r="BJ432" s="67"/>
      <c r="BK432" s="67"/>
      <c r="BL432" s="67"/>
      <c r="BM432" s="67"/>
      <c r="BN432" s="67"/>
      <c r="BO432" s="67"/>
      <c r="BP432" s="67"/>
      <c r="BQ432" s="67"/>
      <c r="BR432" s="67"/>
      <c r="BS432" s="67"/>
      <c r="BT432" s="67"/>
      <c r="BU432" s="67"/>
      <c r="BV432" s="67"/>
      <c r="BW432" s="67"/>
      <c r="BX432" s="67"/>
      <c r="BY432" s="67"/>
      <c r="BZ432" s="67"/>
      <c r="CA432" s="67"/>
      <c r="CB432" s="67"/>
      <c r="CC432" s="67"/>
      <c r="CD432" s="67"/>
      <c r="CE432" s="67"/>
      <c r="CF432" s="67"/>
      <c r="CG432" s="67"/>
      <c r="CH432" s="67"/>
      <c r="CI432" s="67"/>
      <c r="CJ432" s="67"/>
      <c r="CK432" s="67"/>
      <c r="CL432" s="67"/>
      <c r="CM432" s="67"/>
      <c r="CN432" s="67"/>
      <c r="CO432" s="67"/>
      <c r="CP432" s="67"/>
      <c r="CQ432" s="67"/>
      <c r="CR432" s="67"/>
      <c r="CS432" s="67"/>
      <c r="CT432" s="67"/>
      <c r="CU432" s="67"/>
      <c r="CV432" s="67"/>
      <c r="CW432" s="67"/>
      <c r="CX432" s="67"/>
      <c r="CY432" s="67"/>
      <c r="CZ432" s="67"/>
      <c r="DA432" s="67"/>
      <c r="DB432" s="67"/>
      <c r="DC432" s="67"/>
      <c r="DD432" s="67"/>
      <c r="DE432" s="67"/>
      <c r="DF432" s="67"/>
    </row>
    <row r="433">
      <c r="A433" s="62"/>
      <c r="B433" s="88"/>
      <c r="C433" s="88"/>
      <c r="D433" s="88"/>
      <c r="E433" s="90"/>
      <c r="F433" s="91"/>
      <c r="G433" s="49"/>
      <c r="H433" s="70"/>
      <c r="I433" s="88"/>
      <c r="J433" s="88"/>
      <c r="K433" s="88"/>
      <c r="L433" s="90"/>
      <c r="M433" s="91"/>
      <c r="N433" s="49"/>
      <c r="O433" s="71"/>
      <c r="P433" s="92"/>
      <c r="Q433" s="71"/>
      <c r="R433" s="92"/>
      <c r="S433" s="71"/>
      <c r="T433" s="71"/>
      <c r="U433" s="68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29"/>
      <c r="AN433" s="67"/>
      <c r="AO433" s="67"/>
      <c r="AP433" s="67"/>
      <c r="AQ433" s="67"/>
      <c r="AR433" s="67"/>
      <c r="AS433" s="67"/>
      <c r="AT433" s="67"/>
      <c r="AU433" s="67"/>
      <c r="AV433" s="67"/>
      <c r="AW433" s="67"/>
      <c r="AX433" s="67"/>
      <c r="AY433" s="67"/>
      <c r="AZ433" s="67"/>
      <c r="BA433" s="67"/>
      <c r="BB433" s="67"/>
      <c r="BC433" s="67"/>
      <c r="BD433" s="67"/>
      <c r="BE433" s="67"/>
      <c r="BF433" s="67"/>
      <c r="BG433" s="67"/>
      <c r="BH433" s="67"/>
      <c r="BI433" s="67"/>
      <c r="BJ433" s="67"/>
      <c r="BK433" s="67"/>
      <c r="BL433" s="67"/>
      <c r="BM433" s="67"/>
      <c r="BN433" s="67"/>
      <c r="BO433" s="67"/>
      <c r="BP433" s="67"/>
      <c r="BQ433" s="67"/>
      <c r="BR433" s="67"/>
      <c r="BS433" s="67"/>
      <c r="BT433" s="67"/>
      <c r="BU433" s="67"/>
      <c r="BV433" s="67"/>
      <c r="BW433" s="67"/>
      <c r="BX433" s="67"/>
      <c r="BY433" s="67"/>
      <c r="BZ433" s="67"/>
      <c r="CA433" s="67"/>
      <c r="CB433" s="67"/>
      <c r="CC433" s="67"/>
      <c r="CD433" s="67"/>
      <c r="CE433" s="67"/>
      <c r="CF433" s="67"/>
      <c r="CG433" s="67"/>
      <c r="CH433" s="67"/>
      <c r="CI433" s="67"/>
      <c r="CJ433" s="67"/>
      <c r="CK433" s="67"/>
      <c r="CL433" s="67"/>
      <c r="CM433" s="67"/>
      <c r="CN433" s="67"/>
      <c r="CO433" s="67"/>
      <c r="CP433" s="67"/>
      <c r="CQ433" s="67"/>
      <c r="CR433" s="67"/>
      <c r="CS433" s="67"/>
      <c r="CT433" s="67"/>
      <c r="CU433" s="67"/>
      <c r="CV433" s="67"/>
      <c r="CW433" s="67"/>
      <c r="CX433" s="67"/>
      <c r="CY433" s="67"/>
      <c r="CZ433" s="67"/>
      <c r="DA433" s="67"/>
      <c r="DB433" s="67"/>
      <c r="DC433" s="67"/>
      <c r="DD433" s="67"/>
      <c r="DE433" s="67"/>
      <c r="DF433" s="67"/>
    </row>
    <row r="434">
      <c r="A434" s="61"/>
      <c r="B434" s="98"/>
      <c r="C434" s="88"/>
      <c r="D434" s="88"/>
      <c r="E434" s="90"/>
      <c r="F434" s="91"/>
      <c r="G434" s="49"/>
      <c r="H434" s="70"/>
      <c r="I434" s="98"/>
      <c r="J434" s="88"/>
      <c r="K434" s="88"/>
      <c r="L434" s="90"/>
      <c r="M434" s="91"/>
      <c r="N434" s="49"/>
      <c r="O434" s="71"/>
      <c r="P434" s="92"/>
      <c r="Q434" s="71"/>
      <c r="R434" s="92"/>
      <c r="S434" s="71"/>
      <c r="T434" s="71"/>
      <c r="U434" s="68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29"/>
      <c r="AN434" s="67"/>
      <c r="AO434" s="67"/>
      <c r="AP434" s="67"/>
      <c r="AQ434" s="67"/>
      <c r="AR434" s="67"/>
      <c r="AS434" s="67"/>
      <c r="AT434" s="67"/>
      <c r="AU434" s="67"/>
      <c r="AV434" s="67"/>
      <c r="AW434" s="67"/>
      <c r="AX434" s="67"/>
      <c r="AY434" s="67"/>
      <c r="AZ434" s="67"/>
      <c r="BA434" s="67"/>
      <c r="BB434" s="67"/>
      <c r="BC434" s="67"/>
      <c r="BD434" s="67"/>
      <c r="BE434" s="67"/>
      <c r="BF434" s="67"/>
      <c r="BG434" s="67"/>
      <c r="BH434" s="67"/>
      <c r="BI434" s="67"/>
      <c r="BJ434" s="67"/>
      <c r="BK434" s="67"/>
      <c r="BL434" s="67"/>
      <c r="BM434" s="67"/>
      <c r="BN434" s="67"/>
      <c r="BO434" s="67"/>
      <c r="BP434" s="67"/>
      <c r="BQ434" s="67"/>
      <c r="BR434" s="67"/>
      <c r="BS434" s="67"/>
      <c r="BT434" s="67"/>
      <c r="BU434" s="67"/>
      <c r="BV434" s="67"/>
      <c r="BW434" s="67"/>
      <c r="BX434" s="67"/>
      <c r="BY434" s="67"/>
      <c r="BZ434" s="67"/>
      <c r="CA434" s="67"/>
      <c r="CB434" s="67"/>
      <c r="CC434" s="67"/>
      <c r="CD434" s="67"/>
      <c r="CE434" s="67"/>
      <c r="CF434" s="67"/>
      <c r="CG434" s="67"/>
      <c r="CH434" s="67"/>
      <c r="CI434" s="67"/>
      <c r="CJ434" s="67"/>
      <c r="CK434" s="67"/>
      <c r="CL434" s="67"/>
      <c r="CM434" s="67"/>
      <c r="CN434" s="67"/>
      <c r="CO434" s="67"/>
      <c r="CP434" s="67"/>
      <c r="CQ434" s="67"/>
      <c r="CR434" s="67"/>
      <c r="CS434" s="67"/>
      <c r="CT434" s="67"/>
      <c r="CU434" s="67"/>
      <c r="CV434" s="67"/>
      <c r="CW434" s="67"/>
      <c r="CX434" s="67"/>
      <c r="CY434" s="67"/>
      <c r="CZ434" s="67"/>
      <c r="DA434" s="67"/>
      <c r="DB434" s="67"/>
      <c r="DC434" s="67"/>
      <c r="DD434" s="67"/>
      <c r="DE434" s="67"/>
      <c r="DF434" s="67"/>
    </row>
    <row r="435">
      <c r="A435" s="62"/>
      <c r="B435" s="88"/>
      <c r="C435" s="88"/>
      <c r="D435" s="88"/>
      <c r="E435" s="90"/>
      <c r="F435" s="91"/>
      <c r="G435" s="49"/>
      <c r="H435" s="70"/>
      <c r="I435" s="88"/>
      <c r="J435" s="88"/>
      <c r="K435" s="88"/>
      <c r="L435" s="90"/>
      <c r="M435" s="91"/>
      <c r="N435" s="49"/>
      <c r="O435" s="71"/>
      <c r="P435" s="92"/>
      <c r="Q435" s="71"/>
      <c r="R435" s="92"/>
      <c r="S435" s="71"/>
      <c r="T435" s="71"/>
      <c r="U435" s="68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29"/>
      <c r="AN435" s="67"/>
      <c r="AO435" s="67"/>
      <c r="AP435" s="67"/>
      <c r="AQ435" s="67"/>
      <c r="AR435" s="67"/>
      <c r="AS435" s="67"/>
      <c r="AT435" s="67"/>
      <c r="AU435" s="67"/>
      <c r="AV435" s="67"/>
      <c r="AW435" s="67"/>
      <c r="AX435" s="67"/>
      <c r="AY435" s="67"/>
      <c r="AZ435" s="67"/>
      <c r="BA435" s="67"/>
      <c r="BB435" s="67"/>
      <c r="BC435" s="67"/>
      <c r="BD435" s="67"/>
      <c r="BE435" s="67"/>
      <c r="BF435" s="67"/>
      <c r="BG435" s="67"/>
      <c r="BH435" s="67"/>
      <c r="BI435" s="67"/>
      <c r="BJ435" s="67"/>
      <c r="BK435" s="67"/>
      <c r="BL435" s="67"/>
      <c r="BM435" s="67"/>
      <c r="BN435" s="67"/>
      <c r="BO435" s="67"/>
      <c r="BP435" s="67"/>
      <c r="BQ435" s="67"/>
      <c r="BR435" s="67"/>
      <c r="BS435" s="67"/>
      <c r="BT435" s="67"/>
      <c r="BU435" s="67"/>
      <c r="BV435" s="67"/>
      <c r="BW435" s="67"/>
      <c r="BX435" s="67"/>
      <c r="BY435" s="67"/>
      <c r="BZ435" s="67"/>
      <c r="CA435" s="67"/>
      <c r="CB435" s="67"/>
      <c r="CC435" s="67"/>
      <c r="CD435" s="67"/>
      <c r="CE435" s="67"/>
      <c r="CF435" s="67"/>
      <c r="CG435" s="67"/>
      <c r="CH435" s="67"/>
      <c r="CI435" s="67"/>
      <c r="CJ435" s="67"/>
      <c r="CK435" s="67"/>
      <c r="CL435" s="67"/>
      <c r="CM435" s="67"/>
      <c r="CN435" s="67"/>
      <c r="CO435" s="67"/>
      <c r="CP435" s="67"/>
      <c r="CQ435" s="67"/>
      <c r="CR435" s="67"/>
      <c r="CS435" s="67"/>
      <c r="CT435" s="67"/>
      <c r="CU435" s="67"/>
      <c r="CV435" s="67"/>
      <c r="CW435" s="67"/>
      <c r="CX435" s="67"/>
      <c r="CY435" s="67"/>
      <c r="CZ435" s="67"/>
      <c r="DA435" s="67"/>
      <c r="DB435" s="67"/>
      <c r="DC435" s="67"/>
      <c r="DD435" s="67"/>
      <c r="DE435" s="67"/>
      <c r="DF435" s="67"/>
    </row>
    <row r="436">
      <c r="A436" s="62"/>
      <c r="B436" s="88"/>
      <c r="C436" s="88"/>
      <c r="D436" s="88"/>
      <c r="E436" s="90"/>
      <c r="F436" s="91"/>
      <c r="G436" s="49"/>
      <c r="H436" s="70"/>
      <c r="I436" s="88"/>
      <c r="J436" s="88"/>
      <c r="K436" s="88"/>
      <c r="L436" s="90"/>
      <c r="M436" s="91"/>
      <c r="N436" s="49"/>
      <c r="O436" s="71"/>
      <c r="P436" s="92"/>
      <c r="Q436" s="71"/>
      <c r="R436" s="92"/>
      <c r="S436" s="71"/>
      <c r="T436" s="71"/>
      <c r="U436" s="68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29"/>
      <c r="AN436" s="67"/>
      <c r="AO436" s="67"/>
      <c r="AP436" s="67"/>
      <c r="AQ436" s="67"/>
      <c r="AR436" s="67"/>
      <c r="AS436" s="67"/>
      <c r="AT436" s="67"/>
      <c r="AU436" s="67"/>
      <c r="AV436" s="67"/>
      <c r="AW436" s="67"/>
      <c r="AX436" s="67"/>
      <c r="AY436" s="67"/>
      <c r="AZ436" s="67"/>
      <c r="BA436" s="67"/>
      <c r="BB436" s="67"/>
      <c r="BC436" s="67"/>
      <c r="BD436" s="67"/>
      <c r="BE436" s="67"/>
      <c r="BF436" s="67"/>
      <c r="BG436" s="67"/>
      <c r="BH436" s="67"/>
      <c r="BI436" s="67"/>
      <c r="BJ436" s="67"/>
      <c r="BK436" s="67"/>
      <c r="BL436" s="67"/>
      <c r="BM436" s="67"/>
      <c r="BN436" s="67"/>
      <c r="BO436" s="67"/>
      <c r="BP436" s="67"/>
      <c r="BQ436" s="67"/>
      <c r="BR436" s="67"/>
      <c r="BS436" s="67"/>
      <c r="BT436" s="67"/>
      <c r="BU436" s="67"/>
      <c r="BV436" s="67"/>
      <c r="BW436" s="67"/>
      <c r="BX436" s="67"/>
      <c r="BY436" s="67"/>
      <c r="BZ436" s="67"/>
      <c r="CA436" s="67"/>
      <c r="CB436" s="67"/>
      <c r="CC436" s="67"/>
      <c r="CD436" s="67"/>
      <c r="CE436" s="67"/>
      <c r="CF436" s="67"/>
      <c r="CG436" s="67"/>
      <c r="CH436" s="67"/>
      <c r="CI436" s="67"/>
      <c r="CJ436" s="67"/>
      <c r="CK436" s="67"/>
      <c r="CL436" s="67"/>
      <c r="CM436" s="67"/>
      <c r="CN436" s="67"/>
      <c r="CO436" s="67"/>
      <c r="CP436" s="67"/>
      <c r="CQ436" s="67"/>
      <c r="CR436" s="67"/>
      <c r="CS436" s="67"/>
      <c r="CT436" s="67"/>
      <c r="CU436" s="67"/>
      <c r="CV436" s="67"/>
      <c r="CW436" s="67"/>
      <c r="CX436" s="67"/>
      <c r="CY436" s="67"/>
      <c r="CZ436" s="67"/>
      <c r="DA436" s="67"/>
      <c r="DB436" s="67"/>
      <c r="DC436" s="67"/>
      <c r="DD436" s="67"/>
      <c r="DE436" s="67"/>
      <c r="DF436" s="67"/>
    </row>
    <row r="437">
      <c r="A437" s="62"/>
      <c r="B437" s="88"/>
      <c r="C437" s="88"/>
      <c r="D437" s="88"/>
      <c r="E437" s="90"/>
      <c r="F437" s="91"/>
      <c r="G437" s="49"/>
      <c r="H437" s="70"/>
      <c r="I437" s="88"/>
      <c r="J437" s="88"/>
      <c r="K437" s="88"/>
      <c r="L437" s="90"/>
      <c r="M437" s="91"/>
      <c r="N437" s="49"/>
      <c r="O437" s="71"/>
      <c r="P437" s="92"/>
      <c r="Q437" s="71"/>
      <c r="R437" s="92"/>
      <c r="S437" s="71"/>
      <c r="T437" s="71"/>
      <c r="U437" s="68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29"/>
      <c r="AN437" s="67"/>
      <c r="AO437" s="67"/>
      <c r="AP437" s="67"/>
      <c r="AQ437" s="67"/>
      <c r="AR437" s="67"/>
      <c r="AS437" s="67"/>
      <c r="AT437" s="67"/>
      <c r="AU437" s="67"/>
      <c r="AV437" s="67"/>
      <c r="AW437" s="67"/>
      <c r="AX437" s="67"/>
      <c r="AY437" s="67"/>
      <c r="AZ437" s="67"/>
      <c r="BA437" s="67"/>
      <c r="BB437" s="67"/>
      <c r="BC437" s="67"/>
      <c r="BD437" s="67"/>
      <c r="BE437" s="67"/>
      <c r="BF437" s="67"/>
      <c r="BG437" s="67"/>
      <c r="BH437" s="67"/>
      <c r="BI437" s="67"/>
      <c r="BJ437" s="67"/>
      <c r="BK437" s="67"/>
      <c r="BL437" s="67"/>
      <c r="BM437" s="67"/>
      <c r="BN437" s="67"/>
      <c r="BO437" s="67"/>
      <c r="BP437" s="67"/>
      <c r="BQ437" s="67"/>
      <c r="BR437" s="67"/>
      <c r="BS437" s="67"/>
      <c r="BT437" s="67"/>
      <c r="BU437" s="67"/>
      <c r="BV437" s="67"/>
      <c r="BW437" s="67"/>
      <c r="BX437" s="67"/>
      <c r="BY437" s="67"/>
      <c r="BZ437" s="67"/>
      <c r="CA437" s="67"/>
      <c r="CB437" s="67"/>
      <c r="CC437" s="67"/>
      <c r="CD437" s="67"/>
      <c r="CE437" s="67"/>
      <c r="CF437" s="67"/>
      <c r="CG437" s="67"/>
      <c r="CH437" s="67"/>
      <c r="CI437" s="67"/>
      <c r="CJ437" s="67"/>
      <c r="CK437" s="67"/>
      <c r="CL437" s="67"/>
      <c r="CM437" s="67"/>
      <c r="CN437" s="67"/>
      <c r="CO437" s="67"/>
      <c r="CP437" s="67"/>
      <c r="CQ437" s="67"/>
      <c r="CR437" s="67"/>
      <c r="CS437" s="67"/>
      <c r="CT437" s="67"/>
      <c r="CU437" s="67"/>
      <c r="CV437" s="67"/>
      <c r="CW437" s="67"/>
      <c r="CX437" s="67"/>
      <c r="CY437" s="67"/>
      <c r="CZ437" s="67"/>
      <c r="DA437" s="67"/>
      <c r="DB437" s="67"/>
      <c r="DC437" s="67"/>
      <c r="DD437" s="67"/>
      <c r="DE437" s="67"/>
      <c r="DF437" s="67"/>
    </row>
    <row r="438">
      <c r="A438" s="62"/>
      <c r="B438" s="88"/>
      <c r="C438" s="88"/>
      <c r="D438" s="88"/>
      <c r="E438" s="90"/>
      <c r="F438" s="91"/>
      <c r="G438" s="49"/>
      <c r="H438" s="70"/>
      <c r="I438" s="88"/>
      <c r="J438" s="88"/>
      <c r="K438" s="88"/>
      <c r="L438" s="90"/>
      <c r="M438" s="91"/>
      <c r="N438" s="49"/>
      <c r="O438" s="71"/>
      <c r="P438" s="92"/>
      <c r="Q438" s="71"/>
      <c r="R438" s="92"/>
      <c r="S438" s="71"/>
      <c r="T438" s="71"/>
      <c r="U438" s="68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29"/>
      <c r="AN438" s="67"/>
      <c r="AO438" s="67"/>
      <c r="AP438" s="67"/>
      <c r="AQ438" s="67"/>
      <c r="AR438" s="67"/>
      <c r="AS438" s="67"/>
      <c r="AT438" s="67"/>
      <c r="AU438" s="67"/>
      <c r="AV438" s="67"/>
      <c r="AW438" s="67"/>
      <c r="AX438" s="67"/>
      <c r="AY438" s="67"/>
      <c r="AZ438" s="67"/>
      <c r="BA438" s="67"/>
      <c r="BB438" s="67"/>
      <c r="BC438" s="67"/>
      <c r="BD438" s="67"/>
      <c r="BE438" s="67"/>
      <c r="BF438" s="67"/>
      <c r="BG438" s="67"/>
      <c r="BH438" s="67"/>
      <c r="BI438" s="67"/>
      <c r="BJ438" s="67"/>
      <c r="BK438" s="67"/>
      <c r="BL438" s="67"/>
      <c r="BM438" s="67"/>
      <c r="BN438" s="67"/>
      <c r="BO438" s="67"/>
      <c r="BP438" s="67"/>
      <c r="BQ438" s="67"/>
      <c r="BR438" s="67"/>
      <c r="BS438" s="67"/>
      <c r="BT438" s="67"/>
      <c r="BU438" s="67"/>
      <c r="BV438" s="67"/>
      <c r="BW438" s="67"/>
      <c r="BX438" s="67"/>
      <c r="BY438" s="67"/>
      <c r="BZ438" s="67"/>
      <c r="CA438" s="67"/>
      <c r="CB438" s="67"/>
      <c r="CC438" s="67"/>
      <c r="CD438" s="67"/>
      <c r="CE438" s="67"/>
      <c r="CF438" s="67"/>
      <c r="CG438" s="67"/>
      <c r="CH438" s="67"/>
      <c r="CI438" s="67"/>
      <c r="CJ438" s="67"/>
      <c r="CK438" s="67"/>
      <c r="CL438" s="67"/>
      <c r="CM438" s="67"/>
      <c r="CN438" s="67"/>
      <c r="CO438" s="67"/>
      <c r="CP438" s="67"/>
      <c r="CQ438" s="67"/>
      <c r="CR438" s="67"/>
      <c r="CS438" s="67"/>
      <c r="CT438" s="67"/>
      <c r="CU438" s="67"/>
      <c r="CV438" s="67"/>
      <c r="CW438" s="67"/>
      <c r="CX438" s="67"/>
      <c r="CY438" s="67"/>
      <c r="CZ438" s="67"/>
      <c r="DA438" s="67"/>
      <c r="DB438" s="67"/>
      <c r="DC438" s="67"/>
      <c r="DD438" s="67"/>
      <c r="DE438" s="67"/>
      <c r="DF438" s="67"/>
    </row>
    <row r="439">
      <c r="A439" s="62"/>
      <c r="B439" s="88"/>
      <c r="C439" s="88"/>
      <c r="D439" s="88"/>
      <c r="E439" s="90"/>
      <c r="F439" s="91"/>
      <c r="G439" s="49"/>
      <c r="H439" s="70"/>
      <c r="I439" s="88"/>
      <c r="J439" s="88"/>
      <c r="K439" s="88"/>
      <c r="L439" s="90"/>
      <c r="M439" s="91"/>
      <c r="N439" s="49"/>
      <c r="O439" s="71"/>
      <c r="P439" s="92"/>
      <c r="Q439" s="71"/>
      <c r="R439" s="92"/>
      <c r="S439" s="71"/>
      <c r="T439" s="71"/>
      <c r="U439" s="68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29"/>
      <c r="AN439" s="67"/>
      <c r="AO439" s="67"/>
      <c r="AP439" s="67"/>
      <c r="AQ439" s="67"/>
      <c r="AR439" s="67"/>
      <c r="AS439" s="67"/>
      <c r="AT439" s="67"/>
      <c r="AU439" s="67"/>
      <c r="AV439" s="67"/>
      <c r="AW439" s="67"/>
      <c r="AX439" s="67"/>
      <c r="AY439" s="67"/>
      <c r="AZ439" s="67"/>
      <c r="BA439" s="67"/>
      <c r="BB439" s="67"/>
      <c r="BC439" s="67"/>
      <c r="BD439" s="67"/>
      <c r="BE439" s="67"/>
      <c r="BF439" s="67"/>
      <c r="BG439" s="67"/>
      <c r="BH439" s="67"/>
      <c r="BI439" s="67"/>
      <c r="BJ439" s="67"/>
      <c r="BK439" s="67"/>
      <c r="BL439" s="67"/>
      <c r="BM439" s="67"/>
      <c r="BN439" s="67"/>
      <c r="BO439" s="67"/>
      <c r="BP439" s="67"/>
      <c r="BQ439" s="67"/>
      <c r="BR439" s="67"/>
      <c r="BS439" s="67"/>
      <c r="BT439" s="67"/>
      <c r="BU439" s="67"/>
      <c r="BV439" s="67"/>
      <c r="BW439" s="67"/>
      <c r="BX439" s="67"/>
      <c r="BY439" s="67"/>
      <c r="BZ439" s="67"/>
      <c r="CA439" s="67"/>
      <c r="CB439" s="67"/>
      <c r="CC439" s="67"/>
      <c r="CD439" s="67"/>
      <c r="CE439" s="67"/>
      <c r="CF439" s="67"/>
      <c r="CG439" s="67"/>
      <c r="CH439" s="67"/>
      <c r="CI439" s="67"/>
      <c r="CJ439" s="67"/>
      <c r="CK439" s="67"/>
      <c r="CL439" s="67"/>
      <c r="CM439" s="67"/>
      <c r="CN439" s="67"/>
      <c r="CO439" s="67"/>
      <c r="CP439" s="67"/>
      <c r="CQ439" s="67"/>
      <c r="CR439" s="67"/>
      <c r="CS439" s="67"/>
      <c r="CT439" s="67"/>
      <c r="CU439" s="67"/>
      <c r="CV439" s="67"/>
      <c r="CW439" s="67"/>
      <c r="CX439" s="67"/>
      <c r="CY439" s="67"/>
      <c r="CZ439" s="67"/>
      <c r="DA439" s="67"/>
      <c r="DB439" s="67"/>
      <c r="DC439" s="67"/>
      <c r="DD439" s="67"/>
      <c r="DE439" s="67"/>
      <c r="DF439" s="67"/>
    </row>
    <row r="440">
      <c r="A440" s="62"/>
      <c r="B440" s="88"/>
      <c r="C440" s="88"/>
      <c r="D440" s="88"/>
      <c r="E440" s="90"/>
      <c r="F440" s="91"/>
      <c r="G440" s="49"/>
      <c r="H440" s="70"/>
      <c r="I440" s="88"/>
      <c r="J440" s="88"/>
      <c r="K440" s="88"/>
      <c r="L440" s="90"/>
      <c r="M440" s="91"/>
      <c r="N440" s="49"/>
      <c r="O440" s="71"/>
      <c r="P440" s="92"/>
      <c r="Q440" s="71"/>
      <c r="R440" s="92"/>
      <c r="S440" s="71"/>
      <c r="T440" s="71"/>
      <c r="U440" s="68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29"/>
      <c r="AN440" s="67"/>
      <c r="AO440" s="67"/>
      <c r="AP440" s="67"/>
      <c r="AQ440" s="67"/>
      <c r="AR440" s="67"/>
      <c r="AS440" s="67"/>
      <c r="AT440" s="67"/>
      <c r="AU440" s="67"/>
      <c r="AV440" s="67"/>
      <c r="AW440" s="67"/>
      <c r="AX440" s="67"/>
      <c r="AY440" s="67"/>
      <c r="AZ440" s="67"/>
      <c r="BA440" s="67"/>
      <c r="BB440" s="67"/>
      <c r="BC440" s="67"/>
      <c r="BD440" s="67"/>
      <c r="BE440" s="67"/>
      <c r="BF440" s="67"/>
      <c r="BG440" s="67"/>
      <c r="BH440" s="67"/>
      <c r="BI440" s="67"/>
      <c r="BJ440" s="67"/>
      <c r="BK440" s="67"/>
      <c r="BL440" s="67"/>
      <c r="BM440" s="67"/>
      <c r="BN440" s="67"/>
      <c r="BO440" s="67"/>
      <c r="BP440" s="67"/>
      <c r="BQ440" s="67"/>
      <c r="BR440" s="67"/>
      <c r="BS440" s="67"/>
      <c r="BT440" s="67"/>
      <c r="BU440" s="67"/>
      <c r="BV440" s="67"/>
      <c r="BW440" s="67"/>
      <c r="BX440" s="67"/>
      <c r="BY440" s="67"/>
      <c r="BZ440" s="67"/>
      <c r="CA440" s="67"/>
      <c r="CB440" s="67"/>
      <c r="CC440" s="67"/>
      <c r="CD440" s="67"/>
      <c r="CE440" s="67"/>
      <c r="CF440" s="67"/>
      <c r="CG440" s="67"/>
      <c r="CH440" s="67"/>
      <c r="CI440" s="67"/>
      <c r="CJ440" s="67"/>
      <c r="CK440" s="67"/>
      <c r="CL440" s="67"/>
      <c r="CM440" s="67"/>
      <c r="CN440" s="67"/>
      <c r="CO440" s="67"/>
      <c r="CP440" s="67"/>
      <c r="CQ440" s="67"/>
      <c r="CR440" s="67"/>
      <c r="CS440" s="67"/>
      <c r="CT440" s="67"/>
      <c r="CU440" s="67"/>
      <c r="CV440" s="67"/>
      <c r="CW440" s="67"/>
      <c r="CX440" s="67"/>
      <c r="CY440" s="67"/>
      <c r="CZ440" s="67"/>
      <c r="DA440" s="67"/>
      <c r="DB440" s="67"/>
      <c r="DC440" s="67"/>
      <c r="DD440" s="67"/>
      <c r="DE440" s="67"/>
      <c r="DF440" s="67"/>
    </row>
    <row r="441">
      <c r="A441" s="62"/>
      <c r="B441" s="88"/>
      <c r="C441" s="88"/>
      <c r="D441" s="88"/>
      <c r="E441" s="90"/>
      <c r="F441" s="91"/>
      <c r="G441" s="49"/>
      <c r="H441" s="70"/>
      <c r="I441" s="88"/>
      <c r="J441" s="88"/>
      <c r="K441" s="88"/>
      <c r="L441" s="90"/>
      <c r="M441" s="91"/>
      <c r="N441" s="49"/>
      <c r="O441" s="71"/>
      <c r="P441" s="92"/>
      <c r="Q441" s="71"/>
      <c r="R441" s="92"/>
      <c r="S441" s="71"/>
      <c r="T441" s="71"/>
      <c r="U441" s="68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29"/>
      <c r="AN441" s="67"/>
      <c r="AO441" s="67"/>
      <c r="AP441" s="67"/>
      <c r="AQ441" s="67"/>
      <c r="AR441" s="67"/>
      <c r="AS441" s="67"/>
      <c r="AT441" s="67"/>
      <c r="AU441" s="67"/>
      <c r="AV441" s="67"/>
      <c r="AW441" s="67"/>
      <c r="AX441" s="67"/>
      <c r="AY441" s="67"/>
      <c r="AZ441" s="67"/>
      <c r="BA441" s="67"/>
      <c r="BB441" s="67"/>
      <c r="BC441" s="67"/>
      <c r="BD441" s="67"/>
      <c r="BE441" s="67"/>
      <c r="BF441" s="67"/>
      <c r="BG441" s="67"/>
      <c r="BH441" s="67"/>
      <c r="BI441" s="67"/>
      <c r="BJ441" s="67"/>
      <c r="BK441" s="67"/>
      <c r="BL441" s="67"/>
      <c r="BM441" s="67"/>
      <c r="BN441" s="67"/>
      <c r="BO441" s="67"/>
      <c r="BP441" s="67"/>
      <c r="BQ441" s="67"/>
      <c r="BR441" s="67"/>
      <c r="BS441" s="67"/>
      <c r="BT441" s="67"/>
      <c r="BU441" s="67"/>
      <c r="BV441" s="67"/>
      <c r="BW441" s="67"/>
      <c r="BX441" s="67"/>
      <c r="BY441" s="67"/>
      <c r="BZ441" s="67"/>
      <c r="CA441" s="67"/>
      <c r="CB441" s="67"/>
      <c r="CC441" s="67"/>
      <c r="CD441" s="67"/>
      <c r="CE441" s="67"/>
      <c r="CF441" s="67"/>
      <c r="CG441" s="67"/>
      <c r="CH441" s="67"/>
      <c r="CI441" s="67"/>
      <c r="CJ441" s="67"/>
      <c r="CK441" s="67"/>
      <c r="CL441" s="67"/>
      <c r="CM441" s="67"/>
      <c r="CN441" s="67"/>
      <c r="CO441" s="67"/>
      <c r="CP441" s="67"/>
      <c r="CQ441" s="67"/>
      <c r="CR441" s="67"/>
      <c r="CS441" s="67"/>
      <c r="CT441" s="67"/>
      <c r="CU441" s="67"/>
      <c r="CV441" s="67"/>
      <c r="CW441" s="67"/>
      <c r="CX441" s="67"/>
      <c r="CY441" s="67"/>
      <c r="CZ441" s="67"/>
      <c r="DA441" s="67"/>
      <c r="DB441" s="67"/>
      <c r="DC441" s="67"/>
      <c r="DD441" s="67"/>
      <c r="DE441" s="67"/>
      <c r="DF441" s="67"/>
    </row>
    <row r="442">
      <c r="A442" s="62"/>
      <c r="B442" s="88"/>
      <c r="C442" s="88"/>
      <c r="D442" s="88"/>
      <c r="E442" s="90"/>
      <c r="F442" s="91"/>
      <c r="G442" s="49"/>
      <c r="H442" s="70"/>
      <c r="I442" s="88"/>
      <c r="J442" s="88"/>
      <c r="K442" s="88"/>
      <c r="L442" s="90"/>
      <c r="M442" s="91"/>
      <c r="N442" s="49"/>
      <c r="O442" s="71"/>
      <c r="P442" s="92"/>
      <c r="Q442" s="71"/>
      <c r="R442" s="92"/>
      <c r="S442" s="71"/>
      <c r="T442" s="71"/>
      <c r="U442" s="68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29"/>
      <c r="AN442" s="67"/>
      <c r="AO442" s="67"/>
      <c r="AP442" s="67"/>
      <c r="AQ442" s="67"/>
      <c r="AR442" s="67"/>
      <c r="AS442" s="67"/>
      <c r="AT442" s="67"/>
      <c r="AU442" s="67"/>
      <c r="AV442" s="67"/>
      <c r="AW442" s="67"/>
      <c r="AX442" s="67"/>
      <c r="AY442" s="67"/>
      <c r="AZ442" s="67"/>
      <c r="BA442" s="67"/>
      <c r="BB442" s="67"/>
      <c r="BC442" s="67"/>
      <c r="BD442" s="67"/>
      <c r="BE442" s="67"/>
      <c r="BF442" s="67"/>
      <c r="BG442" s="67"/>
      <c r="BH442" s="67"/>
      <c r="BI442" s="67"/>
      <c r="BJ442" s="67"/>
      <c r="BK442" s="67"/>
      <c r="BL442" s="67"/>
      <c r="BM442" s="67"/>
      <c r="BN442" s="67"/>
      <c r="BO442" s="67"/>
      <c r="BP442" s="67"/>
      <c r="BQ442" s="67"/>
      <c r="BR442" s="67"/>
      <c r="BS442" s="67"/>
      <c r="BT442" s="67"/>
      <c r="BU442" s="67"/>
      <c r="BV442" s="67"/>
      <c r="BW442" s="67"/>
      <c r="BX442" s="67"/>
      <c r="BY442" s="67"/>
      <c r="BZ442" s="67"/>
      <c r="CA442" s="67"/>
      <c r="CB442" s="67"/>
      <c r="CC442" s="67"/>
      <c r="CD442" s="67"/>
      <c r="CE442" s="67"/>
      <c r="CF442" s="67"/>
      <c r="CG442" s="67"/>
      <c r="CH442" s="67"/>
      <c r="CI442" s="67"/>
      <c r="CJ442" s="67"/>
      <c r="CK442" s="67"/>
      <c r="CL442" s="67"/>
      <c r="CM442" s="67"/>
      <c r="CN442" s="67"/>
      <c r="CO442" s="67"/>
      <c r="CP442" s="67"/>
      <c r="CQ442" s="67"/>
      <c r="CR442" s="67"/>
      <c r="CS442" s="67"/>
      <c r="CT442" s="67"/>
      <c r="CU442" s="67"/>
      <c r="CV442" s="67"/>
      <c r="CW442" s="67"/>
      <c r="CX442" s="67"/>
      <c r="CY442" s="67"/>
      <c r="CZ442" s="67"/>
      <c r="DA442" s="67"/>
      <c r="DB442" s="67"/>
      <c r="DC442" s="67"/>
      <c r="DD442" s="67"/>
      <c r="DE442" s="67"/>
      <c r="DF442" s="67"/>
    </row>
    <row r="443">
      <c r="A443" s="62"/>
      <c r="B443" s="88"/>
      <c r="C443" s="88"/>
      <c r="D443" s="88"/>
      <c r="E443" s="90"/>
      <c r="F443" s="91"/>
      <c r="G443" s="49"/>
      <c r="H443" s="70"/>
      <c r="I443" s="88"/>
      <c r="J443" s="88"/>
      <c r="K443" s="88"/>
      <c r="L443" s="90"/>
      <c r="M443" s="91"/>
      <c r="N443" s="49"/>
      <c r="O443" s="71"/>
      <c r="P443" s="92"/>
      <c r="Q443" s="71"/>
      <c r="R443" s="92"/>
      <c r="S443" s="71"/>
      <c r="T443" s="71"/>
      <c r="U443" s="68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29"/>
      <c r="AN443" s="67"/>
      <c r="AO443" s="67"/>
      <c r="AP443" s="67"/>
      <c r="AQ443" s="67"/>
      <c r="AR443" s="67"/>
      <c r="AS443" s="67"/>
      <c r="AT443" s="67"/>
      <c r="AU443" s="67"/>
      <c r="AV443" s="67"/>
      <c r="AW443" s="67"/>
      <c r="AX443" s="67"/>
      <c r="AY443" s="67"/>
      <c r="AZ443" s="67"/>
      <c r="BA443" s="67"/>
      <c r="BB443" s="67"/>
      <c r="BC443" s="67"/>
      <c r="BD443" s="67"/>
      <c r="BE443" s="67"/>
      <c r="BF443" s="67"/>
      <c r="BG443" s="67"/>
      <c r="BH443" s="67"/>
      <c r="BI443" s="67"/>
      <c r="BJ443" s="67"/>
      <c r="BK443" s="67"/>
      <c r="BL443" s="67"/>
      <c r="BM443" s="67"/>
      <c r="BN443" s="67"/>
      <c r="BO443" s="67"/>
      <c r="BP443" s="67"/>
      <c r="BQ443" s="67"/>
      <c r="BR443" s="67"/>
      <c r="BS443" s="67"/>
      <c r="BT443" s="67"/>
      <c r="BU443" s="67"/>
      <c r="BV443" s="67"/>
      <c r="BW443" s="67"/>
      <c r="BX443" s="67"/>
      <c r="BY443" s="67"/>
      <c r="BZ443" s="67"/>
      <c r="CA443" s="67"/>
      <c r="CB443" s="67"/>
      <c r="CC443" s="67"/>
      <c r="CD443" s="67"/>
      <c r="CE443" s="67"/>
      <c r="CF443" s="67"/>
      <c r="CG443" s="67"/>
      <c r="CH443" s="67"/>
      <c r="CI443" s="67"/>
      <c r="CJ443" s="67"/>
      <c r="CK443" s="67"/>
      <c r="CL443" s="67"/>
      <c r="CM443" s="67"/>
      <c r="CN443" s="67"/>
      <c r="CO443" s="67"/>
      <c r="CP443" s="67"/>
      <c r="CQ443" s="67"/>
      <c r="CR443" s="67"/>
      <c r="CS443" s="67"/>
      <c r="CT443" s="67"/>
      <c r="CU443" s="67"/>
      <c r="CV443" s="67"/>
      <c r="CW443" s="67"/>
      <c r="CX443" s="67"/>
      <c r="CY443" s="67"/>
      <c r="CZ443" s="67"/>
      <c r="DA443" s="67"/>
      <c r="DB443" s="67"/>
      <c r="DC443" s="67"/>
      <c r="DD443" s="67"/>
      <c r="DE443" s="67"/>
      <c r="DF443" s="67"/>
    </row>
    <row r="444">
      <c r="A444" s="62"/>
      <c r="B444" s="88"/>
      <c r="C444" s="88"/>
      <c r="D444" s="88"/>
      <c r="E444" s="90"/>
      <c r="F444" s="91"/>
      <c r="G444" s="49"/>
      <c r="H444" s="70"/>
      <c r="I444" s="88"/>
      <c r="J444" s="88"/>
      <c r="K444" s="88"/>
      <c r="L444" s="90"/>
      <c r="M444" s="91"/>
      <c r="N444" s="49"/>
      <c r="O444" s="71"/>
      <c r="P444" s="92"/>
      <c r="Q444" s="71"/>
      <c r="R444" s="92"/>
      <c r="S444" s="71"/>
      <c r="T444" s="71"/>
      <c r="U444" s="68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29"/>
      <c r="AN444" s="67"/>
      <c r="AO444" s="67"/>
      <c r="AP444" s="67"/>
      <c r="AQ444" s="67"/>
      <c r="AR444" s="67"/>
      <c r="AS444" s="67"/>
      <c r="AT444" s="67"/>
      <c r="AU444" s="67"/>
      <c r="AV444" s="67"/>
      <c r="AW444" s="67"/>
      <c r="AX444" s="67"/>
      <c r="AY444" s="67"/>
      <c r="AZ444" s="67"/>
      <c r="BA444" s="67"/>
      <c r="BB444" s="67"/>
      <c r="BC444" s="67"/>
      <c r="BD444" s="67"/>
      <c r="BE444" s="67"/>
      <c r="BF444" s="67"/>
      <c r="BG444" s="67"/>
      <c r="BH444" s="67"/>
      <c r="BI444" s="67"/>
      <c r="BJ444" s="67"/>
      <c r="BK444" s="67"/>
      <c r="BL444" s="67"/>
      <c r="BM444" s="67"/>
      <c r="BN444" s="67"/>
      <c r="BO444" s="67"/>
      <c r="BP444" s="67"/>
      <c r="BQ444" s="67"/>
      <c r="BR444" s="67"/>
      <c r="BS444" s="67"/>
      <c r="BT444" s="67"/>
      <c r="BU444" s="67"/>
      <c r="BV444" s="67"/>
      <c r="BW444" s="67"/>
      <c r="BX444" s="67"/>
      <c r="BY444" s="67"/>
      <c r="BZ444" s="67"/>
      <c r="CA444" s="67"/>
      <c r="CB444" s="67"/>
      <c r="CC444" s="67"/>
      <c r="CD444" s="67"/>
      <c r="CE444" s="67"/>
      <c r="CF444" s="67"/>
      <c r="CG444" s="67"/>
      <c r="CH444" s="67"/>
      <c r="CI444" s="67"/>
      <c r="CJ444" s="67"/>
      <c r="CK444" s="67"/>
      <c r="CL444" s="67"/>
      <c r="CM444" s="67"/>
      <c r="CN444" s="67"/>
      <c r="CO444" s="67"/>
      <c r="CP444" s="67"/>
      <c r="CQ444" s="67"/>
      <c r="CR444" s="67"/>
      <c r="CS444" s="67"/>
      <c r="CT444" s="67"/>
      <c r="CU444" s="67"/>
      <c r="CV444" s="67"/>
      <c r="CW444" s="67"/>
      <c r="CX444" s="67"/>
      <c r="CY444" s="67"/>
      <c r="CZ444" s="67"/>
      <c r="DA444" s="67"/>
      <c r="DB444" s="67"/>
      <c r="DC444" s="67"/>
      <c r="DD444" s="67"/>
      <c r="DE444" s="67"/>
      <c r="DF444" s="67"/>
    </row>
    <row r="445">
      <c r="A445" s="62"/>
      <c r="B445" s="88"/>
      <c r="C445" s="88"/>
      <c r="D445" s="88"/>
      <c r="E445" s="90"/>
      <c r="F445" s="91"/>
      <c r="G445" s="49"/>
      <c r="H445" s="70"/>
      <c r="I445" s="88"/>
      <c r="J445" s="88"/>
      <c r="K445" s="88"/>
      <c r="L445" s="90"/>
      <c r="M445" s="91"/>
      <c r="N445" s="49"/>
      <c r="O445" s="71"/>
      <c r="P445" s="92"/>
      <c r="Q445" s="71"/>
      <c r="R445" s="92"/>
      <c r="S445" s="71"/>
      <c r="T445" s="71"/>
      <c r="U445" s="68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29"/>
      <c r="AN445" s="67"/>
      <c r="AO445" s="67"/>
      <c r="AP445" s="67"/>
      <c r="AQ445" s="67"/>
      <c r="AR445" s="67"/>
      <c r="AS445" s="67"/>
      <c r="AT445" s="67"/>
      <c r="AU445" s="67"/>
      <c r="AV445" s="67"/>
      <c r="AW445" s="67"/>
      <c r="AX445" s="67"/>
      <c r="AY445" s="67"/>
      <c r="AZ445" s="67"/>
      <c r="BA445" s="67"/>
      <c r="BB445" s="67"/>
      <c r="BC445" s="67"/>
      <c r="BD445" s="67"/>
      <c r="BE445" s="67"/>
      <c r="BF445" s="67"/>
      <c r="BG445" s="67"/>
      <c r="BH445" s="67"/>
      <c r="BI445" s="67"/>
      <c r="BJ445" s="67"/>
      <c r="BK445" s="67"/>
      <c r="BL445" s="67"/>
      <c r="BM445" s="67"/>
      <c r="BN445" s="67"/>
      <c r="BO445" s="67"/>
      <c r="BP445" s="67"/>
      <c r="BQ445" s="67"/>
      <c r="BR445" s="67"/>
      <c r="BS445" s="67"/>
      <c r="BT445" s="67"/>
      <c r="BU445" s="67"/>
      <c r="BV445" s="67"/>
      <c r="BW445" s="67"/>
      <c r="BX445" s="67"/>
      <c r="BY445" s="67"/>
      <c r="BZ445" s="67"/>
      <c r="CA445" s="67"/>
      <c r="CB445" s="67"/>
      <c r="CC445" s="67"/>
      <c r="CD445" s="67"/>
      <c r="CE445" s="67"/>
      <c r="CF445" s="67"/>
      <c r="CG445" s="67"/>
      <c r="CH445" s="67"/>
      <c r="CI445" s="67"/>
      <c r="CJ445" s="67"/>
      <c r="CK445" s="67"/>
      <c r="CL445" s="67"/>
      <c r="CM445" s="67"/>
      <c r="CN445" s="67"/>
      <c r="CO445" s="67"/>
      <c r="CP445" s="67"/>
      <c r="CQ445" s="67"/>
      <c r="CR445" s="67"/>
      <c r="CS445" s="67"/>
      <c r="CT445" s="67"/>
      <c r="CU445" s="67"/>
      <c r="CV445" s="67"/>
      <c r="CW445" s="67"/>
      <c r="CX445" s="67"/>
      <c r="CY445" s="67"/>
      <c r="CZ445" s="67"/>
      <c r="DA445" s="67"/>
      <c r="DB445" s="67"/>
      <c r="DC445" s="67"/>
      <c r="DD445" s="67"/>
      <c r="DE445" s="67"/>
      <c r="DF445" s="67"/>
    </row>
    <row r="446">
      <c r="A446" s="62"/>
      <c r="B446" s="88"/>
      <c r="C446" s="88"/>
      <c r="D446" s="88"/>
      <c r="E446" s="90"/>
      <c r="F446" s="91"/>
      <c r="G446" s="49"/>
      <c r="H446" s="70"/>
      <c r="I446" s="88"/>
      <c r="J446" s="88"/>
      <c r="K446" s="88"/>
      <c r="L446" s="90"/>
      <c r="M446" s="91"/>
      <c r="N446" s="49"/>
      <c r="O446" s="71"/>
      <c r="P446" s="92"/>
      <c r="Q446" s="71"/>
      <c r="R446" s="92"/>
      <c r="S446" s="71"/>
      <c r="T446" s="71"/>
      <c r="U446" s="68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29"/>
      <c r="AN446" s="67"/>
      <c r="AO446" s="67"/>
      <c r="AP446" s="67"/>
      <c r="AQ446" s="67"/>
      <c r="AR446" s="67"/>
      <c r="AS446" s="67"/>
      <c r="AT446" s="67"/>
      <c r="AU446" s="67"/>
      <c r="AV446" s="67"/>
      <c r="AW446" s="67"/>
      <c r="AX446" s="67"/>
      <c r="AY446" s="67"/>
      <c r="AZ446" s="67"/>
      <c r="BA446" s="67"/>
      <c r="BB446" s="67"/>
      <c r="BC446" s="67"/>
      <c r="BD446" s="67"/>
      <c r="BE446" s="67"/>
      <c r="BF446" s="67"/>
      <c r="BG446" s="67"/>
      <c r="BH446" s="67"/>
      <c r="BI446" s="67"/>
      <c r="BJ446" s="67"/>
      <c r="BK446" s="67"/>
      <c r="BL446" s="67"/>
      <c r="BM446" s="67"/>
      <c r="BN446" s="67"/>
      <c r="BO446" s="67"/>
      <c r="BP446" s="67"/>
      <c r="BQ446" s="67"/>
      <c r="BR446" s="67"/>
      <c r="BS446" s="67"/>
      <c r="BT446" s="67"/>
      <c r="BU446" s="67"/>
      <c r="BV446" s="67"/>
      <c r="BW446" s="67"/>
      <c r="BX446" s="67"/>
      <c r="BY446" s="67"/>
      <c r="BZ446" s="67"/>
      <c r="CA446" s="67"/>
      <c r="CB446" s="67"/>
      <c r="CC446" s="67"/>
      <c r="CD446" s="67"/>
      <c r="CE446" s="67"/>
      <c r="CF446" s="67"/>
      <c r="CG446" s="67"/>
      <c r="CH446" s="67"/>
      <c r="CI446" s="67"/>
      <c r="CJ446" s="67"/>
      <c r="CK446" s="67"/>
      <c r="CL446" s="67"/>
      <c r="CM446" s="67"/>
      <c r="CN446" s="67"/>
      <c r="CO446" s="67"/>
      <c r="CP446" s="67"/>
      <c r="CQ446" s="67"/>
      <c r="CR446" s="67"/>
      <c r="CS446" s="67"/>
      <c r="CT446" s="67"/>
      <c r="CU446" s="67"/>
      <c r="CV446" s="67"/>
      <c r="CW446" s="67"/>
      <c r="CX446" s="67"/>
      <c r="CY446" s="67"/>
      <c r="CZ446" s="67"/>
      <c r="DA446" s="67"/>
      <c r="DB446" s="67"/>
      <c r="DC446" s="67"/>
      <c r="DD446" s="67"/>
      <c r="DE446" s="67"/>
      <c r="DF446" s="67"/>
    </row>
    <row r="447">
      <c r="A447" s="62"/>
      <c r="B447" s="88"/>
      <c r="C447" s="88"/>
      <c r="D447" s="88"/>
      <c r="E447" s="90"/>
      <c r="F447" s="91"/>
      <c r="G447" s="49"/>
      <c r="H447" s="70"/>
      <c r="I447" s="88"/>
      <c r="J447" s="88"/>
      <c r="K447" s="88"/>
      <c r="L447" s="90"/>
      <c r="M447" s="91"/>
      <c r="N447" s="49"/>
      <c r="O447" s="71"/>
      <c r="P447" s="92"/>
      <c r="Q447" s="71"/>
      <c r="R447" s="92"/>
      <c r="S447" s="71"/>
      <c r="T447" s="71"/>
      <c r="U447" s="68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29"/>
      <c r="AN447" s="67"/>
      <c r="AO447" s="67"/>
      <c r="AP447" s="67"/>
      <c r="AQ447" s="67"/>
      <c r="AR447" s="67"/>
      <c r="AS447" s="67"/>
      <c r="AT447" s="67"/>
      <c r="AU447" s="67"/>
      <c r="AV447" s="67"/>
      <c r="AW447" s="67"/>
      <c r="AX447" s="67"/>
      <c r="AY447" s="67"/>
      <c r="AZ447" s="67"/>
      <c r="BA447" s="67"/>
      <c r="BB447" s="67"/>
      <c r="BC447" s="67"/>
      <c r="BD447" s="67"/>
      <c r="BE447" s="67"/>
      <c r="BF447" s="67"/>
      <c r="BG447" s="67"/>
      <c r="BH447" s="67"/>
      <c r="BI447" s="67"/>
      <c r="BJ447" s="67"/>
      <c r="BK447" s="67"/>
      <c r="BL447" s="67"/>
      <c r="BM447" s="67"/>
      <c r="BN447" s="67"/>
      <c r="BO447" s="67"/>
      <c r="BP447" s="67"/>
      <c r="BQ447" s="67"/>
      <c r="BR447" s="67"/>
      <c r="BS447" s="67"/>
      <c r="BT447" s="67"/>
      <c r="BU447" s="67"/>
      <c r="BV447" s="67"/>
      <c r="BW447" s="67"/>
      <c r="BX447" s="67"/>
      <c r="BY447" s="67"/>
      <c r="BZ447" s="67"/>
      <c r="CA447" s="67"/>
      <c r="CB447" s="67"/>
      <c r="CC447" s="67"/>
      <c r="CD447" s="67"/>
      <c r="CE447" s="67"/>
      <c r="CF447" s="67"/>
      <c r="CG447" s="67"/>
      <c r="CH447" s="67"/>
      <c r="CI447" s="67"/>
      <c r="CJ447" s="67"/>
      <c r="CK447" s="67"/>
      <c r="CL447" s="67"/>
      <c r="CM447" s="67"/>
      <c r="CN447" s="67"/>
      <c r="CO447" s="67"/>
      <c r="CP447" s="67"/>
      <c r="CQ447" s="67"/>
      <c r="CR447" s="67"/>
      <c r="CS447" s="67"/>
      <c r="CT447" s="67"/>
      <c r="CU447" s="67"/>
      <c r="CV447" s="67"/>
      <c r="CW447" s="67"/>
      <c r="CX447" s="67"/>
      <c r="CY447" s="67"/>
      <c r="CZ447" s="67"/>
      <c r="DA447" s="67"/>
      <c r="DB447" s="67"/>
      <c r="DC447" s="67"/>
      <c r="DD447" s="67"/>
      <c r="DE447" s="67"/>
      <c r="DF447" s="67"/>
    </row>
    <row r="448">
      <c r="A448" s="62"/>
      <c r="B448" s="88"/>
      <c r="C448" s="88"/>
      <c r="D448" s="88"/>
      <c r="E448" s="90"/>
      <c r="F448" s="91"/>
      <c r="G448" s="49"/>
      <c r="H448" s="70"/>
      <c r="I448" s="88"/>
      <c r="J448" s="88"/>
      <c r="K448" s="88"/>
      <c r="L448" s="90"/>
      <c r="M448" s="91"/>
      <c r="N448" s="49"/>
      <c r="O448" s="71"/>
      <c r="P448" s="92"/>
      <c r="Q448" s="71"/>
      <c r="R448" s="92"/>
      <c r="S448" s="71"/>
      <c r="T448" s="71"/>
      <c r="U448" s="68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29"/>
      <c r="AN448" s="67"/>
      <c r="AO448" s="67"/>
      <c r="AP448" s="67"/>
      <c r="AQ448" s="67"/>
      <c r="AR448" s="67"/>
      <c r="AS448" s="67"/>
      <c r="AT448" s="67"/>
      <c r="AU448" s="67"/>
      <c r="AV448" s="67"/>
      <c r="AW448" s="67"/>
      <c r="AX448" s="67"/>
      <c r="AY448" s="67"/>
      <c r="AZ448" s="67"/>
      <c r="BA448" s="67"/>
      <c r="BB448" s="67"/>
      <c r="BC448" s="67"/>
      <c r="BD448" s="67"/>
      <c r="BE448" s="67"/>
      <c r="BF448" s="67"/>
      <c r="BG448" s="67"/>
      <c r="BH448" s="67"/>
      <c r="BI448" s="67"/>
      <c r="BJ448" s="67"/>
      <c r="BK448" s="67"/>
      <c r="BL448" s="67"/>
      <c r="BM448" s="67"/>
      <c r="BN448" s="67"/>
      <c r="BO448" s="67"/>
      <c r="BP448" s="67"/>
      <c r="BQ448" s="67"/>
      <c r="BR448" s="67"/>
      <c r="BS448" s="67"/>
      <c r="BT448" s="67"/>
      <c r="BU448" s="67"/>
      <c r="BV448" s="67"/>
      <c r="BW448" s="67"/>
      <c r="BX448" s="67"/>
      <c r="BY448" s="67"/>
      <c r="BZ448" s="67"/>
      <c r="CA448" s="67"/>
      <c r="CB448" s="67"/>
      <c r="CC448" s="67"/>
      <c r="CD448" s="67"/>
      <c r="CE448" s="67"/>
      <c r="CF448" s="67"/>
      <c r="CG448" s="67"/>
      <c r="CH448" s="67"/>
      <c r="CI448" s="67"/>
      <c r="CJ448" s="67"/>
      <c r="CK448" s="67"/>
      <c r="CL448" s="67"/>
      <c r="CM448" s="67"/>
      <c r="CN448" s="67"/>
      <c r="CO448" s="67"/>
      <c r="CP448" s="67"/>
      <c r="CQ448" s="67"/>
      <c r="CR448" s="67"/>
      <c r="CS448" s="67"/>
      <c r="CT448" s="67"/>
      <c r="CU448" s="67"/>
      <c r="CV448" s="67"/>
      <c r="CW448" s="67"/>
      <c r="CX448" s="67"/>
      <c r="CY448" s="67"/>
      <c r="CZ448" s="67"/>
      <c r="DA448" s="67"/>
      <c r="DB448" s="67"/>
      <c r="DC448" s="67"/>
      <c r="DD448" s="67"/>
      <c r="DE448" s="67"/>
      <c r="DF448" s="67"/>
    </row>
    <row r="449">
      <c r="A449" s="62"/>
      <c r="B449" s="88"/>
      <c r="C449" s="88"/>
      <c r="D449" s="88"/>
      <c r="E449" s="90"/>
      <c r="F449" s="91"/>
      <c r="G449" s="49"/>
      <c r="H449" s="70"/>
      <c r="I449" s="88"/>
      <c r="J449" s="88"/>
      <c r="K449" s="88"/>
      <c r="L449" s="90"/>
      <c r="M449" s="91"/>
      <c r="N449" s="49"/>
      <c r="O449" s="71"/>
      <c r="P449" s="92"/>
      <c r="Q449" s="71"/>
      <c r="R449" s="92"/>
      <c r="S449" s="71"/>
      <c r="T449" s="71"/>
      <c r="U449" s="68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29"/>
      <c r="AN449" s="67"/>
      <c r="AO449" s="67"/>
      <c r="AP449" s="67"/>
      <c r="AQ449" s="67"/>
      <c r="AR449" s="67"/>
      <c r="AS449" s="67"/>
      <c r="AT449" s="67"/>
      <c r="AU449" s="67"/>
      <c r="AV449" s="67"/>
      <c r="AW449" s="67"/>
      <c r="AX449" s="67"/>
      <c r="AY449" s="67"/>
      <c r="AZ449" s="67"/>
      <c r="BA449" s="67"/>
      <c r="BB449" s="67"/>
      <c r="BC449" s="67"/>
      <c r="BD449" s="67"/>
      <c r="BE449" s="67"/>
      <c r="BF449" s="67"/>
      <c r="BG449" s="67"/>
      <c r="BH449" s="67"/>
      <c r="BI449" s="67"/>
      <c r="BJ449" s="67"/>
      <c r="BK449" s="67"/>
      <c r="BL449" s="67"/>
      <c r="BM449" s="67"/>
      <c r="BN449" s="67"/>
      <c r="BO449" s="67"/>
      <c r="BP449" s="67"/>
      <c r="BQ449" s="67"/>
      <c r="BR449" s="67"/>
      <c r="BS449" s="67"/>
      <c r="BT449" s="67"/>
      <c r="BU449" s="67"/>
      <c r="BV449" s="67"/>
      <c r="BW449" s="67"/>
      <c r="BX449" s="67"/>
      <c r="BY449" s="67"/>
      <c r="BZ449" s="67"/>
      <c r="CA449" s="67"/>
      <c r="CB449" s="67"/>
      <c r="CC449" s="67"/>
      <c r="CD449" s="67"/>
      <c r="CE449" s="67"/>
      <c r="CF449" s="67"/>
      <c r="CG449" s="67"/>
      <c r="CH449" s="67"/>
      <c r="CI449" s="67"/>
      <c r="CJ449" s="67"/>
      <c r="CK449" s="67"/>
      <c r="CL449" s="67"/>
      <c r="CM449" s="67"/>
      <c r="CN449" s="67"/>
      <c r="CO449" s="67"/>
      <c r="CP449" s="67"/>
      <c r="CQ449" s="67"/>
      <c r="CR449" s="67"/>
      <c r="CS449" s="67"/>
      <c r="CT449" s="67"/>
      <c r="CU449" s="67"/>
      <c r="CV449" s="67"/>
      <c r="CW449" s="67"/>
      <c r="CX449" s="67"/>
      <c r="CY449" s="67"/>
      <c r="CZ449" s="67"/>
      <c r="DA449" s="67"/>
      <c r="DB449" s="67"/>
      <c r="DC449" s="67"/>
      <c r="DD449" s="67"/>
      <c r="DE449" s="67"/>
      <c r="DF449" s="67"/>
    </row>
    <row r="450">
      <c r="A450" s="62"/>
      <c r="B450" s="88"/>
      <c r="C450" s="88"/>
      <c r="D450" s="88"/>
      <c r="E450" s="90"/>
      <c r="F450" s="91"/>
      <c r="G450" s="49"/>
      <c r="H450" s="70"/>
      <c r="I450" s="88"/>
      <c r="J450" s="88"/>
      <c r="K450" s="88"/>
      <c r="L450" s="90"/>
      <c r="M450" s="91"/>
      <c r="N450" s="49"/>
      <c r="O450" s="71"/>
      <c r="P450" s="92"/>
      <c r="Q450" s="71"/>
      <c r="R450" s="92"/>
      <c r="S450" s="71"/>
      <c r="T450" s="71"/>
      <c r="U450" s="68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29"/>
      <c r="AN450" s="67"/>
      <c r="AO450" s="67"/>
      <c r="AP450" s="67"/>
      <c r="AQ450" s="67"/>
      <c r="AR450" s="67"/>
      <c r="AS450" s="67"/>
      <c r="AT450" s="67"/>
      <c r="AU450" s="67"/>
      <c r="AV450" s="67"/>
      <c r="AW450" s="67"/>
      <c r="AX450" s="67"/>
      <c r="AY450" s="67"/>
      <c r="AZ450" s="67"/>
      <c r="BA450" s="67"/>
      <c r="BB450" s="67"/>
      <c r="BC450" s="67"/>
      <c r="BD450" s="67"/>
      <c r="BE450" s="67"/>
      <c r="BF450" s="67"/>
      <c r="BG450" s="67"/>
      <c r="BH450" s="67"/>
      <c r="BI450" s="67"/>
      <c r="BJ450" s="67"/>
      <c r="BK450" s="67"/>
      <c r="BL450" s="67"/>
      <c r="BM450" s="67"/>
      <c r="BN450" s="67"/>
      <c r="BO450" s="67"/>
      <c r="BP450" s="67"/>
      <c r="BQ450" s="67"/>
      <c r="BR450" s="67"/>
      <c r="BS450" s="67"/>
      <c r="BT450" s="67"/>
      <c r="BU450" s="67"/>
      <c r="BV450" s="67"/>
      <c r="BW450" s="67"/>
      <c r="BX450" s="67"/>
      <c r="BY450" s="67"/>
      <c r="BZ450" s="67"/>
      <c r="CA450" s="67"/>
      <c r="CB450" s="67"/>
      <c r="CC450" s="67"/>
      <c r="CD450" s="67"/>
      <c r="CE450" s="67"/>
      <c r="CF450" s="67"/>
      <c r="CG450" s="67"/>
      <c r="CH450" s="67"/>
      <c r="CI450" s="67"/>
      <c r="CJ450" s="67"/>
      <c r="CK450" s="67"/>
      <c r="CL450" s="67"/>
      <c r="CM450" s="67"/>
      <c r="CN450" s="67"/>
      <c r="CO450" s="67"/>
      <c r="CP450" s="67"/>
      <c r="CQ450" s="67"/>
      <c r="CR450" s="67"/>
      <c r="CS450" s="67"/>
      <c r="CT450" s="67"/>
      <c r="CU450" s="67"/>
      <c r="CV450" s="67"/>
      <c r="CW450" s="67"/>
      <c r="CX450" s="67"/>
      <c r="CY450" s="67"/>
      <c r="CZ450" s="67"/>
      <c r="DA450" s="67"/>
      <c r="DB450" s="67"/>
      <c r="DC450" s="67"/>
      <c r="DD450" s="67"/>
      <c r="DE450" s="67"/>
      <c r="DF450" s="67"/>
    </row>
    <row r="451">
      <c r="A451" s="62"/>
      <c r="B451" s="88"/>
      <c r="C451" s="88"/>
      <c r="D451" s="88"/>
      <c r="E451" s="90"/>
      <c r="F451" s="91"/>
      <c r="G451" s="49"/>
      <c r="H451" s="70"/>
      <c r="I451" s="88"/>
      <c r="J451" s="88"/>
      <c r="K451" s="88"/>
      <c r="L451" s="90"/>
      <c r="M451" s="91"/>
      <c r="N451" s="49"/>
      <c r="O451" s="71"/>
      <c r="P451" s="92"/>
      <c r="Q451" s="71"/>
      <c r="R451" s="92"/>
      <c r="S451" s="71"/>
      <c r="T451" s="71"/>
      <c r="U451" s="68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29"/>
      <c r="AN451" s="67"/>
      <c r="AO451" s="67"/>
      <c r="AP451" s="67"/>
      <c r="AQ451" s="67"/>
      <c r="AR451" s="67"/>
      <c r="AS451" s="67"/>
      <c r="AT451" s="67"/>
      <c r="AU451" s="67"/>
      <c r="AV451" s="67"/>
      <c r="AW451" s="67"/>
      <c r="AX451" s="67"/>
      <c r="AY451" s="67"/>
      <c r="AZ451" s="67"/>
      <c r="BA451" s="67"/>
      <c r="BB451" s="67"/>
      <c r="BC451" s="67"/>
      <c r="BD451" s="67"/>
      <c r="BE451" s="67"/>
      <c r="BF451" s="67"/>
      <c r="BG451" s="67"/>
      <c r="BH451" s="67"/>
      <c r="BI451" s="67"/>
      <c r="BJ451" s="67"/>
      <c r="BK451" s="67"/>
      <c r="BL451" s="67"/>
      <c r="BM451" s="67"/>
      <c r="BN451" s="67"/>
      <c r="BO451" s="67"/>
      <c r="BP451" s="67"/>
      <c r="BQ451" s="67"/>
      <c r="BR451" s="67"/>
      <c r="BS451" s="67"/>
      <c r="BT451" s="67"/>
      <c r="BU451" s="67"/>
      <c r="BV451" s="67"/>
      <c r="BW451" s="67"/>
      <c r="BX451" s="67"/>
      <c r="BY451" s="67"/>
      <c r="BZ451" s="67"/>
      <c r="CA451" s="67"/>
      <c r="CB451" s="67"/>
      <c r="CC451" s="67"/>
      <c r="CD451" s="67"/>
      <c r="CE451" s="67"/>
      <c r="CF451" s="67"/>
      <c r="CG451" s="67"/>
      <c r="CH451" s="67"/>
      <c r="CI451" s="67"/>
      <c r="CJ451" s="67"/>
      <c r="CK451" s="67"/>
      <c r="CL451" s="67"/>
      <c r="CM451" s="67"/>
      <c r="CN451" s="67"/>
      <c r="CO451" s="67"/>
      <c r="CP451" s="67"/>
      <c r="CQ451" s="67"/>
      <c r="CR451" s="67"/>
      <c r="CS451" s="67"/>
      <c r="CT451" s="67"/>
      <c r="CU451" s="67"/>
      <c r="CV451" s="67"/>
      <c r="CW451" s="67"/>
      <c r="CX451" s="67"/>
      <c r="CY451" s="67"/>
      <c r="CZ451" s="67"/>
      <c r="DA451" s="67"/>
      <c r="DB451" s="67"/>
      <c r="DC451" s="67"/>
      <c r="DD451" s="67"/>
      <c r="DE451" s="67"/>
      <c r="DF451" s="67"/>
    </row>
    <row r="452">
      <c r="A452" s="62"/>
      <c r="B452" s="88"/>
      <c r="C452" s="88"/>
      <c r="D452" s="88"/>
      <c r="E452" s="90"/>
      <c r="F452" s="91"/>
      <c r="G452" s="49"/>
      <c r="H452" s="70"/>
      <c r="I452" s="88"/>
      <c r="J452" s="88"/>
      <c r="K452" s="88"/>
      <c r="L452" s="90"/>
      <c r="M452" s="91"/>
      <c r="N452" s="49"/>
      <c r="O452" s="71"/>
      <c r="P452" s="92"/>
      <c r="Q452" s="71"/>
      <c r="R452" s="92"/>
      <c r="S452" s="71"/>
      <c r="T452" s="71"/>
      <c r="U452" s="68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29"/>
      <c r="AN452" s="67"/>
      <c r="AO452" s="67"/>
      <c r="AP452" s="67"/>
      <c r="AQ452" s="67"/>
      <c r="AR452" s="67"/>
      <c r="AS452" s="67"/>
      <c r="AT452" s="67"/>
      <c r="AU452" s="67"/>
      <c r="AV452" s="67"/>
      <c r="AW452" s="67"/>
      <c r="AX452" s="67"/>
      <c r="AY452" s="67"/>
      <c r="AZ452" s="67"/>
      <c r="BA452" s="67"/>
      <c r="BB452" s="67"/>
      <c r="BC452" s="67"/>
      <c r="BD452" s="67"/>
      <c r="BE452" s="67"/>
      <c r="BF452" s="67"/>
      <c r="BG452" s="67"/>
      <c r="BH452" s="67"/>
      <c r="BI452" s="67"/>
      <c r="BJ452" s="67"/>
      <c r="BK452" s="67"/>
      <c r="BL452" s="67"/>
      <c r="BM452" s="67"/>
      <c r="BN452" s="67"/>
      <c r="BO452" s="67"/>
      <c r="BP452" s="67"/>
      <c r="BQ452" s="67"/>
      <c r="BR452" s="67"/>
      <c r="BS452" s="67"/>
      <c r="BT452" s="67"/>
      <c r="BU452" s="67"/>
      <c r="BV452" s="67"/>
      <c r="BW452" s="67"/>
      <c r="BX452" s="67"/>
      <c r="BY452" s="67"/>
      <c r="BZ452" s="67"/>
      <c r="CA452" s="67"/>
      <c r="CB452" s="67"/>
      <c r="CC452" s="67"/>
      <c r="CD452" s="67"/>
      <c r="CE452" s="67"/>
      <c r="CF452" s="67"/>
      <c r="CG452" s="67"/>
      <c r="CH452" s="67"/>
      <c r="CI452" s="67"/>
      <c r="CJ452" s="67"/>
      <c r="CK452" s="67"/>
      <c r="CL452" s="67"/>
      <c r="CM452" s="67"/>
      <c r="CN452" s="67"/>
      <c r="CO452" s="67"/>
      <c r="CP452" s="67"/>
      <c r="CQ452" s="67"/>
      <c r="CR452" s="67"/>
      <c r="CS452" s="67"/>
      <c r="CT452" s="67"/>
      <c r="CU452" s="67"/>
      <c r="CV452" s="67"/>
      <c r="CW452" s="67"/>
      <c r="CX452" s="67"/>
      <c r="CY452" s="67"/>
      <c r="CZ452" s="67"/>
      <c r="DA452" s="67"/>
      <c r="DB452" s="67"/>
      <c r="DC452" s="67"/>
      <c r="DD452" s="67"/>
      <c r="DE452" s="67"/>
      <c r="DF452" s="67"/>
    </row>
    <row r="453">
      <c r="A453" s="62"/>
      <c r="B453" s="88"/>
      <c r="C453" s="88"/>
      <c r="D453" s="88"/>
      <c r="E453" s="90"/>
      <c r="F453" s="91"/>
      <c r="G453" s="49"/>
      <c r="H453" s="70"/>
      <c r="I453" s="88"/>
      <c r="J453" s="88"/>
      <c r="K453" s="88"/>
      <c r="L453" s="90"/>
      <c r="M453" s="91"/>
      <c r="N453" s="49"/>
      <c r="O453" s="71"/>
      <c r="P453" s="92"/>
      <c r="Q453" s="71"/>
      <c r="R453" s="92"/>
      <c r="S453" s="71"/>
      <c r="T453" s="71"/>
      <c r="U453" s="68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29"/>
      <c r="AN453" s="67"/>
      <c r="AO453" s="67"/>
      <c r="AP453" s="67"/>
      <c r="AQ453" s="67"/>
      <c r="AR453" s="67"/>
      <c r="AS453" s="67"/>
      <c r="AT453" s="67"/>
      <c r="AU453" s="67"/>
      <c r="AV453" s="67"/>
      <c r="AW453" s="67"/>
      <c r="AX453" s="67"/>
      <c r="AY453" s="67"/>
      <c r="AZ453" s="67"/>
      <c r="BA453" s="67"/>
      <c r="BB453" s="67"/>
      <c r="BC453" s="67"/>
      <c r="BD453" s="67"/>
      <c r="BE453" s="67"/>
      <c r="BF453" s="67"/>
      <c r="BG453" s="67"/>
      <c r="BH453" s="67"/>
      <c r="BI453" s="67"/>
      <c r="BJ453" s="67"/>
      <c r="BK453" s="67"/>
      <c r="BL453" s="67"/>
      <c r="BM453" s="67"/>
      <c r="BN453" s="67"/>
      <c r="BO453" s="67"/>
      <c r="BP453" s="67"/>
      <c r="BQ453" s="67"/>
      <c r="BR453" s="67"/>
      <c r="BS453" s="67"/>
      <c r="BT453" s="67"/>
      <c r="BU453" s="67"/>
      <c r="BV453" s="67"/>
      <c r="BW453" s="67"/>
      <c r="BX453" s="67"/>
      <c r="BY453" s="67"/>
      <c r="BZ453" s="67"/>
      <c r="CA453" s="67"/>
      <c r="CB453" s="67"/>
      <c r="CC453" s="67"/>
      <c r="CD453" s="67"/>
      <c r="CE453" s="67"/>
      <c r="CF453" s="67"/>
      <c r="CG453" s="67"/>
      <c r="CH453" s="67"/>
      <c r="CI453" s="67"/>
      <c r="CJ453" s="67"/>
      <c r="CK453" s="67"/>
      <c r="CL453" s="67"/>
      <c r="CM453" s="67"/>
      <c r="CN453" s="67"/>
      <c r="CO453" s="67"/>
      <c r="CP453" s="67"/>
      <c r="CQ453" s="67"/>
      <c r="CR453" s="67"/>
      <c r="CS453" s="67"/>
      <c r="CT453" s="67"/>
      <c r="CU453" s="67"/>
      <c r="CV453" s="67"/>
      <c r="CW453" s="67"/>
      <c r="CX453" s="67"/>
      <c r="CY453" s="67"/>
      <c r="CZ453" s="67"/>
      <c r="DA453" s="67"/>
      <c r="DB453" s="67"/>
      <c r="DC453" s="67"/>
      <c r="DD453" s="67"/>
      <c r="DE453" s="67"/>
      <c r="DF453" s="67"/>
    </row>
    <row r="454">
      <c r="A454" s="62"/>
      <c r="B454" s="88"/>
      <c r="C454" s="88"/>
      <c r="D454" s="88"/>
      <c r="E454" s="90"/>
      <c r="F454" s="91"/>
      <c r="G454" s="49"/>
      <c r="H454" s="70"/>
      <c r="I454" s="88"/>
      <c r="J454" s="88"/>
      <c r="K454" s="88"/>
      <c r="L454" s="90"/>
      <c r="M454" s="91"/>
      <c r="N454" s="49"/>
      <c r="O454" s="71"/>
      <c r="P454" s="92"/>
      <c r="Q454" s="71"/>
      <c r="R454" s="92"/>
      <c r="S454" s="71"/>
      <c r="T454" s="71"/>
      <c r="U454" s="68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29"/>
      <c r="AN454" s="67"/>
      <c r="AO454" s="67"/>
      <c r="AP454" s="67"/>
      <c r="AQ454" s="67"/>
      <c r="AR454" s="67"/>
      <c r="AS454" s="67"/>
      <c r="AT454" s="67"/>
      <c r="AU454" s="67"/>
      <c r="AV454" s="67"/>
      <c r="AW454" s="67"/>
      <c r="AX454" s="67"/>
      <c r="AY454" s="67"/>
      <c r="AZ454" s="67"/>
      <c r="BA454" s="67"/>
      <c r="BB454" s="67"/>
      <c r="BC454" s="67"/>
      <c r="BD454" s="67"/>
      <c r="BE454" s="67"/>
      <c r="BF454" s="67"/>
      <c r="BG454" s="67"/>
      <c r="BH454" s="67"/>
      <c r="BI454" s="67"/>
      <c r="BJ454" s="67"/>
      <c r="BK454" s="67"/>
      <c r="BL454" s="67"/>
      <c r="BM454" s="67"/>
      <c r="BN454" s="67"/>
      <c r="BO454" s="67"/>
      <c r="BP454" s="67"/>
      <c r="BQ454" s="67"/>
      <c r="BR454" s="67"/>
      <c r="BS454" s="67"/>
      <c r="BT454" s="67"/>
      <c r="BU454" s="67"/>
      <c r="BV454" s="67"/>
      <c r="BW454" s="67"/>
      <c r="BX454" s="67"/>
      <c r="BY454" s="67"/>
      <c r="BZ454" s="67"/>
      <c r="CA454" s="67"/>
      <c r="CB454" s="67"/>
      <c r="CC454" s="67"/>
      <c r="CD454" s="67"/>
      <c r="CE454" s="67"/>
      <c r="CF454" s="67"/>
      <c r="CG454" s="67"/>
      <c r="CH454" s="67"/>
      <c r="CI454" s="67"/>
      <c r="CJ454" s="67"/>
      <c r="CK454" s="67"/>
      <c r="CL454" s="67"/>
      <c r="CM454" s="67"/>
      <c r="CN454" s="67"/>
      <c r="CO454" s="67"/>
      <c r="CP454" s="67"/>
      <c r="CQ454" s="67"/>
      <c r="CR454" s="67"/>
      <c r="CS454" s="67"/>
      <c r="CT454" s="67"/>
      <c r="CU454" s="67"/>
      <c r="CV454" s="67"/>
      <c r="CW454" s="67"/>
      <c r="CX454" s="67"/>
      <c r="CY454" s="67"/>
      <c r="CZ454" s="67"/>
      <c r="DA454" s="67"/>
      <c r="DB454" s="67"/>
      <c r="DC454" s="67"/>
      <c r="DD454" s="67"/>
      <c r="DE454" s="67"/>
      <c r="DF454" s="67"/>
    </row>
    <row r="455">
      <c r="A455" s="62"/>
      <c r="B455" s="88"/>
      <c r="C455" s="88"/>
      <c r="D455" s="88"/>
      <c r="E455" s="90"/>
      <c r="F455" s="91"/>
      <c r="G455" s="49"/>
      <c r="H455" s="70"/>
      <c r="I455" s="88"/>
      <c r="J455" s="88"/>
      <c r="K455" s="88"/>
      <c r="L455" s="90"/>
      <c r="M455" s="91"/>
      <c r="N455" s="49"/>
      <c r="O455" s="71"/>
      <c r="P455" s="92"/>
      <c r="Q455" s="71"/>
      <c r="R455" s="92"/>
      <c r="S455" s="71"/>
      <c r="T455" s="71"/>
      <c r="U455" s="68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29"/>
      <c r="AN455" s="67"/>
      <c r="AO455" s="67"/>
      <c r="AP455" s="67"/>
      <c r="AQ455" s="67"/>
      <c r="AR455" s="67"/>
      <c r="AS455" s="67"/>
      <c r="AT455" s="67"/>
      <c r="AU455" s="67"/>
      <c r="AV455" s="67"/>
      <c r="AW455" s="67"/>
      <c r="AX455" s="67"/>
      <c r="AY455" s="67"/>
      <c r="AZ455" s="67"/>
      <c r="BA455" s="67"/>
      <c r="BB455" s="67"/>
      <c r="BC455" s="67"/>
      <c r="BD455" s="67"/>
      <c r="BE455" s="67"/>
      <c r="BF455" s="67"/>
      <c r="BG455" s="67"/>
      <c r="BH455" s="67"/>
      <c r="BI455" s="67"/>
      <c r="BJ455" s="67"/>
      <c r="BK455" s="67"/>
      <c r="BL455" s="67"/>
      <c r="BM455" s="67"/>
      <c r="BN455" s="67"/>
      <c r="BO455" s="67"/>
      <c r="BP455" s="67"/>
      <c r="BQ455" s="67"/>
      <c r="BR455" s="67"/>
      <c r="BS455" s="67"/>
      <c r="BT455" s="67"/>
      <c r="BU455" s="67"/>
      <c r="BV455" s="67"/>
      <c r="BW455" s="67"/>
      <c r="BX455" s="67"/>
      <c r="BY455" s="67"/>
      <c r="BZ455" s="67"/>
      <c r="CA455" s="67"/>
      <c r="CB455" s="67"/>
      <c r="CC455" s="67"/>
      <c r="CD455" s="67"/>
      <c r="CE455" s="67"/>
      <c r="CF455" s="67"/>
      <c r="CG455" s="67"/>
      <c r="CH455" s="67"/>
      <c r="CI455" s="67"/>
      <c r="CJ455" s="67"/>
      <c r="CK455" s="67"/>
      <c r="CL455" s="67"/>
      <c r="CM455" s="67"/>
      <c r="CN455" s="67"/>
      <c r="CO455" s="67"/>
      <c r="CP455" s="67"/>
      <c r="CQ455" s="67"/>
      <c r="CR455" s="67"/>
      <c r="CS455" s="67"/>
      <c r="CT455" s="67"/>
      <c r="CU455" s="67"/>
      <c r="CV455" s="67"/>
      <c r="CW455" s="67"/>
      <c r="CX455" s="67"/>
      <c r="CY455" s="67"/>
      <c r="CZ455" s="67"/>
      <c r="DA455" s="67"/>
      <c r="DB455" s="67"/>
      <c r="DC455" s="67"/>
      <c r="DD455" s="67"/>
      <c r="DE455" s="67"/>
      <c r="DF455" s="67"/>
    </row>
    <row r="456">
      <c r="A456" s="62"/>
      <c r="B456" s="88"/>
      <c r="C456" s="88"/>
      <c r="D456" s="88"/>
      <c r="E456" s="90"/>
      <c r="F456" s="91"/>
      <c r="G456" s="49"/>
      <c r="H456" s="70"/>
      <c r="I456" s="88"/>
      <c r="J456" s="88"/>
      <c r="K456" s="88"/>
      <c r="L456" s="90"/>
      <c r="M456" s="91"/>
      <c r="N456" s="49"/>
      <c r="O456" s="71"/>
      <c r="P456" s="92"/>
      <c r="Q456" s="71"/>
      <c r="R456" s="92"/>
      <c r="S456" s="71"/>
      <c r="T456" s="71"/>
      <c r="U456" s="68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29"/>
      <c r="AN456" s="67"/>
      <c r="AO456" s="67"/>
      <c r="AP456" s="67"/>
      <c r="AQ456" s="67"/>
      <c r="AR456" s="67"/>
      <c r="AS456" s="67"/>
      <c r="AT456" s="67"/>
      <c r="AU456" s="67"/>
      <c r="AV456" s="67"/>
      <c r="AW456" s="67"/>
      <c r="AX456" s="67"/>
      <c r="AY456" s="67"/>
      <c r="AZ456" s="67"/>
      <c r="BA456" s="67"/>
      <c r="BB456" s="67"/>
      <c r="BC456" s="67"/>
      <c r="BD456" s="67"/>
      <c r="BE456" s="67"/>
      <c r="BF456" s="67"/>
      <c r="BG456" s="67"/>
      <c r="BH456" s="67"/>
      <c r="BI456" s="67"/>
      <c r="BJ456" s="67"/>
      <c r="BK456" s="67"/>
      <c r="BL456" s="67"/>
      <c r="BM456" s="67"/>
      <c r="BN456" s="67"/>
      <c r="BO456" s="67"/>
      <c r="BP456" s="67"/>
      <c r="BQ456" s="67"/>
      <c r="BR456" s="67"/>
      <c r="BS456" s="67"/>
      <c r="BT456" s="67"/>
      <c r="BU456" s="67"/>
      <c r="BV456" s="67"/>
      <c r="BW456" s="67"/>
      <c r="BX456" s="67"/>
      <c r="BY456" s="67"/>
      <c r="BZ456" s="67"/>
      <c r="CA456" s="67"/>
      <c r="CB456" s="67"/>
      <c r="CC456" s="67"/>
      <c r="CD456" s="67"/>
      <c r="CE456" s="67"/>
      <c r="CF456" s="67"/>
      <c r="CG456" s="67"/>
      <c r="CH456" s="67"/>
      <c r="CI456" s="67"/>
      <c r="CJ456" s="67"/>
      <c r="CK456" s="67"/>
      <c r="CL456" s="67"/>
      <c r="CM456" s="67"/>
      <c r="CN456" s="67"/>
      <c r="CO456" s="67"/>
      <c r="CP456" s="67"/>
      <c r="CQ456" s="67"/>
      <c r="CR456" s="67"/>
      <c r="CS456" s="67"/>
      <c r="CT456" s="67"/>
      <c r="CU456" s="67"/>
      <c r="CV456" s="67"/>
      <c r="CW456" s="67"/>
      <c r="CX456" s="67"/>
      <c r="CY456" s="67"/>
      <c r="CZ456" s="67"/>
      <c r="DA456" s="67"/>
      <c r="DB456" s="67"/>
      <c r="DC456" s="67"/>
      <c r="DD456" s="67"/>
      <c r="DE456" s="67"/>
      <c r="DF456" s="67"/>
    </row>
    <row r="457">
      <c r="A457" s="62"/>
      <c r="B457" s="88"/>
      <c r="C457" s="88"/>
      <c r="D457" s="88"/>
      <c r="E457" s="90"/>
      <c r="F457" s="91"/>
      <c r="G457" s="49"/>
      <c r="H457" s="70"/>
      <c r="I457" s="88"/>
      <c r="J457" s="88"/>
      <c r="K457" s="88"/>
      <c r="L457" s="90"/>
      <c r="M457" s="91"/>
      <c r="N457" s="49"/>
      <c r="O457" s="71"/>
      <c r="P457" s="92"/>
      <c r="Q457" s="71"/>
      <c r="R457" s="92"/>
      <c r="S457" s="71"/>
      <c r="T457" s="71"/>
      <c r="U457" s="68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29"/>
      <c r="AN457" s="67"/>
      <c r="AO457" s="67"/>
      <c r="AP457" s="67"/>
      <c r="AQ457" s="67"/>
      <c r="AR457" s="67"/>
      <c r="AS457" s="67"/>
      <c r="AT457" s="67"/>
      <c r="AU457" s="67"/>
      <c r="AV457" s="67"/>
      <c r="AW457" s="67"/>
      <c r="AX457" s="67"/>
      <c r="AY457" s="67"/>
      <c r="AZ457" s="67"/>
      <c r="BA457" s="67"/>
      <c r="BB457" s="67"/>
      <c r="BC457" s="67"/>
      <c r="BD457" s="67"/>
      <c r="BE457" s="67"/>
      <c r="BF457" s="67"/>
      <c r="BG457" s="67"/>
      <c r="BH457" s="67"/>
      <c r="BI457" s="67"/>
      <c r="BJ457" s="67"/>
      <c r="BK457" s="67"/>
      <c r="BL457" s="67"/>
      <c r="BM457" s="67"/>
      <c r="BN457" s="67"/>
      <c r="BO457" s="67"/>
      <c r="BP457" s="67"/>
      <c r="BQ457" s="67"/>
      <c r="BR457" s="67"/>
      <c r="BS457" s="67"/>
      <c r="BT457" s="67"/>
      <c r="BU457" s="67"/>
      <c r="BV457" s="67"/>
      <c r="BW457" s="67"/>
      <c r="BX457" s="67"/>
      <c r="BY457" s="67"/>
      <c r="BZ457" s="67"/>
      <c r="CA457" s="67"/>
      <c r="CB457" s="67"/>
      <c r="CC457" s="67"/>
      <c r="CD457" s="67"/>
      <c r="CE457" s="67"/>
      <c r="CF457" s="67"/>
      <c r="CG457" s="67"/>
      <c r="CH457" s="67"/>
      <c r="CI457" s="67"/>
      <c r="CJ457" s="67"/>
      <c r="CK457" s="67"/>
      <c r="CL457" s="67"/>
      <c r="CM457" s="67"/>
      <c r="CN457" s="67"/>
      <c r="CO457" s="67"/>
      <c r="CP457" s="67"/>
      <c r="CQ457" s="67"/>
      <c r="CR457" s="67"/>
      <c r="CS457" s="67"/>
      <c r="CT457" s="67"/>
      <c r="CU457" s="67"/>
      <c r="CV457" s="67"/>
      <c r="CW457" s="67"/>
      <c r="CX457" s="67"/>
      <c r="CY457" s="67"/>
      <c r="CZ457" s="67"/>
      <c r="DA457" s="67"/>
      <c r="DB457" s="67"/>
      <c r="DC457" s="67"/>
      <c r="DD457" s="67"/>
      <c r="DE457" s="67"/>
      <c r="DF457" s="67"/>
    </row>
    <row r="458">
      <c r="A458" s="62"/>
      <c r="B458" s="88"/>
      <c r="C458" s="88"/>
      <c r="D458" s="88"/>
      <c r="E458" s="90"/>
      <c r="F458" s="91"/>
      <c r="G458" s="49"/>
      <c r="H458" s="70"/>
      <c r="I458" s="88"/>
      <c r="J458" s="88"/>
      <c r="K458" s="88"/>
      <c r="L458" s="90"/>
      <c r="M458" s="91"/>
      <c r="N458" s="49"/>
      <c r="O458" s="71"/>
      <c r="P458" s="92"/>
      <c r="Q458" s="71"/>
      <c r="R458" s="92"/>
      <c r="S458" s="71"/>
      <c r="T458" s="71"/>
      <c r="U458" s="68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29"/>
      <c r="AN458" s="67"/>
      <c r="AO458" s="67"/>
      <c r="AP458" s="67"/>
      <c r="AQ458" s="67"/>
      <c r="AR458" s="67"/>
      <c r="AS458" s="67"/>
      <c r="AT458" s="67"/>
      <c r="AU458" s="67"/>
      <c r="AV458" s="67"/>
      <c r="AW458" s="67"/>
      <c r="AX458" s="67"/>
      <c r="AY458" s="67"/>
      <c r="AZ458" s="67"/>
      <c r="BA458" s="67"/>
      <c r="BB458" s="67"/>
      <c r="BC458" s="67"/>
      <c r="BD458" s="67"/>
      <c r="BE458" s="67"/>
      <c r="BF458" s="67"/>
      <c r="BG458" s="67"/>
      <c r="BH458" s="67"/>
      <c r="BI458" s="67"/>
      <c r="BJ458" s="67"/>
      <c r="BK458" s="67"/>
      <c r="BL458" s="67"/>
      <c r="BM458" s="67"/>
      <c r="BN458" s="67"/>
      <c r="BO458" s="67"/>
      <c r="BP458" s="67"/>
      <c r="BQ458" s="67"/>
      <c r="BR458" s="67"/>
      <c r="BS458" s="67"/>
      <c r="BT458" s="67"/>
      <c r="BU458" s="67"/>
      <c r="BV458" s="67"/>
      <c r="BW458" s="67"/>
      <c r="BX458" s="67"/>
      <c r="BY458" s="67"/>
      <c r="BZ458" s="67"/>
      <c r="CA458" s="67"/>
      <c r="CB458" s="67"/>
      <c r="CC458" s="67"/>
      <c r="CD458" s="67"/>
      <c r="CE458" s="67"/>
      <c r="CF458" s="67"/>
      <c r="CG458" s="67"/>
      <c r="CH458" s="67"/>
      <c r="CI458" s="67"/>
      <c r="CJ458" s="67"/>
      <c r="CK458" s="67"/>
      <c r="CL458" s="67"/>
      <c r="CM458" s="67"/>
      <c r="CN458" s="67"/>
      <c r="CO458" s="67"/>
      <c r="CP458" s="67"/>
      <c r="CQ458" s="67"/>
      <c r="CR458" s="67"/>
      <c r="CS458" s="67"/>
      <c r="CT458" s="67"/>
      <c r="CU458" s="67"/>
      <c r="CV458" s="67"/>
      <c r="CW458" s="67"/>
      <c r="CX458" s="67"/>
      <c r="CY458" s="67"/>
      <c r="CZ458" s="67"/>
      <c r="DA458" s="67"/>
      <c r="DB458" s="67"/>
      <c r="DC458" s="67"/>
      <c r="DD458" s="67"/>
      <c r="DE458" s="67"/>
      <c r="DF458" s="67"/>
    </row>
    <row r="459">
      <c r="A459" s="62"/>
      <c r="B459" s="88"/>
      <c r="C459" s="88"/>
      <c r="D459" s="88"/>
      <c r="E459" s="90"/>
      <c r="F459" s="91"/>
      <c r="G459" s="49"/>
      <c r="H459" s="70"/>
      <c r="I459" s="88"/>
      <c r="J459" s="88"/>
      <c r="K459" s="88"/>
      <c r="L459" s="90"/>
      <c r="M459" s="91"/>
      <c r="N459" s="49"/>
      <c r="O459" s="71"/>
      <c r="P459" s="92"/>
      <c r="Q459" s="71"/>
      <c r="R459" s="92"/>
      <c r="S459" s="71"/>
      <c r="T459" s="71"/>
      <c r="U459" s="68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29"/>
      <c r="AN459" s="67"/>
      <c r="AO459" s="67"/>
      <c r="AP459" s="67"/>
      <c r="AQ459" s="67"/>
      <c r="AR459" s="67"/>
      <c r="AS459" s="67"/>
      <c r="AT459" s="67"/>
      <c r="AU459" s="67"/>
      <c r="AV459" s="67"/>
      <c r="AW459" s="67"/>
      <c r="AX459" s="67"/>
      <c r="AY459" s="67"/>
      <c r="AZ459" s="67"/>
      <c r="BA459" s="67"/>
      <c r="BB459" s="67"/>
      <c r="BC459" s="67"/>
      <c r="BD459" s="67"/>
      <c r="BE459" s="67"/>
      <c r="BF459" s="67"/>
      <c r="BG459" s="67"/>
      <c r="BH459" s="67"/>
      <c r="BI459" s="67"/>
      <c r="BJ459" s="67"/>
      <c r="BK459" s="67"/>
      <c r="BL459" s="67"/>
      <c r="BM459" s="67"/>
      <c r="BN459" s="67"/>
      <c r="BO459" s="67"/>
      <c r="BP459" s="67"/>
      <c r="BQ459" s="67"/>
      <c r="BR459" s="67"/>
      <c r="BS459" s="67"/>
      <c r="BT459" s="67"/>
      <c r="BU459" s="67"/>
      <c r="BV459" s="67"/>
      <c r="BW459" s="67"/>
      <c r="BX459" s="67"/>
      <c r="BY459" s="67"/>
      <c r="BZ459" s="67"/>
      <c r="CA459" s="67"/>
      <c r="CB459" s="67"/>
      <c r="CC459" s="67"/>
      <c r="CD459" s="67"/>
      <c r="CE459" s="67"/>
      <c r="CF459" s="67"/>
      <c r="CG459" s="67"/>
      <c r="CH459" s="67"/>
      <c r="CI459" s="67"/>
      <c r="CJ459" s="67"/>
      <c r="CK459" s="67"/>
      <c r="CL459" s="67"/>
      <c r="CM459" s="67"/>
      <c r="CN459" s="67"/>
      <c r="CO459" s="67"/>
      <c r="CP459" s="67"/>
      <c r="CQ459" s="67"/>
      <c r="CR459" s="67"/>
      <c r="CS459" s="67"/>
      <c r="CT459" s="67"/>
      <c r="CU459" s="67"/>
      <c r="CV459" s="67"/>
      <c r="CW459" s="67"/>
      <c r="CX459" s="67"/>
      <c r="CY459" s="67"/>
      <c r="CZ459" s="67"/>
      <c r="DA459" s="67"/>
      <c r="DB459" s="67"/>
      <c r="DC459" s="67"/>
      <c r="DD459" s="67"/>
      <c r="DE459" s="67"/>
      <c r="DF459" s="67"/>
    </row>
    <row r="460">
      <c r="A460" s="62"/>
      <c r="B460" s="88"/>
      <c r="C460" s="88"/>
      <c r="D460" s="88"/>
      <c r="E460" s="90"/>
      <c r="F460" s="91"/>
      <c r="G460" s="49"/>
      <c r="H460" s="70"/>
      <c r="I460" s="88"/>
      <c r="J460" s="88"/>
      <c r="K460" s="88"/>
      <c r="L460" s="90"/>
      <c r="M460" s="91"/>
      <c r="N460" s="49"/>
      <c r="O460" s="71"/>
      <c r="P460" s="92"/>
      <c r="Q460" s="71"/>
      <c r="R460" s="92"/>
      <c r="S460" s="71"/>
      <c r="T460" s="71"/>
      <c r="U460" s="68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29"/>
      <c r="AN460" s="67"/>
      <c r="AO460" s="67"/>
      <c r="AP460" s="67"/>
      <c r="AQ460" s="67"/>
      <c r="AR460" s="67"/>
      <c r="AS460" s="67"/>
      <c r="AT460" s="67"/>
      <c r="AU460" s="67"/>
      <c r="AV460" s="67"/>
      <c r="AW460" s="67"/>
      <c r="AX460" s="67"/>
      <c r="AY460" s="67"/>
      <c r="AZ460" s="67"/>
      <c r="BA460" s="67"/>
      <c r="BB460" s="67"/>
      <c r="BC460" s="67"/>
      <c r="BD460" s="67"/>
      <c r="BE460" s="67"/>
      <c r="BF460" s="67"/>
      <c r="BG460" s="67"/>
      <c r="BH460" s="67"/>
      <c r="BI460" s="67"/>
      <c r="BJ460" s="67"/>
      <c r="BK460" s="67"/>
      <c r="BL460" s="67"/>
      <c r="BM460" s="67"/>
      <c r="BN460" s="67"/>
      <c r="BO460" s="67"/>
      <c r="BP460" s="67"/>
      <c r="BQ460" s="67"/>
      <c r="BR460" s="67"/>
      <c r="BS460" s="67"/>
      <c r="BT460" s="67"/>
      <c r="BU460" s="67"/>
      <c r="BV460" s="67"/>
      <c r="BW460" s="67"/>
      <c r="BX460" s="67"/>
      <c r="BY460" s="67"/>
      <c r="BZ460" s="67"/>
      <c r="CA460" s="67"/>
      <c r="CB460" s="67"/>
      <c r="CC460" s="67"/>
      <c r="CD460" s="67"/>
      <c r="CE460" s="67"/>
      <c r="CF460" s="67"/>
      <c r="CG460" s="67"/>
      <c r="CH460" s="67"/>
      <c r="CI460" s="67"/>
      <c r="CJ460" s="67"/>
      <c r="CK460" s="67"/>
      <c r="CL460" s="67"/>
      <c r="CM460" s="67"/>
      <c r="CN460" s="67"/>
      <c r="CO460" s="67"/>
      <c r="CP460" s="67"/>
      <c r="CQ460" s="67"/>
      <c r="CR460" s="67"/>
      <c r="CS460" s="67"/>
      <c r="CT460" s="67"/>
      <c r="CU460" s="67"/>
      <c r="CV460" s="67"/>
      <c r="CW460" s="67"/>
      <c r="CX460" s="67"/>
      <c r="CY460" s="67"/>
      <c r="CZ460" s="67"/>
      <c r="DA460" s="67"/>
      <c r="DB460" s="67"/>
      <c r="DC460" s="67"/>
      <c r="DD460" s="67"/>
      <c r="DE460" s="67"/>
      <c r="DF460" s="67"/>
    </row>
    <row r="461">
      <c r="A461" s="62"/>
      <c r="B461" s="88"/>
      <c r="C461" s="88"/>
      <c r="D461" s="88"/>
      <c r="E461" s="90"/>
      <c r="F461" s="91"/>
      <c r="G461" s="49"/>
      <c r="H461" s="70"/>
      <c r="I461" s="88"/>
      <c r="J461" s="88"/>
      <c r="K461" s="88"/>
      <c r="L461" s="90"/>
      <c r="M461" s="91"/>
      <c r="N461" s="49"/>
      <c r="O461" s="71"/>
      <c r="P461" s="92"/>
      <c r="Q461" s="71"/>
      <c r="R461" s="92"/>
      <c r="S461" s="71"/>
      <c r="T461" s="71"/>
      <c r="U461" s="68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29"/>
      <c r="AN461" s="67"/>
      <c r="AO461" s="67"/>
      <c r="AP461" s="67"/>
      <c r="AQ461" s="67"/>
      <c r="AR461" s="67"/>
      <c r="AS461" s="67"/>
      <c r="AT461" s="67"/>
      <c r="AU461" s="67"/>
      <c r="AV461" s="67"/>
      <c r="AW461" s="67"/>
      <c r="AX461" s="67"/>
      <c r="AY461" s="67"/>
      <c r="AZ461" s="67"/>
      <c r="BA461" s="67"/>
      <c r="BB461" s="67"/>
      <c r="BC461" s="67"/>
      <c r="BD461" s="67"/>
      <c r="BE461" s="67"/>
      <c r="BF461" s="67"/>
      <c r="BG461" s="67"/>
      <c r="BH461" s="67"/>
      <c r="BI461" s="67"/>
      <c r="BJ461" s="67"/>
      <c r="BK461" s="67"/>
      <c r="BL461" s="67"/>
      <c r="BM461" s="67"/>
      <c r="BN461" s="67"/>
      <c r="BO461" s="67"/>
      <c r="BP461" s="67"/>
      <c r="BQ461" s="67"/>
      <c r="BR461" s="67"/>
      <c r="BS461" s="67"/>
      <c r="BT461" s="67"/>
      <c r="BU461" s="67"/>
      <c r="BV461" s="67"/>
      <c r="BW461" s="67"/>
      <c r="BX461" s="67"/>
      <c r="BY461" s="67"/>
      <c r="BZ461" s="67"/>
      <c r="CA461" s="67"/>
      <c r="CB461" s="67"/>
      <c r="CC461" s="67"/>
      <c r="CD461" s="67"/>
      <c r="CE461" s="67"/>
      <c r="CF461" s="67"/>
      <c r="CG461" s="67"/>
      <c r="CH461" s="67"/>
      <c r="CI461" s="67"/>
      <c r="CJ461" s="67"/>
      <c r="CK461" s="67"/>
      <c r="CL461" s="67"/>
      <c r="CM461" s="67"/>
      <c r="CN461" s="67"/>
      <c r="CO461" s="67"/>
      <c r="CP461" s="67"/>
      <c r="CQ461" s="67"/>
      <c r="CR461" s="67"/>
      <c r="CS461" s="67"/>
      <c r="CT461" s="67"/>
      <c r="CU461" s="67"/>
      <c r="CV461" s="67"/>
      <c r="CW461" s="67"/>
      <c r="CX461" s="67"/>
      <c r="CY461" s="67"/>
      <c r="CZ461" s="67"/>
      <c r="DA461" s="67"/>
      <c r="DB461" s="67"/>
      <c r="DC461" s="67"/>
      <c r="DD461" s="67"/>
      <c r="DE461" s="67"/>
      <c r="DF461" s="67"/>
    </row>
    <row r="462">
      <c r="A462" s="62"/>
      <c r="B462" s="88"/>
      <c r="C462" s="88"/>
      <c r="D462" s="88"/>
      <c r="E462" s="90"/>
      <c r="F462" s="91"/>
      <c r="G462" s="49"/>
      <c r="H462" s="70"/>
      <c r="I462" s="88"/>
      <c r="J462" s="88"/>
      <c r="K462" s="88"/>
      <c r="L462" s="90"/>
      <c r="M462" s="91"/>
      <c r="N462" s="49"/>
      <c r="O462" s="71"/>
      <c r="P462" s="92"/>
      <c r="Q462" s="71"/>
      <c r="R462" s="92"/>
      <c r="S462" s="71"/>
      <c r="T462" s="71"/>
      <c r="U462" s="68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29"/>
      <c r="AN462" s="67"/>
      <c r="AO462" s="67"/>
      <c r="AP462" s="67"/>
      <c r="AQ462" s="67"/>
      <c r="AR462" s="67"/>
      <c r="AS462" s="67"/>
      <c r="AT462" s="67"/>
      <c r="AU462" s="67"/>
      <c r="AV462" s="67"/>
      <c r="AW462" s="67"/>
      <c r="AX462" s="67"/>
      <c r="AY462" s="67"/>
      <c r="AZ462" s="67"/>
      <c r="BA462" s="67"/>
      <c r="BB462" s="67"/>
      <c r="BC462" s="67"/>
      <c r="BD462" s="67"/>
      <c r="BE462" s="67"/>
      <c r="BF462" s="67"/>
      <c r="BG462" s="67"/>
      <c r="BH462" s="67"/>
      <c r="BI462" s="67"/>
      <c r="BJ462" s="67"/>
      <c r="BK462" s="67"/>
      <c r="BL462" s="67"/>
      <c r="BM462" s="67"/>
      <c r="BN462" s="67"/>
      <c r="BO462" s="67"/>
      <c r="BP462" s="67"/>
      <c r="BQ462" s="67"/>
      <c r="BR462" s="67"/>
      <c r="BS462" s="67"/>
      <c r="BT462" s="67"/>
      <c r="BU462" s="67"/>
      <c r="BV462" s="67"/>
      <c r="BW462" s="67"/>
      <c r="BX462" s="67"/>
      <c r="BY462" s="67"/>
      <c r="BZ462" s="67"/>
      <c r="CA462" s="67"/>
      <c r="CB462" s="67"/>
      <c r="CC462" s="67"/>
      <c r="CD462" s="67"/>
      <c r="CE462" s="67"/>
      <c r="CF462" s="67"/>
      <c r="CG462" s="67"/>
      <c r="CH462" s="67"/>
      <c r="CI462" s="67"/>
      <c r="CJ462" s="67"/>
      <c r="CK462" s="67"/>
      <c r="CL462" s="67"/>
      <c r="CM462" s="67"/>
      <c r="CN462" s="67"/>
      <c r="CO462" s="67"/>
      <c r="CP462" s="67"/>
      <c r="CQ462" s="67"/>
      <c r="CR462" s="67"/>
      <c r="CS462" s="67"/>
      <c r="CT462" s="67"/>
      <c r="CU462" s="67"/>
      <c r="CV462" s="67"/>
      <c r="CW462" s="67"/>
      <c r="CX462" s="67"/>
      <c r="CY462" s="67"/>
      <c r="CZ462" s="67"/>
      <c r="DA462" s="67"/>
      <c r="DB462" s="67"/>
      <c r="DC462" s="67"/>
      <c r="DD462" s="67"/>
      <c r="DE462" s="67"/>
      <c r="DF462" s="67"/>
    </row>
    <row r="463">
      <c r="A463" s="62"/>
      <c r="B463" s="88"/>
      <c r="C463" s="88"/>
      <c r="D463" s="88"/>
      <c r="E463" s="90"/>
      <c r="F463" s="91"/>
      <c r="G463" s="49"/>
      <c r="H463" s="70"/>
      <c r="I463" s="88"/>
      <c r="J463" s="88"/>
      <c r="K463" s="88"/>
      <c r="L463" s="90"/>
      <c r="M463" s="91"/>
      <c r="N463" s="49"/>
      <c r="O463" s="71"/>
      <c r="P463" s="92"/>
      <c r="Q463" s="71"/>
      <c r="R463" s="92"/>
      <c r="S463" s="71"/>
      <c r="T463" s="71"/>
      <c r="U463" s="68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29"/>
      <c r="AN463" s="67"/>
      <c r="AO463" s="67"/>
      <c r="AP463" s="67"/>
      <c r="AQ463" s="67"/>
      <c r="AR463" s="67"/>
      <c r="AS463" s="67"/>
      <c r="AT463" s="67"/>
      <c r="AU463" s="67"/>
      <c r="AV463" s="67"/>
      <c r="AW463" s="67"/>
      <c r="AX463" s="67"/>
      <c r="AY463" s="67"/>
      <c r="AZ463" s="67"/>
      <c r="BA463" s="67"/>
      <c r="BB463" s="67"/>
      <c r="BC463" s="67"/>
      <c r="BD463" s="67"/>
      <c r="BE463" s="67"/>
      <c r="BF463" s="67"/>
      <c r="BG463" s="67"/>
      <c r="BH463" s="67"/>
      <c r="BI463" s="67"/>
      <c r="BJ463" s="67"/>
      <c r="BK463" s="67"/>
      <c r="BL463" s="67"/>
      <c r="BM463" s="67"/>
      <c r="BN463" s="67"/>
      <c r="BO463" s="67"/>
      <c r="BP463" s="67"/>
      <c r="BQ463" s="67"/>
      <c r="BR463" s="67"/>
      <c r="BS463" s="67"/>
      <c r="BT463" s="67"/>
      <c r="BU463" s="67"/>
      <c r="BV463" s="67"/>
      <c r="BW463" s="67"/>
      <c r="BX463" s="67"/>
      <c r="BY463" s="67"/>
      <c r="BZ463" s="67"/>
      <c r="CA463" s="67"/>
      <c r="CB463" s="67"/>
      <c r="CC463" s="67"/>
      <c r="CD463" s="67"/>
      <c r="CE463" s="67"/>
      <c r="CF463" s="67"/>
      <c r="CG463" s="67"/>
      <c r="CH463" s="67"/>
      <c r="CI463" s="67"/>
      <c r="CJ463" s="67"/>
      <c r="CK463" s="67"/>
      <c r="CL463" s="67"/>
      <c r="CM463" s="67"/>
      <c r="CN463" s="67"/>
      <c r="CO463" s="67"/>
      <c r="CP463" s="67"/>
      <c r="CQ463" s="67"/>
      <c r="CR463" s="67"/>
      <c r="CS463" s="67"/>
      <c r="CT463" s="67"/>
      <c r="CU463" s="67"/>
      <c r="CV463" s="67"/>
      <c r="CW463" s="67"/>
      <c r="CX463" s="67"/>
      <c r="CY463" s="67"/>
      <c r="CZ463" s="67"/>
      <c r="DA463" s="67"/>
      <c r="DB463" s="67"/>
      <c r="DC463" s="67"/>
      <c r="DD463" s="67"/>
      <c r="DE463" s="67"/>
      <c r="DF463" s="67"/>
    </row>
    <row r="464">
      <c r="A464" s="62"/>
      <c r="B464" s="88"/>
      <c r="C464" s="88"/>
      <c r="D464" s="88"/>
      <c r="E464" s="90"/>
      <c r="F464" s="91"/>
      <c r="G464" s="49"/>
      <c r="H464" s="70"/>
      <c r="I464" s="88"/>
      <c r="J464" s="88"/>
      <c r="K464" s="88"/>
      <c r="L464" s="90"/>
      <c r="M464" s="91"/>
      <c r="N464" s="49"/>
      <c r="O464" s="71"/>
      <c r="P464" s="92"/>
      <c r="Q464" s="71"/>
      <c r="R464" s="92"/>
      <c r="S464" s="71"/>
      <c r="T464" s="71"/>
      <c r="U464" s="68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29"/>
      <c r="AN464" s="67"/>
      <c r="AO464" s="67"/>
      <c r="AP464" s="67"/>
      <c r="AQ464" s="67"/>
      <c r="AR464" s="67"/>
      <c r="AS464" s="67"/>
      <c r="AT464" s="67"/>
      <c r="AU464" s="67"/>
      <c r="AV464" s="67"/>
      <c r="AW464" s="67"/>
      <c r="AX464" s="67"/>
      <c r="AY464" s="67"/>
      <c r="AZ464" s="67"/>
      <c r="BA464" s="67"/>
      <c r="BB464" s="67"/>
      <c r="BC464" s="67"/>
      <c r="BD464" s="67"/>
      <c r="BE464" s="67"/>
      <c r="BF464" s="67"/>
      <c r="BG464" s="67"/>
      <c r="BH464" s="67"/>
      <c r="BI464" s="67"/>
      <c r="BJ464" s="67"/>
      <c r="BK464" s="67"/>
      <c r="BL464" s="67"/>
      <c r="BM464" s="67"/>
      <c r="BN464" s="67"/>
      <c r="BO464" s="67"/>
      <c r="BP464" s="67"/>
      <c r="BQ464" s="67"/>
      <c r="BR464" s="67"/>
      <c r="BS464" s="67"/>
      <c r="BT464" s="67"/>
      <c r="BU464" s="67"/>
      <c r="BV464" s="67"/>
      <c r="BW464" s="67"/>
      <c r="BX464" s="67"/>
      <c r="BY464" s="67"/>
      <c r="BZ464" s="67"/>
      <c r="CA464" s="67"/>
      <c r="CB464" s="67"/>
      <c r="CC464" s="67"/>
      <c r="CD464" s="67"/>
      <c r="CE464" s="67"/>
      <c r="CF464" s="67"/>
      <c r="CG464" s="67"/>
      <c r="CH464" s="67"/>
      <c r="CI464" s="67"/>
      <c r="CJ464" s="67"/>
      <c r="CK464" s="67"/>
      <c r="CL464" s="67"/>
      <c r="CM464" s="67"/>
      <c r="CN464" s="67"/>
      <c r="CO464" s="67"/>
      <c r="CP464" s="67"/>
      <c r="CQ464" s="67"/>
      <c r="CR464" s="67"/>
      <c r="CS464" s="67"/>
      <c r="CT464" s="67"/>
      <c r="CU464" s="67"/>
      <c r="CV464" s="67"/>
      <c r="CW464" s="67"/>
      <c r="CX464" s="67"/>
      <c r="CY464" s="67"/>
      <c r="CZ464" s="67"/>
      <c r="DA464" s="67"/>
      <c r="DB464" s="67"/>
      <c r="DC464" s="67"/>
      <c r="DD464" s="67"/>
      <c r="DE464" s="67"/>
      <c r="DF464" s="67"/>
    </row>
    <row r="465">
      <c r="A465" s="62"/>
      <c r="B465" s="88"/>
      <c r="C465" s="88"/>
      <c r="D465" s="88"/>
      <c r="E465" s="90"/>
      <c r="F465" s="91"/>
      <c r="G465" s="49"/>
      <c r="H465" s="70"/>
      <c r="I465" s="88"/>
      <c r="J465" s="88"/>
      <c r="K465" s="88"/>
      <c r="L465" s="90"/>
      <c r="M465" s="91"/>
      <c r="N465" s="49"/>
      <c r="O465" s="71"/>
      <c r="P465" s="92"/>
      <c r="Q465" s="71"/>
      <c r="R465" s="92"/>
      <c r="S465" s="71"/>
      <c r="T465" s="71"/>
      <c r="U465" s="68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29"/>
      <c r="AN465" s="67"/>
      <c r="AO465" s="67"/>
      <c r="AP465" s="67"/>
      <c r="AQ465" s="67"/>
      <c r="AR465" s="67"/>
      <c r="AS465" s="67"/>
      <c r="AT465" s="67"/>
      <c r="AU465" s="67"/>
      <c r="AV465" s="67"/>
      <c r="AW465" s="67"/>
      <c r="AX465" s="67"/>
      <c r="AY465" s="67"/>
      <c r="AZ465" s="67"/>
      <c r="BA465" s="67"/>
      <c r="BB465" s="67"/>
      <c r="BC465" s="67"/>
      <c r="BD465" s="67"/>
      <c r="BE465" s="67"/>
      <c r="BF465" s="67"/>
      <c r="BG465" s="67"/>
      <c r="BH465" s="67"/>
      <c r="BI465" s="67"/>
      <c r="BJ465" s="67"/>
      <c r="BK465" s="67"/>
      <c r="BL465" s="67"/>
      <c r="BM465" s="67"/>
      <c r="BN465" s="67"/>
      <c r="BO465" s="67"/>
      <c r="BP465" s="67"/>
      <c r="BQ465" s="67"/>
      <c r="BR465" s="67"/>
      <c r="BS465" s="67"/>
      <c r="BT465" s="67"/>
      <c r="BU465" s="67"/>
      <c r="BV465" s="67"/>
      <c r="BW465" s="67"/>
      <c r="BX465" s="67"/>
      <c r="BY465" s="67"/>
      <c r="BZ465" s="67"/>
      <c r="CA465" s="67"/>
      <c r="CB465" s="67"/>
      <c r="CC465" s="67"/>
      <c r="CD465" s="67"/>
      <c r="CE465" s="67"/>
      <c r="CF465" s="67"/>
      <c r="CG465" s="67"/>
      <c r="CH465" s="67"/>
      <c r="CI465" s="67"/>
      <c r="CJ465" s="67"/>
      <c r="CK465" s="67"/>
      <c r="CL465" s="67"/>
      <c r="CM465" s="67"/>
      <c r="CN465" s="67"/>
      <c r="CO465" s="67"/>
      <c r="CP465" s="67"/>
      <c r="CQ465" s="67"/>
      <c r="CR465" s="67"/>
      <c r="CS465" s="67"/>
      <c r="CT465" s="67"/>
      <c r="CU465" s="67"/>
      <c r="CV465" s="67"/>
      <c r="CW465" s="67"/>
      <c r="CX465" s="67"/>
      <c r="CY465" s="67"/>
      <c r="CZ465" s="67"/>
      <c r="DA465" s="67"/>
      <c r="DB465" s="67"/>
      <c r="DC465" s="67"/>
      <c r="DD465" s="67"/>
      <c r="DE465" s="67"/>
      <c r="DF465" s="67"/>
    </row>
    <row r="466">
      <c r="A466" s="62"/>
      <c r="B466" s="88"/>
      <c r="C466" s="88"/>
      <c r="D466" s="88"/>
      <c r="E466" s="90"/>
      <c r="F466" s="91"/>
      <c r="G466" s="49"/>
      <c r="H466" s="70"/>
      <c r="I466" s="88"/>
      <c r="J466" s="88"/>
      <c r="K466" s="88"/>
      <c r="L466" s="90"/>
      <c r="M466" s="91"/>
      <c r="N466" s="49"/>
      <c r="O466" s="71"/>
      <c r="P466" s="92"/>
      <c r="Q466" s="71"/>
      <c r="R466" s="92"/>
      <c r="S466" s="71"/>
      <c r="T466" s="71"/>
      <c r="U466" s="68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29"/>
      <c r="AN466" s="67"/>
      <c r="AO466" s="67"/>
      <c r="AP466" s="67"/>
      <c r="AQ466" s="67"/>
      <c r="AR466" s="67"/>
      <c r="AS466" s="67"/>
      <c r="AT466" s="67"/>
      <c r="AU466" s="67"/>
      <c r="AV466" s="67"/>
      <c r="AW466" s="67"/>
      <c r="AX466" s="67"/>
      <c r="AY466" s="67"/>
      <c r="AZ466" s="67"/>
      <c r="BA466" s="67"/>
      <c r="BB466" s="67"/>
      <c r="BC466" s="67"/>
      <c r="BD466" s="67"/>
      <c r="BE466" s="67"/>
      <c r="BF466" s="67"/>
      <c r="BG466" s="67"/>
      <c r="BH466" s="67"/>
      <c r="BI466" s="67"/>
      <c r="BJ466" s="67"/>
      <c r="BK466" s="67"/>
      <c r="BL466" s="67"/>
      <c r="BM466" s="67"/>
      <c r="BN466" s="67"/>
      <c r="BO466" s="67"/>
      <c r="BP466" s="67"/>
      <c r="BQ466" s="67"/>
      <c r="BR466" s="67"/>
      <c r="BS466" s="67"/>
      <c r="BT466" s="67"/>
      <c r="BU466" s="67"/>
      <c r="BV466" s="67"/>
      <c r="BW466" s="67"/>
      <c r="BX466" s="67"/>
      <c r="BY466" s="67"/>
      <c r="BZ466" s="67"/>
      <c r="CA466" s="67"/>
      <c r="CB466" s="67"/>
      <c r="CC466" s="67"/>
      <c r="CD466" s="67"/>
      <c r="CE466" s="67"/>
      <c r="CF466" s="67"/>
      <c r="CG466" s="67"/>
      <c r="CH466" s="67"/>
      <c r="CI466" s="67"/>
      <c r="CJ466" s="67"/>
      <c r="CK466" s="67"/>
      <c r="CL466" s="67"/>
      <c r="CM466" s="67"/>
      <c r="CN466" s="67"/>
      <c r="CO466" s="67"/>
      <c r="CP466" s="67"/>
      <c r="CQ466" s="67"/>
      <c r="CR466" s="67"/>
      <c r="CS466" s="67"/>
      <c r="CT466" s="67"/>
      <c r="CU466" s="67"/>
      <c r="CV466" s="67"/>
      <c r="CW466" s="67"/>
      <c r="CX466" s="67"/>
      <c r="CY466" s="67"/>
      <c r="CZ466" s="67"/>
      <c r="DA466" s="67"/>
      <c r="DB466" s="67"/>
      <c r="DC466" s="67"/>
      <c r="DD466" s="67"/>
      <c r="DE466" s="67"/>
      <c r="DF466" s="67"/>
    </row>
    <row r="467">
      <c r="A467" s="62"/>
      <c r="B467" s="88"/>
      <c r="C467" s="88"/>
      <c r="D467" s="88"/>
      <c r="E467" s="90"/>
      <c r="F467" s="91"/>
      <c r="G467" s="49"/>
      <c r="H467" s="70"/>
      <c r="I467" s="88"/>
      <c r="J467" s="88"/>
      <c r="K467" s="88"/>
      <c r="L467" s="90"/>
      <c r="M467" s="91"/>
      <c r="N467" s="49"/>
      <c r="O467" s="71"/>
      <c r="P467" s="92"/>
      <c r="Q467" s="71"/>
      <c r="R467" s="92"/>
      <c r="S467" s="71"/>
      <c r="T467" s="71"/>
      <c r="U467" s="68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29"/>
      <c r="AN467" s="67"/>
      <c r="AO467" s="67"/>
      <c r="AP467" s="67"/>
      <c r="AQ467" s="67"/>
      <c r="AR467" s="67"/>
      <c r="AS467" s="67"/>
      <c r="AT467" s="67"/>
      <c r="AU467" s="67"/>
      <c r="AV467" s="67"/>
      <c r="AW467" s="67"/>
      <c r="AX467" s="67"/>
      <c r="AY467" s="67"/>
      <c r="AZ467" s="67"/>
      <c r="BA467" s="67"/>
      <c r="BB467" s="67"/>
      <c r="BC467" s="67"/>
      <c r="BD467" s="67"/>
      <c r="BE467" s="67"/>
      <c r="BF467" s="67"/>
      <c r="BG467" s="67"/>
      <c r="BH467" s="67"/>
      <c r="BI467" s="67"/>
      <c r="BJ467" s="67"/>
      <c r="BK467" s="67"/>
      <c r="BL467" s="67"/>
      <c r="BM467" s="67"/>
      <c r="BN467" s="67"/>
      <c r="BO467" s="67"/>
      <c r="BP467" s="67"/>
      <c r="BQ467" s="67"/>
      <c r="BR467" s="67"/>
      <c r="BS467" s="67"/>
      <c r="BT467" s="67"/>
      <c r="BU467" s="67"/>
      <c r="BV467" s="67"/>
      <c r="BW467" s="67"/>
      <c r="BX467" s="67"/>
      <c r="BY467" s="67"/>
      <c r="BZ467" s="67"/>
      <c r="CA467" s="67"/>
      <c r="CB467" s="67"/>
      <c r="CC467" s="67"/>
      <c r="CD467" s="67"/>
      <c r="CE467" s="67"/>
      <c r="CF467" s="67"/>
      <c r="CG467" s="67"/>
      <c r="CH467" s="67"/>
      <c r="CI467" s="67"/>
      <c r="CJ467" s="67"/>
      <c r="CK467" s="67"/>
      <c r="CL467" s="67"/>
      <c r="CM467" s="67"/>
      <c r="CN467" s="67"/>
      <c r="CO467" s="67"/>
      <c r="CP467" s="67"/>
      <c r="CQ467" s="67"/>
      <c r="CR467" s="67"/>
      <c r="CS467" s="67"/>
      <c r="CT467" s="67"/>
      <c r="CU467" s="67"/>
      <c r="CV467" s="67"/>
      <c r="CW467" s="67"/>
      <c r="CX467" s="67"/>
      <c r="CY467" s="67"/>
      <c r="CZ467" s="67"/>
      <c r="DA467" s="67"/>
      <c r="DB467" s="67"/>
      <c r="DC467" s="67"/>
      <c r="DD467" s="67"/>
      <c r="DE467" s="67"/>
      <c r="DF467" s="67"/>
    </row>
    <row r="468">
      <c r="A468" s="62"/>
      <c r="B468" s="88"/>
      <c r="C468" s="88"/>
      <c r="D468" s="88"/>
      <c r="E468" s="90"/>
      <c r="F468" s="91"/>
      <c r="G468" s="49"/>
      <c r="H468" s="70"/>
      <c r="I468" s="88"/>
      <c r="J468" s="88"/>
      <c r="K468" s="88"/>
      <c r="L468" s="90"/>
      <c r="M468" s="91"/>
      <c r="N468" s="49"/>
      <c r="O468" s="71"/>
      <c r="P468" s="92"/>
      <c r="Q468" s="71"/>
      <c r="R468" s="92"/>
      <c r="S468" s="71"/>
      <c r="T468" s="71"/>
      <c r="U468" s="68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29"/>
      <c r="AN468" s="67"/>
      <c r="AO468" s="67"/>
      <c r="AP468" s="67"/>
      <c r="AQ468" s="67"/>
      <c r="AR468" s="67"/>
      <c r="AS468" s="67"/>
      <c r="AT468" s="67"/>
      <c r="AU468" s="67"/>
      <c r="AV468" s="67"/>
      <c r="AW468" s="67"/>
      <c r="AX468" s="67"/>
      <c r="AY468" s="67"/>
      <c r="AZ468" s="67"/>
      <c r="BA468" s="67"/>
      <c r="BB468" s="67"/>
      <c r="BC468" s="67"/>
      <c r="BD468" s="67"/>
      <c r="BE468" s="67"/>
      <c r="BF468" s="67"/>
      <c r="BG468" s="67"/>
      <c r="BH468" s="67"/>
      <c r="BI468" s="67"/>
      <c r="BJ468" s="67"/>
      <c r="BK468" s="67"/>
      <c r="BL468" s="67"/>
      <c r="BM468" s="67"/>
      <c r="BN468" s="67"/>
      <c r="BO468" s="67"/>
      <c r="BP468" s="67"/>
      <c r="BQ468" s="67"/>
      <c r="BR468" s="67"/>
      <c r="BS468" s="67"/>
      <c r="BT468" s="67"/>
      <c r="BU468" s="67"/>
      <c r="BV468" s="67"/>
      <c r="BW468" s="67"/>
      <c r="BX468" s="67"/>
      <c r="BY468" s="67"/>
      <c r="BZ468" s="67"/>
      <c r="CA468" s="67"/>
      <c r="CB468" s="67"/>
      <c r="CC468" s="67"/>
      <c r="CD468" s="67"/>
      <c r="CE468" s="67"/>
      <c r="CF468" s="67"/>
      <c r="CG468" s="67"/>
      <c r="CH468" s="67"/>
      <c r="CI468" s="67"/>
      <c r="CJ468" s="67"/>
      <c r="CK468" s="67"/>
      <c r="CL468" s="67"/>
      <c r="CM468" s="67"/>
      <c r="CN468" s="67"/>
      <c r="CO468" s="67"/>
      <c r="CP468" s="67"/>
      <c r="CQ468" s="67"/>
      <c r="CR468" s="67"/>
      <c r="CS468" s="67"/>
      <c r="CT468" s="67"/>
      <c r="CU468" s="67"/>
      <c r="CV468" s="67"/>
      <c r="CW468" s="67"/>
      <c r="CX468" s="67"/>
      <c r="CY468" s="67"/>
      <c r="CZ468" s="67"/>
      <c r="DA468" s="67"/>
      <c r="DB468" s="67"/>
      <c r="DC468" s="67"/>
      <c r="DD468" s="67"/>
      <c r="DE468" s="67"/>
      <c r="DF468" s="67"/>
    </row>
    <row r="469">
      <c r="A469" s="62"/>
      <c r="B469" s="88"/>
      <c r="C469" s="88"/>
      <c r="D469" s="88"/>
      <c r="E469" s="90"/>
      <c r="F469" s="91"/>
      <c r="G469" s="49"/>
      <c r="H469" s="70"/>
      <c r="I469" s="88"/>
      <c r="J469" s="88"/>
      <c r="K469" s="88"/>
      <c r="L469" s="90"/>
      <c r="M469" s="91"/>
      <c r="N469" s="49"/>
      <c r="O469" s="71"/>
      <c r="P469" s="92"/>
      <c r="Q469" s="71"/>
      <c r="R469" s="92"/>
      <c r="S469" s="71"/>
      <c r="T469" s="71"/>
      <c r="U469" s="68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29"/>
      <c r="AN469" s="67"/>
      <c r="AO469" s="67"/>
      <c r="AP469" s="67"/>
      <c r="AQ469" s="67"/>
      <c r="AR469" s="67"/>
      <c r="AS469" s="67"/>
      <c r="AT469" s="67"/>
      <c r="AU469" s="67"/>
      <c r="AV469" s="67"/>
      <c r="AW469" s="67"/>
      <c r="AX469" s="67"/>
      <c r="AY469" s="67"/>
      <c r="AZ469" s="67"/>
      <c r="BA469" s="67"/>
      <c r="BB469" s="67"/>
      <c r="BC469" s="67"/>
      <c r="BD469" s="67"/>
      <c r="BE469" s="67"/>
      <c r="BF469" s="67"/>
      <c r="BG469" s="67"/>
      <c r="BH469" s="67"/>
      <c r="BI469" s="67"/>
      <c r="BJ469" s="67"/>
      <c r="BK469" s="67"/>
      <c r="BL469" s="67"/>
      <c r="BM469" s="67"/>
      <c r="BN469" s="67"/>
      <c r="BO469" s="67"/>
      <c r="BP469" s="67"/>
      <c r="BQ469" s="67"/>
      <c r="BR469" s="67"/>
      <c r="BS469" s="67"/>
      <c r="BT469" s="67"/>
      <c r="BU469" s="67"/>
      <c r="BV469" s="67"/>
      <c r="BW469" s="67"/>
      <c r="BX469" s="67"/>
      <c r="BY469" s="67"/>
      <c r="BZ469" s="67"/>
      <c r="CA469" s="67"/>
      <c r="CB469" s="67"/>
      <c r="CC469" s="67"/>
      <c r="CD469" s="67"/>
      <c r="CE469" s="67"/>
      <c r="CF469" s="67"/>
      <c r="CG469" s="67"/>
      <c r="CH469" s="67"/>
      <c r="CI469" s="67"/>
      <c r="CJ469" s="67"/>
      <c r="CK469" s="67"/>
      <c r="CL469" s="67"/>
      <c r="CM469" s="67"/>
      <c r="CN469" s="67"/>
      <c r="CO469" s="67"/>
      <c r="CP469" s="67"/>
      <c r="CQ469" s="67"/>
      <c r="CR469" s="67"/>
      <c r="CS469" s="67"/>
      <c r="CT469" s="67"/>
      <c r="CU469" s="67"/>
      <c r="CV469" s="67"/>
      <c r="CW469" s="67"/>
      <c r="CX469" s="67"/>
      <c r="CY469" s="67"/>
      <c r="CZ469" s="67"/>
      <c r="DA469" s="67"/>
      <c r="DB469" s="67"/>
      <c r="DC469" s="67"/>
      <c r="DD469" s="67"/>
      <c r="DE469" s="67"/>
      <c r="DF469" s="67"/>
    </row>
    <row r="470">
      <c r="A470" s="62"/>
      <c r="B470" s="88"/>
      <c r="C470" s="88"/>
      <c r="D470" s="88"/>
      <c r="E470" s="90"/>
      <c r="F470" s="91"/>
      <c r="G470" s="49"/>
      <c r="H470" s="70"/>
      <c r="I470" s="88"/>
      <c r="J470" s="88"/>
      <c r="K470" s="88"/>
      <c r="L470" s="90"/>
      <c r="M470" s="91"/>
      <c r="N470" s="49"/>
      <c r="O470" s="71"/>
      <c r="P470" s="92"/>
      <c r="Q470" s="71"/>
      <c r="R470" s="92"/>
      <c r="S470" s="71"/>
      <c r="T470" s="71"/>
      <c r="U470" s="68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29"/>
      <c r="AN470" s="67"/>
      <c r="AO470" s="67"/>
      <c r="AP470" s="67"/>
      <c r="AQ470" s="67"/>
      <c r="AR470" s="67"/>
      <c r="AS470" s="67"/>
      <c r="AT470" s="67"/>
      <c r="AU470" s="67"/>
      <c r="AV470" s="67"/>
      <c r="AW470" s="67"/>
      <c r="AX470" s="67"/>
      <c r="AY470" s="67"/>
      <c r="AZ470" s="67"/>
      <c r="BA470" s="67"/>
      <c r="BB470" s="67"/>
      <c r="BC470" s="67"/>
      <c r="BD470" s="67"/>
      <c r="BE470" s="67"/>
      <c r="BF470" s="67"/>
      <c r="BG470" s="67"/>
      <c r="BH470" s="67"/>
      <c r="BI470" s="67"/>
      <c r="BJ470" s="67"/>
      <c r="BK470" s="67"/>
      <c r="BL470" s="67"/>
      <c r="BM470" s="67"/>
      <c r="BN470" s="67"/>
      <c r="BO470" s="67"/>
      <c r="BP470" s="67"/>
      <c r="BQ470" s="67"/>
      <c r="BR470" s="67"/>
      <c r="BS470" s="67"/>
      <c r="BT470" s="67"/>
      <c r="BU470" s="67"/>
      <c r="BV470" s="67"/>
      <c r="BW470" s="67"/>
      <c r="BX470" s="67"/>
      <c r="BY470" s="67"/>
      <c r="BZ470" s="67"/>
      <c r="CA470" s="67"/>
      <c r="CB470" s="67"/>
      <c r="CC470" s="67"/>
      <c r="CD470" s="67"/>
      <c r="CE470" s="67"/>
      <c r="CF470" s="67"/>
      <c r="CG470" s="67"/>
      <c r="CH470" s="67"/>
      <c r="CI470" s="67"/>
      <c r="CJ470" s="67"/>
      <c r="CK470" s="67"/>
      <c r="CL470" s="67"/>
      <c r="CM470" s="67"/>
      <c r="CN470" s="67"/>
      <c r="CO470" s="67"/>
      <c r="CP470" s="67"/>
      <c r="CQ470" s="67"/>
      <c r="CR470" s="67"/>
      <c r="CS470" s="67"/>
      <c r="CT470" s="67"/>
      <c r="CU470" s="67"/>
      <c r="CV470" s="67"/>
      <c r="CW470" s="67"/>
      <c r="CX470" s="67"/>
      <c r="CY470" s="67"/>
      <c r="CZ470" s="67"/>
      <c r="DA470" s="67"/>
      <c r="DB470" s="67"/>
      <c r="DC470" s="67"/>
      <c r="DD470" s="67"/>
      <c r="DE470" s="67"/>
      <c r="DF470" s="67"/>
    </row>
    <row r="471">
      <c r="A471" s="62"/>
      <c r="B471" s="88"/>
      <c r="C471" s="88"/>
      <c r="D471" s="88"/>
      <c r="E471" s="90"/>
      <c r="F471" s="91"/>
      <c r="G471" s="49"/>
      <c r="H471" s="70"/>
      <c r="I471" s="88"/>
      <c r="J471" s="88"/>
      <c r="K471" s="88"/>
      <c r="L471" s="90"/>
      <c r="M471" s="91"/>
      <c r="N471" s="49"/>
      <c r="O471" s="71"/>
      <c r="P471" s="92"/>
      <c r="Q471" s="71"/>
      <c r="R471" s="92"/>
      <c r="S471" s="71"/>
      <c r="T471" s="71"/>
      <c r="U471" s="68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29"/>
      <c r="AN471" s="67"/>
      <c r="AO471" s="67"/>
      <c r="AP471" s="67"/>
      <c r="AQ471" s="67"/>
      <c r="AR471" s="67"/>
      <c r="AS471" s="67"/>
      <c r="AT471" s="67"/>
      <c r="AU471" s="67"/>
      <c r="AV471" s="67"/>
      <c r="AW471" s="67"/>
      <c r="AX471" s="67"/>
      <c r="AY471" s="67"/>
      <c r="AZ471" s="67"/>
      <c r="BA471" s="67"/>
      <c r="BB471" s="67"/>
      <c r="BC471" s="67"/>
      <c r="BD471" s="67"/>
      <c r="BE471" s="67"/>
      <c r="BF471" s="67"/>
      <c r="BG471" s="67"/>
      <c r="BH471" s="67"/>
      <c r="BI471" s="67"/>
      <c r="BJ471" s="67"/>
      <c r="BK471" s="67"/>
      <c r="BL471" s="67"/>
      <c r="BM471" s="67"/>
      <c r="BN471" s="67"/>
      <c r="BO471" s="67"/>
      <c r="BP471" s="67"/>
      <c r="BQ471" s="67"/>
      <c r="BR471" s="67"/>
      <c r="BS471" s="67"/>
      <c r="BT471" s="67"/>
      <c r="BU471" s="67"/>
      <c r="BV471" s="67"/>
      <c r="BW471" s="67"/>
      <c r="BX471" s="67"/>
      <c r="BY471" s="67"/>
      <c r="BZ471" s="67"/>
      <c r="CA471" s="67"/>
      <c r="CB471" s="67"/>
      <c r="CC471" s="67"/>
      <c r="CD471" s="67"/>
      <c r="CE471" s="67"/>
      <c r="CF471" s="67"/>
      <c r="CG471" s="67"/>
      <c r="CH471" s="67"/>
      <c r="CI471" s="67"/>
      <c r="CJ471" s="67"/>
      <c r="CK471" s="67"/>
      <c r="CL471" s="67"/>
      <c r="CM471" s="67"/>
      <c r="CN471" s="67"/>
      <c r="CO471" s="67"/>
      <c r="CP471" s="67"/>
      <c r="CQ471" s="67"/>
      <c r="CR471" s="67"/>
      <c r="CS471" s="67"/>
      <c r="CT471" s="67"/>
      <c r="CU471" s="67"/>
      <c r="CV471" s="67"/>
      <c r="CW471" s="67"/>
      <c r="CX471" s="67"/>
      <c r="CY471" s="67"/>
      <c r="CZ471" s="67"/>
      <c r="DA471" s="67"/>
      <c r="DB471" s="67"/>
      <c r="DC471" s="67"/>
      <c r="DD471" s="67"/>
      <c r="DE471" s="67"/>
      <c r="DF471" s="67"/>
    </row>
    <row r="472">
      <c r="A472" s="62"/>
      <c r="B472" s="88"/>
      <c r="C472" s="88"/>
      <c r="D472" s="88"/>
      <c r="E472" s="90"/>
      <c r="F472" s="91"/>
      <c r="G472" s="49"/>
      <c r="H472" s="70"/>
      <c r="I472" s="88"/>
      <c r="J472" s="88"/>
      <c r="K472" s="88"/>
      <c r="L472" s="90"/>
      <c r="M472" s="91"/>
      <c r="N472" s="49"/>
      <c r="O472" s="71"/>
      <c r="P472" s="92"/>
      <c r="Q472" s="71"/>
      <c r="R472" s="92"/>
      <c r="S472" s="71"/>
      <c r="T472" s="71"/>
      <c r="U472" s="68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29"/>
      <c r="AN472" s="67"/>
      <c r="AO472" s="67"/>
      <c r="AP472" s="67"/>
      <c r="AQ472" s="67"/>
      <c r="AR472" s="67"/>
      <c r="AS472" s="67"/>
      <c r="AT472" s="67"/>
      <c r="AU472" s="67"/>
      <c r="AV472" s="67"/>
      <c r="AW472" s="67"/>
      <c r="AX472" s="67"/>
      <c r="AY472" s="67"/>
      <c r="AZ472" s="67"/>
      <c r="BA472" s="67"/>
      <c r="BB472" s="67"/>
      <c r="BC472" s="67"/>
      <c r="BD472" s="67"/>
      <c r="BE472" s="67"/>
      <c r="BF472" s="67"/>
      <c r="BG472" s="67"/>
      <c r="BH472" s="67"/>
      <c r="BI472" s="67"/>
      <c r="BJ472" s="67"/>
      <c r="BK472" s="67"/>
      <c r="BL472" s="67"/>
      <c r="BM472" s="67"/>
      <c r="BN472" s="67"/>
      <c r="BO472" s="67"/>
      <c r="BP472" s="67"/>
      <c r="BQ472" s="67"/>
      <c r="BR472" s="67"/>
      <c r="BS472" s="67"/>
      <c r="BT472" s="67"/>
      <c r="BU472" s="67"/>
      <c r="BV472" s="67"/>
      <c r="BW472" s="67"/>
      <c r="BX472" s="67"/>
      <c r="BY472" s="67"/>
      <c r="BZ472" s="67"/>
      <c r="CA472" s="67"/>
      <c r="CB472" s="67"/>
      <c r="CC472" s="67"/>
      <c r="CD472" s="67"/>
      <c r="CE472" s="67"/>
      <c r="CF472" s="67"/>
      <c r="CG472" s="67"/>
      <c r="CH472" s="67"/>
      <c r="CI472" s="67"/>
      <c r="CJ472" s="67"/>
      <c r="CK472" s="67"/>
      <c r="CL472" s="67"/>
      <c r="CM472" s="67"/>
      <c r="CN472" s="67"/>
      <c r="CO472" s="67"/>
      <c r="CP472" s="67"/>
      <c r="CQ472" s="67"/>
      <c r="CR472" s="67"/>
      <c r="CS472" s="67"/>
      <c r="CT472" s="67"/>
      <c r="CU472" s="67"/>
      <c r="CV472" s="67"/>
      <c r="CW472" s="67"/>
      <c r="CX472" s="67"/>
      <c r="CY472" s="67"/>
      <c r="CZ472" s="67"/>
      <c r="DA472" s="67"/>
      <c r="DB472" s="67"/>
      <c r="DC472" s="67"/>
      <c r="DD472" s="67"/>
      <c r="DE472" s="67"/>
      <c r="DF472" s="67"/>
    </row>
    <row r="473">
      <c r="A473" s="62"/>
      <c r="B473" s="88"/>
      <c r="C473" s="88"/>
      <c r="D473" s="88"/>
      <c r="E473" s="90"/>
      <c r="F473" s="91"/>
      <c r="G473" s="49"/>
      <c r="H473" s="70"/>
      <c r="I473" s="88"/>
      <c r="J473" s="88"/>
      <c r="K473" s="88"/>
      <c r="L473" s="90"/>
      <c r="M473" s="91"/>
      <c r="N473" s="49"/>
      <c r="O473" s="71"/>
      <c r="P473" s="92"/>
      <c r="Q473" s="71"/>
      <c r="R473" s="92"/>
      <c r="S473" s="71"/>
      <c r="T473" s="71"/>
      <c r="U473" s="68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29"/>
      <c r="AN473" s="67"/>
      <c r="AO473" s="67"/>
      <c r="AP473" s="67"/>
      <c r="AQ473" s="67"/>
      <c r="AR473" s="67"/>
      <c r="AS473" s="67"/>
      <c r="AT473" s="67"/>
      <c r="AU473" s="67"/>
      <c r="AV473" s="67"/>
      <c r="AW473" s="67"/>
      <c r="AX473" s="67"/>
      <c r="AY473" s="67"/>
      <c r="AZ473" s="67"/>
      <c r="BA473" s="67"/>
      <c r="BB473" s="67"/>
      <c r="BC473" s="67"/>
      <c r="BD473" s="67"/>
      <c r="BE473" s="67"/>
      <c r="BF473" s="67"/>
      <c r="BG473" s="67"/>
      <c r="BH473" s="67"/>
      <c r="BI473" s="67"/>
      <c r="BJ473" s="67"/>
      <c r="BK473" s="67"/>
      <c r="BL473" s="67"/>
      <c r="BM473" s="67"/>
      <c r="BN473" s="67"/>
      <c r="BO473" s="67"/>
      <c r="BP473" s="67"/>
      <c r="BQ473" s="67"/>
      <c r="BR473" s="67"/>
      <c r="BS473" s="67"/>
      <c r="BT473" s="67"/>
      <c r="BU473" s="67"/>
      <c r="BV473" s="67"/>
      <c r="BW473" s="67"/>
      <c r="BX473" s="67"/>
      <c r="BY473" s="67"/>
      <c r="BZ473" s="67"/>
      <c r="CA473" s="67"/>
      <c r="CB473" s="67"/>
      <c r="CC473" s="67"/>
      <c r="CD473" s="67"/>
      <c r="CE473" s="67"/>
      <c r="CF473" s="67"/>
      <c r="CG473" s="67"/>
      <c r="CH473" s="67"/>
      <c r="CI473" s="67"/>
      <c r="CJ473" s="67"/>
      <c r="CK473" s="67"/>
      <c r="CL473" s="67"/>
      <c r="CM473" s="67"/>
      <c r="CN473" s="67"/>
      <c r="CO473" s="67"/>
      <c r="CP473" s="67"/>
      <c r="CQ473" s="67"/>
      <c r="CR473" s="67"/>
      <c r="CS473" s="67"/>
      <c r="CT473" s="67"/>
      <c r="CU473" s="67"/>
      <c r="CV473" s="67"/>
      <c r="CW473" s="67"/>
      <c r="CX473" s="67"/>
      <c r="CY473" s="67"/>
      <c r="CZ473" s="67"/>
      <c r="DA473" s="67"/>
      <c r="DB473" s="67"/>
      <c r="DC473" s="67"/>
      <c r="DD473" s="67"/>
      <c r="DE473" s="67"/>
      <c r="DF473" s="67"/>
    </row>
    <row r="474">
      <c r="A474" s="62"/>
      <c r="B474" s="88"/>
      <c r="C474" s="88"/>
      <c r="D474" s="88"/>
      <c r="E474" s="90"/>
      <c r="F474" s="91"/>
      <c r="G474" s="49"/>
      <c r="H474" s="70"/>
      <c r="I474" s="88"/>
      <c r="J474" s="88"/>
      <c r="K474" s="88"/>
      <c r="L474" s="90"/>
      <c r="M474" s="91"/>
      <c r="N474" s="49"/>
      <c r="O474" s="71"/>
      <c r="P474" s="92"/>
      <c r="Q474" s="71"/>
      <c r="R474" s="92"/>
      <c r="S474" s="71"/>
      <c r="T474" s="71"/>
      <c r="U474" s="68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29"/>
      <c r="AN474" s="67"/>
      <c r="AO474" s="67"/>
      <c r="AP474" s="67"/>
      <c r="AQ474" s="67"/>
      <c r="AR474" s="67"/>
      <c r="AS474" s="67"/>
      <c r="AT474" s="67"/>
      <c r="AU474" s="67"/>
      <c r="AV474" s="67"/>
      <c r="AW474" s="67"/>
      <c r="AX474" s="67"/>
      <c r="AY474" s="67"/>
      <c r="AZ474" s="67"/>
      <c r="BA474" s="67"/>
      <c r="BB474" s="67"/>
      <c r="BC474" s="67"/>
      <c r="BD474" s="67"/>
      <c r="BE474" s="67"/>
      <c r="BF474" s="67"/>
      <c r="BG474" s="67"/>
      <c r="BH474" s="67"/>
      <c r="BI474" s="67"/>
      <c r="BJ474" s="67"/>
      <c r="BK474" s="67"/>
      <c r="BL474" s="67"/>
      <c r="BM474" s="67"/>
      <c r="BN474" s="67"/>
      <c r="BO474" s="67"/>
      <c r="BP474" s="67"/>
      <c r="BQ474" s="67"/>
      <c r="BR474" s="67"/>
      <c r="BS474" s="67"/>
      <c r="BT474" s="67"/>
      <c r="BU474" s="67"/>
      <c r="BV474" s="67"/>
      <c r="BW474" s="67"/>
      <c r="BX474" s="67"/>
      <c r="BY474" s="67"/>
      <c r="BZ474" s="67"/>
      <c r="CA474" s="67"/>
      <c r="CB474" s="67"/>
      <c r="CC474" s="67"/>
      <c r="CD474" s="67"/>
      <c r="CE474" s="67"/>
      <c r="CF474" s="67"/>
      <c r="CG474" s="67"/>
      <c r="CH474" s="67"/>
      <c r="CI474" s="67"/>
      <c r="CJ474" s="67"/>
      <c r="CK474" s="67"/>
      <c r="CL474" s="67"/>
      <c r="CM474" s="67"/>
      <c r="CN474" s="67"/>
      <c r="CO474" s="67"/>
      <c r="CP474" s="67"/>
      <c r="CQ474" s="67"/>
      <c r="CR474" s="67"/>
      <c r="CS474" s="67"/>
      <c r="CT474" s="67"/>
      <c r="CU474" s="67"/>
      <c r="CV474" s="67"/>
      <c r="CW474" s="67"/>
      <c r="CX474" s="67"/>
      <c r="CY474" s="67"/>
      <c r="CZ474" s="67"/>
      <c r="DA474" s="67"/>
      <c r="DB474" s="67"/>
      <c r="DC474" s="67"/>
      <c r="DD474" s="67"/>
      <c r="DE474" s="67"/>
      <c r="DF474" s="67"/>
    </row>
    <row r="475">
      <c r="A475" s="62"/>
      <c r="B475" s="88"/>
      <c r="C475" s="88"/>
      <c r="D475" s="88"/>
      <c r="E475" s="90"/>
      <c r="F475" s="91"/>
      <c r="G475" s="49"/>
      <c r="H475" s="70"/>
      <c r="I475" s="88"/>
      <c r="J475" s="88"/>
      <c r="K475" s="88"/>
      <c r="L475" s="90"/>
      <c r="M475" s="91"/>
      <c r="N475" s="49"/>
      <c r="O475" s="71"/>
      <c r="P475" s="92"/>
      <c r="Q475" s="71"/>
      <c r="R475" s="92"/>
      <c r="S475" s="71"/>
      <c r="T475" s="71"/>
      <c r="U475" s="68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29"/>
      <c r="AN475" s="67"/>
      <c r="AO475" s="67"/>
      <c r="AP475" s="67"/>
      <c r="AQ475" s="67"/>
      <c r="AR475" s="67"/>
      <c r="AS475" s="67"/>
      <c r="AT475" s="67"/>
      <c r="AU475" s="67"/>
      <c r="AV475" s="67"/>
      <c r="AW475" s="67"/>
      <c r="AX475" s="67"/>
      <c r="AY475" s="67"/>
      <c r="AZ475" s="67"/>
      <c r="BA475" s="67"/>
      <c r="BB475" s="67"/>
      <c r="BC475" s="67"/>
      <c r="BD475" s="67"/>
      <c r="BE475" s="67"/>
      <c r="BF475" s="67"/>
      <c r="BG475" s="67"/>
      <c r="BH475" s="67"/>
      <c r="BI475" s="67"/>
      <c r="BJ475" s="67"/>
      <c r="BK475" s="67"/>
      <c r="BL475" s="67"/>
      <c r="BM475" s="67"/>
      <c r="BN475" s="67"/>
      <c r="BO475" s="67"/>
      <c r="BP475" s="67"/>
      <c r="BQ475" s="67"/>
      <c r="BR475" s="67"/>
      <c r="BS475" s="67"/>
      <c r="BT475" s="67"/>
      <c r="BU475" s="67"/>
      <c r="BV475" s="67"/>
      <c r="BW475" s="67"/>
      <c r="BX475" s="67"/>
      <c r="BY475" s="67"/>
      <c r="BZ475" s="67"/>
      <c r="CA475" s="67"/>
      <c r="CB475" s="67"/>
      <c r="CC475" s="67"/>
      <c r="CD475" s="67"/>
      <c r="CE475" s="67"/>
      <c r="CF475" s="67"/>
      <c r="CG475" s="67"/>
      <c r="CH475" s="67"/>
      <c r="CI475" s="67"/>
      <c r="CJ475" s="67"/>
      <c r="CK475" s="67"/>
      <c r="CL475" s="67"/>
      <c r="CM475" s="67"/>
      <c r="CN475" s="67"/>
      <c r="CO475" s="67"/>
      <c r="CP475" s="67"/>
      <c r="CQ475" s="67"/>
      <c r="CR475" s="67"/>
      <c r="CS475" s="67"/>
      <c r="CT475" s="67"/>
      <c r="CU475" s="67"/>
      <c r="CV475" s="67"/>
      <c r="CW475" s="67"/>
      <c r="CX475" s="67"/>
      <c r="CY475" s="67"/>
      <c r="CZ475" s="67"/>
      <c r="DA475" s="67"/>
      <c r="DB475" s="67"/>
      <c r="DC475" s="67"/>
      <c r="DD475" s="67"/>
      <c r="DE475" s="67"/>
      <c r="DF475" s="67"/>
    </row>
    <row r="476">
      <c r="A476" s="62"/>
      <c r="B476" s="88"/>
      <c r="C476" s="88"/>
      <c r="D476" s="88"/>
      <c r="E476" s="90"/>
      <c r="F476" s="91"/>
      <c r="G476" s="49"/>
      <c r="H476" s="70"/>
      <c r="I476" s="88"/>
      <c r="J476" s="88"/>
      <c r="K476" s="88"/>
      <c r="L476" s="90"/>
      <c r="M476" s="91"/>
      <c r="N476" s="49"/>
      <c r="O476" s="71"/>
      <c r="P476" s="92"/>
      <c r="Q476" s="71"/>
      <c r="R476" s="92"/>
      <c r="S476" s="71"/>
      <c r="T476" s="71"/>
      <c r="U476" s="68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29"/>
      <c r="AN476" s="67"/>
      <c r="AO476" s="67"/>
      <c r="AP476" s="67"/>
      <c r="AQ476" s="67"/>
      <c r="AR476" s="67"/>
      <c r="AS476" s="67"/>
      <c r="AT476" s="67"/>
      <c r="AU476" s="67"/>
      <c r="AV476" s="67"/>
      <c r="AW476" s="67"/>
      <c r="AX476" s="67"/>
      <c r="AY476" s="67"/>
      <c r="AZ476" s="67"/>
      <c r="BA476" s="67"/>
      <c r="BB476" s="67"/>
      <c r="BC476" s="67"/>
      <c r="BD476" s="67"/>
      <c r="BE476" s="67"/>
      <c r="BF476" s="67"/>
      <c r="BG476" s="67"/>
      <c r="BH476" s="67"/>
      <c r="BI476" s="67"/>
      <c r="BJ476" s="67"/>
      <c r="BK476" s="67"/>
      <c r="BL476" s="67"/>
      <c r="BM476" s="67"/>
      <c r="BN476" s="67"/>
      <c r="BO476" s="67"/>
      <c r="BP476" s="67"/>
      <c r="BQ476" s="67"/>
      <c r="BR476" s="67"/>
      <c r="BS476" s="67"/>
      <c r="BT476" s="67"/>
      <c r="BU476" s="67"/>
      <c r="BV476" s="67"/>
      <c r="BW476" s="67"/>
      <c r="BX476" s="67"/>
      <c r="BY476" s="67"/>
      <c r="BZ476" s="67"/>
      <c r="CA476" s="67"/>
      <c r="CB476" s="67"/>
      <c r="CC476" s="67"/>
      <c r="CD476" s="67"/>
      <c r="CE476" s="67"/>
      <c r="CF476" s="67"/>
      <c r="CG476" s="67"/>
      <c r="CH476" s="67"/>
      <c r="CI476" s="67"/>
      <c r="CJ476" s="67"/>
      <c r="CK476" s="67"/>
      <c r="CL476" s="67"/>
      <c r="CM476" s="67"/>
      <c r="CN476" s="67"/>
      <c r="CO476" s="67"/>
      <c r="CP476" s="67"/>
      <c r="CQ476" s="67"/>
      <c r="CR476" s="67"/>
      <c r="CS476" s="67"/>
      <c r="CT476" s="67"/>
      <c r="CU476" s="67"/>
      <c r="CV476" s="67"/>
      <c r="CW476" s="67"/>
      <c r="CX476" s="67"/>
      <c r="CY476" s="67"/>
      <c r="CZ476" s="67"/>
      <c r="DA476" s="67"/>
      <c r="DB476" s="67"/>
      <c r="DC476" s="67"/>
      <c r="DD476" s="67"/>
      <c r="DE476" s="67"/>
      <c r="DF476" s="67"/>
    </row>
    <row r="477">
      <c r="A477" s="62"/>
      <c r="B477" s="88"/>
      <c r="C477" s="88"/>
      <c r="D477" s="88"/>
      <c r="E477" s="90"/>
      <c r="F477" s="91"/>
      <c r="G477" s="49"/>
      <c r="H477" s="70"/>
      <c r="I477" s="88"/>
      <c r="J477" s="88"/>
      <c r="K477" s="88"/>
      <c r="L477" s="90"/>
      <c r="M477" s="91"/>
      <c r="N477" s="49"/>
      <c r="O477" s="71"/>
      <c r="P477" s="92"/>
      <c r="Q477" s="71"/>
      <c r="R477" s="92"/>
      <c r="S477" s="71"/>
      <c r="T477" s="71"/>
      <c r="U477" s="68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29"/>
      <c r="AN477" s="67"/>
      <c r="AO477" s="67"/>
      <c r="AP477" s="67"/>
      <c r="AQ477" s="67"/>
      <c r="AR477" s="67"/>
      <c r="AS477" s="67"/>
      <c r="AT477" s="67"/>
      <c r="AU477" s="67"/>
      <c r="AV477" s="67"/>
      <c r="AW477" s="67"/>
      <c r="AX477" s="67"/>
      <c r="AY477" s="67"/>
      <c r="AZ477" s="67"/>
      <c r="BA477" s="67"/>
      <c r="BB477" s="67"/>
      <c r="BC477" s="67"/>
      <c r="BD477" s="67"/>
      <c r="BE477" s="67"/>
      <c r="BF477" s="67"/>
      <c r="BG477" s="67"/>
      <c r="BH477" s="67"/>
      <c r="BI477" s="67"/>
      <c r="BJ477" s="67"/>
      <c r="BK477" s="67"/>
      <c r="BL477" s="67"/>
      <c r="BM477" s="67"/>
      <c r="BN477" s="67"/>
      <c r="BO477" s="67"/>
      <c r="BP477" s="67"/>
      <c r="BQ477" s="67"/>
      <c r="BR477" s="67"/>
      <c r="BS477" s="67"/>
      <c r="BT477" s="67"/>
      <c r="BU477" s="67"/>
      <c r="BV477" s="67"/>
      <c r="BW477" s="67"/>
      <c r="BX477" s="67"/>
      <c r="BY477" s="67"/>
      <c r="BZ477" s="67"/>
      <c r="CA477" s="67"/>
      <c r="CB477" s="67"/>
      <c r="CC477" s="67"/>
      <c r="CD477" s="67"/>
      <c r="CE477" s="67"/>
      <c r="CF477" s="67"/>
      <c r="CG477" s="67"/>
      <c r="CH477" s="67"/>
      <c r="CI477" s="67"/>
      <c r="CJ477" s="67"/>
      <c r="CK477" s="67"/>
      <c r="CL477" s="67"/>
      <c r="CM477" s="67"/>
      <c r="CN477" s="67"/>
      <c r="CO477" s="67"/>
      <c r="CP477" s="67"/>
      <c r="CQ477" s="67"/>
      <c r="CR477" s="67"/>
      <c r="CS477" s="67"/>
      <c r="CT477" s="67"/>
      <c r="CU477" s="67"/>
      <c r="CV477" s="67"/>
      <c r="CW477" s="67"/>
      <c r="CX477" s="67"/>
      <c r="CY477" s="67"/>
      <c r="CZ477" s="67"/>
      <c r="DA477" s="67"/>
      <c r="DB477" s="67"/>
      <c r="DC477" s="67"/>
      <c r="DD477" s="67"/>
      <c r="DE477" s="67"/>
      <c r="DF477" s="67"/>
    </row>
    <row r="478">
      <c r="A478" s="62"/>
      <c r="B478" s="88"/>
      <c r="C478" s="88"/>
      <c r="D478" s="88"/>
      <c r="E478" s="90"/>
      <c r="F478" s="91"/>
      <c r="G478" s="49"/>
      <c r="H478" s="70"/>
      <c r="I478" s="88"/>
      <c r="J478" s="88"/>
      <c r="K478" s="88"/>
      <c r="L478" s="90"/>
      <c r="M478" s="91"/>
      <c r="N478" s="49"/>
      <c r="O478" s="71"/>
      <c r="P478" s="92"/>
      <c r="Q478" s="71"/>
      <c r="R478" s="92"/>
      <c r="S478" s="71"/>
      <c r="T478" s="71"/>
      <c r="U478" s="68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29"/>
      <c r="AN478" s="67"/>
      <c r="AO478" s="67"/>
      <c r="AP478" s="67"/>
      <c r="AQ478" s="67"/>
      <c r="AR478" s="67"/>
      <c r="AS478" s="67"/>
      <c r="AT478" s="67"/>
      <c r="AU478" s="67"/>
      <c r="AV478" s="67"/>
      <c r="AW478" s="67"/>
      <c r="AX478" s="67"/>
      <c r="AY478" s="67"/>
      <c r="AZ478" s="67"/>
      <c r="BA478" s="67"/>
      <c r="BB478" s="67"/>
      <c r="BC478" s="67"/>
      <c r="BD478" s="67"/>
      <c r="BE478" s="67"/>
      <c r="BF478" s="67"/>
      <c r="BG478" s="67"/>
      <c r="BH478" s="67"/>
      <c r="BI478" s="67"/>
      <c r="BJ478" s="67"/>
      <c r="BK478" s="67"/>
      <c r="BL478" s="67"/>
      <c r="BM478" s="67"/>
      <c r="BN478" s="67"/>
      <c r="BO478" s="67"/>
      <c r="BP478" s="67"/>
      <c r="BQ478" s="67"/>
      <c r="BR478" s="67"/>
      <c r="BS478" s="67"/>
      <c r="BT478" s="67"/>
      <c r="BU478" s="67"/>
      <c r="BV478" s="67"/>
      <c r="BW478" s="67"/>
      <c r="BX478" s="67"/>
      <c r="BY478" s="67"/>
      <c r="BZ478" s="67"/>
      <c r="CA478" s="67"/>
      <c r="CB478" s="67"/>
      <c r="CC478" s="67"/>
      <c r="CD478" s="67"/>
      <c r="CE478" s="67"/>
      <c r="CF478" s="67"/>
      <c r="CG478" s="67"/>
      <c r="CH478" s="67"/>
      <c r="CI478" s="67"/>
      <c r="CJ478" s="67"/>
      <c r="CK478" s="67"/>
      <c r="CL478" s="67"/>
      <c r="CM478" s="67"/>
      <c r="CN478" s="67"/>
      <c r="CO478" s="67"/>
      <c r="CP478" s="67"/>
      <c r="CQ478" s="67"/>
      <c r="CR478" s="67"/>
      <c r="CS478" s="67"/>
      <c r="CT478" s="67"/>
      <c r="CU478" s="67"/>
      <c r="CV478" s="67"/>
      <c r="CW478" s="67"/>
      <c r="CX478" s="67"/>
      <c r="CY478" s="67"/>
      <c r="CZ478" s="67"/>
      <c r="DA478" s="67"/>
      <c r="DB478" s="67"/>
      <c r="DC478" s="67"/>
      <c r="DD478" s="67"/>
      <c r="DE478" s="67"/>
      <c r="DF478" s="67"/>
    </row>
    <row r="479">
      <c r="A479" s="62"/>
      <c r="B479" s="88"/>
      <c r="C479" s="88"/>
      <c r="D479" s="88"/>
      <c r="E479" s="90"/>
      <c r="F479" s="91"/>
      <c r="G479" s="49"/>
      <c r="H479" s="70"/>
      <c r="I479" s="88"/>
      <c r="J479" s="88"/>
      <c r="K479" s="88"/>
      <c r="L479" s="90"/>
      <c r="M479" s="91"/>
      <c r="N479" s="49"/>
      <c r="O479" s="71"/>
      <c r="P479" s="92"/>
      <c r="Q479" s="71"/>
      <c r="R479" s="92"/>
      <c r="S479" s="71"/>
      <c r="T479" s="71"/>
      <c r="U479" s="68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29"/>
      <c r="AN479" s="67"/>
      <c r="AO479" s="67"/>
      <c r="AP479" s="67"/>
      <c r="AQ479" s="67"/>
      <c r="AR479" s="67"/>
      <c r="AS479" s="67"/>
      <c r="AT479" s="67"/>
      <c r="AU479" s="67"/>
      <c r="AV479" s="67"/>
      <c r="AW479" s="67"/>
      <c r="AX479" s="67"/>
      <c r="AY479" s="67"/>
      <c r="AZ479" s="67"/>
      <c r="BA479" s="67"/>
      <c r="BB479" s="67"/>
      <c r="BC479" s="67"/>
      <c r="BD479" s="67"/>
      <c r="BE479" s="67"/>
      <c r="BF479" s="67"/>
      <c r="BG479" s="67"/>
      <c r="BH479" s="67"/>
      <c r="BI479" s="67"/>
      <c r="BJ479" s="67"/>
      <c r="BK479" s="67"/>
      <c r="BL479" s="67"/>
      <c r="BM479" s="67"/>
      <c r="BN479" s="67"/>
      <c r="BO479" s="67"/>
      <c r="BP479" s="67"/>
      <c r="BQ479" s="67"/>
      <c r="BR479" s="67"/>
      <c r="BS479" s="67"/>
      <c r="BT479" s="67"/>
      <c r="BU479" s="67"/>
      <c r="BV479" s="67"/>
      <c r="BW479" s="67"/>
      <c r="BX479" s="67"/>
      <c r="BY479" s="67"/>
      <c r="BZ479" s="67"/>
      <c r="CA479" s="67"/>
      <c r="CB479" s="67"/>
      <c r="CC479" s="67"/>
      <c r="CD479" s="67"/>
      <c r="CE479" s="67"/>
      <c r="CF479" s="67"/>
      <c r="CG479" s="67"/>
      <c r="CH479" s="67"/>
      <c r="CI479" s="67"/>
      <c r="CJ479" s="67"/>
      <c r="CK479" s="67"/>
      <c r="CL479" s="67"/>
      <c r="CM479" s="67"/>
      <c r="CN479" s="67"/>
      <c r="CO479" s="67"/>
      <c r="CP479" s="67"/>
      <c r="CQ479" s="67"/>
      <c r="CR479" s="67"/>
      <c r="CS479" s="67"/>
      <c r="CT479" s="67"/>
      <c r="CU479" s="67"/>
      <c r="CV479" s="67"/>
      <c r="CW479" s="67"/>
      <c r="CX479" s="67"/>
      <c r="CY479" s="67"/>
      <c r="CZ479" s="67"/>
      <c r="DA479" s="67"/>
      <c r="DB479" s="67"/>
      <c r="DC479" s="67"/>
      <c r="DD479" s="67"/>
      <c r="DE479" s="67"/>
      <c r="DF479" s="67"/>
    </row>
    <row r="480">
      <c r="A480" s="62"/>
      <c r="B480" s="88"/>
      <c r="C480" s="88"/>
      <c r="D480" s="88"/>
      <c r="E480" s="90"/>
      <c r="F480" s="91"/>
      <c r="G480" s="49"/>
      <c r="H480" s="70"/>
      <c r="I480" s="88"/>
      <c r="J480" s="88"/>
      <c r="K480" s="88"/>
      <c r="L480" s="90"/>
      <c r="M480" s="91"/>
      <c r="N480" s="49"/>
      <c r="O480" s="71"/>
      <c r="P480" s="92"/>
      <c r="Q480" s="71"/>
      <c r="R480" s="92"/>
      <c r="S480" s="71"/>
      <c r="T480" s="71"/>
      <c r="U480" s="68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29"/>
      <c r="AN480" s="67"/>
      <c r="AO480" s="67"/>
      <c r="AP480" s="67"/>
      <c r="AQ480" s="67"/>
      <c r="AR480" s="67"/>
      <c r="AS480" s="67"/>
      <c r="AT480" s="67"/>
      <c r="AU480" s="67"/>
      <c r="AV480" s="67"/>
      <c r="AW480" s="67"/>
      <c r="AX480" s="67"/>
      <c r="AY480" s="67"/>
      <c r="AZ480" s="67"/>
      <c r="BA480" s="67"/>
      <c r="BB480" s="67"/>
      <c r="BC480" s="67"/>
      <c r="BD480" s="67"/>
      <c r="BE480" s="67"/>
      <c r="BF480" s="67"/>
      <c r="BG480" s="67"/>
      <c r="BH480" s="67"/>
      <c r="BI480" s="67"/>
      <c r="BJ480" s="67"/>
      <c r="BK480" s="67"/>
      <c r="BL480" s="67"/>
      <c r="BM480" s="67"/>
      <c r="BN480" s="67"/>
      <c r="BO480" s="67"/>
      <c r="BP480" s="67"/>
      <c r="BQ480" s="67"/>
      <c r="BR480" s="67"/>
      <c r="BS480" s="67"/>
      <c r="BT480" s="67"/>
      <c r="BU480" s="67"/>
      <c r="BV480" s="67"/>
      <c r="BW480" s="67"/>
      <c r="BX480" s="67"/>
      <c r="BY480" s="67"/>
      <c r="BZ480" s="67"/>
      <c r="CA480" s="67"/>
      <c r="CB480" s="67"/>
      <c r="CC480" s="67"/>
      <c r="CD480" s="67"/>
      <c r="CE480" s="67"/>
      <c r="CF480" s="67"/>
      <c r="CG480" s="67"/>
      <c r="CH480" s="67"/>
      <c r="CI480" s="67"/>
      <c r="CJ480" s="67"/>
      <c r="CK480" s="67"/>
      <c r="CL480" s="67"/>
      <c r="CM480" s="67"/>
      <c r="CN480" s="67"/>
      <c r="CO480" s="67"/>
      <c r="CP480" s="67"/>
      <c r="CQ480" s="67"/>
      <c r="CR480" s="67"/>
      <c r="CS480" s="67"/>
      <c r="CT480" s="67"/>
      <c r="CU480" s="67"/>
      <c r="CV480" s="67"/>
      <c r="CW480" s="67"/>
      <c r="CX480" s="67"/>
      <c r="CY480" s="67"/>
      <c r="CZ480" s="67"/>
      <c r="DA480" s="67"/>
      <c r="DB480" s="67"/>
      <c r="DC480" s="67"/>
      <c r="DD480" s="67"/>
      <c r="DE480" s="67"/>
      <c r="DF480" s="67"/>
    </row>
    <row r="481">
      <c r="A481" s="62"/>
      <c r="B481" s="88"/>
      <c r="C481" s="88"/>
      <c r="D481" s="88"/>
      <c r="E481" s="90"/>
      <c r="F481" s="91"/>
      <c r="G481" s="49"/>
      <c r="H481" s="70"/>
      <c r="I481" s="88"/>
      <c r="J481" s="88"/>
      <c r="K481" s="88"/>
      <c r="L481" s="90"/>
      <c r="M481" s="91"/>
      <c r="N481" s="49"/>
      <c r="O481" s="71"/>
      <c r="P481" s="92"/>
      <c r="Q481" s="71"/>
      <c r="R481" s="92"/>
      <c r="S481" s="71"/>
      <c r="T481" s="71"/>
      <c r="U481" s="68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29"/>
      <c r="AN481" s="67"/>
      <c r="AO481" s="67"/>
      <c r="AP481" s="67"/>
      <c r="AQ481" s="67"/>
      <c r="AR481" s="67"/>
      <c r="AS481" s="67"/>
      <c r="AT481" s="67"/>
      <c r="AU481" s="67"/>
      <c r="AV481" s="67"/>
      <c r="AW481" s="67"/>
      <c r="AX481" s="67"/>
      <c r="AY481" s="67"/>
      <c r="AZ481" s="67"/>
      <c r="BA481" s="67"/>
      <c r="BB481" s="67"/>
      <c r="BC481" s="67"/>
      <c r="BD481" s="67"/>
      <c r="BE481" s="67"/>
      <c r="BF481" s="67"/>
      <c r="BG481" s="67"/>
      <c r="BH481" s="67"/>
      <c r="BI481" s="67"/>
      <c r="BJ481" s="67"/>
      <c r="BK481" s="67"/>
      <c r="BL481" s="67"/>
      <c r="BM481" s="67"/>
      <c r="BN481" s="67"/>
      <c r="BO481" s="67"/>
      <c r="BP481" s="67"/>
      <c r="BQ481" s="67"/>
      <c r="BR481" s="67"/>
      <c r="BS481" s="67"/>
      <c r="BT481" s="67"/>
      <c r="BU481" s="67"/>
      <c r="BV481" s="67"/>
      <c r="BW481" s="67"/>
      <c r="BX481" s="67"/>
      <c r="BY481" s="67"/>
      <c r="BZ481" s="67"/>
      <c r="CA481" s="67"/>
      <c r="CB481" s="67"/>
      <c r="CC481" s="67"/>
      <c r="CD481" s="67"/>
      <c r="CE481" s="67"/>
      <c r="CF481" s="67"/>
      <c r="CG481" s="67"/>
      <c r="CH481" s="67"/>
      <c r="CI481" s="67"/>
      <c r="CJ481" s="67"/>
      <c r="CK481" s="67"/>
      <c r="CL481" s="67"/>
      <c r="CM481" s="67"/>
      <c r="CN481" s="67"/>
      <c r="CO481" s="67"/>
      <c r="CP481" s="67"/>
      <c r="CQ481" s="67"/>
      <c r="CR481" s="67"/>
      <c r="CS481" s="67"/>
      <c r="CT481" s="67"/>
      <c r="CU481" s="67"/>
      <c r="CV481" s="67"/>
      <c r="CW481" s="67"/>
      <c r="CX481" s="67"/>
      <c r="CY481" s="67"/>
      <c r="CZ481" s="67"/>
      <c r="DA481" s="67"/>
      <c r="DB481" s="67"/>
      <c r="DC481" s="67"/>
      <c r="DD481" s="67"/>
      <c r="DE481" s="67"/>
      <c r="DF481" s="67"/>
    </row>
    <row r="482">
      <c r="A482" s="62"/>
      <c r="B482" s="88"/>
      <c r="C482" s="88"/>
      <c r="D482" s="88"/>
      <c r="E482" s="90"/>
      <c r="F482" s="91"/>
      <c r="G482" s="49"/>
      <c r="H482" s="70"/>
      <c r="I482" s="88"/>
      <c r="J482" s="88"/>
      <c r="K482" s="88"/>
      <c r="L482" s="90"/>
      <c r="M482" s="91"/>
      <c r="N482" s="49"/>
      <c r="O482" s="71"/>
      <c r="P482" s="92"/>
      <c r="Q482" s="71"/>
      <c r="R482" s="92"/>
      <c r="S482" s="71"/>
      <c r="T482" s="71"/>
      <c r="U482" s="68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29"/>
      <c r="AN482" s="67"/>
      <c r="AO482" s="67"/>
      <c r="AP482" s="67"/>
      <c r="AQ482" s="67"/>
      <c r="AR482" s="67"/>
      <c r="AS482" s="67"/>
      <c r="AT482" s="67"/>
      <c r="AU482" s="67"/>
      <c r="AV482" s="67"/>
      <c r="AW482" s="67"/>
      <c r="AX482" s="67"/>
      <c r="AY482" s="67"/>
      <c r="AZ482" s="67"/>
      <c r="BA482" s="67"/>
      <c r="BB482" s="67"/>
      <c r="BC482" s="67"/>
      <c r="BD482" s="67"/>
      <c r="BE482" s="67"/>
      <c r="BF482" s="67"/>
      <c r="BG482" s="67"/>
      <c r="BH482" s="67"/>
      <c r="BI482" s="67"/>
      <c r="BJ482" s="67"/>
      <c r="BK482" s="67"/>
      <c r="BL482" s="67"/>
      <c r="BM482" s="67"/>
      <c r="BN482" s="67"/>
      <c r="BO482" s="67"/>
      <c r="BP482" s="67"/>
      <c r="BQ482" s="67"/>
      <c r="BR482" s="67"/>
      <c r="BS482" s="67"/>
      <c r="BT482" s="67"/>
      <c r="BU482" s="67"/>
      <c r="BV482" s="67"/>
      <c r="BW482" s="67"/>
      <c r="BX482" s="67"/>
      <c r="BY482" s="67"/>
      <c r="BZ482" s="67"/>
      <c r="CA482" s="67"/>
      <c r="CB482" s="67"/>
      <c r="CC482" s="67"/>
      <c r="CD482" s="67"/>
      <c r="CE482" s="67"/>
      <c r="CF482" s="67"/>
      <c r="CG482" s="67"/>
      <c r="CH482" s="67"/>
      <c r="CI482" s="67"/>
      <c r="CJ482" s="67"/>
      <c r="CK482" s="67"/>
      <c r="CL482" s="67"/>
      <c r="CM482" s="67"/>
      <c r="CN482" s="67"/>
      <c r="CO482" s="67"/>
      <c r="CP482" s="67"/>
      <c r="CQ482" s="67"/>
      <c r="CR482" s="67"/>
      <c r="CS482" s="67"/>
      <c r="CT482" s="67"/>
      <c r="CU482" s="67"/>
      <c r="CV482" s="67"/>
      <c r="CW482" s="67"/>
      <c r="CX482" s="67"/>
      <c r="CY482" s="67"/>
      <c r="CZ482" s="67"/>
      <c r="DA482" s="67"/>
      <c r="DB482" s="67"/>
      <c r="DC482" s="67"/>
      <c r="DD482" s="67"/>
      <c r="DE482" s="67"/>
      <c r="DF482" s="67"/>
    </row>
    <row r="483">
      <c r="A483" s="62"/>
      <c r="B483" s="88"/>
      <c r="C483" s="88"/>
      <c r="D483" s="88"/>
      <c r="E483" s="90"/>
      <c r="F483" s="91"/>
      <c r="G483" s="49"/>
      <c r="H483" s="70"/>
      <c r="I483" s="88"/>
      <c r="J483" s="88"/>
      <c r="K483" s="88"/>
      <c r="L483" s="90"/>
      <c r="M483" s="91"/>
      <c r="N483" s="49"/>
      <c r="O483" s="71"/>
      <c r="P483" s="92"/>
      <c r="Q483" s="71"/>
      <c r="R483" s="92"/>
      <c r="S483" s="71"/>
      <c r="T483" s="71"/>
      <c r="U483" s="68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29"/>
      <c r="AN483" s="67"/>
      <c r="AO483" s="67"/>
      <c r="AP483" s="67"/>
      <c r="AQ483" s="67"/>
      <c r="AR483" s="67"/>
      <c r="AS483" s="67"/>
      <c r="AT483" s="67"/>
      <c r="AU483" s="67"/>
      <c r="AV483" s="67"/>
      <c r="AW483" s="67"/>
      <c r="AX483" s="67"/>
      <c r="AY483" s="67"/>
      <c r="AZ483" s="67"/>
      <c r="BA483" s="67"/>
      <c r="BB483" s="67"/>
      <c r="BC483" s="67"/>
      <c r="BD483" s="67"/>
      <c r="BE483" s="67"/>
      <c r="BF483" s="67"/>
      <c r="BG483" s="67"/>
      <c r="BH483" s="67"/>
      <c r="BI483" s="67"/>
      <c r="BJ483" s="67"/>
      <c r="BK483" s="67"/>
      <c r="BL483" s="67"/>
      <c r="BM483" s="67"/>
      <c r="BN483" s="67"/>
      <c r="BO483" s="67"/>
      <c r="BP483" s="67"/>
      <c r="BQ483" s="67"/>
      <c r="BR483" s="67"/>
      <c r="BS483" s="67"/>
      <c r="BT483" s="67"/>
      <c r="BU483" s="67"/>
      <c r="BV483" s="67"/>
      <c r="BW483" s="67"/>
      <c r="BX483" s="67"/>
      <c r="BY483" s="67"/>
      <c r="BZ483" s="67"/>
      <c r="CA483" s="67"/>
      <c r="CB483" s="67"/>
      <c r="CC483" s="67"/>
      <c r="CD483" s="67"/>
      <c r="CE483" s="67"/>
      <c r="CF483" s="67"/>
      <c r="CG483" s="67"/>
      <c r="CH483" s="67"/>
      <c r="CI483" s="67"/>
      <c r="CJ483" s="67"/>
      <c r="CK483" s="67"/>
      <c r="CL483" s="67"/>
      <c r="CM483" s="67"/>
      <c r="CN483" s="67"/>
      <c r="CO483" s="67"/>
      <c r="CP483" s="67"/>
      <c r="CQ483" s="67"/>
      <c r="CR483" s="67"/>
      <c r="CS483" s="67"/>
      <c r="CT483" s="67"/>
      <c r="CU483" s="67"/>
      <c r="CV483" s="67"/>
      <c r="CW483" s="67"/>
      <c r="CX483" s="67"/>
      <c r="CY483" s="67"/>
      <c r="CZ483" s="67"/>
      <c r="DA483" s="67"/>
      <c r="DB483" s="67"/>
      <c r="DC483" s="67"/>
      <c r="DD483" s="67"/>
      <c r="DE483" s="67"/>
      <c r="DF483" s="67"/>
    </row>
    <row r="484">
      <c r="A484" s="62"/>
      <c r="B484" s="88"/>
      <c r="C484" s="88"/>
      <c r="D484" s="88"/>
      <c r="E484" s="90"/>
      <c r="F484" s="91"/>
      <c r="G484" s="49"/>
      <c r="H484" s="70"/>
      <c r="I484" s="88"/>
      <c r="J484" s="88"/>
      <c r="K484" s="88"/>
      <c r="L484" s="90"/>
      <c r="M484" s="91"/>
      <c r="N484" s="49"/>
      <c r="O484" s="71"/>
      <c r="P484" s="92"/>
      <c r="Q484" s="71"/>
      <c r="R484" s="92"/>
      <c r="S484" s="71"/>
      <c r="T484" s="71"/>
      <c r="U484" s="68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29"/>
      <c r="AN484" s="67"/>
      <c r="AO484" s="67"/>
      <c r="AP484" s="67"/>
      <c r="AQ484" s="67"/>
      <c r="AR484" s="67"/>
      <c r="AS484" s="67"/>
      <c r="AT484" s="67"/>
      <c r="AU484" s="67"/>
      <c r="AV484" s="67"/>
      <c r="AW484" s="67"/>
      <c r="AX484" s="67"/>
      <c r="AY484" s="67"/>
      <c r="AZ484" s="67"/>
      <c r="BA484" s="67"/>
      <c r="BB484" s="67"/>
      <c r="BC484" s="67"/>
      <c r="BD484" s="67"/>
      <c r="BE484" s="67"/>
      <c r="BF484" s="67"/>
      <c r="BG484" s="67"/>
      <c r="BH484" s="67"/>
      <c r="BI484" s="67"/>
      <c r="BJ484" s="67"/>
      <c r="BK484" s="67"/>
      <c r="BL484" s="67"/>
      <c r="BM484" s="67"/>
      <c r="BN484" s="67"/>
      <c r="BO484" s="67"/>
      <c r="BP484" s="67"/>
      <c r="BQ484" s="67"/>
      <c r="BR484" s="67"/>
      <c r="BS484" s="67"/>
      <c r="BT484" s="67"/>
      <c r="BU484" s="67"/>
      <c r="BV484" s="67"/>
      <c r="BW484" s="67"/>
      <c r="BX484" s="67"/>
      <c r="BY484" s="67"/>
      <c r="BZ484" s="67"/>
      <c r="CA484" s="67"/>
      <c r="CB484" s="67"/>
      <c r="CC484" s="67"/>
      <c r="CD484" s="67"/>
      <c r="CE484" s="67"/>
      <c r="CF484" s="67"/>
      <c r="CG484" s="67"/>
      <c r="CH484" s="67"/>
      <c r="CI484" s="67"/>
      <c r="CJ484" s="67"/>
      <c r="CK484" s="67"/>
      <c r="CL484" s="67"/>
      <c r="CM484" s="67"/>
      <c r="CN484" s="67"/>
      <c r="CO484" s="67"/>
      <c r="CP484" s="67"/>
      <c r="CQ484" s="67"/>
      <c r="CR484" s="67"/>
      <c r="CS484" s="67"/>
      <c r="CT484" s="67"/>
      <c r="CU484" s="67"/>
      <c r="CV484" s="67"/>
      <c r="CW484" s="67"/>
      <c r="CX484" s="67"/>
      <c r="CY484" s="67"/>
      <c r="CZ484" s="67"/>
      <c r="DA484" s="67"/>
      <c r="DB484" s="67"/>
      <c r="DC484" s="67"/>
      <c r="DD484" s="67"/>
      <c r="DE484" s="67"/>
      <c r="DF484" s="67"/>
    </row>
    <row r="485">
      <c r="A485" s="62"/>
      <c r="B485" s="88"/>
      <c r="C485" s="88"/>
      <c r="D485" s="88"/>
      <c r="E485" s="90"/>
      <c r="F485" s="91"/>
      <c r="G485" s="49"/>
      <c r="H485" s="70"/>
      <c r="I485" s="88"/>
      <c r="J485" s="88"/>
      <c r="K485" s="88"/>
      <c r="L485" s="90"/>
      <c r="M485" s="91"/>
      <c r="N485" s="49"/>
      <c r="O485" s="71"/>
      <c r="P485" s="92"/>
      <c r="Q485" s="71"/>
      <c r="R485" s="92"/>
      <c r="S485" s="71"/>
      <c r="T485" s="71"/>
      <c r="U485" s="68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29"/>
      <c r="AN485" s="67"/>
      <c r="AO485" s="67"/>
      <c r="AP485" s="67"/>
      <c r="AQ485" s="67"/>
      <c r="AR485" s="67"/>
      <c r="AS485" s="67"/>
      <c r="AT485" s="67"/>
      <c r="AU485" s="67"/>
      <c r="AV485" s="67"/>
      <c r="AW485" s="67"/>
      <c r="AX485" s="67"/>
      <c r="AY485" s="67"/>
      <c r="AZ485" s="67"/>
      <c r="BA485" s="67"/>
      <c r="BB485" s="67"/>
      <c r="BC485" s="67"/>
      <c r="BD485" s="67"/>
      <c r="BE485" s="67"/>
      <c r="BF485" s="67"/>
      <c r="BG485" s="67"/>
      <c r="BH485" s="67"/>
      <c r="BI485" s="67"/>
      <c r="BJ485" s="67"/>
      <c r="BK485" s="67"/>
      <c r="BL485" s="67"/>
      <c r="BM485" s="67"/>
      <c r="BN485" s="67"/>
      <c r="BO485" s="67"/>
      <c r="BP485" s="67"/>
      <c r="BQ485" s="67"/>
      <c r="BR485" s="67"/>
      <c r="BS485" s="67"/>
      <c r="BT485" s="67"/>
      <c r="BU485" s="67"/>
      <c r="BV485" s="67"/>
      <c r="BW485" s="67"/>
      <c r="BX485" s="67"/>
      <c r="BY485" s="67"/>
      <c r="BZ485" s="67"/>
      <c r="CA485" s="67"/>
      <c r="CB485" s="67"/>
      <c r="CC485" s="67"/>
      <c r="CD485" s="67"/>
      <c r="CE485" s="67"/>
      <c r="CF485" s="67"/>
      <c r="CG485" s="67"/>
      <c r="CH485" s="67"/>
      <c r="CI485" s="67"/>
      <c r="CJ485" s="67"/>
      <c r="CK485" s="67"/>
      <c r="CL485" s="67"/>
      <c r="CM485" s="67"/>
      <c r="CN485" s="67"/>
      <c r="CO485" s="67"/>
      <c r="CP485" s="67"/>
      <c r="CQ485" s="67"/>
      <c r="CR485" s="67"/>
      <c r="CS485" s="67"/>
      <c r="CT485" s="67"/>
      <c r="CU485" s="67"/>
      <c r="CV485" s="67"/>
      <c r="CW485" s="67"/>
      <c r="CX485" s="67"/>
      <c r="CY485" s="67"/>
      <c r="CZ485" s="67"/>
      <c r="DA485" s="67"/>
      <c r="DB485" s="67"/>
      <c r="DC485" s="67"/>
      <c r="DD485" s="67"/>
      <c r="DE485" s="67"/>
      <c r="DF485" s="67"/>
    </row>
    <row r="486">
      <c r="A486" s="62"/>
      <c r="B486" s="88"/>
      <c r="C486" s="88"/>
      <c r="D486" s="88"/>
      <c r="E486" s="90"/>
      <c r="F486" s="91"/>
      <c r="G486" s="49"/>
      <c r="H486" s="70"/>
      <c r="I486" s="88"/>
      <c r="J486" s="88"/>
      <c r="K486" s="88"/>
      <c r="L486" s="90"/>
      <c r="M486" s="91"/>
      <c r="N486" s="49"/>
      <c r="O486" s="71"/>
      <c r="P486" s="92"/>
      <c r="Q486" s="71"/>
      <c r="R486" s="92"/>
      <c r="S486" s="71"/>
      <c r="T486" s="71"/>
      <c r="U486" s="68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29"/>
      <c r="AN486" s="67"/>
      <c r="AO486" s="67"/>
      <c r="AP486" s="67"/>
      <c r="AQ486" s="67"/>
      <c r="AR486" s="67"/>
      <c r="AS486" s="67"/>
      <c r="AT486" s="67"/>
      <c r="AU486" s="67"/>
      <c r="AV486" s="67"/>
      <c r="AW486" s="67"/>
      <c r="AX486" s="67"/>
      <c r="AY486" s="67"/>
      <c r="AZ486" s="67"/>
      <c r="BA486" s="67"/>
      <c r="BB486" s="67"/>
      <c r="BC486" s="67"/>
      <c r="BD486" s="67"/>
      <c r="BE486" s="67"/>
      <c r="BF486" s="67"/>
      <c r="BG486" s="67"/>
      <c r="BH486" s="67"/>
      <c r="BI486" s="67"/>
      <c r="BJ486" s="67"/>
      <c r="BK486" s="67"/>
      <c r="BL486" s="67"/>
      <c r="BM486" s="67"/>
      <c r="BN486" s="67"/>
      <c r="BO486" s="67"/>
      <c r="BP486" s="67"/>
      <c r="BQ486" s="67"/>
      <c r="BR486" s="67"/>
      <c r="BS486" s="67"/>
      <c r="BT486" s="67"/>
      <c r="BU486" s="67"/>
      <c r="BV486" s="67"/>
      <c r="BW486" s="67"/>
      <c r="BX486" s="67"/>
      <c r="BY486" s="67"/>
      <c r="BZ486" s="67"/>
      <c r="CA486" s="67"/>
      <c r="CB486" s="67"/>
      <c r="CC486" s="67"/>
      <c r="CD486" s="67"/>
      <c r="CE486" s="67"/>
      <c r="CF486" s="67"/>
      <c r="CG486" s="67"/>
      <c r="CH486" s="67"/>
      <c r="CI486" s="67"/>
      <c r="CJ486" s="67"/>
      <c r="CK486" s="67"/>
      <c r="CL486" s="67"/>
      <c r="CM486" s="67"/>
      <c r="CN486" s="67"/>
      <c r="CO486" s="67"/>
      <c r="CP486" s="67"/>
      <c r="CQ486" s="67"/>
      <c r="CR486" s="67"/>
      <c r="CS486" s="67"/>
      <c r="CT486" s="67"/>
      <c r="CU486" s="67"/>
      <c r="CV486" s="67"/>
      <c r="CW486" s="67"/>
      <c r="CX486" s="67"/>
      <c r="CY486" s="67"/>
      <c r="CZ486" s="67"/>
      <c r="DA486" s="67"/>
      <c r="DB486" s="67"/>
      <c r="DC486" s="67"/>
      <c r="DD486" s="67"/>
      <c r="DE486" s="67"/>
      <c r="DF486" s="67"/>
    </row>
    <row r="487">
      <c r="A487" s="62"/>
      <c r="B487" s="88"/>
      <c r="C487" s="88"/>
      <c r="D487" s="88"/>
      <c r="E487" s="90"/>
      <c r="F487" s="91"/>
      <c r="G487" s="49"/>
      <c r="H487" s="70"/>
      <c r="I487" s="88"/>
      <c r="J487" s="88"/>
      <c r="K487" s="88"/>
      <c r="L487" s="90"/>
      <c r="M487" s="91"/>
      <c r="N487" s="49"/>
      <c r="O487" s="71"/>
      <c r="P487" s="92"/>
      <c r="Q487" s="71"/>
      <c r="R487" s="92"/>
      <c r="S487" s="71"/>
      <c r="T487" s="71"/>
      <c r="U487" s="68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29"/>
      <c r="AN487" s="67"/>
      <c r="AO487" s="67"/>
      <c r="AP487" s="67"/>
      <c r="AQ487" s="67"/>
      <c r="AR487" s="67"/>
      <c r="AS487" s="67"/>
      <c r="AT487" s="67"/>
      <c r="AU487" s="67"/>
      <c r="AV487" s="67"/>
      <c r="AW487" s="67"/>
      <c r="AX487" s="67"/>
      <c r="AY487" s="67"/>
      <c r="AZ487" s="67"/>
      <c r="BA487" s="67"/>
      <c r="BB487" s="67"/>
      <c r="BC487" s="67"/>
      <c r="BD487" s="67"/>
      <c r="BE487" s="67"/>
      <c r="BF487" s="67"/>
      <c r="BG487" s="67"/>
      <c r="BH487" s="67"/>
      <c r="BI487" s="67"/>
      <c r="BJ487" s="67"/>
      <c r="BK487" s="67"/>
      <c r="BL487" s="67"/>
      <c r="BM487" s="67"/>
      <c r="BN487" s="67"/>
      <c r="BO487" s="67"/>
      <c r="BP487" s="67"/>
      <c r="BQ487" s="67"/>
      <c r="BR487" s="67"/>
      <c r="BS487" s="67"/>
      <c r="BT487" s="67"/>
      <c r="BU487" s="67"/>
      <c r="BV487" s="67"/>
      <c r="BW487" s="67"/>
      <c r="BX487" s="67"/>
      <c r="BY487" s="67"/>
      <c r="BZ487" s="67"/>
      <c r="CA487" s="67"/>
      <c r="CB487" s="67"/>
      <c r="CC487" s="67"/>
      <c r="CD487" s="67"/>
      <c r="CE487" s="67"/>
      <c r="CF487" s="67"/>
      <c r="CG487" s="67"/>
      <c r="CH487" s="67"/>
      <c r="CI487" s="67"/>
      <c r="CJ487" s="67"/>
      <c r="CK487" s="67"/>
      <c r="CL487" s="67"/>
      <c r="CM487" s="67"/>
      <c r="CN487" s="67"/>
      <c r="CO487" s="67"/>
      <c r="CP487" s="67"/>
      <c r="CQ487" s="67"/>
      <c r="CR487" s="67"/>
      <c r="CS487" s="67"/>
      <c r="CT487" s="67"/>
      <c r="CU487" s="67"/>
      <c r="CV487" s="67"/>
      <c r="CW487" s="67"/>
      <c r="CX487" s="67"/>
      <c r="CY487" s="67"/>
      <c r="CZ487" s="67"/>
      <c r="DA487" s="67"/>
      <c r="DB487" s="67"/>
      <c r="DC487" s="67"/>
      <c r="DD487" s="67"/>
      <c r="DE487" s="67"/>
      <c r="DF487" s="67"/>
    </row>
    <row r="488">
      <c r="A488" s="62"/>
      <c r="B488" s="88"/>
      <c r="C488" s="88"/>
      <c r="D488" s="88"/>
      <c r="E488" s="90"/>
      <c r="F488" s="91"/>
      <c r="G488" s="49"/>
      <c r="H488" s="70"/>
      <c r="I488" s="88"/>
      <c r="J488" s="88"/>
      <c r="K488" s="88"/>
      <c r="L488" s="90"/>
      <c r="M488" s="91"/>
      <c r="N488" s="49"/>
      <c r="O488" s="71"/>
      <c r="P488" s="92"/>
      <c r="Q488" s="71"/>
      <c r="R488" s="92"/>
      <c r="S488" s="71"/>
      <c r="T488" s="71"/>
      <c r="U488" s="68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29"/>
      <c r="AN488" s="67"/>
      <c r="AO488" s="67"/>
      <c r="AP488" s="67"/>
      <c r="AQ488" s="67"/>
      <c r="AR488" s="67"/>
      <c r="AS488" s="67"/>
      <c r="AT488" s="67"/>
      <c r="AU488" s="67"/>
      <c r="AV488" s="67"/>
      <c r="AW488" s="67"/>
      <c r="AX488" s="67"/>
      <c r="AY488" s="67"/>
      <c r="AZ488" s="67"/>
      <c r="BA488" s="67"/>
      <c r="BB488" s="67"/>
      <c r="BC488" s="67"/>
      <c r="BD488" s="67"/>
      <c r="BE488" s="67"/>
      <c r="BF488" s="67"/>
      <c r="BG488" s="67"/>
      <c r="BH488" s="67"/>
      <c r="BI488" s="67"/>
      <c r="BJ488" s="67"/>
      <c r="BK488" s="67"/>
      <c r="BL488" s="67"/>
      <c r="BM488" s="67"/>
      <c r="BN488" s="67"/>
      <c r="BO488" s="67"/>
      <c r="BP488" s="67"/>
      <c r="BQ488" s="67"/>
      <c r="BR488" s="67"/>
      <c r="BS488" s="67"/>
      <c r="BT488" s="67"/>
      <c r="BU488" s="67"/>
      <c r="BV488" s="67"/>
      <c r="BW488" s="67"/>
      <c r="BX488" s="67"/>
      <c r="BY488" s="67"/>
      <c r="BZ488" s="67"/>
      <c r="CA488" s="67"/>
      <c r="CB488" s="67"/>
      <c r="CC488" s="67"/>
      <c r="CD488" s="67"/>
      <c r="CE488" s="67"/>
      <c r="CF488" s="67"/>
      <c r="CG488" s="67"/>
      <c r="CH488" s="67"/>
      <c r="CI488" s="67"/>
      <c r="CJ488" s="67"/>
      <c r="CK488" s="67"/>
      <c r="CL488" s="67"/>
      <c r="CM488" s="67"/>
      <c r="CN488" s="67"/>
      <c r="CO488" s="67"/>
      <c r="CP488" s="67"/>
      <c r="CQ488" s="67"/>
      <c r="CR488" s="67"/>
      <c r="CS488" s="67"/>
      <c r="CT488" s="67"/>
      <c r="CU488" s="67"/>
      <c r="CV488" s="67"/>
      <c r="CW488" s="67"/>
      <c r="CX488" s="67"/>
      <c r="CY488" s="67"/>
      <c r="CZ488" s="67"/>
      <c r="DA488" s="67"/>
      <c r="DB488" s="67"/>
      <c r="DC488" s="67"/>
      <c r="DD488" s="67"/>
      <c r="DE488" s="67"/>
      <c r="DF488" s="67"/>
    </row>
    <row r="489">
      <c r="A489" s="62"/>
      <c r="B489" s="88"/>
      <c r="C489" s="88"/>
      <c r="D489" s="88"/>
      <c r="E489" s="90"/>
      <c r="F489" s="91"/>
      <c r="G489" s="49"/>
      <c r="H489" s="70"/>
      <c r="I489" s="88"/>
      <c r="J489" s="88"/>
      <c r="K489" s="88"/>
      <c r="L489" s="90"/>
      <c r="M489" s="91"/>
      <c r="N489" s="49"/>
      <c r="O489" s="71"/>
      <c r="P489" s="92"/>
      <c r="Q489" s="71"/>
      <c r="R489" s="92"/>
      <c r="S489" s="71"/>
      <c r="T489" s="71"/>
      <c r="U489" s="68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29"/>
      <c r="AN489" s="67"/>
      <c r="AO489" s="67"/>
      <c r="AP489" s="67"/>
      <c r="AQ489" s="67"/>
      <c r="AR489" s="67"/>
      <c r="AS489" s="67"/>
      <c r="AT489" s="67"/>
      <c r="AU489" s="67"/>
      <c r="AV489" s="67"/>
      <c r="AW489" s="67"/>
      <c r="AX489" s="67"/>
      <c r="AY489" s="67"/>
      <c r="AZ489" s="67"/>
      <c r="BA489" s="67"/>
      <c r="BB489" s="67"/>
      <c r="BC489" s="67"/>
      <c r="BD489" s="67"/>
      <c r="BE489" s="67"/>
      <c r="BF489" s="67"/>
      <c r="BG489" s="67"/>
      <c r="BH489" s="67"/>
      <c r="BI489" s="67"/>
      <c r="BJ489" s="67"/>
      <c r="BK489" s="67"/>
      <c r="BL489" s="67"/>
      <c r="BM489" s="67"/>
      <c r="BN489" s="67"/>
      <c r="BO489" s="67"/>
      <c r="BP489" s="67"/>
      <c r="BQ489" s="67"/>
      <c r="BR489" s="67"/>
      <c r="BS489" s="67"/>
      <c r="BT489" s="67"/>
      <c r="BU489" s="67"/>
      <c r="BV489" s="67"/>
      <c r="BW489" s="67"/>
      <c r="BX489" s="67"/>
      <c r="BY489" s="67"/>
      <c r="BZ489" s="67"/>
      <c r="CA489" s="67"/>
      <c r="CB489" s="67"/>
      <c r="CC489" s="67"/>
      <c r="CD489" s="67"/>
      <c r="CE489" s="67"/>
      <c r="CF489" s="67"/>
      <c r="CG489" s="67"/>
      <c r="CH489" s="67"/>
      <c r="CI489" s="67"/>
      <c r="CJ489" s="67"/>
      <c r="CK489" s="67"/>
      <c r="CL489" s="67"/>
      <c r="CM489" s="67"/>
      <c r="CN489" s="67"/>
      <c r="CO489" s="67"/>
      <c r="CP489" s="67"/>
      <c r="CQ489" s="67"/>
      <c r="CR489" s="67"/>
      <c r="CS489" s="67"/>
      <c r="CT489" s="67"/>
      <c r="CU489" s="67"/>
      <c r="CV489" s="67"/>
      <c r="CW489" s="67"/>
      <c r="CX489" s="67"/>
      <c r="CY489" s="67"/>
      <c r="CZ489" s="67"/>
      <c r="DA489" s="67"/>
      <c r="DB489" s="67"/>
      <c r="DC489" s="67"/>
      <c r="DD489" s="67"/>
      <c r="DE489" s="67"/>
      <c r="DF489" s="67"/>
    </row>
    <row r="490">
      <c r="A490" s="62"/>
      <c r="B490" s="88"/>
      <c r="C490" s="88"/>
      <c r="D490" s="88"/>
      <c r="E490" s="90"/>
      <c r="F490" s="91"/>
      <c r="G490" s="49"/>
      <c r="H490" s="70"/>
      <c r="I490" s="88"/>
      <c r="J490" s="88"/>
      <c r="K490" s="88"/>
      <c r="L490" s="90"/>
      <c r="M490" s="91"/>
      <c r="N490" s="49"/>
      <c r="O490" s="71"/>
      <c r="P490" s="92"/>
      <c r="Q490" s="71"/>
      <c r="R490" s="92"/>
      <c r="S490" s="71"/>
      <c r="T490" s="71"/>
      <c r="U490" s="68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29"/>
      <c r="AN490" s="67"/>
      <c r="AO490" s="67"/>
      <c r="AP490" s="67"/>
      <c r="AQ490" s="67"/>
      <c r="AR490" s="67"/>
      <c r="AS490" s="67"/>
      <c r="AT490" s="67"/>
      <c r="AU490" s="67"/>
      <c r="AV490" s="67"/>
      <c r="AW490" s="67"/>
      <c r="AX490" s="67"/>
      <c r="AY490" s="67"/>
      <c r="AZ490" s="67"/>
      <c r="BA490" s="67"/>
      <c r="BB490" s="67"/>
      <c r="BC490" s="67"/>
      <c r="BD490" s="67"/>
      <c r="BE490" s="67"/>
      <c r="BF490" s="67"/>
      <c r="BG490" s="67"/>
      <c r="BH490" s="67"/>
      <c r="BI490" s="67"/>
      <c r="BJ490" s="67"/>
      <c r="BK490" s="67"/>
      <c r="BL490" s="67"/>
      <c r="BM490" s="67"/>
      <c r="BN490" s="67"/>
      <c r="BO490" s="67"/>
      <c r="BP490" s="67"/>
      <c r="BQ490" s="67"/>
      <c r="BR490" s="67"/>
      <c r="BS490" s="67"/>
      <c r="BT490" s="67"/>
      <c r="BU490" s="67"/>
      <c r="BV490" s="67"/>
      <c r="BW490" s="67"/>
      <c r="BX490" s="67"/>
      <c r="BY490" s="67"/>
      <c r="BZ490" s="67"/>
      <c r="CA490" s="67"/>
      <c r="CB490" s="67"/>
      <c r="CC490" s="67"/>
      <c r="CD490" s="67"/>
      <c r="CE490" s="67"/>
      <c r="CF490" s="67"/>
      <c r="CG490" s="67"/>
      <c r="CH490" s="67"/>
      <c r="CI490" s="67"/>
      <c r="CJ490" s="67"/>
      <c r="CK490" s="67"/>
      <c r="CL490" s="67"/>
      <c r="CM490" s="67"/>
      <c r="CN490" s="67"/>
      <c r="CO490" s="67"/>
      <c r="CP490" s="67"/>
      <c r="CQ490" s="67"/>
      <c r="CR490" s="67"/>
      <c r="CS490" s="67"/>
      <c r="CT490" s="67"/>
      <c r="CU490" s="67"/>
      <c r="CV490" s="67"/>
      <c r="CW490" s="67"/>
      <c r="CX490" s="67"/>
      <c r="CY490" s="67"/>
      <c r="CZ490" s="67"/>
      <c r="DA490" s="67"/>
      <c r="DB490" s="67"/>
      <c r="DC490" s="67"/>
      <c r="DD490" s="67"/>
      <c r="DE490" s="67"/>
      <c r="DF490" s="67"/>
    </row>
    <row r="491">
      <c r="A491" s="62"/>
      <c r="B491" s="88"/>
      <c r="C491" s="88"/>
      <c r="D491" s="88"/>
      <c r="E491" s="90"/>
      <c r="F491" s="91"/>
      <c r="G491" s="49"/>
      <c r="H491" s="70"/>
      <c r="I491" s="88"/>
      <c r="J491" s="88"/>
      <c r="K491" s="88"/>
      <c r="L491" s="90"/>
      <c r="M491" s="91"/>
      <c r="N491" s="49"/>
      <c r="O491" s="71"/>
      <c r="P491" s="92"/>
      <c r="Q491" s="71"/>
      <c r="R491" s="92"/>
      <c r="S491" s="71"/>
      <c r="T491" s="71"/>
      <c r="U491" s="68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29"/>
      <c r="AN491" s="67"/>
      <c r="AO491" s="67"/>
      <c r="AP491" s="67"/>
      <c r="AQ491" s="67"/>
      <c r="AR491" s="67"/>
      <c r="AS491" s="67"/>
      <c r="AT491" s="67"/>
      <c r="AU491" s="67"/>
      <c r="AV491" s="67"/>
      <c r="AW491" s="67"/>
      <c r="AX491" s="67"/>
      <c r="AY491" s="67"/>
      <c r="AZ491" s="67"/>
      <c r="BA491" s="67"/>
      <c r="BB491" s="67"/>
      <c r="BC491" s="67"/>
      <c r="BD491" s="67"/>
      <c r="BE491" s="67"/>
      <c r="BF491" s="67"/>
      <c r="BG491" s="67"/>
      <c r="BH491" s="67"/>
      <c r="BI491" s="67"/>
      <c r="BJ491" s="67"/>
      <c r="BK491" s="67"/>
      <c r="BL491" s="67"/>
      <c r="BM491" s="67"/>
      <c r="BN491" s="67"/>
      <c r="BO491" s="67"/>
      <c r="BP491" s="67"/>
      <c r="BQ491" s="67"/>
      <c r="BR491" s="67"/>
      <c r="BS491" s="67"/>
      <c r="BT491" s="67"/>
      <c r="BU491" s="67"/>
      <c r="BV491" s="67"/>
      <c r="BW491" s="67"/>
      <c r="BX491" s="67"/>
      <c r="BY491" s="67"/>
      <c r="BZ491" s="67"/>
      <c r="CA491" s="67"/>
      <c r="CB491" s="67"/>
      <c r="CC491" s="67"/>
      <c r="CD491" s="67"/>
      <c r="CE491" s="67"/>
      <c r="CF491" s="67"/>
      <c r="CG491" s="67"/>
      <c r="CH491" s="67"/>
      <c r="CI491" s="67"/>
      <c r="CJ491" s="67"/>
      <c r="CK491" s="67"/>
      <c r="CL491" s="67"/>
      <c r="CM491" s="67"/>
      <c r="CN491" s="67"/>
      <c r="CO491" s="67"/>
      <c r="CP491" s="67"/>
      <c r="CQ491" s="67"/>
      <c r="CR491" s="67"/>
      <c r="CS491" s="67"/>
      <c r="CT491" s="67"/>
      <c r="CU491" s="67"/>
      <c r="CV491" s="67"/>
      <c r="CW491" s="67"/>
      <c r="CX491" s="67"/>
      <c r="CY491" s="67"/>
      <c r="CZ491" s="67"/>
      <c r="DA491" s="67"/>
      <c r="DB491" s="67"/>
      <c r="DC491" s="67"/>
      <c r="DD491" s="67"/>
      <c r="DE491" s="67"/>
      <c r="DF491" s="67"/>
    </row>
    <row r="492">
      <c r="A492" s="62"/>
      <c r="B492" s="88"/>
      <c r="C492" s="88"/>
      <c r="D492" s="88"/>
      <c r="E492" s="90"/>
      <c r="F492" s="91"/>
      <c r="G492" s="49"/>
      <c r="H492" s="70"/>
      <c r="I492" s="88"/>
      <c r="J492" s="88"/>
      <c r="K492" s="88"/>
      <c r="L492" s="90"/>
      <c r="M492" s="91"/>
      <c r="N492" s="49"/>
      <c r="O492" s="71"/>
      <c r="P492" s="92"/>
      <c r="Q492" s="71"/>
      <c r="R492" s="92"/>
      <c r="S492" s="71"/>
      <c r="T492" s="71"/>
      <c r="U492" s="68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29"/>
      <c r="AN492" s="67"/>
      <c r="AO492" s="67"/>
      <c r="AP492" s="67"/>
      <c r="AQ492" s="67"/>
      <c r="AR492" s="67"/>
      <c r="AS492" s="67"/>
      <c r="AT492" s="67"/>
      <c r="AU492" s="67"/>
      <c r="AV492" s="67"/>
      <c r="AW492" s="67"/>
      <c r="AX492" s="67"/>
      <c r="AY492" s="67"/>
      <c r="AZ492" s="67"/>
      <c r="BA492" s="67"/>
      <c r="BB492" s="67"/>
      <c r="BC492" s="67"/>
      <c r="BD492" s="67"/>
      <c r="BE492" s="67"/>
      <c r="BF492" s="67"/>
      <c r="BG492" s="67"/>
      <c r="BH492" s="67"/>
      <c r="BI492" s="67"/>
      <c r="BJ492" s="67"/>
      <c r="BK492" s="67"/>
      <c r="BL492" s="67"/>
      <c r="BM492" s="67"/>
      <c r="BN492" s="67"/>
      <c r="BO492" s="67"/>
      <c r="BP492" s="67"/>
      <c r="BQ492" s="67"/>
      <c r="BR492" s="67"/>
      <c r="BS492" s="67"/>
      <c r="BT492" s="67"/>
      <c r="BU492" s="67"/>
      <c r="BV492" s="67"/>
      <c r="BW492" s="67"/>
      <c r="BX492" s="67"/>
      <c r="BY492" s="67"/>
      <c r="BZ492" s="67"/>
      <c r="CA492" s="67"/>
      <c r="CB492" s="67"/>
      <c r="CC492" s="67"/>
      <c r="CD492" s="67"/>
      <c r="CE492" s="67"/>
      <c r="CF492" s="67"/>
      <c r="CG492" s="67"/>
      <c r="CH492" s="67"/>
      <c r="CI492" s="67"/>
      <c r="CJ492" s="67"/>
      <c r="CK492" s="67"/>
      <c r="CL492" s="67"/>
      <c r="CM492" s="67"/>
      <c r="CN492" s="67"/>
      <c r="CO492" s="67"/>
      <c r="CP492" s="67"/>
      <c r="CQ492" s="67"/>
      <c r="CR492" s="67"/>
      <c r="CS492" s="67"/>
      <c r="CT492" s="67"/>
      <c r="CU492" s="67"/>
      <c r="CV492" s="67"/>
      <c r="CW492" s="67"/>
      <c r="CX492" s="67"/>
      <c r="CY492" s="67"/>
      <c r="CZ492" s="67"/>
      <c r="DA492" s="67"/>
      <c r="DB492" s="67"/>
      <c r="DC492" s="67"/>
      <c r="DD492" s="67"/>
      <c r="DE492" s="67"/>
      <c r="DF492" s="67"/>
    </row>
    <row r="493">
      <c r="A493" s="62"/>
      <c r="B493" s="88"/>
      <c r="C493" s="88"/>
      <c r="D493" s="88"/>
      <c r="E493" s="90"/>
      <c r="F493" s="91"/>
      <c r="G493" s="49"/>
      <c r="H493" s="70"/>
      <c r="I493" s="88"/>
      <c r="J493" s="88"/>
      <c r="K493" s="88"/>
      <c r="L493" s="90"/>
      <c r="M493" s="91"/>
      <c r="N493" s="49"/>
      <c r="O493" s="71"/>
      <c r="P493" s="92"/>
      <c r="Q493" s="71"/>
      <c r="R493" s="92"/>
      <c r="S493" s="71"/>
      <c r="T493" s="71"/>
      <c r="U493" s="68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29"/>
      <c r="AN493" s="67"/>
      <c r="AO493" s="67"/>
      <c r="AP493" s="67"/>
      <c r="AQ493" s="67"/>
      <c r="AR493" s="67"/>
      <c r="AS493" s="67"/>
      <c r="AT493" s="67"/>
      <c r="AU493" s="67"/>
      <c r="AV493" s="67"/>
      <c r="AW493" s="67"/>
      <c r="AX493" s="67"/>
      <c r="AY493" s="67"/>
      <c r="AZ493" s="67"/>
      <c r="BA493" s="67"/>
      <c r="BB493" s="67"/>
      <c r="BC493" s="67"/>
      <c r="BD493" s="67"/>
      <c r="BE493" s="67"/>
      <c r="BF493" s="67"/>
      <c r="BG493" s="67"/>
      <c r="BH493" s="67"/>
      <c r="BI493" s="67"/>
      <c r="BJ493" s="67"/>
      <c r="BK493" s="67"/>
      <c r="BL493" s="67"/>
      <c r="BM493" s="67"/>
      <c r="BN493" s="67"/>
      <c r="BO493" s="67"/>
      <c r="BP493" s="67"/>
      <c r="BQ493" s="67"/>
      <c r="BR493" s="67"/>
      <c r="BS493" s="67"/>
      <c r="BT493" s="67"/>
      <c r="BU493" s="67"/>
      <c r="BV493" s="67"/>
      <c r="BW493" s="67"/>
      <c r="BX493" s="67"/>
      <c r="BY493" s="67"/>
      <c r="BZ493" s="67"/>
      <c r="CA493" s="67"/>
      <c r="CB493" s="67"/>
      <c r="CC493" s="67"/>
      <c r="CD493" s="67"/>
      <c r="CE493" s="67"/>
      <c r="CF493" s="67"/>
      <c r="CG493" s="67"/>
      <c r="CH493" s="67"/>
      <c r="CI493" s="67"/>
      <c r="CJ493" s="67"/>
      <c r="CK493" s="67"/>
      <c r="CL493" s="67"/>
      <c r="CM493" s="67"/>
      <c r="CN493" s="67"/>
      <c r="CO493" s="67"/>
      <c r="CP493" s="67"/>
      <c r="CQ493" s="67"/>
      <c r="CR493" s="67"/>
      <c r="CS493" s="67"/>
      <c r="CT493" s="67"/>
      <c r="CU493" s="67"/>
      <c r="CV493" s="67"/>
      <c r="CW493" s="67"/>
      <c r="CX493" s="67"/>
      <c r="CY493" s="67"/>
      <c r="CZ493" s="67"/>
      <c r="DA493" s="67"/>
      <c r="DB493" s="67"/>
      <c r="DC493" s="67"/>
      <c r="DD493" s="67"/>
      <c r="DE493" s="67"/>
      <c r="DF493" s="67"/>
    </row>
    <row r="494">
      <c r="A494" s="62"/>
      <c r="B494" s="88"/>
      <c r="C494" s="88"/>
      <c r="D494" s="88"/>
      <c r="E494" s="90"/>
      <c r="F494" s="91"/>
      <c r="G494" s="49"/>
      <c r="H494" s="70"/>
      <c r="I494" s="88"/>
      <c r="J494" s="88"/>
      <c r="K494" s="88"/>
      <c r="L494" s="90"/>
      <c r="M494" s="91"/>
      <c r="N494" s="49"/>
      <c r="O494" s="71"/>
      <c r="P494" s="92"/>
      <c r="Q494" s="71"/>
      <c r="R494" s="92"/>
      <c r="S494" s="71"/>
      <c r="T494" s="71"/>
      <c r="U494" s="68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29"/>
      <c r="AN494" s="67"/>
      <c r="AO494" s="67"/>
      <c r="AP494" s="67"/>
      <c r="AQ494" s="67"/>
      <c r="AR494" s="67"/>
      <c r="AS494" s="67"/>
      <c r="AT494" s="67"/>
      <c r="AU494" s="67"/>
      <c r="AV494" s="67"/>
      <c r="AW494" s="67"/>
      <c r="AX494" s="67"/>
      <c r="AY494" s="67"/>
      <c r="AZ494" s="67"/>
      <c r="BA494" s="67"/>
      <c r="BB494" s="67"/>
      <c r="BC494" s="67"/>
      <c r="BD494" s="67"/>
      <c r="BE494" s="67"/>
      <c r="BF494" s="67"/>
      <c r="BG494" s="67"/>
      <c r="BH494" s="67"/>
      <c r="BI494" s="67"/>
      <c r="BJ494" s="67"/>
      <c r="BK494" s="67"/>
      <c r="BL494" s="67"/>
      <c r="BM494" s="67"/>
      <c r="BN494" s="67"/>
      <c r="BO494" s="67"/>
      <c r="BP494" s="67"/>
      <c r="BQ494" s="67"/>
      <c r="BR494" s="67"/>
      <c r="BS494" s="67"/>
      <c r="BT494" s="67"/>
      <c r="BU494" s="67"/>
      <c r="BV494" s="67"/>
      <c r="BW494" s="67"/>
      <c r="BX494" s="67"/>
      <c r="BY494" s="67"/>
      <c r="BZ494" s="67"/>
      <c r="CA494" s="67"/>
      <c r="CB494" s="67"/>
      <c r="CC494" s="67"/>
      <c r="CD494" s="67"/>
      <c r="CE494" s="67"/>
      <c r="CF494" s="67"/>
      <c r="CG494" s="67"/>
      <c r="CH494" s="67"/>
      <c r="CI494" s="67"/>
      <c r="CJ494" s="67"/>
      <c r="CK494" s="67"/>
      <c r="CL494" s="67"/>
      <c r="CM494" s="67"/>
      <c r="CN494" s="67"/>
      <c r="CO494" s="67"/>
      <c r="CP494" s="67"/>
      <c r="CQ494" s="67"/>
      <c r="CR494" s="67"/>
      <c r="CS494" s="67"/>
      <c r="CT494" s="67"/>
      <c r="CU494" s="67"/>
      <c r="CV494" s="67"/>
      <c r="CW494" s="67"/>
      <c r="CX494" s="67"/>
      <c r="CY494" s="67"/>
      <c r="CZ494" s="67"/>
      <c r="DA494" s="67"/>
      <c r="DB494" s="67"/>
      <c r="DC494" s="67"/>
      <c r="DD494" s="67"/>
      <c r="DE494" s="67"/>
      <c r="DF494" s="67"/>
    </row>
    <row r="495">
      <c r="A495" s="62"/>
      <c r="B495" s="88"/>
      <c r="C495" s="88"/>
      <c r="D495" s="88"/>
      <c r="E495" s="90"/>
      <c r="F495" s="91"/>
      <c r="G495" s="49"/>
      <c r="H495" s="70"/>
      <c r="I495" s="88"/>
      <c r="J495" s="88"/>
      <c r="K495" s="88"/>
      <c r="L495" s="90"/>
      <c r="M495" s="91"/>
      <c r="N495" s="49"/>
      <c r="O495" s="71"/>
      <c r="P495" s="92"/>
      <c r="Q495" s="71"/>
      <c r="R495" s="92"/>
      <c r="S495" s="71"/>
      <c r="T495" s="71"/>
      <c r="U495" s="68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29"/>
      <c r="AN495" s="67"/>
      <c r="AO495" s="67"/>
      <c r="AP495" s="67"/>
      <c r="AQ495" s="67"/>
      <c r="AR495" s="67"/>
      <c r="AS495" s="67"/>
      <c r="AT495" s="67"/>
      <c r="AU495" s="67"/>
      <c r="AV495" s="67"/>
      <c r="AW495" s="67"/>
      <c r="AX495" s="67"/>
      <c r="AY495" s="67"/>
      <c r="AZ495" s="67"/>
      <c r="BA495" s="67"/>
      <c r="BB495" s="67"/>
      <c r="BC495" s="67"/>
      <c r="BD495" s="67"/>
      <c r="BE495" s="67"/>
      <c r="BF495" s="67"/>
      <c r="BG495" s="67"/>
      <c r="BH495" s="67"/>
      <c r="BI495" s="67"/>
      <c r="BJ495" s="67"/>
      <c r="BK495" s="67"/>
      <c r="BL495" s="67"/>
      <c r="BM495" s="67"/>
      <c r="BN495" s="67"/>
      <c r="BO495" s="67"/>
      <c r="BP495" s="67"/>
      <c r="BQ495" s="67"/>
      <c r="BR495" s="67"/>
      <c r="BS495" s="67"/>
      <c r="BT495" s="67"/>
      <c r="BU495" s="67"/>
      <c r="BV495" s="67"/>
      <c r="BW495" s="67"/>
      <c r="BX495" s="67"/>
      <c r="BY495" s="67"/>
      <c r="BZ495" s="67"/>
      <c r="CA495" s="67"/>
      <c r="CB495" s="67"/>
      <c r="CC495" s="67"/>
      <c r="CD495" s="67"/>
      <c r="CE495" s="67"/>
      <c r="CF495" s="67"/>
      <c r="CG495" s="67"/>
      <c r="CH495" s="67"/>
      <c r="CI495" s="67"/>
      <c r="CJ495" s="67"/>
      <c r="CK495" s="67"/>
      <c r="CL495" s="67"/>
      <c r="CM495" s="67"/>
      <c r="CN495" s="67"/>
      <c r="CO495" s="67"/>
      <c r="CP495" s="67"/>
      <c r="CQ495" s="67"/>
      <c r="CR495" s="67"/>
      <c r="CS495" s="67"/>
      <c r="CT495" s="67"/>
      <c r="CU495" s="67"/>
      <c r="CV495" s="67"/>
      <c r="CW495" s="67"/>
      <c r="CX495" s="67"/>
      <c r="CY495" s="67"/>
      <c r="CZ495" s="67"/>
      <c r="DA495" s="67"/>
      <c r="DB495" s="67"/>
      <c r="DC495" s="67"/>
      <c r="DD495" s="67"/>
      <c r="DE495" s="67"/>
      <c r="DF495" s="67"/>
    </row>
    <row r="496">
      <c r="A496" s="62"/>
      <c r="B496" s="88"/>
      <c r="C496" s="88"/>
      <c r="D496" s="88"/>
      <c r="E496" s="90"/>
      <c r="F496" s="91"/>
      <c r="G496" s="49"/>
      <c r="H496" s="70"/>
      <c r="I496" s="88"/>
      <c r="J496" s="88"/>
      <c r="K496" s="88"/>
      <c r="L496" s="90"/>
      <c r="M496" s="91"/>
      <c r="N496" s="49"/>
      <c r="O496" s="71"/>
      <c r="P496" s="92"/>
      <c r="Q496" s="71"/>
      <c r="R496" s="92"/>
      <c r="S496" s="71"/>
      <c r="T496" s="71"/>
      <c r="U496" s="68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29"/>
      <c r="AN496" s="67"/>
      <c r="AO496" s="67"/>
      <c r="AP496" s="67"/>
      <c r="AQ496" s="67"/>
      <c r="AR496" s="67"/>
      <c r="AS496" s="67"/>
      <c r="AT496" s="67"/>
      <c r="AU496" s="67"/>
      <c r="AV496" s="67"/>
      <c r="AW496" s="67"/>
      <c r="AX496" s="67"/>
      <c r="AY496" s="67"/>
      <c r="AZ496" s="67"/>
      <c r="BA496" s="67"/>
      <c r="BB496" s="67"/>
      <c r="BC496" s="67"/>
      <c r="BD496" s="67"/>
      <c r="BE496" s="67"/>
      <c r="BF496" s="67"/>
      <c r="BG496" s="67"/>
      <c r="BH496" s="67"/>
      <c r="BI496" s="67"/>
      <c r="BJ496" s="67"/>
      <c r="BK496" s="67"/>
      <c r="BL496" s="67"/>
      <c r="BM496" s="67"/>
      <c r="BN496" s="67"/>
      <c r="BO496" s="67"/>
      <c r="BP496" s="67"/>
      <c r="BQ496" s="67"/>
      <c r="BR496" s="67"/>
      <c r="BS496" s="67"/>
      <c r="BT496" s="67"/>
      <c r="BU496" s="67"/>
      <c r="BV496" s="67"/>
      <c r="BW496" s="67"/>
      <c r="BX496" s="67"/>
      <c r="BY496" s="67"/>
      <c r="BZ496" s="67"/>
      <c r="CA496" s="67"/>
      <c r="CB496" s="67"/>
      <c r="CC496" s="67"/>
      <c r="CD496" s="67"/>
      <c r="CE496" s="67"/>
      <c r="CF496" s="67"/>
      <c r="CG496" s="67"/>
      <c r="CH496" s="67"/>
      <c r="CI496" s="67"/>
      <c r="CJ496" s="67"/>
      <c r="CK496" s="67"/>
      <c r="CL496" s="67"/>
      <c r="CM496" s="67"/>
      <c r="CN496" s="67"/>
      <c r="CO496" s="67"/>
      <c r="CP496" s="67"/>
      <c r="CQ496" s="67"/>
      <c r="CR496" s="67"/>
      <c r="CS496" s="67"/>
      <c r="CT496" s="67"/>
      <c r="CU496" s="67"/>
      <c r="CV496" s="67"/>
      <c r="CW496" s="67"/>
      <c r="CX496" s="67"/>
      <c r="CY496" s="67"/>
      <c r="CZ496" s="67"/>
      <c r="DA496" s="67"/>
      <c r="DB496" s="67"/>
      <c r="DC496" s="67"/>
      <c r="DD496" s="67"/>
      <c r="DE496" s="67"/>
      <c r="DF496" s="67"/>
    </row>
    <row r="497">
      <c r="A497" s="62"/>
      <c r="B497" s="88"/>
      <c r="C497" s="88"/>
      <c r="D497" s="88"/>
      <c r="E497" s="90"/>
      <c r="F497" s="91"/>
      <c r="G497" s="49"/>
      <c r="H497" s="70"/>
      <c r="I497" s="88"/>
      <c r="J497" s="88"/>
      <c r="K497" s="88"/>
      <c r="L497" s="90"/>
      <c r="M497" s="91"/>
      <c r="N497" s="49"/>
      <c r="O497" s="71"/>
      <c r="P497" s="92"/>
      <c r="Q497" s="71"/>
      <c r="R497" s="92"/>
      <c r="S497" s="71"/>
      <c r="T497" s="71"/>
      <c r="U497" s="68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29"/>
      <c r="AN497" s="67"/>
      <c r="AO497" s="67"/>
      <c r="AP497" s="67"/>
      <c r="AQ497" s="67"/>
      <c r="AR497" s="67"/>
      <c r="AS497" s="67"/>
      <c r="AT497" s="67"/>
      <c r="AU497" s="67"/>
      <c r="AV497" s="67"/>
      <c r="AW497" s="67"/>
      <c r="AX497" s="67"/>
      <c r="AY497" s="67"/>
      <c r="AZ497" s="67"/>
      <c r="BA497" s="67"/>
      <c r="BB497" s="67"/>
      <c r="BC497" s="67"/>
      <c r="BD497" s="67"/>
      <c r="BE497" s="67"/>
      <c r="BF497" s="67"/>
      <c r="BG497" s="67"/>
      <c r="BH497" s="67"/>
      <c r="BI497" s="67"/>
      <c r="BJ497" s="67"/>
      <c r="BK497" s="67"/>
      <c r="BL497" s="67"/>
      <c r="BM497" s="67"/>
      <c r="BN497" s="67"/>
      <c r="BO497" s="67"/>
      <c r="BP497" s="67"/>
      <c r="BQ497" s="67"/>
      <c r="BR497" s="67"/>
      <c r="BS497" s="67"/>
      <c r="BT497" s="67"/>
      <c r="BU497" s="67"/>
      <c r="BV497" s="67"/>
      <c r="BW497" s="67"/>
      <c r="BX497" s="67"/>
      <c r="BY497" s="67"/>
      <c r="BZ497" s="67"/>
      <c r="CA497" s="67"/>
      <c r="CB497" s="67"/>
      <c r="CC497" s="67"/>
      <c r="CD497" s="67"/>
      <c r="CE497" s="67"/>
      <c r="CF497" s="67"/>
      <c r="CG497" s="67"/>
      <c r="CH497" s="67"/>
      <c r="CI497" s="67"/>
      <c r="CJ497" s="67"/>
      <c r="CK497" s="67"/>
      <c r="CL497" s="67"/>
      <c r="CM497" s="67"/>
      <c r="CN497" s="67"/>
      <c r="CO497" s="67"/>
      <c r="CP497" s="67"/>
      <c r="CQ497" s="67"/>
      <c r="CR497" s="67"/>
      <c r="CS497" s="67"/>
      <c r="CT497" s="67"/>
      <c r="CU497" s="67"/>
      <c r="CV497" s="67"/>
      <c r="CW497" s="67"/>
      <c r="CX497" s="67"/>
      <c r="CY497" s="67"/>
      <c r="CZ497" s="67"/>
      <c r="DA497" s="67"/>
      <c r="DB497" s="67"/>
      <c r="DC497" s="67"/>
      <c r="DD497" s="67"/>
      <c r="DE497" s="67"/>
      <c r="DF497" s="67"/>
    </row>
    <row r="498">
      <c r="A498" s="62"/>
      <c r="B498" s="88"/>
      <c r="C498" s="88"/>
      <c r="D498" s="88"/>
      <c r="E498" s="90"/>
      <c r="F498" s="91"/>
      <c r="G498" s="49"/>
      <c r="H498" s="70"/>
      <c r="I498" s="88"/>
      <c r="J498" s="88"/>
      <c r="K498" s="88"/>
      <c r="L498" s="90"/>
      <c r="M498" s="91"/>
      <c r="N498" s="49"/>
      <c r="O498" s="71"/>
      <c r="P498" s="92"/>
      <c r="Q498" s="71"/>
      <c r="R498" s="92"/>
      <c r="S498" s="71"/>
      <c r="T498" s="71"/>
      <c r="U498" s="68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29"/>
      <c r="AN498" s="67"/>
      <c r="AO498" s="67"/>
      <c r="AP498" s="67"/>
      <c r="AQ498" s="67"/>
      <c r="AR498" s="67"/>
      <c r="AS498" s="67"/>
      <c r="AT498" s="67"/>
      <c r="AU498" s="67"/>
      <c r="AV498" s="67"/>
      <c r="AW498" s="67"/>
      <c r="AX498" s="67"/>
      <c r="AY498" s="67"/>
      <c r="AZ498" s="67"/>
      <c r="BA498" s="67"/>
      <c r="BB498" s="67"/>
      <c r="BC498" s="67"/>
      <c r="BD498" s="67"/>
      <c r="BE498" s="67"/>
      <c r="BF498" s="67"/>
      <c r="BG498" s="67"/>
      <c r="BH498" s="67"/>
      <c r="BI498" s="67"/>
      <c r="BJ498" s="67"/>
      <c r="BK498" s="67"/>
      <c r="BL498" s="67"/>
      <c r="BM498" s="67"/>
      <c r="BN498" s="67"/>
      <c r="BO498" s="67"/>
      <c r="BP498" s="67"/>
      <c r="BQ498" s="67"/>
      <c r="BR498" s="67"/>
      <c r="BS498" s="67"/>
      <c r="BT498" s="67"/>
      <c r="BU498" s="67"/>
      <c r="BV498" s="67"/>
      <c r="BW498" s="67"/>
      <c r="BX498" s="67"/>
      <c r="BY498" s="67"/>
      <c r="BZ498" s="67"/>
      <c r="CA498" s="67"/>
      <c r="CB498" s="67"/>
      <c r="CC498" s="67"/>
      <c r="CD498" s="67"/>
      <c r="CE498" s="67"/>
      <c r="CF498" s="67"/>
      <c r="CG498" s="67"/>
      <c r="CH498" s="67"/>
      <c r="CI498" s="67"/>
      <c r="CJ498" s="67"/>
      <c r="CK498" s="67"/>
      <c r="CL498" s="67"/>
      <c r="CM498" s="67"/>
      <c r="CN498" s="67"/>
      <c r="CO498" s="67"/>
      <c r="CP498" s="67"/>
      <c r="CQ498" s="67"/>
      <c r="CR498" s="67"/>
      <c r="CS498" s="67"/>
      <c r="CT498" s="67"/>
      <c r="CU498" s="67"/>
      <c r="CV498" s="67"/>
      <c r="CW498" s="67"/>
      <c r="CX498" s="67"/>
      <c r="CY498" s="67"/>
      <c r="CZ498" s="67"/>
      <c r="DA498" s="67"/>
      <c r="DB498" s="67"/>
      <c r="DC498" s="67"/>
      <c r="DD498" s="67"/>
      <c r="DE498" s="67"/>
      <c r="DF498" s="67"/>
    </row>
    <row r="499">
      <c r="A499" s="62"/>
      <c r="B499" s="88"/>
      <c r="C499" s="88"/>
      <c r="D499" s="88"/>
      <c r="E499" s="90"/>
      <c r="F499" s="91"/>
      <c r="G499" s="49"/>
      <c r="H499" s="70"/>
      <c r="I499" s="88"/>
      <c r="J499" s="88"/>
      <c r="K499" s="88"/>
      <c r="L499" s="90"/>
      <c r="M499" s="91"/>
      <c r="N499" s="49"/>
      <c r="O499" s="71"/>
      <c r="P499" s="92"/>
      <c r="Q499" s="71"/>
      <c r="R499" s="92"/>
      <c r="S499" s="71"/>
      <c r="T499" s="71"/>
      <c r="U499" s="68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29"/>
      <c r="AN499" s="67"/>
      <c r="AO499" s="67"/>
      <c r="AP499" s="67"/>
      <c r="AQ499" s="67"/>
      <c r="AR499" s="67"/>
      <c r="AS499" s="67"/>
      <c r="AT499" s="67"/>
      <c r="AU499" s="67"/>
      <c r="AV499" s="67"/>
      <c r="AW499" s="67"/>
      <c r="AX499" s="67"/>
      <c r="AY499" s="67"/>
      <c r="AZ499" s="67"/>
      <c r="BA499" s="67"/>
      <c r="BB499" s="67"/>
      <c r="BC499" s="67"/>
      <c r="BD499" s="67"/>
      <c r="BE499" s="67"/>
      <c r="BF499" s="67"/>
      <c r="BG499" s="67"/>
      <c r="BH499" s="67"/>
      <c r="BI499" s="67"/>
      <c r="BJ499" s="67"/>
      <c r="BK499" s="67"/>
      <c r="BL499" s="67"/>
      <c r="BM499" s="67"/>
      <c r="BN499" s="67"/>
      <c r="BO499" s="67"/>
      <c r="BP499" s="67"/>
      <c r="BQ499" s="67"/>
      <c r="BR499" s="67"/>
      <c r="BS499" s="67"/>
      <c r="BT499" s="67"/>
      <c r="BU499" s="67"/>
      <c r="BV499" s="67"/>
      <c r="BW499" s="67"/>
      <c r="BX499" s="67"/>
      <c r="BY499" s="67"/>
      <c r="BZ499" s="67"/>
      <c r="CA499" s="67"/>
      <c r="CB499" s="67"/>
      <c r="CC499" s="67"/>
      <c r="CD499" s="67"/>
      <c r="CE499" s="67"/>
      <c r="CF499" s="67"/>
      <c r="CG499" s="67"/>
      <c r="CH499" s="67"/>
      <c r="CI499" s="67"/>
      <c r="CJ499" s="67"/>
      <c r="CK499" s="67"/>
      <c r="CL499" s="67"/>
      <c r="CM499" s="67"/>
      <c r="CN499" s="67"/>
      <c r="CO499" s="67"/>
      <c r="CP499" s="67"/>
      <c r="CQ499" s="67"/>
      <c r="CR499" s="67"/>
      <c r="CS499" s="67"/>
      <c r="CT499" s="67"/>
      <c r="CU499" s="67"/>
      <c r="CV499" s="67"/>
      <c r="CW499" s="67"/>
      <c r="CX499" s="67"/>
      <c r="CY499" s="67"/>
      <c r="CZ499" s="67"/>
      <c r="DA499" s="67"/>
      <c r="DB499" s="67"/>
      <c r="DC499" s="67"/>
      <c r="DD499" s="67"/>
      <c r="DE499" s="67"/>
      <c r="DF499" s="67"/>
    </row>
    <row r="500">
      <c r="A500" s="62"/>
      <c r="B500" s="88"/>
      <c r="C500" s="88"/>
      <c r="D500" s="88"/>
      <c r="E500" s="90"/>
      <c r="F500" s="91"/>
      <c r="G500" s="49"/>
      <c r="H500" s="70"/>
      <c r="I500" s="88"/>
      <c r="J500" s="88"/>
      <c r="K500" s="88"/>
      <c r="L500" s="90"/>
      <c r="M500" s="91"/>
      <c r="N500" s="49"/>
      <c r="O500" s="71"/>
      <c r="P500" s="92"/>
      <c r="Q500" s="71"/>
      <c r="R500" s="92"/>
      <c r="S500" s="71"/>
      <c r="T500" s="71"/>
      <c r="U500" s="68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29"/>
      <c r="AN500" s="67"/>
      <c r="AO500" s="67"/>
      <c r="AP500" s="67"/>
      <c r="AQ500" s="67"/>
      <c r="AR500" s="67"/>
      <c r="AS500" s="67"/>
      <c r="AT500" s="67"/>
      <c r="AU500" s="67"/>
      <c r="AV500" s="67"/>
      <c r="AW500" s="67"/>
      <c r="AX500" s="67"/>
      <c r="AY500" s="67"/>
      <c r="AZ500" s="67"/>
      <c r="BA500" s="67"/>
      <c r="BB500" s="67"/>
      <c r="BC500" s="67"/>
      <c r="BD500" s="67"/>
      <c r="BE500" s="67"/>
      <c r="BF500" s="67"/>
      <c r="BG500" s="67"/>
      <c r="BH500" s="67"/>
      <c r="BI500" s="67"/>
      <c r="BJ500" s="67"/>
      <c r="BK500" s="67"/>
      <c r="BL500" s="67"/>
      <c r="BM500" s="67"/>
      <c r="BN500" s="67"/>
      <c r="BO500" s="67"/>
      <c r="BP500" s="67"/>
      <c r="BQ500" s="67"/>
      <c r="BR500" s="67"/>
      <c r="BS500" s="67"/>
      <c r="BT500" s="67"/>
      <c r="BU500" s="67"/>
      <c r="BV500" s="67"/>
      <c r="BW500" s="67"/>
      <c r="BX500" s="67"/>
      <c r="BY500" s="67"/>
      <c r="BZ500" s="67"/>
      <c r="CA500" s="67"/>
      <c r="CB500" s="67"/>
      <c r="CC500" s="67"/>
      <c r="CD500" s="67"/>
      <c r="CE500" s="67"/>
      <c r="CF500" s="67"/>
      <c r="CG500" s="67"/>
      <c r="CH500" s="67"/>
      <c r="CI500" s="67"/>
      <c r="CJ500" s="67"/>
      <c r="CK500" s="67"/>
      <c r="CL500" s="67"/>
      <c r="CM500" s="67"/>
      <c r="CN500" s="67"/>
      <c r="CO500" s="67"/>
      <c r="CP500" s="67"/>
      <c r="CQ500" s="67"/>
      <c r="CR500" s="67"/>
      <c r="CS500" s="67"/>
      <c r="CT500" s="67"/>
      <c r="CU500" s="67"/>
      <c r="CV500" s="67"/>
      <c r="CW500" s="67"/>
      <c r="CX500" s="67"/>
      <c r="CY500" s="67"/>
      <c r="CZ500" s="67"/>
      <c r="DA500" s="67"/>
      <c r="DB500" s="67"/>
      <c r="DC500" s="67"/>
      <c r="DD500" s="67"/>
      <c r="DE500" s="67"/>
      <c r="DF500" s="67"/>
    </row>
    <row r="501">
      <c r="A501" s="62"/>
      <c r="B501" s="88"/>
      <c r="C501" s="88"/>
      <c r="D501" s="88"/>
      <c r="E501" s="90"/>
      <c r="F501" s="91"/>
      <c r="G501" s="49"/>
      <c r="H501" s="70"/>
      <c r="I501" s="88"/>
      <c r="J501" s="88"/>
      <c r="K501" s="88"/>
      <c r="L501" s="90"/>
      <c r="M501" s="91"/>
      <c r="N501" s="49"/>
      <c r="O501" s="71"/>
      <c r="P501" s="92"/>
      <c r="Q501" s="71"/>
      <c r="R501" s="92"/>
      <c r="S501" s="71"/>
      <c r="T501" s="71"/>
      <c r="U501" s="68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29"/>
      <c r="AN501" s="67"/>
      <c r="AO501" s="67"/>
      <c r="AP501" s="67"/>
      <c r="AQ501" s="67"/>
      <c r="AR501" s="67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  <c r="BC501" s="67"/>
      <c r="BD501" s="67"/>
      <c r="BE501" s="67"/>
      <c r="BF501" s="67"/>
      <c r="BG501" s="67"/>
      <c r="BH501" s="67"/>
      <c r="BI501" s="67"/>
      <c r="BJ501" s="67"/>
      <c r="BK501" s="67"/>
      <c r="BL501" s="67"/>
      <c r="BM501" s="67"/>
      <c r="BN501" s="67"/>
      <c r="BO501" s="67"/>
      <c r="BP501" s="67"/>
      <c r="BQ501" s="67"/>
      <c r="BR501" s="67"/>
      <c r="BS501" s="67"/>
      <c r="BT501" s="67"/>
      <c r="BU501" s="67"/>
      <c r="BV501" s="67"/>
      <c r="BW501" s="67"/>
      <c r="BX501" s="67"/>
      <c r="BY501" s="67"/>
      <c r="BZ501" s="67"/>
      <c r="CA501" s="67"/>
      <c r="CB501" s="67"/>
      <c r="CC501" s="67"/>
      <c r="CD501" s="67"/>
      <c r="CE501" s="67"/>
      <c r="CF501" s="67"/>
      <c r="CG501" s="67"/>
      <c r="CH501" s="67"/>
      <c r="CI501" s="67"/>
      <c r="CJ501" s="67"/>
      <c r="CK501" s="67"/>
      <c r="CL501" s="67"/>
      <c r="CM501" s="67"/>
      <c r="CN501" s="67"/>
      <c r="CO501" s="67"/>
      <c r="CP501" s="67"/>
      <c r="CQ501" s="67"/>
      <c r="CR501" s="67"/>
      <c r="CS501" s="67"/>
      <c r="CT501" s="67"/>
      <c r="CU501" s="67"/>
      <c r="CV501" s="67"/>
      <c r="CW501" s="67"/>
      <c r="CX501" s="67"/>
      <c r="CY501" s="67"/>
      <c r="CZ501" s="67"/>
      <c r="DA501" s="67"/>
      <c r="DB501" s="67"/>
      <c r="DC501" s="67"/>
      <c r="DD501" s="67"/>
      <c r="DE501" s="67"/>
      <c r="DF501" s="67"/>
    </row>
    <row r="502">
      <c r="A502" s="62"/>
      <c r="B502" s="88"/>
      <c r="C502" s="88"/>
      <c r="D502" s="88"/>
      <c r="E502" s="90"/>
      <c r="F502" s="91"/>
      <c r="G502" s="49"/>
      <c r="H502" s="70"/>
      <c r="I502" s="88"/>
      <c r="J502" s="88"/>
      <c r="K502" s="88"/>
      <c r="L502" s="90"/>
      <c r="M502" s="91"/>
      <c r="N502" s="49"/>
      <c r="O502" s="71"/>
      <c r="P502" s="92"/>
      <c r="Q502" s="71"/>
      <c r="R502" s="92"/>
      <c r="S502" s="71"/>
      <c r="T502" s="71"/>
      <c r="U502" s="68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29"/>
      <c r="AN502" s="67"/>
      <c r="AO502" s="67"/>
      <c r="AP502" s="67"/>
      <c r="AQ502" s="67"/>
      <c r="AR502" s="67"/>
      <c r="AS502" s="67"/>
      <c r="AT502" s="67"/>
      <c r="AU502" s="67"/>
      <c r="AV502" s="67"/>
      <c r="AW502" s="67"/>
      <c r="AX502" s="67"/>
      <c r="AY502" s="67"/>
      <c r="AZ502" s="67"/>
      <c r="BA502" s="67"/>
      <c r="BB502" s="67"/>
      <c r="BC502" s="67"/>
      <c r="BD502" s="67"/>
      <c r="BE502" s="67"/>
      <c r="BF502" s="67"/>
      <c r="BG502" s="67"/>
      <c r="BH502" s="67"/>
      <c r="BI502" s="67"/>
      <c r="BJ502" s="67"/>
      <c r="BK502" s="67"/>
      <c r="BL502" s="67"/>
      <c r="BM502" s="67"/>
      <c r="BN502" s="67"/>
      <c r="BO502" s="67"/>
      <c r="BP502" s="67"/>
      <c r="BQ502" s="67"/>
      <c r="BR502" s="67"/>
      <c r="BS502" s="67"/>
      <c r="BT502" s="67"/>
      <c r="BU502" s="67"/>
      <c r="BV502" s="67"/>
      <c r="BW502" s="67"/>
      <c r="BX502" s="67"/>
      <c r="BY502" s="67"/>
      <c r="BZ502" s="67"/>
      <c r="CA502" s="67"/>
      <c r="CB502" s="67"/>
      <c r="CC502" s="67"/>
      <c r="CD502" s="67"/>
      <c r="CE502" s="67"/>
      <c r="CF502" s="67"/>
      <c r="CG502" s="67"/>
      <c r="CH502" s="67"/>
      <c r="CI502" s="67"/>
      <c r="CJ502" s="67"/>
      <c r="CK502" s="67"/>
      <c r="CL502" s="67"/>
      <c r="CM502" s="67"/>
      <c r="CN502" s="67"/>
      <c r="CO502" s="67"/>
      <c r="CP502" s="67"/>
      <c r="CQ502" s="67"/>
      <c r="CR502" s="67"/>
      <c r="CS502" s="67"/>
      <c r="CT502" s="67"/>
      <c r="CU502" s="67"/>
      <c r="CV502" s="67"/>
      <c r="CW502" s="67"/>
      <c r="CX502" s="67"/>
      <c r="CY502" s="67"/>
      <c r="CZ502" s="67"/>
      <c r="DA502" s="67"/>
      <c r="DB502" s="67"/>
      <c r="DC502" s="67"/>
      <c r="DD502" s="67"/>
      <c r="DE502" s="67"/>
      <c r="DF502" s="67"/>
    </row>
    <row r="503">
      <c r="A503" s="62"/>
      <c r="B503" s="88"/>
      <c r="C503" s="88"/>
      <c r="D503" s="88"/>
      <c r="E503" s="90"/>
      <c r="F503" s="91"/>
      <c r="G503" s="49"/>
      <c r="H503" s="70"/>
      <c r="I503" s="88"/>
      <c r="J503" s="88"/>
      <c r="K503" s="88"/>
      <c r="L503" s="90"/>
      <c r="M503" s="91"/>
      <c r="N503" s="49"/>
      <c r="O503" s="71"/>
      <c r="P503" s="92"/>
      <c r="Q503" s="71"/>
      <c r="R503" s="92"/>
      <c r="S503" s="71"/>
      <c r="T503" s="71"/>
      <c r="U503" s="68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29"/>
      <c r="AN503" s="67"/>
      <c r="AO503" s="67"/>
      <c r="AP503" s="67"/>
      <c r="AQ503" s="67"/>
      <c r="AR503" s="67"/>
      <c r="AS503" s="67"/>
      <c r="AT503" s="67"/>
      <c r="AU503" s="67"/>
      <c r="AV503" s="67"/>
      <c r="AW503" s="67"/>
      <c r="AX503" s="67"/>
      <c r="AY503" s="67"/>
      <c r="AZ503" s="67"/>
      <c r="BA503" s="67"/>
      <c r="BB503" s="67"/>
      <c r="BC503" s="67"/>
      <c r="BD503" s="67"/>
      <c r="BE503" s="67"/>
      <c r="BF503" s="67"/>
      <c r="BG503" s="67"/>
      <c r="BH503" s="67"/>
      <c r="BI503" s="67"/>
      <c r="BJ503" s="67"/>
      <c r="BK503" s="67"/>
      <c r="BL503" s="67"/>
      <c r="BM503" s="67"/>
      <c r="BN503" s="67"/>
      <c r="BO503" s="67"/>
      <c r="BP503" s="67"/>
      <c r="BQ503" s="67"/>
      <c r="BR503" s="67"/>
      <c r="BS503" s="67"/>
      <c r="BT503" s="67"/>
      <c r="BU503" s="67"/>
      <c r="BV503" s="67"/>
      <c r="BW503" s="67"/>
      <c r="BX503" s="67"/>
      <c r="BY503" s="67"/>
      <c r="BZ503" s="67"/>
      <c r="CA503" s="67"/>
      <c r="CB503" s="67"/>
      <c r="CC503" s="67"/>
      <c r="CD503" s="67"/>
      <c r="CE503" s="67"/>
      <c r="CF503" s="67"/>
      <c r="CG503" s="67"/>
      <c r="CH503" s="67"/>
      <c r="CI503" s="67"/>
      <c r="CJ503" s="67"/>
      <c r="CK503" s="67"/>
      <c r="CL503" s="67"/>
      <c r="CM503" s="67"/>
      <c r="CN503" s="67"/>
      <c r="CO503" s="67"/>
      <c r="CP503" s="67"/>
      <c r="CQ503" s="67"/>
      <c r="CR503" s="67"/>
      <c r="CS503" s="67"/>
      <c r="CT503" s="67"/>
      <c r="CU503" s="67"/>
      <c r="CV503" s="67"/>
      <c r="CW503" s="67"/>
      <c r="CX503" s="67"/>
      <c r="CY503" s="67"/>
      <c r="CZ503" s="67"/>
      <c r="DA503" s="67"/>
      <c r="DB503" s="67"/>
      <c r="DC503" s="67"/>
      <c r="DD503" s="67"/>
      <c r="DE503" s="67"/>
      <c r="DF503" s="67"/>
    </row>
    <row r="504">
      <c r="A504" s="62"/>
      <c r="B504" s="88"/>
      <c r="C504" s="88"/>
      <c r="D504" s="88"/>
      <c r="E504" s="90"/>
      <c r="F504" s="91"/>
      <c r="G504" s="49"/>
      <c r="H504" s="70"/>
      <c r="I504" s="88"/>
      <c r="J504" s="88"/>
      <c r="K504" s="88"/>
      <c r="L504" s="90"/>
      <c r="M504" s="91"/>
      <c r="N504" s="49"/>
      <c r="O504" s="71"/>
      <c r="P504" s="92"/>
      <c r="Q504" s="71"/>
      <c r="R504" s="92"/>
      <c r="S504" s="71"/>
      <c r="T504" s="71"/>
      <c r="U504" s="68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29"/>
      <c r="AN504" s="67"/>
      <c r="AO504" s="67"/>
      <c r="AP504" s="67"/>
      <c r="AQ504" s="67"/>
      <c r="AR504" s="67"/>
      <c r="AS504" s="67"/>
      <c r="AT504" s="67"/>
      <c r="AU504" s="67"/>
      <c r="AV504" s="67"/>
      <c r="AW504" s="67"/>
      <c r="AX504" s="67"/>
      <c r="AY504" s="67"/>
      <c r="AZ504" s="67"/>
      <c r="BA504" s="67"/>
      <c r="BB504" s="67"/>
      <c r="BC504" s="67"/>
      <c r="BD504" s="67"/>
      <c r="BE504" s="67"/>
      <c r="BF504" s="67"/>
      <c r="BG504" s="67"/>
      <c r="BH504" s="67"/>
      <c r="BI504" s="67"/>
      <c r="BJ504" s="67"/>
      <c r="BK504" s="67"/>
      <c r="BL504" s="67"/>
      <c r="BM504" s="67"/>
      <c r="BN504" s="67"/>
      <c r="BO504" s="67"/>
      <c r="BP504" s="67"/>
      <c r="BQ504" s="67"/>
      <c r="BR504" s="67"/>
      <c r="BS504" s="67"/>
      <c r="BT504" s="67"/>
      <c r="BU504" s="67"/>
      <c r="BV504" s="67"/>
      <c r="BW504" s="67"/>
      <c r="BX504" s="67"/>
      <c r="BY504" s="67"/>
      <c r="BZ504" s="67"/>
      <c r="CA504" s="67"/>
      <c r="CB504" s="67"/>
      <c r="CC504" s="67"/>
      <c r="CD504" s="67"/>
      <c r="CE504" s="67"/>
      <c r="CF504" s="67"/>
      <c r="CG504" s="67"/>
      <c r="CH504" s="67"/>
      <c r="CI504" s="67"/>
      <c r="CJ504" s="67"/>
      <c r="CK504" s="67"/>
      <c r="CL504" s="67"/>
      <c r="CM504" s="67"/>
      <c r="CN504" s="67"/>
      <c r="CO504" s="67"/>
      <c r="CP504" s="67"/>
      <c r="CQ504" s="67"/>
      <c r="CR504" s="67"/>
      <c r="CS504" s="67"/>
      <c r="CT504" s="67"/>
      <c r="CU504" s="67"/>
      <c r="CV504" s="67"/>
      <c r="CW504" s="67"/>
      <c r="CX504" s="67"/>
      <c r="CY504" s="67"/>
      <c r="CZ504" s="67"/>
      <c r="DA504" s="67"/>
      <c r="DB504" s="67"/>
      <c r="DC504" s="67"/>
      <c r="DD504" s="67"/>
      <c r="DE504" s="67"/>
      <c r="DF504" s="67"/>
    </row>
    <row r="505">
      <c r="A505" s="62"/>
      <c r="B505" s="88"/>
      <c r="C505" s="88"/>
      <c r="D505" s="88"/>
      <c r="E505" s="90"/>
      <c r="F505" s="91"/>
      <c r="G505" s="49"/>
      <c r="H505" s="70"/>
      <c r="I505" s="88"/>
      <c r="J505" s="88"/>
      <c r="K505" s="88"/>
      <c r="L505" s="90"/>
      <c r="M505" s="91"/>
      <c r="N505" s="49"/>
      <c r="O505" s="71"/>
      <c r="P505" s="92"/>
      <c r="Q505" s="71"/>
      <c r="R505" s="92"/>
      <c r="S505" s="71"/>
      <c r="T505" s="71"/>
      <c r="U505" s="68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29"/>
      <c r="AN505" s="67"/>
      <c r="AO505" s="67"/>
      <c r="AP505" s="67"/>
      <c r="AQ505" s="67"/>
      <c r="AR505" s="67"/>
      <c r="AS505" s="67"/>
      <c r="AT505" s="67"/>
      <c r="AU505" s="67"/>
      <c r="AV505" s="67"/>
      <c r="AW505" s="67"/>
      <c r="AX505" s="67"/>
      <c r="AY505" s="67"/>
      <c r="AZ505" s="67"/>
      <c r="BA505" s="67"/>
      <c r="BB505" s="67"/>
      <c r="BC505" s="67"/>
      <c r="BD505" s="67"/>
      <c r="BE505" s="67"/>
      <c r="BF505" s="67"/>
      <c r="BG505" s="67"/>
      <c r="BH505" s="67"/>
      <c r="BI505" s="67"/>
      <c r="BJ505" s="67"/>
      <c r="BK505" s="67"/>
      <c r="BL505" s="67"/>
      <c r="BM505" s="67"/>
      <c r="BN505" s="67"/>
      <c r="BO505" s="67"/>
      <c r="BP505" s="67"/>
      <c r="BQ505" s="67"/>
      <c r="BR505" s="67"/>
      <c r="BS505" s="67"/>
      <c r="BT505" s="67"/>
      <c r="BU505" s="67"/>
      <c r="BV505" s="67"/>
      <c r="BW505" s="67"/>
      <c r="BX505" s="67"/>
      <c r="BY505" s="67"/>
      <c r="BZ505" s="67"/>
      <c r="CA505" s="67"/>
      <c r="CB505" s="67"/>
      <c r="CC505" s="67"/>
      <c r="CD505" s="67"/>
      <c r="CE505" s="67"/>
      <c r="CF505" s="67"/>
      <c r="CG505" s="67"/>
      <c r="CH505" s="67"/>
      <c r="CI505" s="67"/>
      <c r="CJ505" s="67"/>
      <c r="CK505" s="67"/>
      <c r="CL505" s="67"/>
      <c r="CM505" s="67"/>
      <c r="CN505" s="67"/>
      <c r="CO505" s="67"/>
      <c r="CP505" s="67"/>
      <c r="CQ505" s="67"/>
      <c r="CR505" s="67"/>
      <c r="CS505" s="67"/>
      <c r="CT505" s="67"/>
      <c r="CU505" s="67"/>
      <c r="CV505" s="67"/>
      <c r="CW505" s="67"/>
      <c r="CX505" s="67"/>
      <c r="CY505" s="67"/>
      <c r="CZ505" s="67"/>
      <c r="DA505" s="67"/>
      <c r="DB505" s="67"/>
      <c r="DC505" s="67"/>
      <c r="DD505" s="67"/>
      <c r="DE505" s="67"/>
      <c r="DF505" s="67"/>
    </row>
    <row r="506">
      <c r="A506" s="62"/>
      <c r="B506" s="88"/>
      <c r="C506" s="88"/>
      <c r="D506" s="88"/>
      <c r="E506" s="90"/>
      <c r="F506" s="91"/>
      <c r="G506" s="49"/>
      <c r="H506" s="70"/>
      <c r="I506" s="88"/>
      <c r="J506" s="88"/>
      <c r="K506" s="88"/>
      <c r="L506" s="90"/>
      <c r="M506" s="91"/>
      <c r="N506" s="49"/>
      <c r="O506" s="71"/>
      <c r="P506" s="92"/>
      <c r="Q506" s="71"/>
      <c r="R506" s="92"/>
      <c r="S506" s="71"/>
      <c r="T506" s="71"/>
      <c r="U506" s="68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29"/>
      <c r="AN506" s="67"/>
      <c r="AO506" s="67"/>
      <c r="AP506" s="67"/>
      <c r="AQ506" s="67"/>
      <c r="AR506" s="67"/>
      <c r="AS506" s="67"/>
      <c r="AT506" s="67"/>
      <c r="AU506" s="67"/>
      <c r="AV506" s="67"/>
      <c r="AW506" s="67"/>
      <c r="AX506" s="67"/>
      <c r="AY506" s="67"/>
      <c r="AZ506" s="67"/>
      <c r="BA506" s="67"/>
      <c r="BB506" s="67"/>
      <c r="BC506" s="67"/>
      <c r="BD506" s="67"/>
      <c r="BE506" s="67"/>
      <c r="BF506" s="67"/>
      <c r="BG506" s="67"/>
      <c r="BH506" s="67"/>
      <c r="BI506" s="67"/>
      <c r="BJ506" s="67"/>
      <c r="BK506" s="67"/>
      <c r="BL506" s="67"/>
      <c r="BM506" s="67"/>
      <c r="BN506" s="67"/>
      <c r="BO506" s="67"/>
      <c r="BP506" s="67"/>
      <c r="BQ506" s="67"/>
      <c r="BR506" s="67"/>
      <c r="BS506" s="67"/>
      <c r="BT506" s="67"/>
      <c r="BU506" s="67"/>
      <c r="BV506" s="67"/>
      <c r="BW506" s="67"/>
      <c r="BX506" s="67"/>
      <c r="BY506" s="67"/>
      <c r="BZ506" s="67"/>
      <c r="CA506" s="67"/>
      <c r="CB506" s="67"/>
      <c r="CC506" s="67"/>
      <c r="CD506" s="67"/>
      <c r="CE506" s="67"/>
      <c r="CF506" s="67"/>
      <c r="CG506" s="67"/>
      <c r="CH506" s="67"/>
      <c r="CI506" s="67"/>
      <c r="CJ506" s="67"/>
      <c r="CK506" s="67"/>
      <c r="CL506" s="67"/>
      <c r="CM506" s="67"/>
      <c r="CN506" s="67"/>
      <c r="CO506" s="67"/>
      <c r="CP506" s="67"/>
      <c r="CQ506" s="67"/>
      <c r="CR506" s="67"/>
      <c r="CS506" s="67"/>
      <c r="CT506" s="67"/>
      <c r="CU506" s="67"/>
      <c r="CV506" s="67"/>
      <c r="CW506" s="67"/>
      <c r="CX506" s="67"/>
      <c r="CY506" s="67"/>
      <c r="CZ506" s="67"/>
      <c r="DA506" s="67"/>
      <c r="DB506" s="67"/>
      <c r="DC506" s="67"/>
      <c r="DD506" s="67"/>
      <c r="DE506" s="67"/>
      <c r="DF506" s="67"/>
    </row>
    <row r="507">
      <c r="A507" s="62"/>
      <c r="B507" s="88"/>
      <c r="C507" s="88"/>
      <c r="D507" s="88"/>
      <c r="E507" s="90"/>
      <c r="F507" s="91"/>
      <c r="G507" s="49"/>
      <c r="H507" s="70"/>
      <c r="I507" s="88"/>
      <c r="J507" s="88"/>
      <c r="K507" s="88"/>
      <c r="L507" s="90"/>
      <c r="M507" s="91"/>
      <c r="N507" s="49"/>
      <c r="O507" s="71"/>
      <c r="P507" s="92"/>
      <c r="Q507" s="71"/>
      <c r="R507" s="92"/>
      <c r="S507" s="71"/>
      <c r="T507" s="71"/>
      <c r="U507" s="68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29"/>
      <c r="AN507" s="67"/>
      <c r="AO507" s="67"/>
      <c r="AP507" s="67"/>
      <c r="AQ507" s="67"/>
      <c r="AR507" s="67"/>
      <c r="AS507" s="67"/>
      <c r="AT507" s="67"/>
      <c r="AU507" s="67"/>
      <c r="AV507" s="67"/>
      <c r="AW507" s="67"/>
      <c r="AX507" s="67"/>
      <c r="AY507" s="67"/>
      <c r="AZ507" s="67"/>
      <c r="BA507" s="67"/>
      <c r="BB507" s="67"/>
      <c r="BC507" s="67"/>
      <c r="BD507" s="67"/>
      <c r="BE507" s="67"/>
      <c r="BF507" s="67"/>
      <c r="BG507" s="67"/>
      <c r="BH507" s="67"/>
      <c r="BI507" s="67"/>
      <c r="BJ507" s="67"/>
      <c r="BK507" s="67"/>
      <c r="BL507" s="67"/>
      <c r="BM507" s="67"/>
      <c r="BN507" s="67"/>
      <c r="BO507" s="67"/>
      <c r="BP507" s="67"/>
      <c r="BQ507" s="67"/>
      <c r="BR507" s="67"/>
      <c r="BS507" s="67"/>
      <c r="BT507" s="67"/>
      <c r="BU507" s="67"/>
      <c r="BV507" s="67"/>
      <c r="BW507" s="67"/>
      <c r="BX507" s="67"/>
      <c r="BY507" s="67"/>
      <c r="BZ507" s="67"/>
      <c r="CA507" s="67"/>
      <c r="CB507" s="67"/>
      <c r="CC507" s="67"/>
      <c r="CD507" s="67"/>
      <c r="CE507" s="67"/>
      <c r="CF507" s="67"/>
      <c r="CG507" s="67"/>
      <c r="CH507" s="67"/>
      <c r="CI507" s="67"/>
      <c r="CJ507" s="67"/>
      <c r="CK507" s="67"/>
      <c r="CL507" s="67"/>
      <c r="CM507" s="67"/>
      <c r="CN507" s="67"/>
      <c r="CO507" s="67"/>
      <c r="CP507" s="67"/>
      <c r="CQ507" s="67"/>
      <c r="CR507" s="67"/>
      <c r="CS507" s="67"/>
      <c r="CT507" s="67"/>
      <c r="CU507" s="67"/>
      <c r="CV507" s="67"/>
      <c r="CW507" s="67"/>
      <c r="CX507" s="67"/>
      <c r="CY507" s="67"/>
      <c r="CZ507" s="67"/>
      <c r="DA507" s="67"/>
      <c r="DB507" s="67"/>
      <c r="DC507" s="67"/>
      <c r="DD507" s="67"/>
      <c r="DE507" s="67"/>
      <c r="DF507" s="67"/>
    </row>
    <row r="508">
      <c r="A508" s="62"/>
      <c r="B508" s="88"/>
      <c r="C508" s="88"/>
      <c r="D508" s="88"/>
      <c r="E508" s="90"/>
      <c r="F508" s="91"/>
      <c r="G508" s="49"/>
      <c r="H508" s="70"/>
      <c r="I508" s="88"/>
      <c r="J508" s="88"/>
      <c r="K508" s="88"/>
      <c r="L508" s="90"/>
      <c r="M508" s="91"/>
      <c r="N508" s="49"/>
      <c r="O508" s="71"/>
      <c r="P508" s="92"/>
      <c r="Q508" s="71"/>
      <c r="R508" s="92"/>
      <c r="S508" s="71"/>
      <c r="T508" s="71"/>
      <c r="U508" s="68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29"/>
      <c r="AN508" s="67"/>
      <c r="AO508" s="67"/>
      <c r="AP508" s="67"/>
      <c r="AQ508" s="67"/>
      <c r="AR508" s="67"/>
      <c r="AS508" s="67"/>
      <c r="AT508" s="67"/>
      <c r="AU508" s="67"/>
      <c r="AV508" s="67"/>
      <c r="AW508" s="67"/>
      <c r="AX508" s="67"/>
      <c r="AY508" s="67"/>
      <c r="AZ508" s="67"/>
      <c r="BA508" s="67"/>
      <c r="BB508" s="67"/>
      <c r="BC508" s="67"/>
      <c r="BD508" s="67"/>
      <c r="BE508" s="67"/>
      <c r="BF508" s="67"/>
      <c r="BG508" s="67"/>
      <c r="BH508" s="67"/>
      <c r="BI508" s="67"/>
      <c r="BJ508" s="67"/>
      <c r="BK508" s="67"/>
      <c r="BL508" s="67"/>
      <c r="BM508" s="67"/>
      <c r="BN508" s="67"/>
      <c r="BO508" s="67"/>
      <c r="BP508" s="67"/>
      <c r="BQ508" s="67"/>
      <c r="BR508" s="67"/>
      <c r="BS508" s="67"/>
      <c r="BT508" s="67"/>
      <c r="BU508" s="67"/>
      <c r="BV508" s="67"/>
      <c r="BW508" s="67"/>
      <c r="BX508" s="67"/>
      <c r="BY508" s="67"/>
      <c r="BZ508" s="67"/>
      <c r="CA508" s="67"/>
      <c r="CB508" s="67"/>
      <c r="CC508" s="67"/>
      <c r="CD508" s="67"/>
      <c r="CE508" s="67"/>
      <c r="CF508" s="67"/>
      <c r="CG508" s="67"/>
      <c r="CH508" s="67"/>
      <c r="CI508" s="67"/>
      <c r="CJ508" s="67"/>
      <c r="CK508" s="67"/>
      <c r="CL508" s="67"/>
      <c r="CM508" s="67"/>
      <c r="CN508" s="67"/>
      <c r="CO508" s="67"/>
      <c r="CP508" s="67"/>
      <c r="CQ508" s="67"/>
      <c r="CR508" s="67"/>
      <c r="CS508" s="67"/>
      <c r="CT508" s="67"/>
      <c r="CU508" s="67"/>
      <c r="CV508" s="67"/>
      <c r="CW508" s="67"/>
      <c r="CX508" s="67"/>
      <c r="CY508" s="67"/>
      <c r="CZ508" s="67"/>
      <c r="DA508" s="67"/>
      <c r="DB508" s="67"/>
      <c r="DC508" s="67"/>
      <c r="DD508" s="67"/>
      <c r="DE508" s="67"/>
      <c r="DF508" s="67"/>
    </row>
    <row r="509">
      <c r="A509" s="62"/>
      <c r="B509" s="88"/>
      <c r="C509" s="88"/>
      <c r="D509" s="88"/>
      <c r="E509" s="90"/>
      <c r="F509" s="91"/>
      <c r="G509" s="49"/>
      <c r="H509" s="70"/>
      <c r="I509" s="88"/>
      <c r="J509" s="88"/>
      <c r="K509" s="88"/>
      <c r="L509" s="90"/>
      <c r="M509" s="91"/>
      <c r="N509" s="49"/>
      <c r="O509" s="71"/>
      <c r="P509" s="92"/>
      <c r="Q509" s="71"/>
      <c r="R509" s="92"/>
      <c r="S509" s="71"/>
      <c r="T509" s="71"/>
      <c r="U509" s="68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29"/>
      <c r="AN509" s="67"/>
      <c r="AO509" s="67"/>
      <c r="AP509" s="67"/>
      <c r="AQ509" s="67"/>
      <c r="AR509" s="67"/>
      <c r="AS509" s="67"/>
      <c r="AT509" s="67"/>
      <c r="AU509" s="67"/>
      <c r="AV509" s="67"/>
      <c r="AW509" s="67"/>
      <c r="AX509" s="67"/>
      <c r="AY509" s="67"/>
      <c r="AZ509" s="67"/>
      <c r="BA509" s="67"/>
      <c r="BB509" s="67"/>
      <c r="BC509" s="67"/>
      <c r="BD509" s="67"/>
      <c r="BE509" s="67"/>
      <c r="BF509" s="67"/>
      <c r="BG509" s="67"/>
      <c r="BH509" s="67"/>
      <c r="BI509" s="67"/>
      <c r="BJ509" s="67"/>
      <c r="BK509" s="67"/>
      <c r="BL509" s="67"/>
      <c r="BM509" s="67"/>
      <c r="BN509" s="67"/>
      <c r="BO509" s="67"/>
      <c r="BP509" s="67"/>
      <c r="BQ509" s="67"/>
      <c r="BR509" s="67"/>
      <c r="BS509" s="67"/>
      <c r="BT509" s="67"/>
      <c r="BU509" s="67"/>
      <c r="BV509" s="67"/>
      <c r="BW509" s="67"/>
      <c r="BX509" s="67"/>
      <c r="BY509" s="67"/>
      <c r="BZ509" s="67"/>
      <c r="CA509" s="67"/>
      <c r="CB509" s="67"/>
      <c r="CC509" s="67"/>
      <c r="CD509" s="67"/>
      <c r="CE509" s="67"/>
      <c r="CF509" s="67"/>
      <c r="CG509" s="67"/>
      <c r="CH509" s="67"/>
      <c r="CI509" s="67"/>
      <c r="CJ509" s="67"/>
      <c r="CK509" s="67"/>
      <c r="CL509" s="67"/>
      <c r="CM509" s="67"/>
      <c r="CN509" s="67"/>
      <c r="CO509" s="67"/>
      <c r="CP509" s="67"/>
      <c r="CQ509" s="67"/>
      <c r="CR509" s="67"/>
      <c r="CS509" s="67"/>
      <c r="CT509" s="67"/>
      <c r="CU509" s="67"/>
      <c r="CV509" s="67"/>
      <c r="CW509" s="67"/>
      <c r="CX509" s="67"/>
      <c r="CY509" s="67"/>
      <c r="CZ509" s="67"/>
      <c r="DA509" s="67"/>
      <c r="DB509" s="67"/>
      <c r="DC509" s="67"/>
      <c r="DD509" s="67"/>
      <c r="DE509" s="67"/>
      <c r="DF509" s="67"/>
    </row>
    <row r="510">
      <c r="A510" s="62"/>
      <c r="B510" s="88"/>
      <c r="C510" s="88"/>
      <c r="D510" s="88"/>
      <c r="E510" s="90"/>
      <c r="F510" s="91"/>
      <c r="G510" s="49"/>
      <c r="H510" s="70"/>
      <c r="I510" s="88"/>
      <c r="J510" s="88"/>
      <c r="K510" s="88"/>
      <c r="L510" s="90"/>
      <c r="M510" s="91"/>
      <c r="N510" s="49"/>
      <c r="O510" s="71"/>
      <c r="P510" s="92"/>
      <c r="Q510" s="71"/>
      <c r="R510" s="92"/>
      <c r="S510" s="71"/>
      <c r="T510" s="71"/>
      <c r="U510" s="68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29"/>
      <c r="AN510" s="67"/>
      <c r="AO510" s="67"/>
      <c r="AP510" s="67"/>
      <c r="AQ510" s="67"/>
      <c r="AR510" s="67"/>
      <c r="AS510" s="67"/>
      <c r="AT510" s="67"/>
      <c r="AU510" s="67"/>
      <c r="AV510" s="67"/>
      <c r="AW510" s="67"/>
      <c r="AX510" s="67"/>
      <c r="AY510" s="67"/>
      <c r="AZ510" s="67"/>
      <c r="BA510" s="67"/>
      <c r="BB510" s="67"/>
      <c r="BC510" s="67"/>
      <c r="BD510" s="67"/>
      <c r="BE510" s="67"/>
      <c r="BF510" s="67"/>
      <c r="BG510" s="67"/>
      <c r="BH510" s="67"/>
      <c r="BI510" s="67"/>
      <c r="BJ510" s="67"/>
      <c r="BK510" s="67"/>
      <c r="BL510" s="67"/>
      <c r="BM510" s="67"/>
      <c r="BN510" s="67"/>
      <c r="BO510" s="67"/>
      <c r="BP510" s="67"/>
      <c r="BQ510" s="67"/>
      <c r="BR510" s="67"/>
      <c r="BS510" s="67"/>
      <c r="BT510" s="67"/>
      <c r="BU510" s="67"/>
      <c r="BV510" s="67"/>
      <c r="BW510" s="67"/>
      <c r="BX510" s="67"/>
      <c r="BY510" s="67"/>
      <c r="BZ510" s="67"/>
      <c r="CA510" s="67"/>
      <c r="CB510" s="67"/>
      <c r="CC510" s="67"/>
      <c r="CD510" s="67"/>
      <c r="CE510" s="67"/>
      <c r="CF510" s="67"/>
      <c r="CG510" s="67"/>
      <c r="CH510" s="67"/>
      <c r="CI510" s="67"/>
      <c r="CJ510" s="67"/>
      <c r="CK510" s="67"/>
      <c r="CL510" s="67"/>
      <c r="CM510" s="67"/>
      <c r="CN510" s="67"/>
      <c r="CO510" s="67"/>
      <c r="CP510" s="67"/>
      <c r="CQ510" s="67"/>
      <c r="CR510" s="67"/>
      <c r="CS510" s="67"/>
      <c r="CT510" s="67"/>
      <c r="CU510" s="67"/>
      <c r="CV510" s="67"/>
      <c r="CW510" s="67"/>
      <c r="CX510" s="67"/>
      <c r="CY510" s="67"/>
      <c r="CZ510" s="67"/>
      <c r="DA510" s="67"/>
      <c r="DB510" s="67"/>
      <c r="DC510" s="67"/>
      <c r="DD510" s="67"/>
      <c r="DE510" s="67"/>
      <c r="DF510" s="67"/>
    </row>
    <row r="511">
      <c r="A511" s="62"/>
      <c r="B511" s="88"/>
      <c r="C511" s="88"/>
      <c r="D511" s="88"/>
      <c r="E511" s="90"/>
      <c r="F511" s="91"/>
      <c r="G511" s="49"/>
      <c r="H511" s="70"/>
      <c r="I511" s="88"/>
      <c r="J511" s="88"/>
      <c r="K511" s="88"/>
      <c r="L511" s="90"/>
      <c r="M511" s="91"/>
      <c r="N511" s="49"/>
      <c r="O511" s="71"/>
      <c r="P511" s="92"/>
      <c r="Q511" s="71"/>
      <c r="R511" s="92"/>
      <c r="S511" s="71"/>
      <c r="T511" s="71"/>
      <c r="U511" s="68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29"/>
      <c r="AN511" s="67"/>
      <c r="AO511" s="67"/>
      <c r="AP511" s="67"/>
      <c r="AQ511" s="67"/>
      <c r="AR511" s="67"/>
      <c r="AS511" s="67"/>
      <c r="AT511" s="67"/>
      <c r="AU511" s="67"/>
      <c r="AV511" s="67"/>
      <c r="AW511" s="67"/>
      <c r="AX511" s="67"/>
      <c r="AY511" s="67"/>
      <c r="AZ511" s="67"/>
      <c r="BA511" s="67"/>
      <c r="BB511" s="67"/>
      <c r="BC511" s="67"/>
      <c r="BD511" s="67"/>
      <c r="BE511" s="67"/>
      <c r="BF511" s="67"/>
      <c r="BG511" s="67"/>
      <c r="BH511" s="67"/>
      <c r="BI511" s="67"/>
      <c r="BJ511" s="67"/>
      <c r="BK511" s="67"/>
      <c r="BL511" s="67"/>
      <c r="BM511" s="67"/>
      <c r="BN511" s="67"/>
      <c r="BO511" s="67"/>
      <c r="BP511" s="67"/>
      <c r="BQ511" s="67"/>
      <c r="BR511" s="67"/>
      <c r="BS511" s="67"/>
      <c r="BT511" s="67"/>
      <c r="BU511" s="67"/>
      <c r="BV511" s="67"/>
      <c r="BW511" s="67"/>
      <c r="BX511" s="67"/>
      <c r="BY511" s="67"/>
      <c r="BZ511" s="67"/>
      <c r="CA511" s="67"/>
      <c r="CB511" s="67"/>
      <c r="CC511" s="67"/>
      <c r="CD511" s="67"/>
      <c r="CE511" s="67"/>
      <c r="CF511" s="67"/>
      <c r="CG511" s="67"/>
      <c r="CH511" s="67"/>
      <c r="CI511" s="67"/>
      <c r="CJ511" s="67"/>
      <c r="CK511" s="67"/>
      <c r="CL511" s="67"/>
      <c r="CM511" s="67"/>
      <c r="CN511" s="67"/>
      <c r="CO511" s="67"/>
      <c r="CP511" s="67"/>
      <c r="CQ511" s="67"/>
      <c r="CR511" s="67"/>
      <c r="CS511" s="67"/>
      <c r="CT511" s="67"/>
      <c r="CU511" s="67"/>
      <c r="CV511" s="67"/>
      <c r="CW511" s="67"/>
      <c r="CX511" s="67"/>
      <c r="CY511" s="67"/>
      <c r="CZ511" s="67"/>
      <c r="DA511" s="67"/>
      <c r="DB511" s="67"/>
      <c r="DC511" s="67"/>
      <c r="DD511" s="67"/>
      <c r="DE511" s="67"/>
      <c r="DF511" s="67"/>
    </row>
    <row r="512">
      <c r="A512" s="62"/>
      <c r="B512" s="88"/>
      <c r="C512" s="88"/>
      <c r="D512" s="88"/>
      <c r="E512" s="90"/>
      <c r="F512" s="91"/>
      <c r="G512" s="49"/>
      <c r="H512" s="70"/>
      <c r="I512" s="88"/>
      <c r="J512" s="88"/>
      <c r="K512" s="88"/>
      <c r="L512" s="90"/>
      <c r="M512" s="91"/>
      <c r="N512" s="49"/>
      <c r="O512" s="71"/>
      <c r="P512" s="92"/>
      <c r="Q512" s="71"/>
      <c r="R512" s="92"/>
      <c r="S512" s="71"/>
      <c r="T512" s="71"/>
      <c r="U512" s="68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29"/>
      <c r="AN512" s="67"/>
      <c r="AO512" s="67"/>
      <c r="AP512" s="67"/>
      <c r="AQ512" s="67"/>
      <c r="AR512" s="67"/>
      <c r="AS512" s="67"/>
      <c r="AT512" s="67"/>
      <c r="AU512" s="67"/>
      <c r="AV512" s="67"/>
      <c r="AW512" s="67"/>
      <c r="AX512" s="67"/>
      <c r="AY512" s="67"/>
      <c r="AZ512" s="67"/>
      <c r="BA512" s="67"/>
      <c r="BB512" s="67"/>
      <c r="BC512" s="67"/>
      <c r="BD512" s="67"/>
      <c r="BE512" s="67"/>
      <c r="BF512" s="67"/>
      <c r="BG512" s="67"/>
      <c r="BH512" s="67"/>
      <c r="BI512" s="67"/>
      <c r="BJ512" s="67"/>
      <c r="BK512" s="67"/>
      <c r="BL512" s="67"/>
      <c r="BM512" s="67"/>
      <c r="BN512" s="67"/>
      <c r="BO512" s="67"/>
      <c r="BP512" s="67"/>
      <c r="BQ512" s="67"/>
      <c r="BR512" s="67"/>
      <c r="BS512" s="67"/>
      <c r="BT512" s="67"/>
      <c r="BU512" s="67"/>
      <c r="BV512" s="67"/>
      <c r="BW512" s="67"/>
      <c r="BX512" s="67"/>
      <c r="BY512" s="67"/>
      <c r="BZ512" s="67"/>
      <c r="CA512" s="67"/>
      <c r="CB512" s="67"/>
      <c r="CC512" s="67"/>
      <c r="CD512" s="67"/>
      <c r="CE512" s="67"/>
      <c r="CF512" s="67"/>
      <c r="CG512" s="67"/>
      <c r="CH512" s="67"/>
      <c r="CI512" s="67"/>
      <c r="CJ512" s="67"/>
      <c r="CK512" s="67"/>
      <c r="CL512" s="67"/>
      <c r="CM512" s="67"/>
      <c r="CN512" s="67"/>
      <c r="CO512" s="67"/>
      <c r="CP512" s="67"/>
      <c r="CQ512" s="67"/>
      <c r="CR512" s="67"/>
      <c r="CS512" s="67"/>
      <c r="CT512" s="67"/>
      <c r="CU512" s="67"/>
      <c r="CV512" s="67"/>
      <c r="CW512" s="67"/>
      <c r="CX512" s="67"/>
      <c r="CY512" s="67"/>
      <c r="CZ512" s="67"/>
      <c r="DA512" s="67"/>
      <c r="DB512" s="67"/>
      <c r="DC512" s="67"/>
      <c r="DD512" s="67"/>
      <c r="DE512" s="67"/>
      <c r="DF512" s="67"/>
    </row>
    <row r="513">
      <c r="A513" s="62"/>
      <c r="B513" s="88"/>
      <c r="C513" s="88"/>
      <c r="D513" s="88"/>
      <c r="E513" s="90"/>
      <c r="F513" s="91"/>
      <c r="G513" s="49"/>
      <c r="H513" s="70"/>
      <c r="I513" s="88"/>
      <c r="J513" s="88"/>
      <c r="K513" s="88"/>
      <c r="L513" s="90"/>
      <c r="M513" s="91"/>
      <c r="N513" s="49"/>
      <c r="O513" s="71"/>
      <c r="P513" s="92"/>
      <c r="Q513" s="71"/>
      <c r="R513" s="92"/>
      <c r="S513" s="71"/>
      <c r="T513" s="71"/>
      <c r="U513" s="68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29"/>
      <c r="AN513" s="67"/>
      <c r="AO513" s="67"/>
      <c r="AP513" s="67"/>
      <c r="AQ513" s="67"/>
      <c r="AR513" s="67"/>
      <c r="AS513" s="67"/>
      <c r="AT513" s="67"/>
      <c r="AU513" s="67"/>
      <c r="AV513" s="67"/>
      <c r="AW513" s="67"/>
      <c r="AX513" s="67"/>
      <c r="AY513" s="67"/>
      <c r="AZ513" s="67"/>
      <c r="BA513" s="67"/>
      <c r="BB513" s="67"/>
      <c r="BC513" s="67"/>
      <c r="BD513" s="67"/>
      <c r="BE513" s="67"/>
      <c r="BF513" s="67"/>
      <c r="BG513" s="67"/>
      <c r="BH513" s="67"/>
      <c r="BI513" s="67"/>
      <c r="BJ513" s="67"/>
      <c r="BK513" s="67"/>
      <c r="BL513" s="67"/>
      <c r="BM513" s="67"/>
      <c r="BN513" s="67"/>
      <c r="BO513" s="67"/>
      <c r="BP513" s="67"/>
      <c r="BQ513" s="67"/>
      <c r="BR513" s="67"/>
      <c r="BS513" s="67"/>
      <c r="BT513" s="67"/>
      <c r="BU513" s="67"/>
      <c r="BV513" s="67"/>
      <c r="BW513" s="67"/>
      <c r="BX513" s="67"/>
      <c r="BY513" s="67"/>
      <c r="BZ513" s="67"/>
      <c r="CA513" s="67"/>
      <c r="CB513" s="67"/>
      <c r="CC513" s="67"/>
      <c r="CD513" s="67"/>
      <c r="CE513" s="67"/>
      <c r="CF513" s="67"/>
      <c r="CG513" s="67"/>
      <c r="CH513" s="67"/>
      <c r="CI513" s="67"/>
      <c r="CJ513" s="67"/>
      <c r="CK513" s="67"/>
      <c r="CL513" s="67"/>
      <c r="CM513" s="67"/>
      <c r="CN513" s="67"/>
      <c r="CO513" s="67"/>
      <c r="CP513" s="67"/>
      <c r="CQ513" s="67"/>
      <c r="CR513" s="67"/>
      <c r="CS513" s="67"/>
      <c r="CT513" s="67"/>
      <c r="CU513" s="67"/>
      <c r="CV513" s="67"/>
      <c r="CW513" s="67"/>
      <c r="CX513" s="67"/>
      <c r="CY513" s="67"/>
      <c r="CZ513" s="67"/>
      <c r="DA513" s="67"/>
      <c r="DB513" s="67"/>
      <c r="DC513" s="67"/>
      <c r="DD513" s="67"/>
      <c r="DE513" s="67"/>
      <c r="DF513" s="67"/>
    </row>
    <row r="514">
      <c r="A514" s="62"/>
      <c r="B514" s="88"/>
      <c r="C514" s="88"/>
      <c r="D514" s="88"/>
      <c r="E514" s="90"/>
      <c r="F514" s="91"/>
      <c r="G514" s="49"/>
      <c r="H514" s="70"/>
      <c r="I514" s="88"/>
      <c r="J514" s="88"/>
      <c r="K514" s="88"/>
      <c r="L514" s="90"/>
      <c r="M514" s="91"/>
      <c r="N514" s="49"/>
      <c r="O514" s="71"/>
      <c r="P514" s="92"/>
      <c r="Q514" s="71"/>
      <c r="R514" s="92"/>
      <c r="S514" s="71"/>
      <c r="T514" s="71"/>
      <c r="U514" s="68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29"/>
      <c r="AN514" s="67"/>
      <c r="AO514" s="67"/>
      <c r="AP514" s="67"/>
      <c r="AQ514" s="67"/>
      <c r="AR514" s="67"/>
      <c r="AS514" s="67"/>
      <c r="AT514" s="67"/>
      <c r="AU514" s="67"/>
      <c r="AV514" s="67"/>
      <c r="AW514" s="67"/>
      <c r="AX514" s="67"/>
      <c r="AY514" s="67"/>
      <c r="AZ514" s="67"/>
      <c r="BA514" s="67"/>
      <c r="BB514" s="67"/>
      <c r="BC514" s="67"/>
      <c r="BD514" s="67"/>
      <c r="BE514" s="67"/>
      <c r="BF514" s="67"/>
      <c r="BG514" s="67"/>
      <c r="BH514" s="67"/>
      <c r="BI514" s="67"/>
      <c r="BJ514" s="67"/>
      <c r="BK514" s="67"/>
      <c r="BL514" s="67"/>
      <c r="BM514" s="67"/>
      <c r="BN514" s="67"/>
      <c r="BO514" s="67"/>
      <c r="BP514" s="67"/>
      <c r="BQ514" s="67"/>
      <c r="BR514" s="67"/>
      <c r="BS514" s="67"/>
      <c r="BT514" s="67"/>
      <c r="BU514" s="67"/>
      <c r="BV514" s="67"/>
      <c r="BW514" s="67"/>
      <c r="BX514" s="67"/>
      <c r="BY514" s="67"/>
      <c r="BZ514" s="67"/>
      <c r="CA514" s="67"/>
      <c r="CB514" s="67"/>
      <c r="CC514" s="67"/>
      <c r="CD514" s="67"/>
      <c r="CE514" s="67"/>
      <c r="CF514" s="67"/>
      <c r="CG514" s="67"/>
      <c r="CH514" s="67"/>
      <c r="CI514" s="67"/>
      <c r="CJ514" s="67"/>
      <c r="CK514" s="67"/>
      <c r="CL514" s="67"/>
      <c r="CM514" s="67"/>
      <c r="CN514" s="67"/>
      <c r="CO514" s="67"/>
      <c r="CP514" s="67"/>
      <c r="CQ514" s="67"/>
      <c r="CR514" s="67"/>
      <c r="CS514" s="67"/>
      <c r="CT514" s="67"/>
      <c r="CU514" s="67"/>
      <c r="CV514" s="67"/>
      <c r="CW514" s="67"/>
      <c r="CX514" s="67"/>
      <c r="CY514" s="67"/>
      <c r="CZ514" s="67"/>
      <c r="DA514" s="67"/>
      <c r="DB514" s="67"/>
      <c r="DC514" s="67"/>
      <c r="DD514" s="67"/>
      <c r="DE514" s="67"/>
      <c r="DF514" s="67"/>
    </row>
    <row r="515">
      <c r="A515" s="62"/>
      <c r="B515" s="88"/>
      <c r="C515" s="88"/>
      <c r="D515" s="88"/>
      <c r="E515" s="90"/>
      <c r="F515" s="91"/>
      <c r="G515" s="49"/>
      <c r="H515" s="70"/>
      <c r="I515" s="88"/>
      <c r="J515" s="88"/>
      <c r="K515" s="88"/>
      <c r="L515" s="90"/>
      <c r="M515" s="91"/>
      <c r="N515" s="49"/>
      <c r="O515" s="71"/>
      <c r="P515" s="92"/>
      <c r="Q515" s="71"/>
      <c r="R515" s="92"/>
      <c r="S515" s="71"/>
      <c r="T515" s="71"/>
      <c r="U515" s="68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29"/>
      <c r="AN515" s="67"/>
      <c r="AO515" s="67"/>
      <c r="AP515" s="67"/>
      <c r="AQ515" s="67"/>
      <c r="AR515" s="67"/>
      <c r="AS515" s="67"/>
      <c r="AT515" s="67"/>
      <c r="AU515" s="67"/>
      <c r="AV515" s="67"/>
      <c r="AW515" s="67"/>
      <c r="AX515" s="67"/>
      <c r="AY515" s="67"/>
      <c r="AZ515" s="67"/>
      <c r="BA515" s="67"/>
      <c r="BB515" s="67"/>
      <c r="BC515" s="67"/>
      <c r="BD515" s="67"/>
      <c r="BE515" s="67"/>
      <c r="BF515" s="67"/>
      <c r="BG515" s="67"/>
      <c r="BH515" s="67"/>
      <c r="BI515" s="67"/>
      <c r="BJ515" s="67"/>
      <c r="BK515" s="67"/>
      <c r="BL515" s="67"/>
      <c r="BM515" s="67"/>
      <c r="BN515" s="67"/>
      <c r="BO515" s="67"/>
      <c r="BP515" s="67"/>
      <c r="BQ515" s="67"/>
      <c r="BR515" s="67"/>
      <c r="BS515" s="67"/>
      <c r="BT515" s="67"/>
      <c r="BU515" s="67"/>
      <c r="BV515" s="67"/>
      <c r="BW515" s="67"/>
      <c r="BX515" s="67"/>
      <c r="BY515" s="67"/>
      <c r="BZ515" s="67"/>
      <c r="CA515" s="67"/>
      <c r="CB515" s="67"/>
      <c r="CC515" s="67"/>
      <c r="CD515" s="67"/>
      <c r="CE515" s="67"/>
      <c r="CF515" s="67"/>
      <c r="CG515" s="67"/>
      <c r="CH515" s="67"/>
      <c r="CI515" s="67"/>
      <c r="CJ515" s="67"/>
      <c r="CK515" s="67"/>
      <c r="CL515" s="67"/>
      <c r="CM515" s="67"/>
      <c r="CN515" s="67"/>
      <c r="CO515" s="67"/>
      <c r="CP515" s="67"/>
      <c r="CQ515" s="67"/>
      <c r="CR515" s="67"/>
      <c r="CS515" s="67"/>
      <c r="CT515" s="67"/>
      <c r="CU515" s="67"/>
      <c r="CV515" s="67"/>
      <c r="CW515" s="67"/>
      <c r="CX515" s="67"/>
      <c r="CY515" s="67"/>
      <c r="CZ515" s="67"/>
      <c r="DA515" s="67"/>
      <c r="DB515" s="67"/>
      <c r="DC515" s="67"/>
      <c r="DD515" s="67"/>
      <c r="DE515" s="67"/>
      <c r="DF515" s="67"/>
    </row>
    <row r="516">
      <c r="A516" s="62"/>
      <c r="B516" s="88"/>
      <c r="C516" s="88"/>
      <c r="D516" s="88"/>
      <c r="E516" s="90"/>
      <c r="F516" s="91"/>
      <c r="G516" s="49"/>
      <c r="H516" s="70"/>
      <c r="I516" s="88"/>
      <c r="J516" s="88"/>
      <c r="K516" s="88"/>
      <c r="L516" s="90"/>
      <c r="M516" s="91"/>
      <c r="N516" s="49"/>
      <c r="O516" s="71"/>
      <c r="P516" s="92"/>
      <c r="Q516" s="71"/>
      <c r="R516" s="92"/>
      <c r="S516" s="71"/>
      <c r="T516" s="71"/>
      <c r="U516" s="68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29"/>
      <c r="AN516" s="67"/>
      <c r="AO516" s="67"/>
      <c r="AP516" s="67"/>
      <c r="AQ516" s="67"/>
      <c r="AR516" s="67"/>
      <c r="AS516" s="67"/>
      <c r="AT516" s="67"/>
      <c r="AU516" s="67"/>
      <c r="AV516" s="67"/>
      <c r="AW516" s="67"/>
      <c r="AX516" s="67"/>
      <c r="AY516" s="67"/>
      <c r="AZ516" s="67"/>
      <c r="BA516" s="67"/>
      <c r="BB516" s="67"/>
      <c r="BC516" s="67"/>
      <c r="BD516" s="67"/>
      <c r="BE516" s="67"/>
      <c r="BF516" s="67"/>
      <c r="BG516" s="67"/>
      <c r="BH516" s="67"/>
      <c r="BI516" s="67"/>
      <c r="BJ516" s="67"/>
      <c r="BK516" s="67"/>
      <c r="BL516" s="67"/>
      <c r="BM516" s="67"/>
      <c r="BN516" s="67"/>
      <c r="BO516" s="67"/>
      <c r="BP516" s="67"/>
      <c r="BQ516" s="67"/>
      <c r="BR516" s="67"/>
      <c r="BS516" s="67"/>
      <c r="BT516" s="67"/>
      <c r="BU516" s="67"/>
      <c r="BV516" s="67"/>
      <c r="BW516" s="67"/>
      <c r="BX516" s="67"/>
      <c r="BY516" s="67"/>
      <c r="BZ516" s="67"/>
      <c r="CA516" s="67"/>
      <c r="CB516" s="67"/>
      <c r="CC516" s="67"/>
      <c r="CD516" s="67"/>
      <c r="CE516" s="67"/>
      <c r="CF516" s="67"/>
      <c r="CG516" s="67"/>
      <c r="CH516" s="67"/>
      <c r="CI516" s="67"/>
      <c r="CJ516" s="67"/>
      <c r="CK516" s="67"/>
      <c r="CL516" s="67"/>
      <c r="CM516" s="67"/>
      <c r="CN516" s="67"/>
      <c r="CO516" s="67"/>
      <c r="CP516" s="67"/>
      <c r="CQ516" s="67"/>
      <c r="CR516" s="67"/>
      <c r="CS516" s="67"/>
      <c r="CT516" s="67"/>
      <c r="CU516" s="67"/>
      <c r="CV516" s="67"/>
      <c r="CW516" s="67"/>
      <c r="CX516" s="67"/>
      <c r="CY516" s="67"/>
      <c r="CZ516" s="67"/>
      <c r="DA516" s="67"/>
      <c r="DB516" s="67"/>
      <c r="DC516" s="67"/>
      <c r="DD516" s="67"/>
      <c r="DE516" s="67"/>
      <c r="DF516" s="67"/>
    </row>
    <row r="517">
      <c r="A517" s="62"/>
      <c r="B517" s="88"/>
      <c r="C517" s="88"/>
      <c r="D517" s="88"/>
      <c r="E517" s="90"/>
      <c r="F517" s="91"/>
      <c r="G517" s="49"/>
      <c r="H517" s="70"/>
      <c r="I517" s="88"/>
      <c r="J517" s="88"/>
      <c r="K517" s="88"/>
      <c r="L517" s="90"/>
      <c r="M517" s="91"/>
      <c r="N517" s="49"/>
      <c r="O517" s="71"/>
      <c r="P517" s="92"/>
      <c r="Q517" s="71"/>
      <c r="R517" s="92"/>
      <c r="S517" s="71"/>
      <c r="T517" s="71"/>
      <c r="U517" s="68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29"/>
      <c r="AN517" s="67"/>
      <c r="AO517" s="67"/>
      <c r="AP517" s="67"/>
      <c r="AQ517" s="67"/>
      <c r="AR517" s="67"/>
      <c r="AS517" s="67"/>
      <c r="AT517" s="67"/>
      <c r="AU517" s="67"/>
      <c r="AV517" s="67"/>
      <c r="AW517" s="67"/>
      <c r="AX517" s="67"/>
      <c r="AY517" s="67"/>
      <c r="AZ517" s="67"/>
      <c r="BA517" s="67"/>
      <c r="BB517" s="67"/>
      <c r="BC517" s="67"/>
      <c r="BD517" s="67"/>
      <c r="BE517" s="67"/>
      <c r="BF517" s="67"/>
      <c r="BG517" s="67"/>
      <c r="BH517" s="67"/>
      <c r="BI517" s="67"/>
      <c r="BJ517" s="67"/>
      <c r="BK517" s="67"/>
      <c r="BL517" s="67"/>
      <c r="BM517" s="67"/>
      <c r="BN517" s="67"/>
      <c r="BO517" s="67"/>
      <c r="BP517" s="67"/>
      <c r="BQ517" s="67"/>
      <c r="BR517" s="67"/>
      <c r="BS517" s="67"/>
      <c r="BT517" s="67"/>
      <c r="BU517" s="67"/>
      <c r="BV517" s="67"/>
      <c r="BW517" s="67"/>
      <c r="BX517" s="67"/>
      <c r="BY517" s="67"/>
      <c r="BZ517" s="67"/>
      <c r="CA517" s="67"/>
      <c r="CB517" s="67"/>
      <c r="CC517" s="67"/>
      <c r="CD517" s="67"/>
      <c r="CE517" s="67"/>
      <c r="CF517" s="67"/>
      <c r="CG517" s="67"/>
      <c r="CH517" s="67"/>
      <c r="CI517" s="67"/>
      <c r="CJ517" s="67"/>
      <c r="CK517" s="67"/>
      <c r="CL517" s="67"/>
      <c r="CM517" s="67"/>
      <c r="CN517" s="67"/>
      <c r="CO517" s="67"/>
      <c r="CP517" s="67"/>
      <c r="CQ517" s="67"/>
      <c r="CR517" s="67"/>
      <c r="CS517" s="67"/>
      <c r="CT517" s="67"/>
      <c r="CU517" s="67"/>
      <c r="CV517" s="67"/>
      <c r="CW517" s="67"/>
      <c r="CX517" s="67"/>
      <c r="CY517" s="67"/>
      <c r="CZ517" s="67"/>
      <c r="DA517" s="67"/>
      <c r="DB517" s="67"/>
      <c r="DC517" s="67"/>
      <c r="DD517" s="67"/>
      <c r="DE517" s="67"/>
      <c r="DF517" s="67"/>
    </row>
    <row r="518">
      <c r="A518" s="62"/>
      <c r="B518" s="88"/>
      <c r="C518" s="88"/>
      <c r="D518" s="88"/>
      <c r="E518" s="90"/>
      <c r="F518" s="91"/>
      <c r="G518" s="49"/>
      <c r="H518" s="70"/>
      <c r="I518" s="88"/>
      <c r="J518" s="88"/>
      <c r="K518" s="88"/>
      <c r="L518" s="90"/>
      <c r="M518" s="91"/>
      <c r="N518" s="49"/>
      <c r="O518" s="71"/>
      <c r="P518" s="92"/>
      <c r="Q518" s="71"/>
      <c r="R518" s="92"/>
      <c r="S518" s="71"/>
      <c r="T518" s="71"/>
      <c r="U518" s="68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29"/>
      <c r="AN518" s="67"/>
      <c r="AO518" s="67"/>
      <c r="AP518" s="67"/>
      <c r="AQ518" s="67"/>
      <c r="AR518" s="67"/>
      <c r="AS518" s="67"/>
      <c r="AT518" s="67"/>
      <c r="AU518" s="67"/>
      <c r="AV518" s="67"/>
      <c r="AW518" s="67"/>
      <c r="AX518" s="67"/>
      <c r="AY518" s="67"/>
      <c r="AZ518" s="67"/>
      <c r="BA518" s="67"/>
      <c r="BB518" s="67"/>
      <c r="BC518" s="67"/>
      <c r="BD518" s="67"/>
      <c r="BE518" s="67"/>
      <c r="BF518" s="67"/>
      <c r="BG518" s="67"/>
      <c r="BH518" s="67"/>
      <c r="BI518" s="67"/>
      <c r="BJ518" s="67"/>
      <c r="BK518" s="67"/>
      <c r="BL518" s="67"/>
      <c r="BM518" s="67"/>
      <c r="BN518" s="67"/>
      <c r="BO518" s="67"/>
      <c r="BP518" s="67"/>
      <c r="BQ518" s="67"/>
      <c r="BR518" s="67"/>
      <c r="BS518" s="67"/>
      <c r="BT518" s="67"/>
      <c r="BU518" s="67"/>
      <c r="BV518" s="67"/>
      <c r="BW518" s="67"/>
      <c r="BX518" s="67"/>
      <c r="BY518" s="67"/>
      <c r="BZ518" s="67"/>
      <c r="CA518" s="67"/>
      <c r="CB518" s="67"/>
      <c r="CC518" s="67"/>
      <c r="CD518" s="67"/>
      <c r="CE518" s="67"/>
      <c r="CF518" s="67"/>
      <c r="CG518" s="67"/>
      <c r="CH518" s="67"/>
      <c r="CI518" s="67"/>
      <c r="CJ518" s="67"/>
      <c r="CK518" s="67"/>
      <c r="CL518" s="67"/>
      <c r="CM518" s="67"/>
      <c r="CN518" s="67"/>
      <c r="CO518" s="67"/>
      <c r="CP518" s="67"/>
      <c r="CQ518" s="67"/>
      <c r="CR518" s="67"/>
      <c r="CS518" s="67"/>
      <c r="CT518" s="67"/>
      <c r="CU518" s="67"/>
      <c r="CV518" s="67"/>
      <c r="CW518" s="67"/>
      <c r="CX518" s="67"/>
      <c r="CY518" s="67"/>
      <c r="CZ518" s="67"/>
      <c r="DA518" s="67"/>
      <c r="DB518" s="67"/>
      <c r="DC518" s="67"/>
      <c r="DD518" s="67"/>
      <c r="DE518" s="67"/>
      <c r="DF518" s="67"/>
    </row>
    <row r="519">
      <c r="A519" s="62"/>
      <c r="B519" s="88"/>
      <c r="C519" s="88"/>
      <c r="D519" s="88"/>
      <c r="E519" s="90"/>
      <c r="F519" s="91"/>
      <c r="G519" s="49"/>
      <c r="H519" s="70"/>
      <c r="I519" s="88"/>
      <c r="J519" s="88"/>
      <c r="K519" s="88"/>
      <c r="L519" s="90"/>
      <c r="M519" s="91"/>
      <c r="N519" s="49"/>
      <c r="O519" s="71"/>
      <c r="P519" s="92"/>
      <c r="Q519" s="71"/>
      <c r="R519" s="92"/>
      <c r="S519" s="71"/>
      <c r="T519" s="71"/>
      <c r="U519" s="68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29"/>
      <c r="AN519" s="67"/>
      <c r="AO519" s="67"/>
      <c r="AP519" s="67"/>
      <c r="AQ519" s="67"/>
      <c r="AR519" s="67"/>
      <c r="AS519" s="67"/>
      <c r="AT519" s="67"/>
      <c r="AU519" s="67"/>
      <c r="AV519" s="67"/>
      <c r="AW519" s="67"/>
      <c r="AX519" s="67"/>
      <c r="AY519" s="67"/>
      <c r="AZ519" s="67"/>
      <c r="BA519" s="67"/>
      <c r="BB519" s="67"/>
      <c r="BC519" s="67"/>
      <c r="BD519" s="67"/>
      <c r="BE519" s="67"/>
      <c r="BF519" s="67"/>
      <c r="BG519" s="67"/>
      <c r="BH519" s="67"/>
      <c r="BI519" s="67"/>
      <c r="BJ519" s="67"/>
      <c r="BK519" s="67"/>
      <c r="BL519" s="67"/>
      <c r="BM519" s="67"/>
      <c r="BN519" s="67"/>
      <c r="BO519" s="67"/>
      <c r="BP519" s="67"/>
      <c r="BQ519" s="67"/>
      <c r="BR519" s="67"/>
      <c r="BS519" s="67"/>
      <c r="BT519" s="67"/>
      <c r="BU519" s="67"/>
      <c r="BV519" s="67"/>
      <c r="BW519" s="67"/>
      <c r="BX519" s="67"/>
      <c r="BY519" s="67"/>
      <c r="BZ519" s="67"/>
      <c r="CA519" s="67"/>
      <c r="CB519" s="67"/>
      <c r="CC519" s="67"/>
      <c r="CD519" s="67"/>
      <c r="CE519" s="67"/>
      <c r="CF519" s="67"/>
      <c r="CG519" s="67"/>
      <c r="CH519" s="67"/>
      <c r="CI519" s="67"/>
      <c r="CJ519" s="67"/>
      <c r="CK519" s="67"/>
      <c r="CL519" s="67"/>
      <c r="CM519" s="67"/>
      <c r="CN519" s="67"/>
      <c r="CO519" s="67"/>
      <c r="CP519" s="67"/>
      <c r="CQ519" s="67"/>
      <c r="CR519" s="67"/>
      <c r="CS519" s="67"/>
      <c r="CT519" s="67"/>
      <c r="CU519" s="67"/>
      <c r="CV519" s="67"/>
      <c r="CW519" s="67"/>
      <c r="CX519" s="67"/>
      <c r="CY519" s="67"/>
      <c r="CZ519" s="67"/>
      <c r="DA519" s="67"/>
      <c r="DB519" s="67"/>
      <c r="DC519" s="67"/>
      <c r="DD519" s="67"/>
      <c r="DE519" s="67"/>
      <c r="DF519" s="67"/>
    </row>
    <row r="520">
      <c r="A520" s="62"/>
      <c r="B520" s="88"/>
      <c r="C520" s="88"/>
      <c r="D520" s="88"/>
      <c r="E520" s="90"/>
      <c r="F520" s="91"/>
      <c r="G520" s="49"/>
      <c r="H520" s="70"/>
      <c r="I520" s="88"/>
      <c r="J520" s="88"/>
      <c r="K520" s="88"/>
      <c r="L520" s="90"/>
      <c r="M520" s="91"/>
      <c r="N520" s="49"/>
      <c r="O520" s="71"/>
      <c r="P520" s="92"/>
      <c r="Q520" s="71"/>
      <c r="R520" s="92"/>
      <c r="S520" s="71"/>
      <c r="T520" s="71"/>
      <c r="U520" s="68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29"/>
      <c r="AN520" s="67"/>
      <c r="AO520" s="67"/>
      <c r="AP520" s="67"/>
      <c r="AQ520" s="67"/>
      <c r="AR520" s="67"/>
      <c r="AS520" s="67"/>
      <c r="AT520" s="67"/>
      <c r="AU520" s="67"/>
      <c r="AV520" s="67"/>
      <c r="AW520" s="67"/>
      <c r="AX520" s="67"/>
      <c r="AY520" s="67"/>
      <c r="AZ520" s="67"/>
      <c r="BA520" s="67"/>
      <c r="BB520" s="67"/>
      <c r="BC520" s="67"/>
      <c r="BD520" s="67"/>
      <c r="BE520" s="67"/>
      <c r="BF520" s="67"/>
      <c r="BG520" s="67"/>
      <c r="BH520" s="67"/>
      <c r="BI520" s="67"/>
      <c r="BJ520" s="67"/>
      <c r="BK520" s="67"/>
      <c r="BL520" s="67"/>
      <c r="BM520" s="67"/>
      <c r="BN520" s="67"/>
      <c r="BO520" s="67"/>
      <c r="BP520" s="67"/>
      <c r="BQ520" s="67"/>
      <c r="BR520" s="67"/>
      <c r="BS520" s="67"/>
      <c r="BT520" s="67"/>
      <c r="BU520" s="67"/>
      <c r="BV520" s="67"/>
      <c r="BW520" s="67"/>
      <c r="BX520" s="67"/>
      <c r="BY520" s="67"/>
      <c r="BZ520" s="67"/>
      <c r="CA520" s="67"/>
      <c r="CB520" s="67"/>
      <c r="CC520" s="67"/>
      <c r="CD520" s="67"/>
      <c r="CE520" s="67"/>
      <c r="CF520" s="67"/>
      <c r="CG520" s="67"/>
      <c r="CH520" s="67"/>
      <c r="CI520" s="67"/>
      <c r="CJ520" s="67"/>
      <c r="CK520" s="67"/>
      <c r="CL520" s="67"/>
      <c r="CM520" s="67"/>
      <c r="CN520" s="67"/>
      <c r="CO520" s="67"/>
      <c r="CP520" s="67"/>
      <c r="CQ520" s="67"/>
      <c r="CR520" s="67"/>
      <c r="CS520" s="67"/>
      <c r="CT520" s="67"/>
      <c r="CU520" s="67"/>
      <c r="CV520" s="67"/>
      <c r="CW520" s="67"/>
      <c r="CX520" s="67"/>
      <c r="CY520" s="67"/>
      <c r="CZ520" s="67"/>
      <c r="DA520" s="67"/>
      <c r="DB520" s="67"/>
      <c r="DC520" s="67"/>
      <c r="DD520" s="67"/>
      <c r="DE520" s="67"/>
      <c r="DF520" s="67"/>
    </row>
    <row r="521">
      <c r="A521" s="62"/>
      <c r="B521" s="88"/>
      <c r="C521" s="88"/>
      <c r="D521" s="88"/>
      <c r="E521" s="90"/>
      <c r="F521" s="91"/>
      <c r="G521" s="49"/>
      <c r="H521" s="70"/>
      <c r="I521" s="88"/>
      <c r="J521" s="88"/>
      <c r="K521" s="88"/>
      <c r="L521" s="90"/>
      <c r="M521" s="91"/>
      <c r="N521" s="49"/>
      <c r="O521" s="71"/>
      <c r="P521" s="92"/>
      <c r="Q521" s="71"/>
      <c r="R521" s="92"/>
      <c r="S521" s="71"/>
      <c r="T521" s="71"/>
      <c r="U521" s="68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29"/>
      <c r="AN521" s="67"/>
      <c r="AO521" s="67"/>
      <c r="AP521" s="67"/>
      <c r="AQ521" s="67"/>
      <c r="AR521" s="67"/>
      <c r="AS521" s="67"/>
      <c r="AT521" s="67"/>
      <c r="AU521" s="67"/>
      <c r="AV521" s="67"/>
      <c r="AW521" s="67"/>
      <c r="AX521" s="67"/>
      <c r="AY521" s="67"/>
      <c r="AZ521" s="67"/>
      <c r="BA521" s="67"/>
      <c r="BB521" s="67"/>
      <c r="BC521" s="67"/>
      <c r="BD521" s="67"/>
      <c r="BE521" s="67"/>
      <c r="BF521" s="67"/>
      <c r="BG521" s="67"/>
      <c r="BH521" s="67"/>
      <c r="BI521" s="67"/>
      <c r="BJ521" s="67"/>
      <c r="BK521" s="67"/>
      <c r="BL521" s="67"/>
      <c r="BM521" s="67"/>
      <c r="BN521" s="67"/>
      <c r="BO521" s="67"/>
      <c r="BP521" s="67"/>
      <c r="BQ521" s="67"/>
      <c r="BR521" s="67"/>
      <c r="BS521" s="67"/>
      <c r="BT521" s="67"/>
      <c r="BU521" s="67"/>
      <c r="BV521" s="67"/>
      <c r="BW521" s="67"/>
      <c r="BX521" s="67"/>
      <c r="BY521" s="67"/>
      <c r="BZ521" s="67"/>
      <c r="CA521" s="67"/>
      <c r="CB521" s="67"/>
      <c r="CC521" s="67"/>
      <c r="CD521" s="67"/>
      <c r="CE521" s="67"/>
      <c r="CF521" s="67"/>
      <c r="CG521" s="67"/>
      <c r="CH521" s="67"/>
      <c r="CI521" s="67"/>
      <c r="CJ521" s="67"/>
      <c r="CK521" s="67"/>
      <c r="CL521" s="67"/>
      <c r="CM521" s="67"/>
      <c r="CN521" s="67"/>
      <c r="CO521" s="67"/>
      <c r="CP521" s="67"/>
      <c r="CQ521" s="67"/>
      <c r="CR521" s="67"/>
      <c r="CS521" s="67"/>
      <c r="CT521" s="67"/>
      <c r="CU521" s="67"/>
      <c r="CV521" s="67"/>
      <c r="CW521" s="67"/>
      <c r="CX521" s="67"/>
      <c r="CY521" s="67"/>
      <c r="CZ521" s="67"/>
      <c r="DA521" s="67"/>
      <c r="DB521" s="67"/>
      <c r="DC521" s="67"/>
      <c r="DD521" s="67"/>
      <c r="DE521" s="67"/>
      <c r="DF521" s="67"/>
    </row>
    <row r="522">
      <c r="A522" s="62"/>
      <c r="B522" s="88"/>
      <c r="C522" s="88"/>
      <c r="D522" s="88"/>
      <c r="E522" s="90"/>
      <c r="F522" s="91"/>
      <c r="G522" s="49"/>
      <c r="H522" s="70"/>
      <c r="I522" s="88"/>
      <c r="J522" s="88"/>
      <c r="K522" s="88"/>
      <c r="L522" s="90"/>
      <c r="M522" s="91"/>
      <c r="N522" s="49"/>
      <c r="O522" s="71"/>
      <c r="P522" s="92"/>
      <c r="Q522" s="71"/>
      <c r="R522" s="92"/>
      <c r="S522" s="71"/>
      <c r="T522" s="71"/>
      <c r="U522" s="68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29"/>
      <c r="AN522" s="67"/>
      <c r="AO522" s="67"/>
      <c r="AP522" s="67"/>
      <c r="AQ522" s="67"/>
      <c r="AR522" s="67"/>
      <c r="AS522" s="67"/>
      <c r="AT522" s="67"/>
      <c r="AU522" s="67"/>
      <c r="AV522" s="67"/>
      <c r="AW522" s="67"/>
      <c r="AX522" s="67"/>
      <c r="AY522" s="67"/>
      <c r="AZ522" s="67"/>
      <c r="BA522" s="67"/>
      <c r="BB522" s="67"/>
      <c r="BC522" s="67"/>
      <c r="BD522" s="67"/>
      <c r="BE522" s="67"/>
      <c r="BF522" s="67"/>
      <c r="BG522" s="67"/>
      <c r="BH522" s="67"/>
      <c r="BI522" s="67"/>
      <c r="BJ522" s="67"/>
      <c r="BK522" s="67"/>
      <c r="BL522" s="67"/>
      <c r="BM522" s="67"/>
      <c r="BN522" s="67"/>
      <c r="BO522" s="67"/>
      <c r="BP522" s="67"/>
      <c r="BQ522" s="67"/>
      <c r="BR522" s="67"/>
      <c r="BS522" s="67"/>
      <c r="BT522" s="67"/>
      <c r="BU522" s="67"/>
      <c r="BV522" s="67"/>
      <c r="BW522" s="67"/>
      <c r="BX522" s="67"/>
      <c r="BY522" s="67"/>
      <c r="BZ522" s="67"/>
      <c r="CA522" s="67"/>
      <c r="CB522" s="67"/>
      <c r="CC522" s="67"/>
      <c r="CD522" s="67"/>
      <c r="CE522" s="67"/>
      <c r="CF522" s="67"/>
      <c r="CG522" s="67"/>
      <c r="CH522" s="67"/>
      <c r="CI522" s="67"/>
      <c r="CJ522" s="67"/>
      <c r="CK522" s="67"/>
      <c r="CL522" s="67"/>
      <c r="CM522" s="67"/>
      <c r="CN522" s="67"/>
      <c r="CO522" s="67"/>
      <c r="CP522" s="67"/>
      <c r="CQ522" s="67"/>
      <c r="CR522" s="67"/>
      <c r="CS522" s="67"/>
      <c r="CT522" s="67"/>
      <c r="CU522" s="67"/>
      <c r="CV522" s="67"/>
      <c r="CW522" s="67"/>
      <c r="CX522" s="67"/>
      <c r="CY522" s="67"/>
      <c r="CZ522" s="67"/>
      <c r="DA522" s="67"/>
      <c r="DB522" s="67"/>
      <c r="DC522" s="67"/>
      <c r="DD522" s="67"/>
      <c r="DE522" s="67"/>
      <c r="DF522" s="67"/>
    </row>
    <row r="523">
      <c r="A523" s="62"/>
      <c r="B523" s="88"/>
      <c r="C523" s="88"/>
      <c r="D523" s="88"/>
      <c r="E523" s="90"/>
      <c r="F523" s="91"/>
      <c r="G523" s="49"/>
      <c r="H523" s="70"/>
      <c r="I523" s="88"/>
      <c r="J523" s="88"/>
      <c r="K523" s="88"/>
      <c r="L523" s="90"/>
      <c r="M523" s="91"/>
      <c r="N523" s="49"/>
      <c r="O523" s="71"/>
      <c r="P523" s="92"/>
      <c r="Q523" s="71"/>
      <c r="R523" s="92"/>
      <c r="S523" s="71"/>
      <c r="T523" s="71"/>
      <c r="U523" s="68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29"/>
      <c r="AN523" s="67"/>
      <c r="AO523" s="67"/>
      <c r="AP523" s="67"/>
      <c r="AQ523" s="67"/>
      <c r="AR523" s="67"/>
      <c r="AS523" s="67"/>
      <c r="AT523" s="67"/>
      <c r="AU523" s="67"/>
      <c r="AV523" s="67"/>
      <c r="AW523" s="67"/>
      <c r="AX523" s="67"/>
      <c r="AY523" s="67"/>
      <c r="AZ523" s="67"/>
      <c r="BA523" s="67"/>
      <c r="BB523" s="67"/>
      <c r="BC523" s="67"/>
      <c r="BD523" s="67"/>
      <c r="BE523" s="67"/>
      <c r="BF523" s="67"/>
      <c r="BG523" s="67"/>
      <c r="BH523" s="67"/>
      <c r="BI523" s="67"/>
      <c r="BJ523" s="67"/>
      <c r="BK523" s="67"/>
      <c r="BL523" s="67"/>
      <c r="BM523" s="67"/>
      <c r="BN523" s="67"/>
      <c r="BO523" s="67"/>
      <c r="BP523" s="67"/>
      <c r="BQ523" s="67"/>
      <c r="BR523" s="67"/>
      <c r="BS523" s="67"/>
      <c r="BT523" s="67"/>
      <c r="BU523" s="67"/>
      <c r="BV523" s="67"/>
      <c r="BW523" s="67"/>
      <c r="BX523" s="67"/>
      <c r="BY523" s="67"/>
      <c r="BZ523" s="67"/>
      <c r="CA523" s="67"/>
      <c r="CB523" s="67"/>
      <c r="CC523" s="67"/>
      <c r="CD523" s="67"/>
      <c r="CE523" s="67"/>
      <c r="CF523" s="67"/>
      <c r="CG523" s="67"/>
      <c r="CH523" s="67"/>
      <c r="CI523" s="67"/>
      <c r="CJ523" s="67"/>
      <c r="CK523" s="67"/>
      <c r="CL523" s="67"/>
      <c r="CM523" s="67"/>
      <c r="CN523" s="67"/>
      <c r="CO523" s="67"/>
      <c r="CP523" s="67"/>
      <c r="CQ523" s="67"/>
      <c r="CR523" s="67"/>
      <c r="CS523" s="67"/>
      <c r="CT523" s="67"/>
      <c r="CU523" s="67"/>
      <c r="CV523" s="67"/>
      <c r="CW523" s="67"/>
      <c r="CX523" s="67"/>
      <c r="CY523" s="67"/>
      <c r="CZ523" s="67"/>
      <c r="DA523" s="67"/>
      <c r="DB523" s="67"/>
      <c r="DC523" s="67"/>
      <c r="DD523" s="67"/>
      <c r="DE523" s="67"/>
      <c r="DF523" s="67"/>
    </row>
    <row r="524">
      <c r="A524" s="62"/>
      <c r="B524" s="88"/>
      <c r="C524" s="88"/>
      <c r="D524" s="88"/>
      <c r="E524" s="90"/>
      <c r="F524" s="91"/>
      <c r="G524" s="49"/>
      <c r="H524" s="70"/>
      <c r="I524" s="88"/>
      <c r="J524" s="88"/>
      <c r="K524" s="88"/>
      <c r="L524" s="90"/>
      <c r="M524" s="91"/>
      <c r="N524" s="49"/>
      <c r="O524" s="71"/>
      <c r="P524" s="92"/>
      <c r="Q524" s="71"/>
      <c r="R524" s="92"/>
      <c r="S524" s="71"/>
      <c r="T524" s="71"/>
      <c r="U524" s="68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29"/>
      <c r="AN524" s="67"/>
      <c r="AO524" s="67"/>
      <c r="AP524" s="67"/>
      <c r="AQ524" s="67"/>
      <c r="AR524" s="67"/>
      <c r="AS524" s="67"/>
      <c r="AT524" s="67"/>
      <c r="AU524" s="67"/>
      <c r="AV524" s="67"/>
      <c r="AW524" s="67"/>
      <c r="AX524" s="67"/>
      <c r="AY524" s="67"/>
      <c r="AZ524" s="67"/>
      <c r="BA524" s="67"/>
      <c r="BB524" s="67"/>
      <c r="BC524" s="67"/>
      <c r="BD524" s="67"/>
      <c r="BE524" s="67"/>
      <c r="BF524" s="67"/>
      <c r="BG524" s="67"/>
      <c r="BH524" s="67"/>
      <c r="BI524" s="67"/>
      <c r="BJ524" s="67"/>
      <c r="BK524" s="67"/>
      <c r="BL524" s="67"/>
      <c r="BM524" s="67"/>
      <c r="BN524" s="67"/>
      <c r="BO524" s="67"/>
      <c r="BP524" s="67"/>
      <c r="BQ524" s="67"/>
      <c r="BR524" s="67"/>
      <c r="BS524" s="67"/>
      <c r="BT524" s="67"/>
      <c r="BU524" s="67"/>
      <c r="BV524" s="67"/>
      <c r="BW524" s="67"/>
      <c r="BX524" s="67"/>
      <c r="BY524" s="67"/>
      <c r="BZ524" s="67"/>
      <c r="CA524" s="67"/>
      <c r="CB524" s="67"/>
      <c r="CC524" s="67"/>
      <c r="CD524" s="67"/>
      <c r="CE524" s="67"/>
      <c r="CF524" s="67"/>
      <c r="CG524" s="67"/>
      <c r="CH524" s="67"/>
      <c r="CI524" s="67"/>
      <c r="CJ524" s="67"/>
      <c r="CK524" s="67"/>
      <c r="CL524" s="67"/>
      <c r="CM524" s="67"/>
      <c r="CN524" s="67"/>
      <c r="CO524" s="67"/>
      <c r="CP524" s="67"/>
      <c r="CQ524" s="67"/>
      <c r="CR524" s="67"/>
      <c r="CS524" s="67"/>
      <c r="CT524" s="67"/>
      <c r="CU524" s="67"/>
      <c r="CV524" s="67"/>
      <c r="CW524" s="67"/>
      <c r="CX524" s="67"/>
      <c r="CY524" s="67"/>
      <c r="CZ524" s="67"/>
      <c r="DA524" s="67"/>
      <c r="DB524" s="67"/>
      <c r="DC524" s="67"/>
      <c r="DD524" s="67"/>
      <c r="DE524" s="67"/>
      <c r="DF524" s="67"/>
    </row>
    <row r="525">
      <c r="A525" s="62"/>
      <c r="B525" s="88"/>
      <c r="C525" s="88"/>
      <c r="D525" s="88"/>
      <c r="E525" s="90"/>
      <c r="F525" s="91"/>
      <c r="G525" s="49"/>
      <c r="H525" s="70"/>
      <c r="I525" s="88"/>
      <c r="J525" s="88"/>
      <c r="K525" s="88"/>
      <c r="L525" s="90"/>
      <c r="M525" s="91"/>
      <c r="N525" s="49"/>
      <c r="O525" s="71"/>
      <c r="P525" s="92"/>
      <c r="Q525" s="71"/>
      <c r="R525" s="92"/>
      <c r="S525" s="71"/>
      <c r="T525" s="71"/>
      <c r="U525" s="68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29"/>
      <c r="AN525" s="67"/>
      <c r="AO525" s="67"/>
      <c r="AP525" s="67"/>
      <c r="AQ525" s="67"/>
      <c r="AR525" s="67"/>
      <c r="AS525" s="67"/>
      <c r="AT525" s="67"/>
      <c r="AU525" s="67"/>
      <c r="AV525" s="67"/>
      <c r="AW525" s="67"/>
      <c r="AX525" s="67"/>
      <c r="AY525" s="67"/>
      <c r="AZ525" s="67"/>
      <c r="BA525" s="67"/>
      <c r="BB525" s="67"/>
      <c r="BC525" s="67"/>
      <c r="BD525" s="67"/>
      <c r="BE525" s="67"/>
      <c r="BF525" s="67"/>
      <c r="BG525" s="67"/>
      <c r="BH525" s="67"/>
      <c r="BI525" s="67"/>
      <c r="BJ525" s="67"/>
      <c r="BK525" s="67"/>
      <c r="BL525" s="67"/>
      <c r="BM525" s="67"/>
      <c r="BN525" s="67"/>
      <c r="BO525" s="67"/>
      <c r="BP525" s="67"/>
      <c r="BQ525" s="67"/>
      <c r="BR525" s="67"/>
      <c r="BS525" s="67"/>
      <c r="BT525" s="67"/>
      <c r="BU525" s="67"/>
      <c r="BV525" s="67"/>
      <c r="BW525" s="67"/>
      <c r="BX525" s="67"/>
      <c r="BY525" s="67"/>
      <c r="BZ525" s="67"/>
      <c r="CA525" s="67"/>
      <c r="CB525" s="67"/>
      <c r="CC525" s="67"/>
      <c r="CD525" s="67"/>
      <c r="CE525" s="67"/>
      <c r="CF525" s="67"/>
      <c r="CG525" s="67"/>
      <c r="CH525" s="67"/>
      <c r="CI525" s="67"/>
      <c r="CJ525" s="67"/>
      <c r="CK525" s="67"/>
      <c r="CL525" s="67"/>
      <c r="CM525" s="67"/>
      <c r="CN525" s="67"/>
      <c r="CO525" s="67"/>
      <c r="CP525" s="67"/>
      <c r="CQ525" s="67"/>
      <c r="CR525" s="67"/>
      <c r="CS525" s="67"/>
      <c r="CT525" s="67"/>
      <c r="CU525" s="67"/>
      <c r="CV525" s="67"/>
      <c r="CW525" s="67"/>
      <c r="CX525" s="67"/>
      <c r="CY525" s="67"/>
      <c r="CZ525" s="67"/>
      <c r="DA525" s="67"/>
      <c r="DB525" s="67"/>
      <c r="DC525" s="67"/>
      <c r="DD525" s="67"/>
      <c r="DE525" s="67"/>
      <c r="DF525" s="67"/>
    </row>
    <row r="526">
      <c r="A526" s="62"/>
      <c r="B526" s="88"/>
      <c r="C526" s="88"/>
      <c r="D526" s="88"/>
      <c r="E526" s="90"/>
      <c r="F526" s="91"/>
      <c r="G526" s="49"/>
      <c r="H526" s="70"/>
      <c r="I526" s="88"/>
      <c r="J526" s="88"/>
      <c r="K526" s="88"/>
      <c r="L526" s="90"/>
      <c r="M526" s="91"/>
      <c r="N526" s="49"/>
      <c r="O526" s="71"/>
      <c r="P526" s="92"/>
      <c r="Q526" s="71"/>
      <c r="R526" s="92"/>
      <c r="S526" s="71"/>
      <c r="T526" s="71"/>
      <c r="U526" s="68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29"/>
      <c r="AN526" s="67"/>
      <c r="AO526" s="67"/>
      <c r="AP526" s="67"/>
      <c r="AQ526" s="67"/>
      <c r="AR526" s="67"/>
      <c r="AS526" s="67"/>
      <c r="AT526" s="67"/>
      <c r="AU526" s="67"/>
      <c r="AV526" s="67"/>
      <c r="AW526" s="67"/>
      <c r="AX526" s="67"/>
      <c r="AY526" s="67"/>
      <c r="AZ526" s="67"/>
      <c r="BA526" s="67"/>
      <c r="BB526" s="67"/>
      <c r="BC526" s="67"/>
      <c r="BD526" s="67"/>
      <c r="BE526" s="67"/>
      <c r="BF526" s="67"/>
      <c r="BG526" s="67"/>
      <c r="BH526" s="67"/>
      <c r="BI526" s="67"/>
      <c r="BJ526" s="67"/>
      <c r="BK526" s="67"/>
      <c r="BL526" s="67"/>
      <c r="BM526" s="67"/>
      <c r="BN526" s="67"/>
      <c r="BO526" s="67"/>
      <c r="BP526" s="67"/>
      <c r="BQ526" s="67"/>
      <c r="BR526" s="67"/>
      <c r="BS526" s="67"/>
      <c r="BT526" s="67"/>
      <c r="BU526" s="67"/>
      <c r="BV526" s="67"/>
      <c r="BW526" s="67"/>
      <c r="BX526" s="67"/>
      <c r="BY526" s="67"/>
      <c r="BZ526" s="67"/>
      <c r="CA526" s="67"/>
      <c r="CB526" s="67"/>
      <c r="CC526" s="67"/>
      <c r="CD526" s="67"/>
      <c r="CE526" s="67"/>
      <c r="CF526" s="67"/>
      <c r="CG526" s="67"/>
      <c r="CH526" s="67"/>
      <c r="CI526" s="67"/>
      <c r="CJ526" s="67"/>
      <c r="CK526" s="67"/>
      <c r="CL526" s="67"/>
      <c r="CM526" s="67"/>
      <c r="CN526" s="67"/>
      <c r="CO526" s="67"/>
      <c r="CP526" s="67"/>
      <c r="CQ526" s="67"/>
      <c r="CR526" s="67"/>
      <c r="CS526" s="67"/>
      <c r="CT526" s="67"/>
      <c r="CU526" s="67"/>
      <c r="CV526" s="67"/>
      <c r="CW526" s="67"/>
      <c r="CX526" s="67"/>
      <c r="CY526" s="67"/>
      <c r="CZ526" s="67"/>
      <c r="DA526" s="67"/>
      <c r="DB526" s="67"/>
      <c r="DC526" s="67"/>
      <c r="DD526" s="67"/>
      <c r="DE526" s="67"/>
      <c r="DF526" s="67"/>
    </row>
    <row r="527">
      <c r="A527" s="62"/>
      <c r="B527" s="88"/>
      <c r="C527" s="88"/>
      <c r="D527" s="88"/>
      <c r="E527" s="90"/>
      <c r="F527" s="91"/>
      <c r="G527" s="49"/>
      <c r="H527" s="70"/>
      <c r="I527" s="88"/>
      <c r="J527" s="88"/>
      <c r="K527" s="88"/>
      <c r="L527" s="90"/>
      <c r="M527" s="91"/>
      <c r="N527" s="49"/>
      <c r="O527" s="71"/>
      <c r="P527" s="92"/>
      <c r="Q527" s="71"/>
      <c r="R527" s="92"/>
      <c r="S527" s="71"/>
      <c r="T527" s="71"/>
      <c r="U527" s="68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29"/>
      <c r="AN527" s="67"/>
      <c r="AO527" s="67"/>
      <c r="AP527" s="67"/>
      <c r="AQ527" s="67"/>
      <c r="AR527" s="67"/>
      <c r="AS527" s="67"/>
      <c r="AT527" s="67"/>
      <c r="AU527" s="67"/>
      <c r="AV527" s="67"/>
      <c r="AW527" s="67"/>
      <c r="AX527" s="67"/>
      <c r="AY527" s="67"/>
      <c r="AZ527" s="67"/>
      <c r="BA527" s="67"/>
      <c r="BB527" s="67"/>
      <c r="BC527" s="67"/>
      <c r="BD527" s="67"/>
      <c r="BE527" s="67"/>
      <c r="BF527" s="67"/>
      <c r="BG527" s="67"/>
      <c r="BH527" s="67"/>
      <c r="BI527" s="67"/>
      <c r="BJ527" s="67"/>
      <c r="BK527" s="67"/>
      <c r="BL527" s="67"/>
      <c r="BM527" s="67"/>
      <c r="BN527" s="67"/>
      <c r="BO527" s="67"/>
      <c r="BP527" s="67"/>
      <c r="BQ527" s="67"/>
      <c r="BR527" s="67"/>
      <c r="BS527" s="67"/>
      <c r="BT527" s="67"/>
      <c r="BU527" s="67"/>
      <c r="BV527" s="67"/>
      <c r="BW527" s="67"/>
      <c r="BX527" s="67"/>
      <c r="BY527" s="67"/>
      <c r="BZ527" s="67"/>
      <c r="CA527" s="67"/>
      <c r="CB527" s="67"/>
      <c r="CC527" s="67"/>
      <c r="CD527" s="67"/>
      <c r="CE527" s="67"/>
      <c r="CF527" s="67"/>
      <c r="CG527" s="67"/>
      <c r="CH527" s="67"/>
      <c r="CI527" s="67"/>
      <c r="CJ527" s="67"/>
      <c r="CK527" s="67"/>
      <c r="CL527" s="67"/>
      <c r="CM527" s="67"/>
      <c r="CN527" s="67"/>
      <c r="CO527" s="67"/>
      <c r="CP527" s="67"/>
      <c r="CQ527" s="67"/>
      <c r="CR527" s="67"/>
      <c r="CS527" s="67"/>
      <c r="CT527" s="67"/>
      <c r="CU527" s="67"/>
      <c r="CV527" s="67"/>
      <c r="CW527" s="67"/>
      <c r="CX527" s="67"/>
      <c r="CY527" s="67"/>
      <c r="CZ527" s="67"/>
      <c r="DA527" s="67"/>
      <c r="DB527" s="67"/>
      <c r="DC527" s="67"/>
      <c r="DD527" s="67"/>
      <c r="DE527" s="67"/>
      <c r="DF527" s="67"/>
    </row>
    <row r="528">
      <c r="A528" s="62"/>
      <c r="B528" s="88"/>
      <c r="C528" s="88"/>
      <c r="D528" s="88"/>
      <c r="E528" s="90"/>
      <c r="F528" s="91"/>
      <c r="G528" s="49"/>
      <c r="H528" s="70"/>
      <c r="I528" s="88"/>
      <c r="J528" s="88"/>
      <c r="K528" s="88"/>
      <c r="L528" s="90"/>
      <c r="M528" s="91"/>
      <c r="N528" s="49"/>
      <c r="O528" s="71"/>
      <c r="P528" s="92"/>
      <c r="Q528" s="71"/>
      <c r="R528" s="92"/>
      <c r="S528" s="71"/>
      <c r="T528" s="71"/>
      <c r="U528" s="68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29"/>
      <c r="AN528" s="67"/>
      <c r="AO528" s="67"/>
      <c r="AP528" s="67"/>
      <c r="AQ528" s="67"/>
      <c r="AR528" s="67"/>
      <c r="AS528" s="67"/>
      <c r="AT528" s="67"/>
      <c r="AU528" s="67"/>
      <c r="AV528" s="67"/>
      <c r="AW528" s="67"/>
      <c r="AX528" s="67"/>
      <c r="AY528" s="67"/>
      <c r="AZ528" s="67"/>
      <c r="BA528" s="67"/>
      <c r="BB528" s="67"/>
      <c r="BC528" s="67"/>
      <c r="BD528" s="67"/>
      <c r="BE528" s="67"/>
      <c r="BF528" s="67"/>
      <c r="BG528" s="67"/>
      <c r="BH528" s="67"/>
      <c r="BI528" s="67"/>
      <c r="BJ528" s="67"/>
      <c r="BK528" s="67"/>
      <c r="BL528" s="67"/>
      <c r="BM528" s="67"/>
      <c r="BN528" s="67"/>
      <c r="BO528" s="67"/>
      <c r="BP528" s="67"/>
      <c r="BQ528" s="67"/>
      <c r="BR528" s="67"/>
      <c r="BS528" s="67"/>
      <c r="BT528" s="67"/>
      <c r="BU528" s="67"/>
      <c r="BV528" s="67"/>
      <c r="BW528" s="67"/>
      <c r="BX528" s="67"/>
      <c r="BY528" s="67"/>
      <c r="BZ528" s="67"/>
      <c r="CA528" s="67"/>
      <c r="CB528" s="67"/>
      <c r="CC528" s="67"/>
      <c r="CD528" s="67"/>
      <c r="CE528" s="67"/>
      <c r="CF528" s="67"/>
      <c r="CG528" s="67"/>
      <c r="CH528" s="67"/>
      <c r="CI528" s="67"/>
      <c r="CJ528" s="67"/>
      <c r="CK528" s="67"/>
      <c r="CL528" s="67"/>
      <c r="CM528" s="67"/>
      <c r="CN528" s="67"/>
      <c r="CO528" s="67"/>
      <c r="CP528" s="67"/>
      <c r="CQ528" s="67"/>
      <c r="CR528" s="67"/>
      <c r="CS528" s="67"/>
      <c r="CT528" s="67"/>
      <c r="CU528" s="67"/>
      <c r="CV528" s="67"/>
      <c r="CW528" s="67"/>
      <c r="CX528" s="67"/>
      <c r="CY528" s="67"/>
      <c r="CZ528" s="67"/>
      <c r="DA528" s="67"/>
      <c r="DB528" s="67"/>
      <c r="DC528" s="67"/>
      <c r="DD528" s="67"/>
      <c r="DE528" s="67"/>
      <c r="DF528" s="67"/>
    </row>
    <row r="529">
      <c r="A529" s="62"/>
      <c r="B529" s="88"/>
      <c r="C529" s="88"/>
      <c r="D529" s="88"/>
      <c r="E529" s="90"/>
      <c r="F529" s="91"/>
      <c r="G529" s="49"/>
      <c r="H529" s="70"/>
      <c r="I529" s="88"/>
      <c r="J529" s="88"/>
      <c r="K529" s="88"/>
      <c r="L529" s="90"/>
      <c r="M529" s="91"/>
      <c r="N529" s="49"/>
      <c r="O529" s="71"/>
      <c r="P529" s="92"/>
      <c r="Q529" s="71"/>
      <c r="R529" s="92"/>
      <c r="S529" s="71"/>
      <c r="T529" s="71"/>
      <c r="U529" s="68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29"/>
      <c r="AN529" s="67"/>
      <c r="AO529" s="67"/>
      <c r="AP529" s="67"/>
      <c r="AQ529" s="67"/>
      <c r="AR529" s="67"/>
      <c r="AS529" s="67"/>
      <c r="AT529" s="67"/>
      <c r="AU529" s="67"/>
      <c r="AV529" s="67"/>
      <c r="AW529" s="67"/>
      <c r="AX529" s="67"/>
      <c r="AY529" s="67"/>
      <c r="AZ529" s="67"/>
      <c r="BA529" s="67"/>
      <c r="BB529" s="67"/>
      <c r="BC529" s="67"/>
      <c r="BD529" s="67"/>
      <c r="BE529" s="67"/>
      <c r="BF529" s="67"/>
      <c r="BG529" s="67"/>
      <c r="BH529" s="67"/>
      <c r="BI529" s="67"/>
      <c r="BJ529" s="67"/>
      <c r="BK529" s="67"/>
      <c r="BL529" s="67"/>
      <c r="BM529" s="67"/>
      <c r="BN529" s="67"/>
      <c r="BO529" s="67"/>
      <c r="BP529" s="67"/>
      <c r="BQ529" s="67"/>
      <c r="BR529" s="67"/>
      <c r="BS529" s="67"/>
      <c r="BT529" s="67"/>
      <c r="BU529" s="67"/>
      <c r="BV529" s="67"/>
      <c r="BW529" s="67"/>
      <c r="BX529" s="67"/>
      <c r="BY529" s="67"/>
      <c r="BZ529" s="67"/>
      <c r="CA529" s="67"/>
      <c r="CB529" s="67"/>
      <c r="CC529" s="67"/>
      <c r="CD529" s="67"/>
      <c r="CE529" s="67"/>
      <c r="CF529" s="67"/>
      <c r="CG529" s="67"/>
      <c r="CH529" s="67"/>
      <c r="CI529" s="67"/>
      <c r="CJ529" s="67"/>
      <c r="CK529" s="67"/>
      <c r="CL529" s="67"/>
      <c r="CM529" s="67"/>
      <c r="CN529" s="67"/>
      <c r="CO529" s="67"/>
      <c r="CP529" s="67"/>
      <c r="CQ529" s="67"/>
      <c r="CR529" s="67"/>
      <c r="CS529" s="67"/>
      <c r="CT529" s="67"/>
      <c r="CU529" s="67"/>
      <c r="CV529" s="67"/>
      <c r="CW529" s="67"/>
      <c r="CX529" s="67"/>
      <c r="CY529" s="67"/>
      <c r="CZ529" s="67"/>
      <c r="DA529" s="67"/>
      <c r="DB529" s="67"/>
      <c r="DC529" s="67"/>
      <c r="DD529" s="67"/>
      <c r="DE529" s="67"/>
      <c r="DF529" s="67"/>
    </row>
    <row r="530">
      <c r="A530" s="62"/>
      <c r="B530" s="88"/>
      <c r="C530" s="88"/>
      <c r="D530" s="88"/>
      <c r="E530" s="90"/>
      <c r="F530" s="91"/>
      <c r="G530" s="49"/>
      <c r="H530" s="70"/>
      <c r="I530" s="88"/>
      <c r="J530" s="88"/>
      <c r="K530" s="88"/>
      <c r="L530" s="90"/>
      <c r="M530" s="91"/>
      <c r="N530" s="49"/>
      <c r="O530" s="71"/>
      <c r="P530" s="92"/>
      <c r="Q530" s="71"/>
      <c r="R530" s="92"/>
      <c r="S530" s="71"/>
      <c r="T530" s="71"/>
      <c r="U530" s="68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29"/>
      <c r="AN530" s="67"/>
      <c r="AO530" s="67"/>
      <c r="AP530" s="67"/>
      <c r="AQ530" s="67"/>
      <c r="AR530" s="67"/>
      <c r="AS530" s="67"/>
      <c r="AT530" s="67"/>
      <c r="AU530" s="67"/>
      <c r="AV530" s="67"/>
      <c r="AW530" s="67"/>
      <c r="AX530" s="67"/>
      <c r="AY530" s="67"/>
      <c r="AZ530" s="67"/>
      <c r="BA530" s="67"/>
      <c r="BB530" s="67"/>
      <c r="BC530" s="67"/>
      <c r="BD530" s="67"/>
      <c r="BE530" s="67"/>
      <c r="BF530" s="67"/>
      <c r="BG530" s="67"/>
      <c r="BH530" s="67"/>
      <c r="BI530" s="67"/>
      <c r="BJ530" s="67"/>
      <c r="BK530" s="67"/>
      <c r="BL530" s="67"/>
      <c r="BM530" s="67"/>
      <c r="BN530" s="67"/>
      <c r="BO530" s="67"/>
      <c r="BP530" s="67"/>
      <c r="BQ530" s="67"/>
      <c r="BR530" s="67"/>
      <c r="BS530" s="67"/>
      <c r="BT530" s="67"/>
      <c r="BU530" s="67"/>
      <c r="BV530" s="67"/>
      <c r="BW530" s="67"/>
      <c r="BX530" s="67"/>
      <c r="BY530" s="67"/>
      <c r="BZ530" s="67"/>
      <c r="CA530" s="67"/>
      <c r="CB530" s="67"/>
      <c r="CC530" s="67"/>
      <c r="CD530" s="67"/>
      <c r="CE530" s="67"/>
      <c r="CF530" s="67"/>
      <c r="CG530" s="67"/>
      <c r="CH530" s="67"/>
      <c r="CI530" s="67"/>
      <c r="CJ530" s="67"/>
      <c r="CK530" s="67"/>
      <c r="CL530" s="67"/>
      <c r="CM530" s="67"/>
      <c r="CN530" s="67"/>
      <c r="CO530" s="67"/>
      <c r="CP530" s="67"/>
      <c r="CQ530" s="67"/>
      <c r="CR530" s="67"/>
      <c r="CS530" s="67"/>
      <c r="CT530" s="67"/>
      <c r="CU530" s="67"/>
      <c r="CV530" s="67"/>
      <c r="CW530" s="67"/>
      <c r="CX530" s="67"/>
      <c r="CY530" s="67"/>
      <c r="CZ530" s="67"/>
      <c r="DA530" s="67"/>
      <c r="DB530" s="67"/>
      <c r="DC530" s="67"/>
      <c r="DD530" s="67"/>
      <c r="DE530" s="67"/>
      <c r="DF530" s="67"/>
    </row>
    <row r="531">
      <c r="A531" s="62"/>
      <c r="B531" s="88"/>
      <c r="C531" s="88"/>
      <c r="D531" s="88"/>
      <c r="E531" s="90"/>
      <c r="F531" s="91"/>
      <c r="G531" s="49"/>
      <c r="H531" s="70"/>
      <c r="I531" s="88"/>
      <c r="J531" s="88"/>
      <c r="K531" s="88"/>
      <c r="L531" s="90"/>
      <c r="M531" s="91"/>
      <c r="N531" s="49"/>
      <c r="O531" s="71"/>
      <c r="P531" s="92"/>
      <c r="Q531" s="71"/>
      <c r="R531" s="92"/>
      <c r="S531" s="71"/>
      <c r="T531" s="71"/>
      <c r="U531" s="68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29"/>
      <c r="AN531" s="67"/>
      <c r="AO531" s="67"/>
      <c r="AP531" s="67"/>
      <c r="AQ531" s="67"/>
      <c r="AR531" s="67"/>
      <c r="AS531" s="67"/>
      <c r="AT531" s="67"/>
      <c r="AU531" s="67"/>
      <c r="AV531" s="67"/>
      <c r="AW531" s="67"/>
      <c r="AX531" s="67"/>
      <c r="AY531" s="67"/>
      <c r="AZ531" s="67"/>
      <c r="BA531" s="67"/>
      <c r="BB531" s="67"/>
      <c r="BC531" s="67"/>
      <c r="BD531" s="67"/>
      <c r="BE531" s="67"/>
      <c r="BF531" s="67"/>
      <c r="BG531" s="67"/>
      <c r="BH531" s="67"/>
      <c r="BI531" s="67"/>
      <c r="BJ531" s="67"/>
      <c r="BK531" s="67"/>
      <c r="BL531" s="67"/>
      <c r="BM531" s="67"/>
      <c r="BN531" s="67"/>
      <c r="BO531" s="67"/>
      <c r="BP531" s="67"/>
      <c r="BQ531" s="67"/>
      <c r="BR531" s="67"/>
      <c r="BS531" s="67"/>
      <c r="BT531" s="67"/>
      <c r="BU531" s="67"/>
      <c r="BV531" s="67"/>
      <c r="BW531" s="67"/>
      <c r="BX531" s="67"/>
      <c r="BY531" s="67"/>
      <c r="BZ531" s="67"/>
      <c r="CA531" s="67"/>
      <c r="CB531" s="67"/>
      <c r="CC531" s="67"/>
      <c r="CD531" s="67"/>
      <c r="CE531" s="67"/>
      <c r="CF531" s="67"/>
      <c r="CG531" s="67"/>
      <c r="CH531" s="67"/>
      <c r="CI531" s="67"/>
      <c r="CJ531" s="67"/>
      <c r="CK531" s="67"/>
      <c r="CL531" s="67"/>
      <c r="CM531" s="67"/>
      <c r="CN531" s="67"/>
      <c r="CO531" s="67"/>
      <c r="CP531" s="67"/>
      <c r="CQ531" s="67"/>
      <c r="CR531" s="67"/>
      <c r="CS531" s="67"/>
      <c r="CT531" s="67"/>
      <c r="CU531" s="67"/>
      <c r="CV531" s="67"/>
      <c r="CW531" s="67"/>
      <c r="CX531" s="67"/>
      <c r="CY531" s="67"/>
      <c r="CZ531" s="67"/>
      <c r="DA531" s="67"/>
      <c r="DB531" s="67"/>
      <c r="DC531" s="67"/>
      <c r="DD531" s="67"/>
      <c r="DE531" s="67"/>
      <c r="DF531" s="67"/>
    </row>
    <row r="532">
      <c r="A532" s="62"/>
      <c r="B532" s="88"/>
      <c r="C532" s="88"/>
      <c r="D532" s="88"/>
      <c r="E532" s="90"/>
      <c r="F532" s="91"/>
      <c r="G532" s="49"/>
      <c r="H532" s="70"/>
      <c r="I532" s="88"/>
      <c r="J532" s="88"/>
      <c r="K532" s="88"/>
      <c r="L532" s="90"/>
      <c r="M532" s="91"/>
      <c r="N532" s="49"/>
      <c r="O532" s="71"/>
      <c r="P532" s="92"/>
      <c r="Q532" s="71"/>
      <c r="R532" s="92"/>
      <c r="S532" s="71"/>
      <c r="T532" s="71"/>
      <c r="U532" s="68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29"/>
      <c r="AN532" s="67"/>
      <c r="AO532" s="67"/>
      <c r="AP532" s="67"/>
      <c r="AQ532" s="67"/>
      <c r="AR532" s="67"/>
      <c r="AS532" s="67"/>
      <c r="AT532" s="67"/>
      <c r="AU532" s="67"/>
      <c r="AV532" s="67"/>
      <c r="AW532" s="67"/>
      <c r="AX532" s="67"/>
      <c r="AY532" s="67"/>
      <c r="AZ532" s="67"/>
      <c r="BA532" s="67"/>
      <c r="BB532" s="67"/>
      <c r="BC532" s="67"/>
      <c r="BD532" s="67"/>
      <c r="BE532" s="67"/>
      <c r="BF532" s="67"/>
      <c r="BG532" s="67"/>
      <c r="BH532" s="67"/>
      <c r="BI532" s="67"/>
      <c r="BJ532" s="67"/>
      <c r="BK532" s="67"/>
      <c r="BL532" s="67"/>
      <c r="BM532" s="67"/>
      <c r="BN532" s="67"/>
      <c r="BO532" s="67"/>
      <c r="BP532" s="67"/>
      <c r="BQ532" s="67"/>
      <c r="BR532" s="67"/>
      <c r="BS532" s="67"/>
      <c r="BT532" s="67"/>
      <c r="BU532" s="67"/>
      <c r="BV532" s="67"/>
      <c r="BW532" s="67"/>
      <c r="BX532" s="67"/>
      <c r="BY532" s="67"/>
      <c r="BZ532" s="67"/>
      <c r="CA532" s="67"/>
      <c r="CB532" s="67"/>
      <c r="CC532" s="67"/>
      <c r="CD532" s="67"/>
      <c r="CE532" s="67"/>
      <c r="CF532" s="67"/>
      <c r="CG532" s="67"/>
      <c r="CH532" s="67"/>
      <c r="CI532" s="67"/>
      <c r="CJ532" s="67"/>
      <c r="CK532" s="67"/>
      <c r="CL532" s="67"/>
      <c r="CM532" s="67"/>
      <c r="CN532" s="67"/>
      <c r="CO532" s="67"/>
      <c r="CP532" s="67"/>
      <c r="CQ532" s="67"/>
      <c r="CR532" s="67"/>
      <c r="CS532" s="67"/>
      <c r="CT532" s="67"/>
      <c r="CU532" s="67"/>
      <c r="CV532" s="67"/>
      <c r="CW532" s="67"/>
      <c r="CX532" s="67"/>
      <c r="CY532" s="67"/>
      <c r="CZ532" s="67"/>
      <c r="DA532" s="67"/>
      <c r="DB532" s="67"/>
      <c r="DC532" s="67"/>
      <c r="DD532" s="67"/>
      <c r="DE532" s="67"/>
      <c r="DF532" s="67"/>
    </row>
    <row r="533">
      <c r="A533" s="62"/>
      <c r="B533" s="88"/>
      <c r="C533" s="88"/>
      <c r="D533" s="88"/>
      <c r="E533" s="90"/>
      <c r="F533" s="91"/>
      <c r="G533" s="49"/>
      <c r="H533" s="70"/>
      <c r="I533" s="88"/>
      <c r="J533" s="88"/>
      <c r="K533" s="88"/>
      <c r="L533" s="90"/>
      <c r="M533" s="91"/>
      <c r="N533" s="49"/>
      <c r="O533" s="71"/>
      <c r="P533" s="92"/>
      <c r="Q533" s="71"/>
      <c r="R533" s="92"/>
      <c r="S533" s="71"/>
      <c r="T533" s="71"/>
      <c r="U533" s="68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29"/>
      <c r="AN533" s="67"/>
      <c r="AO533" s="67"/>
      <c r="AP533" s="67"/>
      <c r="AQ533" s="67"/>
      <c r="AR533" s="67"/>
      <c r="AS533" s="67"/>
      <c r="AT533" s="67"/>
      <c r="AU533" s="67"/>
      <c r="AV533" s="67"/>
      <c r="AW533" s="67"/>
      <c r="AX533" s="67"/>
      <c r="AY533" s="67"/>
      <c r="AZ533" s="67"/>
      <c r="BA533" s="67"/>
      <c r="BB533" s="67"/>
      <c r="BC533" s="67"/>
      <c r="BD533" s="67"/>
      <c r="BE533" s="67"/>
      <c r="BF533" s="67"/>
      <c r="BG533" s="67"/>
      <c r="BH533" s="67"/>
      <c r="BI533" s="67"/>
      <c r="BJ533" s="67"/>
      <c r="BK533" s="67"/>
      <c r="BL533" s="67"/>
      <c r="BM533" s="67"/>
      <c r="BN533" s="67"/>
      <c r="BO533" s="67"/>
      <c r="BP533" s="67"/>
      <c r="BQ533" s="67"/>
      <c r="BR533" s="67"/>
      <c r="BS533" s="67"/>
      <c r="BT533" s="67"/>
      <c r="BU533" s="67"/>
      <c r="BV533" s="67"/>
      <c r="BW533" s="67"/>
      <c r="BX533" s="67"/>
      <c r="BY533" s="67"/>
      <c r="BZ533" s="67"/>
      <c r="CA533" s="67"/>
      <c r="CB533" s="67"/>
      <c r="CC533" s="67"/>
      <c r="CD533" s="67"/>
      <c r="CE533" s="67"/>
      <c r="CF533" s="67"/>
      <c r="CG533" s="67"/>
      <c r="CH533" s="67"/>
      <c r="CI533" s="67"/>
      <c r="CJ533" s="67"/>
      <c r="CK533" s="67"/>
      <c r="CL533" s="67"/>
      <c r="CM533" s="67"/>
      <c r="CN533" s="67"/>
      <c r="CO533" s="67"/>
      <c r="CP533" s="67"/>
      <c r="CQ533" s="67"/>
      <c r="CR533" s="67"/>
      <c r="CS533" s="67"/>
      <c r="CT533" s="67"/>
      <c r="CU533" s="67"/>
      <c r="CV533" s="67"/>
      <c r="CW533" s="67"/>
      <c r="CX533" s="67"/>
      <c r="CY533" s="67"/>
      <c r="CZ533" s="67"/>
      <c r="DA533" s="67"/>
      <c r="DB533" s="67"/>
      <c r="DC533" s="67"/>
      <c r="DD533" s="67"/>
      <c r="DE533" s="67"/>
      <c r="DF533" s="67"/>
    </row>
    <row r="534">
      <c r="A534" s="62"/>
      <c r="B534" s="88"/>
      <c r="C534" s="88"/>
      <c r="D534" s="88"/>
      <c r="E534" s="90"/>
      <c r="F534" s="91"/>
      <c r="G534" s="49"/>
      <c r="H534" s="70"/>
      <c r="I534" s="88"/>
      <c r="J534" s="88"/>
      <c r="K534" s="88"/>
      <c r="L534" s="90"/>
      <c r="M534" s="91"/>
      <c r="N534" s="49"/>
      <c r="O534" s="71"/>
      <c r="P534" s="92"/>
      <c r="Q534" s="71"/>
      <c r="R534" s="92"/>
      <c r="S534" s="71"/>
      <c r="T534" s="71"/>
      <c r="U534" s="68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29"/>
      <c r="AN534" s="67"/>
      <c r="AO534" s="67"/>
      <c r="AP534" s="67"/>
      <c r="AQ534" s="67"/>
      <c r="AR534" s="67"/>
      <c r="AS534" s="67"/>
      <c r="AT534" s="67"/>
      <c r="AU534" s="67"/>
      <c r="AV534" s="67"/>
      <c r="AW534" s="67"/>
      <c r="AX534" s="67"/>
      <c r="AY534" s="67"/>
      <c r="AZ534" s="67"/>
      <c r="BA534" s="67"/>
      <c r="BB534" s="67"/>
      <c r="BC534" s="67"/>
      <c r="BD534" s="67"/>
      <c r="BE534" s="67"/>
      <c r="BF534" s="67"/>
      <c r="BG534" s="67"/>
      <c r="BH534" s="67"/>
      <c r="BI534" s="67"/>
      <c r="BJ534" s="67"/>
      <c r="BK534" s="67"/>
      <c r="BL534" s="67"/>
      <c r="BM534" s="67"/>
      <c r="BN534" s="67"/>
      <c r="BO534" s="67"/>
      <c r="BP534" s="67"/>
      <c r="BQ534" s="67"/>
      <c r="BR534" s="67"/>
      <c r="BS534" s="67"/>
      <c r="BT534" s="67"/>
      <c r="BU534" s="67"/>
      <c r="BV534" s="67"/>
      <c r="BW534" s="67"/>
      <c r="BX534" s="67"/>
      <c r="BY534" s="67"/>
      <c r="BZ534" s="67"/>
      <c r="CA534" s="67"/>
      <c r="CB534" s="67"/>
      <c r="CC534" s="67"/>
      <c r="CD534" s="67"/>
      <c r="CE534" s="67"/>
      <c r="CF534" s="67"/>
      <c r="CG534" s="67"/>
      <c r="CH534" s="67"/>
      <c r="CI534" s="67"/>
      <c r="CJ534" s="67"/>
      <c r="CK534" s="67"/>
      <c r="CL534" s="67"/>
      <c r="CM534" s="67"/>
      <c r="CN534" s="67"/>
      <c r="CO534" s="67"/>
      <c r="CP534" s="67"/>
      <c r="CQ534" s="67"/>
      <c r="CR534" s="67"/>
      <c r="CS534" s="67"/>
      <c r="CT534" s="67"/>
      <c r="CU534" s="67"/>
      <c r="CV534" s="67"/>
      <c r="CW534" s="67"/>
      <c r="CX534" s="67"/>
      <c r="CY534" s="67"/>
      <c r="CZ534" s="67"/>
      <c r="DA534" s="67"/>
      <c r="DB534" s="67"/>
      <c r="DC534" s="67"/>
      <c r="DD534" s="67"/>
      <c r="DE534" s="67"/>
      <c r="DF534" s="67"/>
    </row>
    <row r="535">
      <c r="A535" s="62"/>
      <c r="B535" s="88"/>
      <c r="C535" s="88"/>
      <c r="D535" s="88"/>
      <c r="E535" s="90"/>
      <c r="F535" s="91"/>
      <c r="G535" s="49"/>
      <c r="H535" s="70"/>
      <c r="I535" s="88"/>
      <c r="J535" s="88"/>
      <c r="K535" s="88"/>
      <c r="L535" s="90"/>
      <c r="M535" s="91"/>
      <c r="N535" s="49"/>
      <c r="O535" s="71"/>
      <c r="P535" s="92"/>
      <c r="Q535" s="71"/>
      <c r="R535" s="92"/>
      <c r="S535" s="71"/>
      <c r="T535" s="71"/>
      <c r="U535" s="68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29"/>
      <c r="AN535" s="67"/>
      <c r="AO535" s="67"/>
      <c r="AP535" s="67"/>
      <c r="AQ535" s="67"/>
      <c r="AR535" s="67"/>
      <c r="AS535" s="67"/>
      <c r="AT535" s="67"/>
      <c r="AU535" s="67"/>
      <c r="AV535" s="67"/>
      <c r="AW535" s="67"/>
      <c r="AX535" s="67"/>
      <c r="AY535" s="67"/>
      <c r="AZ535" s="67"/>
      <c r="BA535" s="67"/>
      <c r="BB535" s="67"/>
      <c r="BC535" s="67"/>
      <c r="BD535" s="67"/>
      <c r="BE535" s="67"/>
      <c r="BF535" s="67"/>
      <c r="BG535" s="67"/>
      <c r="BH535" s="67"/>
      <c r="BI535" s="67"/>
      <c r="BJ535" s="67"/>
      <c r="BK535" s="67"/>
      <c r="BL535" s="67"/>
      <c r="BM535" s="67"/>
      <c r="BN535" s="67"/>
      <c r="BO535" s="67"/>
      <c r="BP535" s="67"/>
      <c r="BQ535" s="67"/>
      <c r="BR535" s="67"/>
      <c r="BS535" s="67"/>
      <c r="BT535" s="67"/>
      <c r="BU535" s="67"/>
      <c r="BV535" s="67"/>
      <c r="BW535" s="67"/>
      <c r="BX535" s="67"/>
      <c r="BY535" s="67"/>
      <c r="BZ535" s="67"/>
      <c r="CA535" s="67"/>
      <c r="CB535" s="67"/>
      <c r="CC535" s="67"/>
      <c r="CD535" s="67"/>
      <c r="CE535" s="67"/>
      <c r="CF535" s="67"/>
      <c r="CG535" s="67"/>
      <c r="CH535" s="67"/>
      <c r="CI535" s="67"/>
      <c r="CJ535" s="67"/>
      <c r="CK535" s="67"/>
      <c r="CL535" s="67"/>
      <c r="CM535" s="67"/>
      <c r="CN535" s="67"/>
      <c r="CO535" s="67"/>
      <c r="CP535" s="67"/>
      <c r="CQ535" s="67"/>
      <c r="CR535" s="67"/>
      <c r="CS535" s="67"/>
      <c r="CT535" s="67"/>
      <c r="CU535" s="67"/>
      <c r="CV535" s="67"/>
      <c r="CW535" s="67"/>
      <c r="CX535" s="67"/>
      <c r="CY535" s="67"/>
      <c r="CZ535" s="67"/>
      <c r="DA535" s="67"/>
      <c r="DB535" s="67"/>
      <c r="DC535" s="67"/>
      <c r="DD535" s="67"/>
      <c r="DE535" s="67"/>
      <c r="DF535" s="67"/>
    </row>
    <row r="536">
      <c r="A536" s="62"/>
      <c r="B536" s="88"/>
      <c r="C536" s="88"/>
      <c r="D536" s="88"/>
      <c r="E536" s="90"/>
      <c r="F536" s="91"/>
      <c r="G536" s="49"/>
      <c r="H536" s="70"/>
      <c r="I536" s="88"/>
      <c r="J536" s="88"/>
      <c r="K536" s="88"/>
      <c r="L536" s="90"/>
      <c r="M536" s="91"/>
      <c r="N536" s="49"/>
      <c r="O536" s="71"/>
      <c r="P536" s="92"/>
      <c r="Q536" s="71"/>
      <c r="R536" s="92"/>
      <c r="S536" s="71"/>
      <c r="T536" s="71"/>
      <c r="U536" s="68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29"/>
      <c r="AN536" s="67"/>
      <c r="AO536" s="67"/>
      <c r="AP536" s="67"/>
      <c r="AQ536" s="67"/>
      <c r="AR536" s="67"/>
      <c r="AS536" s="67"/>
      <c r="AT536" s="67"/>
      <c r="AU536" s="67"/>
      <c r="AV536" s="67"/>
      <c r="AW536" s="67"/>
      <c r="AX536" s="67"/>
      <c r="AY536" s="67"/>
      <c r="AZ536" s="67"/>
      <c r="BA536" s="67"/>
      <c r="BB536" s="67"/>
      <c r="BC536" s="67"/>
      <c r="BD536" s="67"/>
      <c r="BE536" s="67"/>
      <c r="BF536" s="67"/>
      <c r="BG536" s="67"/>
      <c r="BH536" s="67"/>
      <c r="BI536" s="67"/>
      <c r="BJ536" s="67"/>
      <c r="BK536" s="67"/>
      <c r="BL536" s="67"/>
      <c r="BM536" s="67"/>
      <c r="BN536" s="67"/>
      <c r="BO536" s="67"/>
      <c r="BP536" s="67"/>
      <c r="BQ536" s="67"/>
      <c r="BR536" s="67"/>
      <c r="BS536" s="67"/>
      <c r="BT536" s="67"/>
      <c r="BU536" s="67"/>
      <c r="BV536" s="67"/>
      <c r="BW536" s="67"/>
      <c r="BX536" s="67"/>
      <c r="BY536" s="67"/>
      <c r="BZ536" s="67"/>
      <c r="CA536" s="67"/>
      <c r="CB536" s="67"/>
      <c r="CC536" s="67"/>
      <c r="CD536" s="67"/>
      <c r="CE536" s="67"/>
      <c r="CF536" s="67"/>
      <c r="CG536" s="67"/>
      <c r="CH536" s="67"/>
      <c r="CI536" s="67"/>
      <c r="CJ536" s="67"/>
      <c r="CK536" s="67"/>
      <c r="CL536" s="67"/>
      <c r="CM536" s="67"/>
      <c r="CN536" s="67"/>
      <c r="CO536" s="67"/>
      <c r="CP536" s="67"/>
      <c r="CQ536" s="67"/>
      <c r="CR536" s="67"/>
      <c r="CS536" s="67"/>
      <c r="CT536" s="67"/>
      <c r="CU536" s="67"/>
      <c r="CV536" s="67"/>
      <c r="CW536" s="67"/>
      <c r="CX536" s="67"/>
      <c r="CY536" s="67"/>
      <c r="CZ536" s="67"/>
      <c r="DA536" s="67"/>
      <c r="DB536" s="67"/>
      <c r="DC536" s="67"/>
      <c r="DD536" s="67"/>
      <c r="DE536" s="67"/>
      <c r="DF536" s="67"/>
    </row>
    <row r="537">
      <c r="A537" s="62"/>
      <c r="B537" s="88"/>
      <c r="C537" s="88"/>
      <c r="D537" s="88"/>
      <c r="E537" s="90"/>
      <c r="F537" s="91"/>
      <c r="G537" s="49"/>
      <c r="H537" s="70"/>
      <c r="I537" s="88"/>
      <c r="J537" s="88"/>
      <c r="K537" s="88"/>
      <c r="L537" s="90"/>
      <c r="M537" s="91"/>
      <c r="N537" s="49"/>
      <c r="O537" s="71"/>
      <c r="P537" s="92"/>
      <c r="Q537" s="71"/>
      <c r="R537" s="92"/>
      <c r="S537" s="71"/>
      <c r="T537" s="71"/>
      <c r="U537" s="68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29"/>
      <c r="AN537" s="67"/>
      <c r="AO537" s="67"/>
      <c r="AP537" s="67"/>
      <c r="AQ537" s="67"/>
      <c r="AR537" s="67"/>
      <c r="AS537" s="67"/>
      <c r="AT537" s="67"/>
      <c r="AU537" s="67"/>
      <c r="AV537" s="67"/>
      <c r="AW537" s="67"/>
      <c r="AX537" s="67"/>
      <c r="AY537" s="67"/>
      <c r="AZ537" s="67"/>
      <c r="BA537" s="67"/>
      <c r="BB537" s="67"/>
      <c r="BC537" s="67"/>
      <c r="BD537" s="67"/>
      <c r="BE537" s="67"/>
      <c r="BF537" s="67"/>
      <c r="BG537" s="67"/>
      <c r="BH537" s="67"/>
      <c r="BI537" s="67"/>
      <c r="BJ537" s="67"/>
      <c r="BK537" s="67"/>
      <c r="BL537" s="67"/>
      <c r="BM537" s="67"/>
      <c r="BN537" s="67"/>
      <c r="BO537" s="67"/>
      <c r="BP537" s="67"/>
      <c r="BQ537" s="67"/>
      <c r="BR537" s="67"/>
      <c r="BS537" s="67"/>
      <c r="BT537" s="67"/>
      <c r="BU537" s="67"/>
      <c r="BV537" s="67"/>
      <c r="BW537" s="67"/>
      <c r="BX537" s="67"/>
      <c r="BY537" s="67"/>
      <c r="BZ537" s="67"/>
      <c r="CA537" s="67"/>
      <c r="CB537" s="67"/>
      <c r="CC537" s="67"/>
      <c r="CD537" s="67"/>
      <c r="CE537" s="67"/>
      <c r="CF537" s="67"/>
      <c r="CG537" s="67"/>
      <c r="CH537" s="67"/>
      <c r="CI537" s="67"/>
      <c r="CJ537" s="67"/>
      <c r="CK537" s="67"/>
      <c r="CL537" s="67"/>
      <c r="CM537" s="67"/>
      <c r="CN537" s="67"/>
      <c r="CO537" s="67"/>
      <c r="CP537" s="67"/>
      <c r="CQ537" s="67"/>
      <c r="CR537" s="67"/>
      <c r="CS537" s="67"/>
      <c r="CT537" s="67"/>
      <c r="CU537" s="67"/>
      <c r="CV537" s="67"/>
      <c r="CW537" s="67"/>
      <c r="CX537" s="67"/>
      <c r="CY537" s="67"/>
      <c r="CZ537" s="67"/>
      <c r="DA537" s="67"/>
      <c r="DB537" s="67"/>
      <c r="DC537" s="67"/>
      <c r="DD537" s="67"/>
      <c r="DE537" s="67"/>
      <c r="DF537" s="67"/>
    </row>
    <row r="538">
      <c r="A538" s="62"/>
      <c r="B538" s="88"/>
      <c r="C538" s="88"/>
      <c r="D538" s="88"/>
      <c r="E538" s="90"/>
      <c r="F538" s="91"/>
      <c r="G538" s="49"/>
      <c r="H538" s="70"/>
      <c r="I538" s="88"/>
      <c r="J538" s="88"/>
      <c r="K538" s="88"/>
      <c r="L538" s="90"/>
      <c r="M538" s="91"/>
      <c r="N538" s="49"/>
      <c r="O538" s="71"/>
      <c r="P538" s="92"/>
      <c r="Q538" s="71"/>
      <c r="R538" s="92"/>
      <c r="S538" s="71"/>
      <c r="T538" s="71"/>
      <c r="U538" s="68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29"/>
      <c r="AN538" s="67"/>
      <c r="AO538" s="67"/>
      <c r="AP538" s="67"/>
      <c r="AQ538" s="67"/>
      <c r="AR538" s="67"/>
      <c r="AS538" s="67"/>
      <c r="AT538" s="67"/>
      <c r="AU538" s="67"/>
      <c r="AV538" s="67"/>
      <c r="AW538" s="67"/>
      <c r="AX538" s="67"/>
      <c r="AY538" s="67"/>
      <c r="AZ538" s="67"/>
      <c r="BA538" s="67"/>
      <c r="BB538" s="67"/>
      <c r="BC538" s="67"/>
      <c r="BD538" s="67"/>
      <c r="BE538" s="67"/>
      <c r="BF538" s="67"/>
      <c r="BG538" s="67"/>
      <c r="BH538" s="67"/>
      <c r="BI538" s="67"/>
      <c r="BJ538" s="67"/>
      <c r="BK538" s="67"/>
      <c r="BL538" s="67"/>
      <c r="BM538" s="67"/>
      <c r="BN538" s="67"/>
      <c r="BO538" s="67"/>
      <c r="BP538" s="67"/>
      <c r="BQ538" s="67"/>
      <c r="BR538" s="67"/>
      <c r="BS538" s="67"/>
      <c r="BT538" s="67"/>
      <c r="BU538" s="67"/>
      <c r="BV538" s="67"/>
      <c r="BW538" s="67"/>
      <c r="BX538" s="67"/>
      <c r="BY538" s="67"/>
      <c r="BZ538" s="67"/>
      <c r="CA538" s="67"/>
      <c r="CB538" s="67"/>
      <c r="CC538" s="67"/>
      <c r="CD538" s="67"/>
      <c r="CE538" s="67"/>
      <c r="CF538" s="67"/>
      <c r="CG538" s="67"/>
      <c r="CH538" s="67"/>
      <c r="CI538" s="67"/>
      <c r="CJ538" s="67"/>
      <c r="CK538" s="67"/>
      <c r="CL538" s="67"/>
      <c r="CM538" s="67"/>
      <c r="CN538" s="67"/>
      <c r="CO538" s="67"/>
      <c r="CP538" s="67"/>
      <c r="CQ538" s="67"/>
      <c r="CR538" s="67"/>
      <c r="CS538" s="67"/>
      <c r="CT538" s="67"/>
      <c r="CU538" s="67"/>
      <c r="CV538" s="67"/>
      <c r="CW538" s="67"/>
      <c r="CX538" s="67"/>
      <c r="CY538" s="67"/>
      <c r="CZ538" s="67"/>
      <c r="DA538" s="67"/>
      <c r="DB538" s="67"/>
      <c r="DC538" s="67"/>
      <c r="DD538" s="67"/>
      <c r="DE538" s="67"/>
      <c r="DF538" s="67"/>
    </row>
    <row r="539">
      <c r="A539" s="62"/>
      <c r="B539" s="88"/>
      <c r="C539" s="88"/>
      <c r="D539" s="88"/>
      <c r="E539" s="90"/>
      <c r="F539" s="91"/>
      <c r="G539" s="49"/>
      <c r="H539" s="70"/>
      <c r="I539" s="88"/>
      <c r="J539" s="88"/>
      <c r="K539" s="88"/>
      <c r="L539" s="90"/>
      <c r="M539" s="91"/>
      <c r="N539" s="49"/>
      <c r="O539" s="71"/>
      <c r="P539" s="92"/>
      <c r="Q539" s="71"/>
      <c r="R539" s="92"/>
      <c r="S539" s="71"/>
      <c r="T539" s="71"/>
      <c r="U539" s="68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29"/>
      <c r="AN539" s="67"/>
      <c r="AO539" s="67"/>
      <c r="AP539" s="67"/>
      <c r="AQ539" s="67"/>
      <c r="AR539" s="67"/>
      <c r="AS539" s="67"/>
      <c r="AT539" s="67"/>
      <c r="AU539" s="67"/>
      <c r="AV539" s="67"/>
      <c r="AW539" s="67"/>
      <c r="AX539" s="67"/>
      <c r="AY539" s="67"/>
      <c r="AZ539" s="67"/>
      <c r="BA539" s="67"/>
      <c r="BB539" s="67"/>
      <c r="BC539" s="67"/>
      <c r="BD539" s="67"/>
      <c r="BE539" s="67"/>
      <c r="BF539" s="67"/>
      <c r="BG539" s="67"/>
      <c r="BH539" s="67"/>
      <c r="BI539" s="67"/>
      <c r="BJ539" s="67"/>
      <c r="BK539" s="67"/>
      <c r="BL539" s="67"/>
      <c r="BM539" s="67"/>
      <c r="BN539" s="67"/>
      <c r="BO539" s="67"/>
      <c r="BP539" s="67"/>
      <c r="BQ539" s="67"/>
      <c r="BR539" s="67"/>
      <c r="BS539" s="67"/>
      <c r="BT539" s="67"/>
      <c r="BU539" s="67"/>
      <c r="BV539" s="67"/>
      <c r="BW539" s="67"/>
      <c r="BX539" s="67"/>
      <c r="BY539" s="67"/>
      <c r="BZ539" s="67"/>
      <c r="CA539" s="67"/>
      <c r="CB539" s="67"/>
      <c r="CC539" s="67"/>
      <c r="CD539" s="67"/>
      <c r="CE539" s="67"/>
      <c r="CF539" s="67"/>
      <c r="CG539" s="67"/>
      <c r="CH539" s="67"/>
      <c r="CI539" s="67"/>
      <c r="CJ539" s="67"/>
      <c r="CK539" s="67"/>
      <c r="CL539" s="67"/>
      <c r="CM539" s="67"/>
      <c r="CN539" s="67"/>
      <c r="CO539" s="67"/>
      <c r="CP539" s="67"/>
      <c r="CQ539" s="67"/>
      <c r="CR539" s="67"/>
      <c r="CS539" s="67"/>
      <c r="CT539" s="67"/>
      <c r="CU539" s="67"/>
      <c r="CV539" s="67"/>
      <c r="CW539" s="67"/>
      <c r="CX539" s="67"/>
      <c r="CY539" s="67"/>
      <c r="CZ539" s="67"/>
      <c r="DA539" s="67"/>
      <c r="DB539" s="67"/>
      <c r="DC539" s="67"/>
      <c r="DD539" s="67"/>
      <c r="DE539" s="67"/>
      <c r="DF539" s="67"/>
    </row>
    <row r="540">
      <c r="A540" s="62"/>
      <c r="B540" s="88"/>
      <c r="C540" s="88"/>
      <c r="D540" s="88"/>
      <c r="E540" s="90"/>
      <c r="F540" s="91"/>
      <c r="G540" s="49"/>
      <c r="H540" s="70"/>
      <c r="I540" s="88"/>
      <c r="J540" s="88"/>
      <c r="K540" s="88"/>
      <c r="L540" s="90"/>
      <c r="M540" s="91"/>
      <c r="N540" s="49"/>
      <c r="O540" s="71"/>
      <c r="P540" s="92"/>
      <c r="Q540" s="71"/>
      <c r="R540" s="92"/>
      <c r="S540" s="71"/>
      <c r="T540" s="71"/>
      <c r="U540" s="68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29"/>
      <c r="AN540" s="67"/>
      <c r="AO540" s="67"/>
      <c r="AP540" s="67"/>
      <c r="AQ540" s="67"/>
      <c r="AR540" s="67"/>
      <c r="AS540" s="67"/>
      <c r="AT540" s="67"/>
      <c r="AU540" s="67"/>
      <c r="AV540" s="67"/>
      <c r="AW540" s="67"/>
      <c r="AX540" s="67"/>
      <c r="AY540" s="67"/>
      <c r="AZ540" s="67"/>
      <c r="BA540" s="67"/>
      <c r="BB540" s="67"/>
      <c r="BC540" s="67"/>
      <c r="BD540" s="67"/>
      <c r="BE540" s="67"/>
      <c r="BF540" s="67"/>
      <c r="BG540" s="67"/>
      <c r="BH540" s="67"/>
      <c r="BI540" s="67"/>
      <c r="BJ540" s="67"/>
      <c r="BK540" s="67"/>
      <c r="BL540" s="67"/>
      <c r="BM540" s="67"/>
      <c r="BN540" s="67"/>
      <c r="BO540" s="67"/>
      <c r="BP540" s="67"/>
      <c r="BQ540" s="67"/>
      <c r="BR540" s="67"/>
      <c r="BS540" s="67"/>
      <c r="BT540" s="67"/>
      <c r="BU540" s="67"/>
      <c r="BV540" s="67"/>
      <c r="BW540" s="67"/>
      <c r="BX540" s="67"/>
      <c r="BY540" s="67"/>
      <c r="BZ540" s="67"/>
      <c r="CA540" s="67"/>
      <c r="CB540" s="67"/>
      <c r="CC540" s="67"/>
      <c r="CD540" s="67"/>
      <c r="CE540" s="67"/>
      <c r="CF540" s="67"/>
      <c r="CG540" s="67"/>
      <c r="CH540" s="67"/>
      <c r="CI540" s="67"/>
      <c r="CJ540" s="67"/>
      <c r="CK540" s="67"/>
      <c r="CL540" s="67"/>
      <c r="CM540" s="67"/>
      <c r="CN540" s="67"/>
      <c r="CO540" s="67"/>
      <c r="CP540" s="67"/>
      <c r="CQ540" s="67"/>
      <c r="CR540" s="67"/>
      <c r="CS540" s="67"/>
      <c r="CT540" s="67"/>
      <c r="CU540" s="67"/>
      <c r="CV540" s="67"/>
      <c r="CW540" s="67"/>
      <c r="CX540" s="67"/>
      <c r="CY540" s="67"/>
      <c r="CZ540" s="67"/>
      <c r="DA540" s="67"/>
      <c r="DB540" s="67"/>
      <c r="DC540" s="67"/>
      <c r="DD540" s="67"/>
      <c r="DE540" s="67"/>
      <c r="DF540" s="67"/>
    </row>
    <row r="541">
      <c r="A541" s="62"/>
      <c r="B541" s="88"/>
      <c r="C541" s="88"/>
      <c r="D541" s="88"/>
      <c r="E541" s="90"/>
      <c r="F541" s="91"/>
      <c r="G541" s="49"/>
      <c r="H541" s="70"/>
      <c r="I541" s="88"/>
      <c r="J541" s="88"/>
      <c r="K541" s="88"/>
      <c r="L541" s="90"/>
      <c r="M541" s="91"/>
      <c r="N541" s="49"/>
      <c r="O541" s="71"/>
      <c r="P541" s="92"/>
      <c r="Q541" s="71"/>
      <c r="R541" s="92"/>
      <c r="S541" s="71"/>
      <c r="T541" s="71"/>
      <c r="U541" s="68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29"/>
      <c r="AN541" s="67"/>
      <c r="AO541" s="67"/>
      <c r="AP541" s="67"/>
      <c r="AQ541" s="67"/>
      <c r="AR541" s="67"/>
      <c r="AS541" s="67"/>
      <c r="AT541" s="67"/>
      <c r="AU541" s="67"/>
      <c r="AV541" s="67"/>
      <c r="AW541" s="67"/>
      <c r="AX541" s="67"/>
      <c r="AY541" s="67"/>
      <c r="AZ541" s="67"/>
      <c r="BA541" s="67"/>
      <c r="BB541" s="67"/>
      <c r="BC541" s="67"/>
      <c r="BD541" s="67"/>
      <c r="BE541" s="67"/>
      <c r="BF541" s="67"/>
      <c r="BG541" s="67"/>
      <c r="BH541" s="67"/>
      <c r="BI541" s="67"/>
      <c r="BJ541" s="67"/>
      <c r="BK541" s="67"/>
      <c r="BL541" s="67"/>
      <c r="BM541" s="67"/>
      <c r="BN541" s="67"/>
      <c r="BO541" s="67"/>
      <c r="BP541" s="67"/>
      <c r="BQ541" s="67"/>
      <c r="BR541" s="67"/>
      <c r="BS541" s="67"/>
      <c r="BT541" s="67"/>
      <c r="BU541" s="67"/>
      <c r="BV541" s="67"/>
      <c r="BW541" s="67"/>
      <c r="BX541" s="67"/>
      <c r="BY541" s="67"/>
      <c r="BZ541" s="67"/>
      <c r="CA541" s="67"/>
      <c r="CB541" s="67"/>
      <c r="CC541" s="67"/>
      <c r="CD541" s="67"/>
      <c r="CE541" s="67"/>
      <c r="CF541" s="67"/>
      <c r="CG541" s="67"/>
      <c r="CH541" s="67"/>
      <c r="CI541" s="67"/>
      <c r="CJ541" s="67"/>
      <c r="CK541" s="67"/>
      <c r="CL541" s="67"/>
      <c r="CM541" s="67"/>
      <c r="CN541" s="67"/>
      <c r="CO541" s="67"/>
      <c r="CP541" s="67"/>
      <c r="CQ541" s="67"/>
      <c r="CR541" s="67"/>
      <c r="CS541" s="67"/>
      <c r="CT541" s="67"/>
      <c r="CU541" s="67"/>
      <c r="CV541" s="67"/>
      <c r="CW541" s="67"/>
      <c r="CX541" s="67"/>
      <c r="CY541" s="67"/>
      <c r="CZ541" s="67"/>
      <c r="DA541" s="67"/>
      <c r="DB541" s="67"/>
      <c r="DC541" s="67"/>
      <c r="DD541" s="67"/>
      <c r="DE541" s="67"/>
      <c r="DF541" s="67"/>
    </row>
    <row r="542">
      <c r="A542" s="62"/>
      <c r="B542" s="88"/>
      <c r="C542" s="88"/>
      <c r="D542" s="88"/>
      <c r="E542" s="90"/>
      <c r="F542" s="91"/>
      <c r="G542" s="49"/>
      <c r="H542" s="70"/>
      <c r="I542" s="88"/>
      <c r="J542" s="88"/>
      <c r="K542" s="88"/>
      <c r="L542" s="90"/>
      <c r="M542" s="91"/>
      <c r="N542" s="49"/>
      <c r="O542" s="71"/>
      <c r="P542" s="92"/>
      <c r="Q542" s="71"/>
      <c r="R542" s="92"/>
      <c r="S542" s="71"/>
      <c r="T542" s="71"/>
      <c r="U542" s="68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29"/>
      <c r="AN542" s="67"/>
      <c r="AO542" s="67"/>
      <c r="AP542" s="67"/>
      <c r="AQ542" s="67"/>
      <c r="AR542" s="67"/>
      <c r="AS542" s="67"/>
      <c r="AT542" s="67"/>
      <c r="AU542" s="67"/>
      <c r="AV542" s="67"/>
      <c r="AW542" s="67"/>
      <c r="AX542" s="67"/>
      <c r="AY542" s="67"/>
      <c r="AZ542" s="67"/>
      <c r="BA542" s="67"/>
      <c r="BB542" s="67"/>
      <c r="BC542" s="67"/>
      <c r="BD542" s="67"/>
      <c r="BE542" s="67"/>
      <c r="BF542" s="67"/>
      <c r="BG542" s="67"/>
      <c r="BH542" s="67"/>
      <c r="BI542" s="67"/>
      <c r="BJ542" s="67"/>
      <c r="BK542" s="67"/>
      <c r="BL542" s="67"/>
      <c r="BM542" s="67"/>
      <c r="BN542" s="67"/>
      <c r="BO542" s="67"/>
      <c r="BP542" s="67"/>
      <c r="BQ542" s="67"/>
      <c r="BR542" s="67"/>
      <c r="BS542" s="67"/>
      <c r="BT542" s="67"/>
      <c r="BU542" s="67"/>
      <c r="BV542" s="67"/>
      <c r="BW542" s="67"/>
      <c r="BX542" s="67"/>
      <c r="BY542" s="67"/>
      <c r="BZ542" s="67"/>
      <c r="CA542" s="67"/>
      <c r="CB542" s="67"/>
      <c r="CC542" s="67"/>
      <c r="CD542" s="67"/>
      <c r="CE542" s="67"/>
      <c r="CF542" s="67"/>
      <c r="CG542" s="67"/>
      <c r="CH542" s="67"/>
      <c r="CI542" s="67"/>
      <c r="CJ542" s="67"/>
      <c r="CK542" s="67"/>
      <c r="CL542" s="67"/>
      <c r="CM542" s="67"/>
      <c r="CN542" s="67"/>
      <c r="CO542" s="67"/>
      <c r="CP542" s="67"/>
      <c r="CQ542" s="67"/>
      <c r="CR542" s="67"/>
      <c r="CS542" s="67"/>
      <c r="CT542" s="67"/>
      <c r="CU542" s="67"/>
      <c r="CV542" s="67"/>
      <c r="CW542" s="67"/>
      <c r="CX542" s="67"/>
      <c r="CY542" s="67"/>
      <c r="CZ542" s="67"/>
      <c r="DA542" s="67"/>
      <c r="DB542" s="67"/>
      <c r="DC542" s="67"/>
      <c r="DD542" s="67"/>
      <c r="DE542" s="67"/>
      <c r="DF542" s="67"/>
    </row>
    <row r="543">
      <c r="A543" s="62"/>
      <c r="B543" s="88"/>
      <c r="C543" s="88"/>
      <c r="D543" s="88"/>
      <c r="E543" s="90"/>
      <c r="F543" s="91"/>
      <c r="G543" s="49"/>
      <c r="H543" s="70"/>
      <c r="I543" s="88"/>
      <c r="J543" s="88"/>
      <c r="K543" s="88"/>
      <c r="L543" s="90"/>
      <c r="M543" s="91"/>
      <c r="N543" s="49"/>
      <c r="O543" s="71"/>
      <c r="P543" s="92"/>
      <c r="Q543" s="71"/>
      <c r="R543" s="92"/>
      <c r="S543" s="71"/>
      <c r="T543" s="71"/>
      <c r="U543" s="68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29"/>
      <c r="AN543" s="67"/>
      <c r="AO543" s="67"/>
      <c r="AP543" s="67"/>
      <c r="AQ543" s="67"/>
      <c r="AR543" s="67"/>
      <c r="AS543" s="67"/>
      <c r="AT543" s="67"/>
      <c r="AU543" s="67"/>
      <c r="AV543" s="67"/>
      <c r="AW543" s="67"/>
      <c r="AX543" s="67"/>
      <c r="AY543" s="67"/>
      <c r="AZ543" s="67"/>
      <c r="BA543" s="67"/>
      <c r="BB543" s="67"/>
      <c r="BC543" s="67"/>
      <c r="BD543" s="67"/>
      <c r="BE543" s="67"/>
      <c r="BF543" s="67"/>
      <c r="BG543" s="67"/>
      <c r="BH543" s="67"/>
      <c r="BI543" s="67"/>
      <c r="BJ543" s="67"/>
      <c r="BK543" s="67"/>
      <c r="BL543" s="67"/>
      <c r="BM543" s="67"/>
      <c r="BN543" s="67"/>
      <c r="BO543" s="67"/>
      <c r="BP543" s="67"/>
      <c r="BQ543" s="67"/>
      <c r="BR543" s="67"/>
      <c r="BS543" s="67"/>
      <c r="BT543" s="67"/>
      <c r="BU543" s="67"/>
      <c r="BV543" s="67"/>
      <c r="BW543" s="67"/>
      <c r="BX543" s="67"/>
      <c r="BY543" s="67"/>
      <c r="BZ543" s="67"/>
      <c r="CA543" s="67"/>
      <c r="CB543" s="67"/>
      <c r="CC543" s="67"/>
      <c r="CD543" s="67"/>
      <c r="CE543" s="67"/>
      <c r="CF543" s="67"/>
      <c r="CG543" s="67"/>
      <c r="CH543" s="67"/>
      <c r="CI543" s="67"/>
      <c r="CJ543" s="67"/>
      <c r="CK543" s="67"/>
      <c r="CL543" s="67"/>
      <c r="CM543" s="67"/>
      <c r="CN543" s="67"/>
      <c r="CO543" s="67"/>
      <c r="CP543" s="67"/>
      <c r="CQ543" s="67"/>
      <c r="CR543" s="67"/>
      <c r="CS543" s="67"/>
      <c r="CT543" s="67"/>
      <c r="CU543" s="67"/>
      <c r="CV543" s="67"/>
      <c r="CW543" s="67"/>
      <c r="CX543" s="67"/>
      <c r="CY543" s="67"/>
      <c r="CZ543" s="67"/>
      <c r="DA543" s="67"/>
      <c r="DB543" s="67"/>
      <c r="DC543" s="67"/>
      <c r="DD543" s="67"/>
      <c r="DE543" s="67"/>
      <c r="DF543" s="67"/>
    </row>
    <row r="544">
      <c r="A544" s="62"/>
      <c r="B544" s="88"/>
      <c r="C544" s="88"/>
      <c r="D544" s="88"/>
      <c r="E544" s="90"/>
      <c r="F544" s="91"/>
      <c r="G544" s="49"/>
      <c r="H544" s="70"/>
      <c r="I544" s="88"/>
      <c r="J544" s="88"/>
      <c r="K544" s="88"/>
      <c r="L544" s="90"/>
      <c r="M544" s="91"/>
      <c r="N544" s="49"/>
      <c r="O544" s="71"/>
      <c r="P544" s="92"/>
      <c r="Q544" s="71"/>
      <c r="R544" s="92"/>
      <c r="S544" s="71"/>
      <c r="T544" s="71"/>
      <c r="U544" s="68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29"/>
      <c r="AN544" s="67"/>
      <c r="AO544" s="67"/>
      <c r="AP544" s="67"/>
      <c r="AQ544" s="67"/>
      <c r="AR544" s="67"/>
      <c r="AS544" s="67"/>
      <c r="AT544" s="67"/>
      <c r="AU544" s="67"/>
      <c r="AV544" s="67"/>
      <c r="AW544" s="67"/>
      <c r="AX544" s="67"/>
      <c r="AY544" s="67"/>
      <c r="AZ544" s="67"/>
      <c r="BA544" s="67"/>
      <c r="BB544" s="67"/>
      <c r="BC544" s="67"/>
      <c r="BD544" s="67"/>
      <c r="BE544" s="67"/>
      <c r="BF544" s="67"/>
      <c r="BG544" s="67"/>
      <c r="BH544" s="67"/>
      <c r="BI544" s="67"/>
      <c r="BJ544" s="67"/>
      <c r="BK544" s="67"/>
      <c r="BL544" s="67"/>
      <c r="BM544" s="67"/>
      <c r="BN544" s="67"/>
      <c r="BO544" s="67"/>
      <c r="BP544" s="67"/>
      <c r="BQ544" s="67"/>
      <c r="BR544" s="67"/>
      <c r="BS544" s="67"/>
      <c r="BT544" s="67"/>
      <c r="BU544" s="67"/>
      <c r="BV544" s="67"/>
      <c r="BW544" s="67"/>
      <c r="BX544" s="67"/>
      <c r="BY544" s="67"/>
      <c r="BZ544" s="67"/>
      <c r="CA544" s="67"/>
      <c r="CB544" s="67"/>
      <c r="CC544" s="67"/>
      <c r="CD544" s="67"/>
      <c r="CE544" s="67"/>
      <c r="CF544" s="67"/>
      <c r="CG544" s="67"/>
      <c r="CH544" s="67"/>
      <c r="CI544" s="67"/>
      <c r="CJ544" s="67"/>
      <c r="CK544" s="67"/>
      <c r="CL544" s="67"/>
      <c r="CM544" s="67"/>
      <c r="CN544" s="67"/>
      <c r="CO544" s="67"/>
      <c r="CP544" s="67"/>
      <c r="CQ544" s="67"/>
      <c r="CR544" s="67"/>
      <c r="CS544" s="67"/>
      <c r="CT544" s="67"/>
      <c r="CU544" s="67"/>
      <c r="CV544" s="67"/>
      <c r="CW544" s="67"/>
      <c r="CX544" s="67"/>
      <c r="CY544" s="67"/>
      <c r="CZ544" s="67"/>
      <c r="DA544" s="67"/>
      <c r="DB544" s="67"/>
      <c r="DC544" s="67"/>
      <c r="DD544" s="67"/>
      <c r="DE544" s="67"/>
      <c r="DF544" s="67"/>
    </row>
    <row r="545">
      <c r="A545" s="62"/>
      <c r="B545" s="88"/>
      <c r="C545" s="88"/>
      <c r="D545" s="88"/>
      <c r="E545" s="90"/>
      <c r="F545" s="91"/>
      <c r="G545" s="49"/>
      <c r="H545" s="70"/>
      <c r="I545" s="88"/>
      <c r="J545" s="88"/>
      <c r="K545" s="88"/>
      <c r="L545" s="90"/>
      <c r="M545" s="91"/>
      <c r="N545" s="49"/>
      <c r="O545" s="71"/>
      <c r="P545" s="92"/>
      <c r="Q545" s="71"/>
      <c r="R545" s="92"/>
      <c r="S545" s="71"/>
      <c r="T545" s="71"/>
      <c r="U545" s="68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29"/>
      <c r="AN545" s="67"/>
      <c r="AO545" s="67"/>
      <c r="AP545" s="67"/>
      <c r="AQ545" s="67"/>
      <c r="AR545" s="67"/>
      <c r="AS545" s="67"/>
      <c r="AT545" s="67"/>
      <c r="AU545" s="67"/>
      <c r="AV545" s="67"/>
      <c r="AW545" s="67"/>
      <c r="AX545" s="67"/>
      <c r="AY545" s="67"/>
      <c r="AZ545" s="67"/>
      <c r="BA545" s="67"/>
      <c r="BB545" s="67"/>
      <c r="BC545" s="67"/>
      <c r="BD545" s="67"/>
      <c r="BE545" s="67"/>
      <c r="BF545" s="67"/>
      <c r="BG545" s="67"/>
      <c r="BH545" s="67"/>
      <c r="BI545" s="67"/>
      <c r="BJ545" s="67"/>
      <c r="BK545" s="67"/>
      <c r="BL545" s="67"/>
      <c r="BM545" s="67"/>
      <c r="BN545" s="67"/>
      <c r="BO545" s="67"/>
      <c r="BP545" s="67"/>
      <c r="BQ545" s="67"/>
      <c r="BR545" s="67"/>
      <c r="BS545" s="67"/>
      <c r="BT545" s="67"/>
      <c r="BU545" s="67"/>
      <c r="BV545" s="67"/>
      <c r="BW545" s="67"/>
      <c r="BX545" s="67"/>
      <c r="BY545" s="67"/>
      <c r="BZ545" s="67"/>
      <c r="CA545" s="67"/>
      <c r="CB545" s="67"/>
      <c r="CC545" s="67"/>
      <c r="CD545" s="67"/>
      <c r="CE545" s="67"/>
      <c r="CF545" s="67"/>
      <c r="CG545" s="67"/>
      <c r="CH545" s="67"/>
      <c r="CI545" s="67"/>
      <c r="CJ545" s="67"/>
      <c r="CK545" s="67"/>
      <c r="CL545" s="67"/>
      <c r="CM545" s="67"/>
      <c r="CN545" s="67"/>
      <c r="CO545" s="67"/>
      <c r="CP545" s="67"/>
      <c r="CQ545" s="67"/>
      <c r="CR545" s="67"/>
      <c r="CS545" s="67"/>
      <c r="CT545" s="67"/>
      <c r="CU545" s="67"/>
      <c r="CV545" s="67"/>
      <c r="CW545" s="67"/>
      <c r="CX545" s="67"/>
      <c r="CY545" s="67"/>
      <c r="CZ545" s="67"/>
      <c r="DA545" s="67"/>
      <c r="DB545" s="67"/>
      <c r="DC545" s="67"/>
      <c r="DD545" s="67"/>
      <c r="DE545" s="67"/>
      <c r="DF545" s="67"/>
    </row>
    <row r="546">
      <c r="A546" s="62"/>
      <c r="B546" s="88"/>
      <c r="C546" s="88"/>
      <c r="D546" s="88"/>
      <c r="E546" s="90"/>
      <c r="F546" s="91"/>
      <c r="G546" s="49"/>
      <c r="H546" s="70"/>
      <c r="I546" s="88"/>
      <c r="J546" s="88"/>
      <c r="K546" s="88"/>
      <c r="L546" s="90"/>
      <c r="M546" s="91"/>
      <c r="N546" s="49"/>
      <c r="O546" s="71"/>
      <c r="P546" s="92"/>
      <c r="Q546" s="71"/>
      <c r="R546" s="92"/>
      <c r="S546" s="71"/>
      <c r="T546" s="71"/>
      <c r="U546" s="68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29"/>
      <c r="AN546" s="67"/>
      <c r="AO546" s="67"/>
      <c r="AP546" s="67"/>
      <c r="AQ546" s="67"/>
      <c r="AR546" s="67"/>
      <c r="AS546" s="67"/>
      <c r="AT546" s="67"/>
      <c r="AU546" s="67"/>
      <c r="AV546" s="67"/>
      <c r="AW546" s="67"/>
      <c r="AX546" s="67"/>
      <c r="AY546" s="67"/>
      <c r="AZ546" s="67"/>
      <c r="BA546" s="67"/>
      <c r="BB546" s="67"/>
      <c r="BC546" s="67"/>
      <c r="BD546" s="67"/>
      <c r="BE546" s="67"/>
      <c r="BF546" s="67"/>
      <c r="BG546" s="67"/>
      <c r="BH546" s="67"/>
      <c r="BI546" s="67"/>
      <c r="BJ546" s="67"/>
      <c r="BK546" s="67"/>
      <c r="BL546" s="67"/>
      <c r="BM546" s="67"/>
      <c r="BN546" s="67"/>
      <c r="BO546" s="67"/>
      <c r="BP546" s="67"/>
      <c r="BQ546" s="67"/>
      <c r="BR546" s="67"/>
      <c r="BS546" s="67"/>
      <c r="BT546" s="67"/>
      <c r="BU546" s="67"/>
      <c r="BV546" s="67"/>
      <c r="BW546" s="67"/>
      <c r="BX546" s="67"/>
      <c r="BY546" s="67"/>
      <c r="BZ546" s="67"/>
      <c r="CA546" s="67"/>
      <c r="CB546" s="67"/>
      <c r="CC546" s="67"/>
      <c r="CD546" s="67"/>
      <c r="CE546" s="67"/>
      <c r="CF546" s="67"/>
      <c r="CG546" s="67"/>
      <c r="CH546" s="67"/>
      <c r="CI546" s="67"/>
      <c r="CJ546" s="67"/>
      <c r="CK546" s="67"/>
      <c r="CL546" s="67"/>
      <c r="CM546" s="67"/>
      <c r="CN546" s="67"/>
      <c r="CO546" s="67"/>
      <c r="CP546" s="67"/>
      <c r="CQ546" s="67"/>
      <c r="CR546" s="67"/>
      <c r="CS546" s="67"/>
      <c r="CT546" s="67"/>
      <c r="CU546" s="67"/>
      <c r="CV546" s="67"/>
      <c r="CW546" s="67"/>
      <c r="CX546" s="67"/>
      <c r="CY546" s="67"/>
      <c r="CZ546" s="67"/>
      <c r="DA546" s="67"/>
      <c r="DB546" s="67"/>
      <c r="DC546" s="67"/>
      <c r="DD546" s="67"/>
      <c r="DE546" s="67"/>
      <c r="DF546" s="67"/>
    </row>
    <row r="547">
      <c r="A547" s="62"/>
      <c r="B547" s="88"/>
      <c r="C547" s="88"/>
      <c r="D547" s="88"/>
      <c r="E547" s="90"/>
      <c r="F547" s="91"/>
      <c r="G547" s="49"/>
      <c r="H547" s="70"/>
      <c r="I547" s="88"/>
      <c r="J547" s="88"/>
      <c r="K547" s="88"/>
      <c r="L547" s="90"/>
      <c r="M547" s="91"/>
      <c r="N547" s="49"/>
      <c r="O547" s="71"/>
      <c r="P547" s="92"/>
      <c r="Q547" s="71"/>
      <c r="R547" s="92"/>
      <c r="S547" s="71"/>
      <c r="T547" s="71"/>
      <c r="U547" s="68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29"/>
      <c r="AN547" s="67"/>
      <c r="AO547" s="67"/>
      <c r="AP547" s="67"/>
      <c r="AQ547" s="67"/>
      <c r="AR547" s="67"/>
      <c r="AS547" s="67"/>
      <c r="AT547" s="67"/>
      <c r="AU547" s="67"/>
      <c r="AV547" s="67"/>
      <c r="AW547" s="67"/>
      <c r="AX547" s="67"/>
      <c r="AY547" s="67"/>
      <c r="AZ547" s="67"/>
      <c r="BA547" s="67"/>
      <c r="BB547" s="67"/>
      <c r="BC547" s="67"/>
      <c r="BD547" s="67"/>
      <c r="BE547" s="67"/>
      <c r="BF547" s="67"/>
      <c r="BG547" s="67"/>
      <c r="BH547" s="67"/>
      <c r="BI547" s="67"/>
      <c r="BJ547" s="67"/>
      <c r="BK547" s="67"/>
      <c r="BL547" s="67"/>
      <c r="BM547" s="67"/>
      <c r="BN547" s="67"/>
      <c r="BO547" s="67"/>
      <c r="BP547" s="67"/>
      <c r="BQ547" s="67"/>
      <c r="BR547" s="67"/>
      <c r="BS547" s="67"/>
      <c r="BT547" s="67"/>
      <c r="BU547" s="67"/>
      <c r="BV547" s="67"/>
      <c r="BW547" s="67"/>
      <c r="BX547" s="67"/>
      <c r="BY547" s="67"/>
      <c r="BZ547" s="67"/>
      <c r="CA547" s="67"/>
      <c r="CB547" s="67"/>
      <c r="CC547" s="67"/>
      <c r="CD547" s="67"/>
      <c r="CE547" s="67"/>
      <c r="CF547" s="67"/>
      <c r="CG547" s="67"/>
      <c r="CH547" s="67"/>
      <c r="CI547" s="67"/>
      <c r="CJ547" s="67"/>
      <c r="CK547" s="67"/>
      <c r="CL547" s="67"/>
      <c r="CM547" s="67"/>
      <c r="CN547" s="67"/>
      <c r="CO547" s="67"/>
      <c r="CP547" s="67"/>
      <c r="CQ547" s="67"/>
      <c r="CR547" s="67"/>
      <c r="CS547" s="67"/>
      <c r="CT547" s="67"/>
      <c r="CU547" s="67"/>
      <c r="CV547" s="67"/>
      <c r="CW547" s="67"/>
      <c r="CX547" s="67"/>
      <c r="CY547" s="67"/>
      <c r="CZ547" s="67"/>
      <c r="DA547" s="67"/>
      <c r="DB547" s="67"/>
      <c r="DC547" s="67"/>
      <c r="DD547" s="67"/>
      <c r="DE547" s="67"/>
      <c r="DF547" s="67"/>
    </row>
    <row r="548">
      <c r="A548" s="62"/>
      <c r="B548" s="88"/>
      <c r="C548" s="88"/>
      <c r="D548" s="88"/>
      <c r="E548" s="90"/>
      <c r="F548" s="91"/>
      <c r="G548" s="49"/>
      <c r="H548" s="70"/>
      <c r="I548" s="88"/>
      <c r="J548" s="88"/>
      <c r="K548" s="88"/>
      <c r="L548" s="90"/>
      <c r="M548" s="91"/>
      <c r="N548" s="49"/>
      <c r="O548" s="71"/>
      <c r="P548" s="92"/>
      <c r="Q548" s="71"/>
      <c r="R548" s="92"/>
      <c r="S548" s="71"/>
      <c r="T548" s="71"/>
      <c r="U548" s="68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29"/>
      <c r="AN548" s="67"/>
      <c r="AO548" s="67"/>
      <c r="AP548" s="67"/>
      <c r="AQ548" s="67"/>
      <c r="AR548" s="67"/>
      <c r="AS548" s="67"/>
      <c r="AT548" s="67"/>
      <c r="AU548" s="67"/>
      <c r="AV548" s="67"/>
      <c r="AW548" s="67"/>
      <c r="AX548" s="67"/>
      <c r="AY548" s="67"/>
      <c r="AZ548" s="67"/>
      <c r="BA548" s="67"/>
      <c r="BB548" s="67"/>
      <c r="BC548" s="67"/>
      <c r="BD548" s="67"/>
      <c r="BE548" s="67"/>
      <c r="BF548" s="67"/>
      <c r="BG548" s="67"/>
      <c r="BH548" s="67"/>
      <c r="BI548" s="67"/>
      <c r="BJ548" s="67"/>
      <c r="BK548" s="67"/>
      <c r="BL548" s="67"/>
      <c r="BM548" s="67"/>
      <c r="BN548" s="67"/>
      <c r="BO548" s="67"/>
      <c r="BP548" s="67"/>
      <c r="BQ548" s="67"/>
      <c r="BR548" s="67"/>
      <c r="BS548" s="67"/>
      <c r="BT548" s="67"/>
      <c r="BU548" s="67"/>
      <c r="BV548" s="67"/>
      <c r="BW548" s="67"/>
      <c r="BX548" s="67"/>
      <c r="BY548" s="67"/>
      <c r="BZ548" s="67"/>
      <c r="CA548" s="67"/>
      <c r="CB548" s="67"/>
      <c r="CC548" s="67"/>
      <c r="CD548" s="67"/>
      <c r="CE548" s="67"/>
      <c r="CF548" s="67"/>
      <c r="CG548" s="67"/>
      <c r="CH548" s="67"/>
      <c r="CI548" s="67"/>
      <c r="CJ548" s="67"/>
      <c r="CK548" s="67"/>
      <c r="CL548" s="67"/>
      <c r="CM548" s="67"/>
      <c r="CN548" s="67"/>
      <c r="CO548" s="67"/>
      <c r="CP548" s="67"/>
      <c r="CQ548" s="67"/>
      <c r="CR548" s="67"/>
      <c r="CS548" s="67"/>
      <c r="CT548" s="67"/>
      <c r="CU548" s="67"/>
      <c r="CV548" s="67"/>
      <c r="CW548" s="67"/>
      <c r="CX548" s="67"/>
      <c r="CY548" s="67"/>
      <c r="CZ548" s="67"/>
      <c r="DA548" s="67"/>
      <c r="DB548" s="67"/>
      <c r="DC548" s="67"/>
      <c r="DD548" s="67"/>
      <c r="DE548" s="67"/>
      <c r="DF548" s="67"/>
    </row>
    <row r="549">
      <c r="A549" s="62"/>
      <c r="B549" s="88"/>
      <c r="C549" s="88"/>
      <c r="D549" s="88"/>
      <c r="E549" s="90"/>
      <c r="F549" s="91"/>
      <c r="G549" s="49"/>
      <c r="H549" s="70"/>
      <c r="I549" s="88"/>
      <c r="J549" s="88"/>
      <c r="K549" s="88"/>
      <c r="L549" s="90"/>
      <c r="M549" s="91"/>
      <c r="N549" s="49"/>
      <c r="O549" s="71"/>
      <c r="P549" s="92"/>
      <c r="Q549" s="71"/>
      <c r="R549" s="92"/>
      <c r="S549" s="71"/>
      <c r="T549" s="71"/>
      <c r="U549" s="68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29"/>
      <c r="AN549" s="67"/>
      <c r="AO549" s="67"/>
      <c r="AP549" s="67"/>
      <c r="AQ549" s="67"/>
      <c r="AR549" s="67"/>
      <c r="AS549" s="67"/>
      <c r="AT549" s="67"/>
      <c r="AU549" s="67"/>
      <c r="AV549" s="67"/>
      <c r="AW549" s="67"/>
      <c r="AX549" s="67"/>
      <c r="AY549" s="67"/>
      <c r="AZ549" s="67"/>
      <c r="BA549" s="67"/>
      <c r="BB549" s="67"/>
      <c r="BC549" s="67"/>
      <c r="BD549" s="67"/>
      <c r="BE549" s="67"/>
      <c r="BF549" s="67"/>
      <c r="BG549" s="67"/>
      <c r="BH549" s="67"/>
      <c r="BI549" s="67"/>
      <c r="BJ549" s="67"/>
      <c r="BK549" s="67"/>
      <c r="BL549" s="67"/>
      <c r="BM549" s="67"/>
      <c r="BN549" s="67"/>
      <c r="BO549" s="67"/>
      <c r="BP549" s="67"/>
      <c r="BQ549" s="67"/>
      <c r="BR549" s="67"/>
      <c r="BS549" s="67"/>
      <c r="BT549" s="67"/>
      <c r="BU549" s="67"/>
      <c r="BV549" s="67"/>
      <c r="BW549" s="67"/>
      <c r="BX549" s="67"/>
      <c r="BY549" s="67"/>
      <c r="BZ549" s="67"/>
      <c r="CA549" s="67"/>
      <c r="CB549" s="67"/>
      <c r="CC549" s="67"/>
      <c r="CD549" s="67"/>
      <c r="CE549" s="67"/>
      <c r="CF549" s="67"/>
      <c r="CG549" s="67"/>
      <c r="CH549" s="67"/>
      <c r="CI549" s="67"/>
      <c r="CJ549" s="67"/>
      <c r="CK549" s="67"/>
      <c r="CL549" s="67"/>
      <c r="CM549" s="67"/>
      <c r="CN549" s="67"/>
      <c r="CO549" s="67"/>
      <c r="CP549" s="67"/>
      <c r="CQ549" s="67"/>
      <c r="CR549" s="67"/>
      <c r="CS549" s="67"/>
      <c r="CT549" s="67"/>
      <c r="CU549" s="67"/>
      <c r="CV549" s="67"/>
      <c r="CW549" s="67"/>
      <c r="CX549" s="67"/>
      <c r="CY549" s="67"/>
      <c r="CZ549" s="67"/>
      <c r="DA549" s="67"/>
      <c r="DB549" s="67"/>
      <c r="DC549" s="67"/>
      <c r="DD549" s="67"/>
      <c r="DE549" s="67"/>
      <c r="DF549" s="67"/>
    </row>
    <row r="550">
      <c r="A550" s="62"/>
      <c r="B550" s="88"/>
      <c r="C550" s="88"/>
      <c r="D550" s="88"/>
      <c r="E550" s="90"/>
      <c r="F550" s="91"/>
      <c r="G550" s="49"/>
      <c r="H550" s="70"/>
      <c r="I550" s="88"/>
      <c r="J550" s="88"/>
      <c r="K550" s="88"/>
      <c r="L550" s="90"/>
      <c r="M550" s="91"/>
      <c r="N550" s="49"/>
      <c r="O550" s="71"/>
      <c r="P550" s="92"/>
      <c r="Q550" s="71"/>
      <c r="R550" s="92"/>
      <c r="S550" s="71"/>
      <c r="T550" s="71"/>
      <c r="U550" s="68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29"/>
      <c r="AN550" s="67"/>
      <c r="AO550" s="67"/>
      <c r="AP550" s="67"/>
      <c r="AQ550" s="67"/>
      <c r="AR550" s="67"/>
      <c r="AS550" s="67"/>
      <c r="AT550" s="67"/>
      <c r="AU550" s="67"/>
      <c r="AV550" s="67"/>
      <c r="AW550" s="67"/>
      <c r="AX550" s="67"/>
      <c r="AY550" s="67"/>
      <c r="AZ550" s="67"/>
      <c r="BA550" s="67"/>
      <c r="BB550" s="67"/>
      <c r="BC550" s="67"/>
      <c r="BD550" s="67"/>
      <c r="BE550" s="67"/>
      <c r="BF550" s="67"/>
      <c r="BG550" s="67"/>
      <c r="BH550" s="67"/>
      <c r="BI550" s="67"/>
      <c r="BJ550" s="67"/>
      <c r="BK550" s="67"/>
      <c r="BL550" s="67"/>
      <c r="BM550" s="67"/>
      <c r="BN550" s="67"/>
      <c r="BO550" s="67"/>
      <c r="BP550" s="67"/>
      <c r="BQ550" s="67"/>
      <c r="BR550" s="67"/>
      <c r="BS550" s="67"/>
      <c r="BT550" s="67"/>
      <c r="BU550" s="67"/>
      <c r="BV550" s="67"/>
      <c r="BW550" s="67"/>
      <c r="BX550" s="67"/>
      <c r="BY550" s="67"/>
      <c r="BZ550" s="67"/>
      <c r="CA550" s="67"/>
      <c r="CB550" s="67"/>
      <c r="CC550" s="67"/>
      <c r="CD550" s="67"/>
      <c r="CE550" s="67"/>
      <c r="CF550" s="67"/>
      <c r="CG550" s="67"/>
      <c r="CH550" s="67"/>
      <c r="CI550" s="67"/>
      <c r="CJ550" s="67"/>
      <c r="CK550" s="67"/>
      <c r="CL550" s="67"/>
      <c r="CM550" s="67"/>
      <c r="CN550" s="67"/>
      <c r="CO550" s="67"/>
      <c r="CP550" s="67"/>
      <c r="CQ550" s="67"/>
      <c r="CR550" s="67"/>
      <c r="CS550" s="67"/>
      <c r="CT550" s="67"/>
      <c r="CU550" s="67"/>
      <c r="CV550" s="67"/>
      <c r="CW550" s="67"/>
      <c r="CX550" s="67"/>
      <c r="CY550" s="67"/>
      <c r="CZ550" s="67"/>
      <c r="DA550" s="67"/>
      <c r="DB550" s="67"/>
      <c r="DC550" s="67"/>
      <c r="DD550" s="67"/>
      <c r="DE550" s="67"/>
      <c r="DF550" s="67"/>
    </row>
    <row r="551">
      <c r="A551" s="62"/>
      <c r="B551" s="88"/>
      <c r="C551" s="88"/>
      <c r="D551" s="88"/>
      <c r="E551" s="90"/>
      <c r="F551" s="91"/>
      <c r="G551" s="49"/>
      <c r="H551" s="70"/>
      <c r="I551" s="88"/>
      <c r="J551" s="88"/>
      <c r="K551" s="88"/>
      <c r="L551" s="90"/>
      <c r="M551" s="91"/>
      <c r="N551" s="49"/>
      <c r="O551" s="71"/>
      <c r="P551" s="92"/>
      <c r="Q551" s="71"/>
      <c r="R551" s="92"/>
      <c r="S551" s="71"/>
      <c r="T551" s="71"/>
      <c r="U551" s="68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29"/>
      <c r="AN551" s="67"/>
      <c r="AO551" s="67"/>
      <c r="AP551" s="67"/>
      <c r="AQ551" s="67"/>
      <c r="AR551" s="67"/>
      <c r="AS551" s="67"/>
      <c r="AT551" s="67"/>
      <c r="AU551" s="67"/>
      <c r="AV551" s="67"/>
      <c r="AW551" s="67"/>
      <c r="AX551" s="67"/>
      <c r="AY551" s="67"/>
      <c r="AZ551" s="67"/>
      <c r="BA551" s="67"/>
      <c r="BB551" s="67"/>
      <c r="BC551" s="67"/>
      <c r="BD551" s="67"/>
      <c r="BE551" s="67"/>
      <c r="BF551" s="67"/>
      <c r="BG551" s="67"/>
      <c r="BH551" s="67"/>
      <c r="BI551" s="67"/>
      <c r="BJ551" s="67"/>
      <c r="BK551" s="67"/>
      <c r="BL551" s="67"/>
      <c r="BM551" s="67"/>
      <c r="BN551" s="67"/>
      <c r="BO551" s="67"/>
      <c r="BP551" s="67"/>
      <c r="BQ551" s="67"/>
      <c r="BR551" s="67"/>
      <c r="BS551" s="67"/>
      <c r="BT551" s="67"/>
      <c r="BU551" s="67"/>
      <c r="BV551" s="67"/>
      <c r="BW551" s="67"/>
      <c r="BX551" s="67"/>
      <c r="BY551" s="67"/>
      <c r="BZ551" s="67"/>
      <c r="CA551" s="67"/>
      <c r="CB551" s="67"/>
      <c r="CC551" s="67"/>
      <c r="CD551" s="67"/>
      <c r="CE551" s="67"/>
      <c r="CF551" s="67"/>
      <c r="CG551" s="67"/>
      <c r="CH551" s="67"/>
      <c r="CI551" s="67"/>
      <c r="CJ551" s="67"/>
      <c r="CK551" s="67"/>
      <c r="CL551" s="67"/>
      <c r="CM551" s="67"/>
      <c r="CN551" s="67"/>
      <c r="CO551" s="67"/>
      <c r="CP551" s="67"/>
      <c r="CQ551" s="67"/>
      <c r="CR551" s="67"/>
      <c r="CS551" s="67"/>
      <c r="CT551" s="67"/>
      <c r="CU551" s="67"/>
      <c r="CV551" s="67"/>
      <c r="CW551" s="67"/>
      <c r="CX551" s="67"/>
      <c r="CY551" s="67"/>
      <c r="CZ551" s="67"/>
      <c r="DA551" s="67"/>
      <c r="DB551" s="67"/>
      <c r="DC551" s="67"/>
      <c r="DD551" s="67"/>
      <c r="DE551" s="67"/>
      <c r="DF551" s="67"/>
    </row>
    <row r="552">
      <c r="A552" s="62"/>
      <c r="B552" s="88"/>
      <c r="C552" s="88"/>
      <c r="D552" s="88"/>
      <c r="E552" s="90"/>
      <c r="F552" s="91"/>
      <c r="G552" s="49"/>
      <c r="H552" s="70"/>
      <c r="I552" s="88"/>
      <c r="J552" s="88"/>
      <c r="K552" s="88"/>
      <c r="L552" s="90"/>
      <c r="M552" s="91"/>
      <c r="N552" s="49"/>
      <c r="O552" s="71"/>
      <c r="P552" s="92"/>
      <c r="Q552" s="71"/>
      <c r="R552" s="92"/>
      <c r="S552" s="71"/>
      <c r="T552" s="71"/>
      <c r="U552" s="68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29"/>
      <c r="AN552" s="67"/>
      <c r="AO552" s="67"/>
      <c r="AP552" s="67"/>
      <c r="AQ552" s="67"/>
      <c r="AR552" s="67"/>
      <c r="AS552" s="67"/>
      <c r="AT552" s="67"/>
      <c r="AU552" s="67"/>
      <c r="AV552" s="67"/>
      <c r="AW552" s="67"/>
      <c r="AX552" s="67"/>
      <c r="AY552" s="67"/>
      <c r="AZ552" s="67"/>
      <c r="BA552" s="67"/>
      <c r="BB552" s="67"/>
      <c r="BC552" s="67"/>
      <c r="BD552" s="67"/>
      <c r="BE552" s="67"/>
      <c r="BF552" s="67"/>
      <c r="BG552" s="67"/>
      <c r="BH552" s="67"/>
      <c r="BI552" s="67"/>
      <c r="BJ552" s="67"/>
      <c r="BK552" s="67"/>
      <c r="BL552" s="67"/>
      <c r="BM552" s="67"/>
      <c r="BN552" s="67"/>
      <c r="BO552" s="67"/>
      <c r="BP552" s="67"/>
      <c r="BQ552" s="67"/>
      <c r="BR552" s="67"/>
      <c r="BS552" s="67"/>
      <c r="BT552" s="67"/>
      <c r="BU552" s="67"/>
      <c r="BV552" s="67"/>
      <c r="BW552" s="67"/>
      <c r="BX552" s="67"/>
      <c r="BY552" s="67"/>
      <c r="BZ552" s="67"/>
      <c r="CA552" s="67"/>
      <c r="CB552" s="67"/>
      <c r="CC552" s="67"/>
      <c r="CD552" s="67"/>
      <c r="CE552" s="67"/>
      <c r="CF552" s="67"/>
      <c r="CG552" s="67"/>
      <c r="CH552" s="67"/>
      <c r="CI552" s="67"/>
      <c r="CJ552" s="67"/>
      <c r="CK552" s="67"/>
      <c r="CL552" s="67"/>
      <c r="CM552" s="67"/>
      <c r="CN552" s="67"/>
      <c r="CO552" s="67"/>
      <c r="CP552" s="67"/>
      <c r="CQ552" s="67"/>
      <c r="CR552" s="67"/>
      <c r="CS552" s="67"/>
      <c r="CT552" s="67"/>
      <c r="CU552" s="67"/>
      <c r="CV552" s="67"/>
      <c r="CW552" s="67"/>
      <c r="CX552" s="67"/>
      <c r="CY552" s="67"/>
      <c r="CZ552" s="67"/>
      <c r="DA552" s="67"/>
      <c r="DB552" s="67"/>
      <c r="DC552" s="67"/>
      <c r="DD552" s="67"/>
      <c r="DE552" s="67"/>
      <c r="DF552" s="67"/>
    </row>
    <row r="553">
      <c r="A553" s="62"/>
      <c r="B553" s="88"/>
      <c r="C553" s="88"/>
      <c r="D553" s="88"/>
      <c r="E553" s="90"/>
      <c r="F553" s="91"/>
      <c r="G553" s="49"/>
      <c r="H553" s="70"/>
      <c r="I553" s="88"/>
      <c r="J553" s="88"/>
      <c r="K553" s="88"/>
      <c r="L553" s="90"/>
      <c r="M553" s="91"/>
      <c r="N553" s="49"/>
      <c r="O553" s="71"/>
      <c r="P553" s="92"/>
      <c r="Q553" s="71"/>
      <c r="R553" s="92"/>
      <c r="S553" s="71"/>
      <c r="T553" s="71"/>
      <c r="U553" s="68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29"/>
      <c r="AN553" s="67"/>
      <c r="AO553" s="67"/>
      <c r="AP553" s="67"/>
      <c r="AQ553" s="67"/>
      <c r="AR553" s="67"/>
      <c r="AS553" s="67"/>
      <c r="AT553" s="67"/>
      <c r="AU553" s="67"/>
      <c r="AV553" s="67"/>
      <c r="AW553" s="67"/>
      <c r="AX553" s="67"/>
      <c r="AY553" s="67"/>
      <c r="AZ553" s="67"/>
      <c r="BA553" s="67"/>
      <c r="BB553" s="67"/>
      <c r="BC553" s="67"/>
      <c r="BD553" s="67"/>
      <c r="BE553" s="67"/>
      <c r="BF553" s="67"/>
      <c r="BG553" s="67"/>
      <c r="BH553" s="67"/>
      <c r="BI553" s="67"/>
      <c r="BJ553" s="67"/>
      <c r="BK553" s="67"/>
      <c r="BL553" s="67"/>
      <c r="BM553" s="67"/>
      <c r="BN553" s="67"/>
      <c r="BO553" s="67"/>
      <c r="BP553" s="67"/>
      <c r="BQ553" s="67"/>
      <c r="BR553" s="67"/>
      <c r="BS553" s="67"/>
      <c r="BT553" s="67"/>
      <c r="BU553" s="67"/>
      <c r="BV553" s="67"/>
      <c r="BW553" s="67"/>
      <c r="BX553" s="67"/>
      <c r="BY553" s="67"/>
      <c r="BZ553" s="67"/>
      <c r="CA553" s="67"/>
      <c r="CB553" s="67"/>
      <c r="CC553" s="67"/>
      <c r="CD553" s="67"/>
      <c r="CE553" s="67"/>
      <c r="CF553" s="67"/>
      <c r="CG553" s="67"/>
      <c r="CH553" s="67"/>
      <c r="CI553" s="67"/>
      <c r="CJ553" s="67"/>
      <c r="CK553" s="67"/>
      <c r="CL553" s="67"/>
      <c r="CM553" s="67"/>
      <c r="CN553" s="67"/>
      <c r="CO553" s="67"/>
      <c r="CP553" s="67"/>
      <c r="CQ553" s="67"/>
      <c r="CR553" s="67"/>
      <c r="CS553" s="67"/>
      <c r="CT553" s="67"/>
      <c r="CU553" s="67"/>
      <c r="CV553" s="67"/>
      <c r="CW553" s="67"/>
      <c r="CX553" s="67"/>
      <c r="CY553" s="67"/>
      <c r="CZ553" s="67"/>
      <c r="DA553" s="67"/>
      <c r="DB553" s="67"/>
      <c r="DC553" s="67"/>
      <c r="DD553" s="67"/>
      <c r="DE553" s="67"/>
      <c r="DF553" s="67"/>
    </row>
    <row r="554">
      <c r="A554" s="62"/>
      <c r="B554" s="88"/>
      <c r="C554" s="88"/>
      <c r="D554" s="88"/>
      <c r="E554" s="90"/>
      <c r="F554" s="91"/>
      <c r="G554" s="49"/>
      <c r="H554" s="70"/>
      <c r="I554" s="88"/>
      <c r="J554" s="88"/>
      <c r="K554" s="88"/>
      <c r="L554" s="90"/>
      <c r="M554" s="91"/>
      <c r="N554" s="49"/>
      <c r="O554" s="71"/>
      <c r="P554" s="92"/>
      <c r="Q554" s="71"/>
      <c r="R554" s="92"/>
      <c r="S554" s="71"/>
      <c r="T554" s="71"/>
      <c r="U554" s="68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29"/>
      <c r="AN554" s="67"/>
      <c r="AO554" s="67"/>
      <c r="AP554" s="67"/>
      <c r="AQ554" s="67"/>
      <c r="AR554" s="67"/>
      <c r="AS554" s="67"/>
      <c r="AT554" s="67"/>
      <c r="AU554" s="67"/>
      <c r="AV554" s="67"/>
      <c r="AW554" s="67"/>
      <c r="AX554" s="67"/>
      <c r="AY554" s="67"/>
      <c r="AZ554" s="67"/>
      <c r="BA554" s="67"/>
      <c r="BB554" s="67"/>
      <c r="BC554" s="67"/>
      <c r="BD554" s="67"/>
      <c r="BE554" s="67"/>
      <c r="BF554" s="67"/>
      <c r="BG554" s="67"/>
      <c r="BH554" s="67"/>
      <c r="BI554" s="67"/>
      <c r="BJ554" s="67"/>
      <c r="BK554" s="67"/>
      <c r="BL554" s="67"/>
      <c r="BM554" s="67"/>
      <c r="BN554" s="67"/>
      <c r="BO554" s="67"/>
      <c r="BP554" s="67"/>
      <c r="BQ554" s="67"/>
      <c r="BR554" s="67"/>
      <c r="BS554" s="67"/>
      <c r="BT554" s="67"/>
      <c r="BU554" s="67"/>
      <c r="BV554" s="67"/>
      <c r="BW554" s="67"/>
      <c r="BX554" s="67"/>
      <c r="BY554" s="67"/>
      <c r="BZ554" s="67"/>
      <c r="CA554" s="67"/>
      <c r="CB554" s="67"/>
      <c r="CC554" s="67"/>
      <c r="CD554" s="67"/>
      <c r="CE554" s="67"/>
      <c r="CF554" s="67"/>
      <c r="CG554" s="67"/>
      <c r="CH554" s="67"/>
      <c r="CI554" s="67"/>
      <c r="CJ554" s="67"/>
      <c r="CK554" s="67"/>
      <c r="CL554" s="67"/>
      <c r="CM554" s="67"/>
      <c r="CN554" s="67"/>
      <c r="CO554" s="67"/>
      <c r="CP554" s="67"/>
      <c r="CQ554" s="67"/>
      <c r="CR554" s="67"/>
      <c r="CS554" s="67"/>
      <c r="CT554" s="67"/>
      <c r="CU554" s="67"/>
      <c r="CV554" s="67"/>
      <c r="CW554" s="67"/>
      <c r="CX554" s="67"/>
      <c r="CY554" s="67"/>
      <c r="CZ554" s="67"/>
      <c r="DA554" s="67"/>
      <c r="DB554" s="67"/>
      <c r="DC554" s="67"/>
      <c r="DD554" s="67"/>
      <c r="DE554" s="67"/>
      <c r="DF554" s="67"/>
    </row>
    <row r="555">
      <c r="A555" s="62"/>
      <c r="B555" s="88"/>
      <c r="C555" s="88"/>
      <c r="D555" s="88"/>
      <c r="E555" s="90"/>
      <c r="F555" s="91"/>
      <c r="G555" s="49"/>
      <c r="H555" s="70"/>
      <c r="I555" s="88"/>
      <c r="J555" s="88"/>
      <c r="K555" s="88"/>
      <c r="L555" s="90"/>
      <c r="M555" s="91"/>
      <c r="N555" s="49"/>
      <c r="O555" s="71"/>
      <c r="P555" s="92"/>
      <c r="Q555" s="71"/>
      <c r="R555" s="92"/>
      <c r="S555" s="71"/>
      <c r="T555" s="71"/>
      <c r="U555" s="68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29"/>
      <c r="AN555" s="67"/>
      <c r="AO555" s="67"/>
      <c r="AP555" s="67"/>
      <c r="AQ555" s="67"/>
      <c r="AR555" s="67"/>
      <c r="AS555" s="67"/>
      <c r="AT555" s="67"/>
      <c r="AU555" s="67"/>
      <c r="AV555" s="67"/>
      <c r="AW555" s="67"/>
      <c r="AX555" s="67"/>
      <c r="AY555" s="67"/>
      <c r="AZ555" s="67"/>
      <c r="BA555" s="67"/>
      <c r="BB555" s="67"/>
      <c r="BC555" s="67"/>
      <c r="BD555" s="67"/>
      <c r="BE555" s="67"/>
      <c r="BF555" s="67"/>
      <c r="BG555" s="67"/>
      <c r="BH555" s="67"/>
      <c r="BI555" s="67"/>
      <c r="BJ555" s="67"/>
      <c r="BK555" s="67"/>
      <c r="BL555" s="67"/>
      <c r="BM555" s="67"/>
      <c r="BN555" s="67"/>
      <c r="BO555" s="67"/>
      <c r="BP555" s="67"/>
      <c r="BQ555" s="67"/>
      <c r="BR555" s="67"/>
      <c r="BS555" s="67"/>
      <c r="BT555" s="67"/>
      <c r="BU555" s="67"/>
      <c r="BV555" s="67"/>
      <c r="BW555" s="67"/>
      <c r="BX555" s="67"/>
      <c r="BY555" s="67"/>
      <c r="BZ555" s="67"/>
      <c r="CA555" s="67"/>
      <c r="CB555" s="67"/>
      <c r="CC555" s="67"/>
      <c r="CD555" s="67"/>
      <c r="CE555" s="67"/>
      <c r="CF555" s="67"/>
      <c r="CG555" s="67"/>
      <c r="CH555" s="67"/>
      <c r="CI555" s="67"/>
      <c r="CJ555" s="67"/>
      <c r="CK555" s="67"/>
      <c r="CL555" s="67"/>
      <c r="CM555" s="67"/>
      <c r="CN555" s="67"/>
      <c r="CO555" s="67"/>
      <c r="CP555" s="67"/>
      <c r="CQ555" s="67"/>
      <c r="CR555" s="67"/>
      <c r="CS555" s="67"/>
      <c r="CT555" s="67"/>
      <c r="CU555" s="67"/>
      <c r="CV555" s="67"/>
      <c r="CW555" s="67"/>
      <c r="CX555" s="67"/>
      <c r="CY555" s="67"/>
      <c r="CZ555" s="67"/>
      <c r="DA555" s="67"/>
      <c r="DB555" s="67"/>
      <c r="DC555" s="67"/>
      <c r="DD555" s="67"/>
      <c r="DE555" s="67"/>
      <c r="DF555" s="67"/>
    </row>
    <row r="556">
      <c r="A556" s="62"/>
      <c r="B556" s="88"/>
      <c r="C556" s="88"/>
      <c r="D556" s="88"/>
      <c r="E556" s="90"/>
      <c r="F556" s="91"/>
      <c r="G556" s="49"/>
      <c r="H556" s="70"/>
      <c r="I556" s="88"/>
      <c r="J556" s="88"/>
      <c r="K556" s="88"/>
      <c r="L556" s="90"/>
      <c r="M556" s="91"/>
      <c r="N556" s="49"/>
      <c r="O556" s="71"/>
      <c r="P556" s="92"/>
      <c r="Q556" s="71"/>
      <c r="R556" s="92"/>
      <c r="S556" s="71"/>
      <c r="T556" s="71"/>
      <c r="U556" s="68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29"/>
      <c r="AN556" s="67"/>
      <c r="AO556" s="67"/>
      <c r="AP556" s="67"/>
      <c r="AQ556" s="67"/>
      <c r="AR556" s="67"/>
      <c r="AS556" s="67"/>
      <c r="AT556" s="67"/>
      <c r="AU556" s="67"/>
      <c r="AV556" s="67"/>
      <c r="AW556" s="67"/>
      <c r="AX556" s="67"/>
      <c r="AY556" s="67"/>
      <c r="AZ556" s="67"/>
      <c r="BA556" s="67"/>
      <c r="BB556" s="67"/>
      <c r="BC556" s="67"/>
      <c r="BD556" s="67"/>
      <c r="BE556" s="67"/>
      <c r="BF556" s="67"/>
      <c r="BG556" s="67"/>
      <c r="BH556" s="67"/>
      <c r="BI556" s="67"/>
      <c r="BJ556" s="67"/>
      <c r="BK556" s="67"/>
      <c r="BL556" s="67"/>
      <c r="BM556" s="67"/>
      <c r="BN556" s="67"/>
      <c r="BO556" s="67"/>
      <c r="BP556" s="67"/>
      <c r="BQ556" s="67"/>
      <c r="BR556" s="67"/>
      <c r="BS556" s="67"/>
      <c r="BT556" s="67"/>
      <c r="BU556" s="67"/>
      <c r="BV556" s="67"/>
      <c r="BW556" s="67"/>
      <c r="BX556" s="67"/>
      <c r="BY556" s="67"/>
      <c r="BZ556" s="67"/>
      <c r="CA556" s="67"/>
      <c r="CB556" s="67"/>
      <c r="CC556" s="67"/>
      <c r="CD556" s="67"/>
      <c r="CE556" s="67"/>
      <c r="CF556" s="67"/>
      <c r="CG556" s="67"/>
      <c r="CH556" s="67"/>
      <c r="CI556" s="67"/>
      <c r="CJ556" s="67"/>
      <c r="CK556" s="67"/>
      <c r="CL556" s="67"/>
      <c r="CM556" s="67"/>
      <c r="CN556" s="67"/>
      <c r="CO556" s="67"/>
      <c r="CP556" s="67"/>
      <c r="CQ556" s="67"/>
      <c r="CR556" s="67"/>
      <c r="CS556" s="67"/>
      <c r="CT556" s="67"/>
      <c r="CU556" s="67"/>
      <c r="CV556" s="67"/>
      <c r="CW556" s="67"/>
      <c r="CX556" s="67"/>
      <c r="CY556" s="67"/>
      <c r="CZ556" s="67"/>
      <c r="DA556" s="67"/>
      <c r="DB556" s="67"/>
      <c r="DC556" s="67"/>
      <c r="DD556" s="67"/>
      <c r="DE556" s="67"/>
      <c r="DF556" s="67"/>
    </row>
    <row r="557">
      <c r="A557" s="62"/>
      <c r="B557" s="88"/>
      <c r="C557" s="88"/>
      <c r="D557" s="88"/>
      <c r="E557" s="90"/>
      <c r="F557" s="91"/>
      <c r="G557" s="49"/>
      <c r="H557" s="70"/>
      <c r="I557" s="88"/>
      <c r="J557" s="88"/>
      <c r="K557" s="88"/>
      <c r="L557" s="90"/>
      <c r="M557" s="91"/>
      <c r="N557" s="49"/>
      <c r="O557" s="71"/>
      <c r="P557" s="92"/>
      <c r="Q557" s="71"/>
      <c r="R557" s="92"/>
      <c r="S557" s="71"/>
      <c r="T557" s="71"/>
      <c r="U557" s="68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29"/>
      <c r="AN557" s="67"/>
      <c r="AO557" s="67"/>
      <c r="AP557" s="67"/>
      <c r="AQ557" s="67"/>
      <c r="AR557" s="67"/>
      <c r="AS557" s="67"/>
      <c r="AT557" s="67"/>
      <c r="AU557" s="67"/>
      <c r="AV557" s="67"/>
      <c r="AW557" s="67"/>
      <c r="AX557" s="67"/>
      <c r="AY557" s="67"/>
      <c r="AZ557" s="67"/>
      <c r="BA557" s="67"/>
      <c r="BB557" s="67"/>
      <c r="BC557" s="67"/>
      <c r="BD557" s="67"/>
      <c r="BE557" s="67"/>
      <c r="BF557" s="67"/>
      <c r="BG557" s="67"/>
      <c r="BH557" s="67"/>
      <c r="BI557" s="67"/>
      <c r="BJ557" s="67"/>
      <c r="BK557" s="67"/>
      <c r="BL557" s="67"/>
      <c r="BM557" s="67"/>
      <c r="BN557" s="67"/>
      <c r="BO557" s="67"/>
      <c r="BP557" s="67"/>
      <c r="BQ557" s="67"/>
      <c r="BR557" s="67"/>
      <c r="BS557" s="67"/>
      <c r="BT557" s="67"/>
      <c r="BU557" s="67"/>
      <c r="BV557" s="67"/>
      <c r="BW557" s="67"/>
      <c r="BX557" s="67"/>
      <c r="BY557" s="67"/>
      <c r="BZ557" s="67"/>
      <c r="CA557" s="67"/>
      <c r="CB557" s="67"/>
      <c r="CC557" s="67"/>
      <c r="CD557" s="67"/>
      <c r="CE557" s="67"/>
      <c r="CF557" s="67"/>
      <c r="CG557" s="67"/>
      <c r="CH557" s="67"/>
      <c r="CI557" s="67"/>
      <c r="CJ557" s="67"/>
      <c r="CK557" s="67"/>
      <c r="CL557" s="67"/>
      <c r="CM557" s="67"/>
      <c r="CN557" s="67"/>
      <c r="CO557" s="67"/>
      <c r="CP557" s="67"/>
      <c r="CQ557" s="67"/>
      <c r="CR557" s="67"/>
      <c r="CS557" s="67"/>
      <c r="CT557" s="67"/>
      <c r="CU557" s="67"/>
      <c r="CV557" s="67"/>
      <c r="CW557" s="67"/>
      <c r="CX557" s="67"/>
      <c r="CY557" s="67"/>
      <c r="CZ557" s="67"/>
      <c r="DA557" s="67"/>
      <c r="DB557" s="67"/>
      <c r="DC557" s="67"/>
      <c r="DD557" s="67"/>
      <c r="DE557" s="67"/>
      <c r="DF557" s="67"/>
    </row>
    <row r="558">
      <c r="A558" s="61"/>
      <c r="B558" s="98"/>
      <c r="C558" s="88"/>
      <c r="D558" s="88"/>
      <c r="E558" s="90"/>
      <c r="F558" s="91"/>
      <c r="G558" s="49"/>
      <c r="H558" s="70"/>
      <c r="I558" s="98"/>
      <c r="J558" s="88"/>
      <c r="K558" s="88"/>
      <c r="L558" s="90"/>
      <c r="M558" s="91"/>
      <c r="N558" s="49"/>
      <c r="O558" s="71"/>
      <c r="P558" s="92"/>
      <c r="Q558" s="71"/>
      <c r="R558" s="92"/>
      <c r="S558" s="71"/>
      <c r="T558" s="71"/>
      <c r="U558" s="68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29"/>
      <c r="AN558" s="67"/>
      <c r="AO558" s="67"/>
      <c r="AP558" s="67"/>
      <c r="AQ558" s="67"/>
      <c r="AR558" s="67"/>
      <c r="AS558" s="67"/>
      <c r="AT558" s="67"/>
      <c r="AU558" s="67"/>
      <c r="AV558" s="67"/>
      <c r="AW558" s="67"/>
      <c r="AX558" s="67"/>
      <c r="AY558" s="67"/>
      <c r="AZ558" s="67"/>
      <c r="BA558" s="67"/>
      <c r="BB558" s="67"/>
      <c r="BC558" s="67"/>
      <c r="BD558" s="67"/>
      <c r="BE558" s="67"/>
      <c r="BF558" s="67"/>
      <c r="BG558" s="67"/>
      <c r="BH558" s="67"/>
      <c r="BI558" s="67"/>
      <c r="BJ558" s="67"/>
      <c r="BK558" s="67"/>
      <c r="BL558" s="67"/>
      <c r="BM558" s="67"/>
      <c r="BN558" s="67"/>
      <c r="BO558" s="67"/>
      <c r="BP558" s="67"/>
      <c r="BQ558" s="67"/>
      <c r="BR558" s="67"/>
      <c r="BS558" s="67"/>
      <c r="BT558" s="67"/>
      <c r="BU558" s="67"/>
      <c r="BV558" s="67"/>
      <c r="BW558" s="67"/>
      <c r="BX558" s="67"/>
      <c r="BY558" s="67"/>
      <c r="BZ558" s="67"/>
      <c r="CA558" s="67"/>
      <c r="CB558" s="67"/>
      <c r="CC558" s="67"/>
      <c r="CD558" s="67"/>
      <c r="CE558" s="67"/>
      <c r="CF558" s="67"/>
      <c r="CG558" s="67"/>
      <c r="CH558" s="67"/>
      <c r="CI558" s="67"/>
      <c r="CJ558" s="67"/>
      <c r="CK558" s="67"/>
      <c r="CL558" s="67"/>
      <c r="CM558" s="67"/>
      <c r="CN558" s="67"/>
      <c r="CO558" s="67"/>
      <c r="CP558" s="67"/>
      <c r="CQ558" s="67"/>
      <c r="CR558" s="67"/>
      <c r="CS558" s="67"/>
      <c r="CT558" s="67"/>
      <c r="CU558" s="67"/>
      <c r="CV558" s="67"/>
      <c r="CW558" s="67"/>
      <c r="CX558" s="67"/>
      <c r="CY558" s="67"/>
      <c r="CZ558" s="67"/>
      <c r="DA558" s="67"/>
      <c r="DB558" s="67"/>
      <c r="DC558" s="67"/>
      <c r="DD558" s="67"/>
      <c r="DE558" s="67"/>
      <c r="DF558" s="67"/>
    </row>
    <row r="559">
      <c r="A559" s="62"/>
      <c r="B559" s="88"/>
      <c r="C559" s="88"/>
      <c r="D559" s="88"/>
      <c r="E559" s="90"/>
      <c r="F559" s="91"/>
      <c r="G559" s="49"/>
      <c r="H559" s="70"/>
      <c r="I559" s="88"/>
      <c r="J559" s="88"/>
      <c r="K559" s="88"/>
      <c r="L559" s="90"/>
      <c r="M559" s="91"/>
      <c r="N559" s="49"/>
      <c r="O559" s="71"/>
      <c r="P559" s="92"/>
      <c r="Q559" s="71"/>
      <c r="R559" s="92"/>
      <c r="S559" s="71"/>
      <c r="T559" s="71"/>
      <c r="U559" s="68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29"/>
      <c r="AN559" s="67"/>
      <c r="AO559" s="67"/>
      <c r="AP559" s="67"/>
      <c r="AQ559" s="67"/>
      <c r="AR559" s="67"/>
      <c r="AS559" s="67"/>
      <c r="AT559" s="67"/>
      <c r="AU559" s="67"/>
      <c r="AV559" s="67"/>
      <c r="AW559" s="67"/>
      <c r="AX559" s="67"/>
      <c r="AY559" s="67"/>
      <c r="AZ559" s="67"/>
      <c r="BA559" s="67"/>
      <c r="BB559" s="67"/>
      <c r="BC559" s="67"/>
      <c r="BD559" s="67"/>
      <c r="BE559" s="67"/>
      <c r="BF559" s="67"/>
      <c r="BG559" s="67"/>
      <c r="BH559" s="67"/>
      <c r="BI559" s="67"/>
      <c r="BJ559" s="67"/>
      <c r="BK559" s="67"/>
      <c r="BL559" s="67"/>
      <c r="BM559" s="67"/>
      <c r="BN559" s="67"/>
      <c r="BO559" s="67"/>
      <c r="BP559" s="67"/>
      <c r="BQ559" s="67"/>
      <c r="BR559" s="67"/>
      <c r="BS559" s="67"/>
      <c r="BT559" s="67"/>
      <c r="BU559" s="67"/>
      <c r="BV559" s="67"/>
      <c r="BW559" s="67"/>
      <c r="BX559" s="67"/>
      <c r="BY559" s="67"/>
      <c r="BZ559" s="67"/>
      <c r="CA559" s="67"/>
      <c r="CB559" s="67"/>
      <c r="CC559" s="67"/>
      <c r="CD559" s="67"/>
      <c r="CE559" s="67"/>
      <c r="CF559" s="67"/>
      <c r="CG559" s="67"/>
      <c r="CH559" s="67"/>
      <c r="CI559" s="67"/>
      <c r="CJ559" s="67"/>
      <c r="CK559" s="67"/>
      <c r="CL559" s="67"/>
      <c r="CM559" s="67"/>
      <c r="CN559" s="67"/>
      <c r="CO559" s="67"/>
      <c r="CP559" s="67"/>
      <c r="CQ559" s="67"/>
      <c r="CR559" s="67"/>
      <c r="CS559" s="67"/>
      <c r="CT559" s="67"/>
      <c r="CU559" s="67"/>
      <c r="CV559" s="67"/>
      <c r="CW559" s="67"/>
      <c r="CX559" s="67"/>
      <c r="CY559" s="67"/>
      <c r="CZ559" s="67"/>
      <c r="DA559" s="67"/>
      <c r="DB559" s="67"/>
      <c r="DC559" s="67"/>
      <c r="DD559" s="67"/>
      <c r="DE559" s="67"/>
      <c r="DF559" s="67"/>
    </row>
    <row r="560">
      <c r="A560" s="62"/>
      <c r="B560" s="88"/>
      <c r="C560" s="88"/>
      <c r="D560" s="88"/>
      <c r="E560" s="90"/>
      <c r="F560" s="91"/>
      <c r="G560" s="49"/>
      <c r="H560" s="70"/>
      <c r="I560" s="88"/>
      <c r="J560" s="88"/>
      <c r="K560" s="88"/>
      <c r="L560" s="90"/>
      <c r="M560" s="91"/>
      <c r="N560" s="49"/>
      <c r="O560" s="71"/>
      <c r="P560" s="92"/>
      <c r="Q560" s="71"/>
      <c r="R560" s="92"/>
      <c r="S560" s="71"/>
      <c r="T560" s="71"/>
      <c r="U560" s="68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29"/>
      <c r="AN560" s="67"/>
      <c r="AO560" s="67"/>
      <c r="AP560" s="67"/>
      <c r="AQ560" s="67"/>
      <c r="AR560" s="67"/>
      <c r="AS560" s="67"/>
      <c r="AT560" s="67"/>
      <c r="AU560" s="67"/>
      <c r="AV560" s="67"/>
      <c r="AW560" s="67"/>
      <c r="AX560" s="67"/>
      <c r="AY560" s="67"/>
      <c r="AZ560" s="67"/>
      <c r="BA560" s="67"/>
      <c r="BB560" s="67"/>
      <c r="BC560" s="67"/>
      <c r="BD560" s="67"/>
      <c r="BE560" s="67"/>
      <c r="BF560" s="67"/>
      <c r="BG560" s="67"/>
      <c r="BH560" s="67"/>
      <c r="BI560" s="67"/>
      <c r="BJ560" s="67"/>
      <c r="BK560" s="67"/>
      <c r="BL560" s="67"/>
      <c r="BM560" s="67"/>
      <c r="BN560" s="67"/>
      <c r="BO560" s="67"/>
      <c r="BP560" s="67"/>
      <c r="BQ560" s="67"/>
      <c r="BR560" s="67"/>
      <c r="BS560" s="67"/>
      <c r="BT560" s="67"/>
      <c r="BU560" s="67"/>
      <c r="BV560" s="67"/>
      <c r="BW560" s="67"/>
      <c r="BX560" s="67"/>
      <c r="BY560" s="67"/>
      <c r="BZ560" s="67"/>
      <c r="CA560" s="67"/>
      <c r="CB560" s="67"/>
      <c r="CC560" s="67"/>
      <c r="CD560" s="67"/>
      <c r="CE560" s="67"/>
      <c r="CF560" s="67"/>
      <c r="CG560" s="67"/>
      <c r="CH560" s="67"/>
      <c r="CI560" s="67"/>
      <c r="CJ560" s="67"/>
      <c r="CK560" s="67"/>
      <c r="CL560" s="67"/>
      <c r="CM560" s="67"/>
      <c r="CN560" s="67"/>
      <c r="CO560" s="67"/>
      <c r="CP560" s="67"/>
      <c r="CQ560" s="67"/>
      <c r="CR560" s="67"/>
      <c r="CS560" s="67"/>
      <c r="CT560" s="67"/>
      <c r="CU560" s="67"/>
      <c r="CV560" s="67"/>
      <c r="CW560" s="67"/>
      <c r="CX560" s="67"/>
      <c r="CY560" s="67"/>
      <c r="CZ560" s="67"/>
      <c r="DA560" s="67"/>
      <c r="DB560" s="67"/>
      <c r="DC560" s="67"/>
      <c r="DD560" s="67"/>
      <c r="DE560" s="67"/>
      <c r="DF560" s="67"/>
    </row>
    <row r="561">
      <c r="A561" s="61"/>
      <c r="B561" s="98"/>
      <c r="C561" s="88"/>
      <c r="D561" s="88"/>
      <c r="E561" s="90"/>
      <c r="F561" s="91"/>
      <c r="G561" s="49"/>
      <c r="H561" s="70"/>
      <c r="I561" s="98"/>
      <c r="J561" s="88"/>
      <c r="K561" s="88"/>
      <c r="L561" s="90"/>
      <c r="M561" s="91"/>
      <c r="N561" s="49"/>
      <c r="O561" s="71"/>
      <c r="P561" s="92"/>
      <c r="Q561" s="71"/>
      <c r="R561" s="92"/>
      <c r="S561" s="71"/>
      <c r="T561" s="71"/>
      <c r="U561" s="68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29"/>
      <c r="AN561" s="67"/>
      <c r="AO561" s="67"/>
      <c r="AP561" s="67"/>
      <c r="AQ561" s="67"/>
      <c r="AR561" s="67"/>
      <c r="AS561" s="67"/>
      <c r="AT561" s="67"/>
      <c r="AU561" s="67"/>
      <c r="AV561" s="67"/>
      <c r="AW561" s="67"/>
      <c r="AX561" s="67"/>
      <c r="AY561" s="67"/>
      <c r="AZ561" s="67"/>
      <c r="BA561" s="67"/>
      <c r="BB561" s="67"/>
      <c r="BC561" s="67"/>
      <c r="BD561" s="67"/>
      <c r="BE561" s="67"/>
      <c r="BF561" s="67"/>
      <c r="BG561" s="67"/>
      <c r="BH561" s="67"/>
      <c r="BI561" s="67"/>
      <c r="BJ561" s="67"/>
      <c r="BK561" s="67"/>
      <c r="BL561" s="67"/>
      <c r="BM561" s="67"/>
      <c r="BN561" s="67"/>
      <c r="BO561" s="67"/>
      <c r="BP561" s="67"/>
      <c r="BQ561" s="67"/>
      <c r="BR561" s="67"/>
      <c r="BS561" s="67"/>
      <c r="BT561" s="67"/>
      <c r="BU561" s="67"/>
      <c r="BV561" s="67"/>
      <c r="BW561" s="67"/>
      <c r="BX561" s="67"/>
      <c r="BY561" s="67"/>
      <c r="BZ561" s="67"/>
      <c r="CA561" s="67"/>
      <c r="CB561" s="67"/>
      <c r="CC561" s="67"/>
      <c r="CD561" s="67"/>
      <c r="CE561" s="67"/>
      <c r="CF561" s="67"/>
      <c r="CG561" s="67"/>
      <c r="CH561" s="67"/>
      <c r="CI561" s="67"/>
      <c r="CJ561" s="67"/>
      <c r="CK561" s="67"/>
      <c r="CL561" s="67"/>
      <c r="CM561" s="67"/>
      <c r="CN561" s="67"/>
      <c r="CO561" s="67"/>
      <c r="CP561" s="67"/>
      <c r="CQ561" s="67"/>
      <c r="CR561" s="67"/>
      <c r="CS561" s="67"/>
      <c r="CT561" s="67"/>
      <c r="CU561" s="67"/>
      <c r="CV561" s="67"/>
      <c r="CW561" s="67"/>
      <c r="CX561" s="67"/>
      <c r="CY561" s="67"/>
      <c r="CZ561" s="67"/>
      <c r="DA561" s="67"/>
      <c r="DB561" s="67"/>
      <c r="DC561" s="67"/>
      <c r="DD561" s="67"/>
      <c r="DE561" s="67"/>
      <c r="DF561" s="67"/>
    </row>
    <row r="562">
      <c r="A562" s="62"/>
      <c r="B562" s="88"/>
      <c r="C562" s="88"/>
      <c r="D562" s="88"/>
      <c r="E562" s="90"/>
      <c r="F562" s="91"/>
      <c r="G562" s="49"/>
      <c r="H562" s="70"/>
      <c r="I562" s="88"/>
      <c r="J562" s="88"/>
      <c r="K562" s="88"/>
      <c r="L562" s="90"/>
      <c r="M562" s="91"/>
      <c r="N562" s="49"/>
      <c r="O562" s="71"/>
      <c r="P562" s="92"/>
      <c r="Q562" s="71"/>
      <c r="R562" s="92"/>
      <c r="S562" s="71"/>
      <c r="T562" s="71"/>
      <c r="U562" s="68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29"/>
      <c r="AN562" s="67"/>
      <c r="AO562" s="67"/>
      <c r="AP562" s="67"/>
      <c r="AQ562" s="67"/>
      <c r="AR562" s="67"/>
      <c r="AS562" s="67"/>
      <c r="AT562" s="67"/>
      <c r="AU562" s="67"/>
      <c r="AV562" s="67"/>
      <c r="AW562" s="67"/>
      <c r="AX562" s="67"/>
      <c r="AY562" s="67"/>
      <c r="AZ562" s="67"/>
      <c r="BA562" s="67"/>
      <c r="BB562" s="67"/>
      <c r="BC562" s="67"/>
      <c r="BD562" s="67"/>
      <c r="BE562" s="67"/>
      <c r="BF562" s="67"/>
      <c r="BG562" s="67"/>
      <c r="BH562" s="67"/>
      <c r="BI562" s="67"/>
      <c r="BJ562" s="67"/>
      <c r="BK562" s="67"/>
      <c r="BL562" s="67"/>
      <c r="BM562" s="67"/>
      <c r="BN562" s="67"/>
      <c r="BO562" s="67"/>
      <c r="BP562" s="67"/>
      <c r="BQ562" s="67"/>
      <c r="BR562" s="67"/>
      <c r="BS562" s="67"/>
      <c r="BT562" s="67"/>
      <c r="BU562" s="67"/>
      <c r="BV562" s="67"/>
      <c r="BW562" s="67"/>
      <c r="BX562" s="67"/>
      <c r="BY562" s="67"/>
      <c r="BZ562" s="67"/>
      <c r="CA562" s="67"/>
      <c r="CB562" s="67"/>
      <c r="CC562" s="67"/>
      <c r="CD562" s="67"/>
      <c r="CE562" s="67"/>
      <c r="CF562" s="67"/>
      <c r="CG562" s="67"/>
      <c r="CH562" s="67"/>
      <c r="CI562" s="67"/>
      <c r="CJ562" s="67"/>
      <c r="CK562" s="67"/>
      <c r="CL562" s="67"/>
      <c r="CM562" s="67"/>
      <c r="CN562" s="67"/>
      <c r="CO562" s="67"/>
      <c r="CP562" s="67"/>
      <c r="CQ562" s="67"/>
      <c r="CR562" s="67"/>
      <c r="CS562" s="67"/>
      <c r="CT562" s="67"/>
      <c r="CU562" s="67"/>
      <c r="CV562" s="67"/>
      <c r="CW562" s="67"/>
      <c r="CX562" s="67"/>
      <c r="CY562" s="67"/>
      <c r="CZ562" s="67"/>
      <c r="DA562" s="67"/>
      <c r="DB562" s="67"/>
      <c r="DC562" s="67"/>
      <c r="DD562" s="67"/>
      <c r="DE562" s="67"/>
      <c r="DF562" s="67"/>
    </row>
    <row r="563">
      <c r="A563" s="61"/>
      <c r="B563" s="98"/>
      <c r="C563" s="88"/>
      <c r="D563" s="88"/>
      <c r="E563" s="90"/>
      <c r="F563" s="91"/>
      <c r="G563" s="49"/>
      <c r="H563" s="70"/>
      <c r="I563" s="98"/>
      <c r="J563" s="88"/>
      <c r="K563" s="88"/>
      <c r="L563" s="90"/>
      <c r="M563" s="91"/>
      <c r="N563" s="49"/>
      <c r="O563" s="71"/>
      <c r="P563" s="92"/>
      <c r="Q563" s="71"/>
      <c r="R563" s="92"/>
      <c r="S563" s="71"/>
      <c r="T563" s="71"/>
      <c r="U563" s="68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29"/>
      <c r="AN563" s="67"/>
      <c r="AO563" s="67"/>
      <c r="AP563" s="67"/>
      <c r="AQ563" s="67"/>
      <c r="AR563" s="67"/>
      <c r="AS563" s="67"/>
      <c r="AT563" s="67"/>
      <c r="AU563" s="67"/>
      <c r="AV563" s="67"/>
      <c r="AW563" s="67"/>
      <c r="AX563" s="67"/>
      <c r="AY563" s="67"/>
      <c r="AZ563" s="67"/>
      <c r="BA563" s="67"/>
      <c r="BB563" s="67"/>
      <c r="BC563" s="67"/>
      <c r="BD563" s="67"/>
      <c r="BE563" s="67"/>
      <c r="BF563" s="67"/>
      <c r="BG563" s="67"/>
      <c r="BH563" s="67"/>
      <c r="BI563" s="67"/>
      <c r="BJ563" s="67"/>
      <c r="BK563" s="67"/>
      <c r="BL563" s="67"/>
      <c r="BM563" s="67"/>
      <c r="BN563" s="67"/>
      <c r="BO563" s="67"/>
      <c r="BP563" s="67"/>
      <c r="BQ563" s="67"/>
      <c r="BR563" s="67"/>
      <c r="BS563" s="67"/>
      <c r="BT563" s="67"/>
      <c r="BU563" s="67"/>
      <c r="BV563" s="67"/>
      <c r="BW563" s="67"/>
      <c r="BX563" s="67"/>
      <c r="BY563" s="67"/>
      <c r="BZ563" s="67"/>
      <c r="CA563" s="67"/>
      <c r="CB563" s="67"/>
      <c r="CC563" s="67"/>
      <c r="CD563" s="67"/>
      <c r="CE563" s="67"/>
      <c r="CF563" s="67"/>
      <c r="CG563" s="67"/>
      <c r="CH563" s="67"/>
      <c r="CI563" s="67"/>
      <c r="CJ563" s="67"/>
      <c r="CK563" s="67"/>
      <c r="CL563" s="67"/>
      <c r="CM563" s="67"/>
      <c r="CN563" s="67"/>
      <c r="CO563" s="67"/>
      <c r="CP563" s="67"/>
      <c r="CQ563" s="67"/>
      <c r="CR563" s="67"/>
      <c r="CS563" s="67"/>
      <c r="CT563" s="67"/>
      <c r="CU563" s="67"/>
      <c r="CV563" s="67"/>
      <c r="CW563" s="67"/>
      <c r="CX563" s="67"/>
      <c r="CY563" s="67"/>
      <c r="CZ563" s="67"/>
      <c r="DA563" s="67"/>
      <c r="DB563" s="67"/>
      <c r="DC563" s="67"/>
      <c r="DD563" s="67"/>
      <c r="DE563" s="67"/>
      <c r="DF563" s="67"/>
    </row>
    <row r="564">
      <c r="A564" s="62"/>
      <c r="B564" s="88"/>
      <c r="C564" s="88"/>
      <c r="D564" s="88"/>
      <c r="E564" s="90"/>
      <c r="F564" s="91"/>
      <c r="G564" s="49"/>
      <c r="H564" s="70"/>
      <c r="I564" s="88"/>
      <c r="J564" s="88"/>
      <c r="K564" s="88"/>
      <c r="L564" s="90"/>
      <c r="M564" s="91"/>
      <c r="N564" s="49"/>
      <c r="O564" s="71"/>
      <c r="P564" s="92"/>
      <c r="Q564" s="71"/>
      <c r="R564" s="92"/>
      <c r="S564" s="71"/>
      <c r="T564" s="71"/>
      <c r="U564" s="68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29"/>
      <c r="AN564" s="67"/>
      <c r="AO564" s="67"/>
      <c r="AP564" s="67"/>
      <c r="AQ564" s="67"/>
      <c r="AR564" s="67"/>
      <c r="AS564" s="67"/>
      <c r="AT564" s="67"/>
      <c r="AU564" s="67"/>
      <c r="AV564" s="67"/>
      <c r="AW564" s="67"/>
      <c r="AX564" s="67"/>
      <c r="AY564" s="67"/>
      <c r="AZ564" s="67"/>
      <c r="BA564" s="67"/>
      <c r="BB564" s="67"/>
      <c r="BC564" s="67"/>
      <c r="BD564" s="67"/>
      <c r="BE564" s="67"/>
      <c r="BF564" s="67"/>
      <c r="BG564" s="67"/>
      <c r="BH564" s="67"/>
      <c r="BI564" s="67"/>
      <c r="BJ564" s="67"/>
      <c r="BK564" s="67"/>
      <c r="BL564" s="67"/>
      <c r="BM564" s="67"/>
      <c r="BN564" s="67"/>
      <c r="BO564" s="67"/>
      <c r="BP564" s="67"/>
      <c r="BQ564" s="67"/>
      <c r="BR564" s="67"/>
      <c r="BS564" s="67"/>
      <c r="BT564" s="67"/>
      <c r="BU564" s="67"/>
      <c r="BV564" s="67"/>
      <c r="BW564" s="67"/>
      <c r="BX564" s="67"/>
      <c r="BY564" s="67"/>
      <c r="BZ564" s="67"/>
      <c r="CA564" s="67"/>
      <c r="CB564" s="67"/>
      <c r="CC564" s="67"/>
      <c r="CD564" s="67"/>
      <c r="CE564" s="67"/>
      <c r="CF564" s="67"/>
      <c r="CG564" s="67"/>
      <c r="CH564" s="67"/>
      <c r="CI564" s="67"/>
      <c r="CJ564" s="67"/>
      <c r="CK564" s="67"/>
      <c r="CL564" s="67"/>
      <c r="CM564" s="67"/>
      <c r="CN564" s="67"/>
      <c r="CO564" s="67"/>
      <c r="CP564" s="67"/>
      <c r="CQ564" s="67"/>
      <c r="CR564" s="67"/>
      <c r="CS564" s="67"/>
      <c r="CT564" s="67"/>
      <c r="CU564" s="67"/>
      <c r="CV564" s="67"/>
      <c r="CW564" s="67"/>
      <c r="CX564" s="67"/>
      <c r="CY564" s="67"/>
      <c r="CZ564" s="67"/>
      <c r="DA564" s="67"/>
      <c r="DB564" s="67"/>
      <c r="DC564" s="67"/>
      <c r="DD564" s="67"/>
      <c r="DE564" s="67"/>
      <c r="DF564" s="67"/>
    </row>
    <row r="565">
      <c r="A565" s="62"/>
      <c r="B565" s="88"/>
      <c r="C565" s="88"/>
      <c r="D565" s="88"/>
      <c r="E565" s="90"/>
      <c r="F565" s="91"/>
      <c r="G565" s="49"/>
      <c r="H565" s="70"/>
      <c r="I565" s="88"/>
      <c r="J565" s="88"/>
      <c r="K565" s="88"/>
      <c r="L565" s="90"/>
      <c r="M565" s="91"/>
      <c r="N565" s="49"/>
      <c r="O565" s="71"/>
      <c r="P565" s="92"/>
      <c r="Q565" s="71"/>
      <c r="R565" s="92"/>
      <c r="S565" s="71"/>
      <c r="T565" s="71"/>
      <c r="U565" s="68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29"/>
      <c r="AN565" s="67"/>
      <c r="AO565" s="67"/>
      <c r="AP565" s="67"/>
      <c r="AQ565" s="67"/>
      <c r="AR565" s="67"/>
      <c r="AS565" s="67"/>
      <c r="AT565" s="67"/>
      <c r="AU565" s="67"/>
      <c r="AV565" s="67"/>
      <c r="AW565" s="67"/>
      <c r="AX565" s="67"/>
      <c r="AY565" s="67"/>
      <c r="AZ565" s="67"/>
      <c r="BA565" s="67"/>
      <c r="BB565" s="67"/>
      <c r="BC565" s="67"/>
      <c r="BD565" s="67"/>
      <c r="BE565" s="67"/>
      <c r="BF565" s="67"/>
      <c r="BG565" s="67"/>
      <c r="BH565" s="67"/>
      <c r="BI565" s="67"/>
      <c r="BJ565" s="67"/>
      <c r="BK565" s="67"/>
      <c r="BL565" s="67"/>
      <c r="BM565" s="67"/>
      <c r="BN565" s="67"/>
      <c r="BO565" s="67"/>
      <c r="BP565" s="67"/>
      <c r="BQ565" s="67"/>
      <c r="BR565" s="67"/>
      <c r="BS565" s="67"/>
      <c r="BT565" s="67"/>
      <c r="BU565" s="67"/>
      <c r="BV565" s="67"/>
      <c r="BW565" s="67"/>
      <c r="BX565" s="67"/>
      <c r="BY565" s="67"/>
      <c r="BZ565" s="67"/>
      <c r="CA565" s="67"/>
      <c r="CB565" s="67"/>
      <c r="CC565" s="67"/>
      <c r="CD565" s="67"/>
      <c r="CE565" s="67"/>
      <c r="CF565" s="67"/>
      <c r="CG565" s="67"/>
      <c r="CH565" s="67"/>
      <c r="CI565" s="67"/>
      <c r="CJ565" s="67"/>
      <c r="CK565" s="67"/>
      <c r="CL565" s="67"/>
      <c r="CM565" s="67"/>
      <c r="CN565" s="67"/>
      <c r="CO565" s="67"/>
      <c r="CP565" s="67"/>
      <c r="CQ565" s="67"/>
      <c r="CR565" s="67"/>
      <c r="CS565" s="67"/>
      <c r="CT565" s="67"/>
      <c r="CU565" s="67"/>
      <c r="CV565" s="67"/>
      <c r="CW565" s="67"/>
      <c r="CX565" s="67"/>
      <c r="CY565" s="67"/>
      <c r="CZ565" s="67"/>
      <c r="DA565" s="67"/>
      <c r="DB565" s="67"/>
      <c r="DC565" s="67"/>
      <c r="DD565" s="67"/>
      <c r="DE565" s="67"/>
      <c r="DF565" s="67"/>
    </row>
    <row r="566">
      <c r="A566" s="62"/>
      <c r="B566" s="88"/>
      <c r="C566" s="88"/>
      <c r="D566" s="88"/>
      <c r="E566" s="90"/>
      <c r="F566" s="91"/>
      <c r="G566" s="49"/>
      <c r="H566" s="70"/>
      <c r="I566" s="88"/>
      <c r="J566" s="88"/>
      <c r="K566" s="88"/>
      <c r="L566" s="90"/>
      <c r="M566" s="91"/>
      <c r="N566" s="49"/>
      <c r="O566" s="71"/>
      <c r="P566" s="92"/>
      <c r="Q566" s="71"/>
      <c r="R566" s="92"/>
      <c r="S566" s="71"/>
      <c r="T566" s="71"/>
      <c r="U566" s="68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29"/>
      <c r="AN566" s="67"/>
      <c r="AO566" s="67"/>
      <c r="AP566" s="67"/>
      <c r="AQ566" s="67"/>
      <c r="AR566" s="67"/>
      <c r="AS566" s="67"/>
      <c r="AT566" s="67"/>
      <c r="AU566" s="67"/>
      <c r="AV566" s="67"/>
      <c r="AW566" s="67"/>
      <c r="AX566" s="67"/>
      <c r="AY566" s="67"/>
      <c r="AZ566" s="67"/>
      <c r="BA566" s="67"/>
      <c r="BB566" s="67"/>
      <c r="BC566" s="67"/>
      <c r="BD566" s="67"/>
      <c r="BE566" s="67"/>
      <c r="BF566" s="67"/>
      <c r="BG566" s="67"/>
      <c r="BH566" s="67"/>
      <c r="BI566" s="67"/>
      <c r="BJ566" s="67"/>
      <c r="BK566" s="67"/>
      <c r="BL566" s="67"/>
      <c r="BM566" s="67"/>
      <c r="BN566" s="67"/>
      <c r="BO566" s="67"/>
      <c r="BP566" s="67"/>
      <c r="BQ566" s="67"/>
      <c r="BR566" s="67"/>
      <c r="BS566" s="67"/>
      <c r="BT566" s="67"/>
      <c r="BU566" s="67"/>
      <c r="BV566" s="67"/>
      <c r="BW566" s="67"/>
      <c r="BX566" s="67"/>
      <c r="BY566" s="67"/>
      <c r="BZ566" s="67"/>
      <c r="CA566" s="67"/>
      <c r="CB566" s="67"/>
      <c r="CC566" s="67"/>
      <c r="CD566" s="67"/>
      <c r="CE566" s="67"/>
      <c r="CF566" s="67"/>
      <c r="CG566" s="67"/>
      <c r="CH566" s="67"/>
      <c r="CI566" s="67"/>
      <c r="CJ566" s="67"/>
      <c r="CK566" s="67"/>
      <c r="CL566" s="67"/>
      <c r="CM566" s="67"/>
      <c r="CN566" s="67"/>
      <c r="CO566" s="67"/>
      <c r="CP566" s="67"/>
      <c r="CQ566" s="67"/>
      <c r="CR566" s="67"/>
      <c r="CS566" s="67"/>
      <c r="CT566" s="67"/>
      <c r="CU566" s="67"/>
      <c r="CV566" s="67"/>
      <c r="CW566" s="67"/>
      <c r="CX566" s="67"/>
      <c r="CY566" s="67"/>
      <c r="CZ566" s="67"/>
      <c r="DA566" s="67"/>
      <c r="DB566" s="67"/>
      <c r="DC566" s="67"/>
      <c r="DD566" s="67"/>
      <c r="DE566" s="67"/>
      <c r="DF566" s="67"/>
    </row>
    <row r="567">
      <c r="A567" s="62"/>
      <c r="B567" s="88"/>
      <c r="C567" s="88"/>
      <c r="D567" s="88"/>
      <c r="E567" s="90"/>
      <c r="F567" s="91"/>
      <c r="G567" s="49"/>
      <c r="H567" s="70"/>
      <c r="I567" s="88"/>
      <c r="J567" s="88"/>
      <c r="K567" s="88"/>
      <c r="L567" s="90"/>
      <c r="M567" s="91"/>
      <c r="N567" s="49"/>
      <c r="O567" s="71"/>
      <c r="P567" s="92"/>
      <c r="Q567" s="71"/>
      <c r="R567" s="92"/>
      <c r="S567" s="71"/>
      <c r="T567" s="71"/>
      <c r="U567" s="68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29"/>
      <c r="AN567" s="67"/>
      <c r="AO567" s="67"/>
      <c r="AP567" s="67"/>
      <c r="AQ567" s="67"/>
      <c r="AR567" s="67"/>
      <c r="AS567" s="67"/>
      <c r="AT567" s="67"/>
      <c r="AU567" s="67"/>
      <c r="AV567" s="67"/>
      <c r="AW567" s="67"/>
      <c r="AX567" s="67"/>
      <c r="AY567" s="67"/>
      <c r="AZ567" s="67"/>
      <c r="BA567" s="67"/>
      <c r="BB567" s="67"/>
      <c r="BC567" s="67"/>
      <c r="BD567" s="67"/>
      <c r="BE567" s="67"/>
      <c r="BF567" s="67"/>
      <c r="BG567" s="67"/>
      <c r="BH567" s="67"/>
      <c r="BI567" s="67"/>
      <c r="BJ567" s="67"/>
      <c r="BK567" s="67"/>
      <c r="BL567" s="67"/>
      <c r="BM567" s="67"/>
      <c r="BN567" s="67"/>
      <c r="BO567" s="67"/>
      <c r="BP567" s="67"/>
      <c r="BQ567" s="67"/>
      <c r="BR567" s="67"/>
      <c r="BS567" s="67"/>
      <c r="BT567" s="67"/>
      <c r="BU567" s="67"/>
      <c r="BV567" s="67"/>
      <c r="BW567" s="67"/>
      <c r="BX567" s="67"/>
      <c r="BY567" s="67"/>
      <c r="BZ567" s="67"/>
      <c r="CA567" s="67"/>
      <c r="CB567" s="67"/>
      <c r="CC567" s="67"/>
      <c r="CD567" s="67"/>
      <c r="CE567" s="67"/>
      <c r="CF567" s="67"/>
      <c r="CG567" s="67"/>
      <c r="CH567" s="67"/>
      <c r="CI567" s="67"/>
      <c r="CJ567" s="67"/>
      <c r="CK567" s="67"/>
      <c r="CL567" s="67"/>
      <c r="CM567" s="67"/>
      <c r="CN567" s="67"/>
      <c r="CO567" s="67"/>
      <c r="CP567" s="67"/>
      <c r="CQ567" s="67"/>
      <c r="CR567" s="67"/>
      <c r="CS567" s="67"/>
      <c r="CT567" s="67"/>
      <c r="CU567" s="67"/>
      <c r="CV567" s="67"/>
      <c r="CW567" s="67"/>
      <c r="CX567" s="67"/>
      <c r="CY567" s="67"/>
      <c r="CZ567" s="67"/>
      <c r="DA567" s="67"/>
      <c r="DB567" s="67"/>
      <c r="DC567" s="67"/>
      <c r="DD567" s="67"/>
      <c r="DE567" s="67"/>
      <c r="DF567" s="67"/>
    </row>
    <row r="568">
      <c r="A568" s="61"/>
      <c r="B568" s="98"/>
      <c r="C568" s="88"/>
      <c r="D568" s="88"/>
      <c r="E568" s="90"/>
      <c r="F568" s="91"/>
      <c r="G568" s="49"/>
      <c r="H568" s="70"/>
      <c r="I568" s="98"/>
      <c r="J568" s="88"/>
      <c r="K568" s="88"/>
      <c r="L568" s="90"/>
      <c r="M568" s="91"/>
      <c r="N568" s="49"/>
      <c r="O568" s="71"/>
      <c r="P568" s="92"/>
      <c r="Q568" s="71"/>
      <c r="R568" s="92"/>
      <c r="S568" s="71"/>
      <c r="T568" s="71"/>
      <c r="U568" s="68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29"/>
      <c r="AN568" s="67"/>
      <c r="AO568" s="67"/>
      <c r="AP568" s="67"/>
      <c r="AQ568" s="67"/>
      <c r="AR568" s="67"/>
      <c r="AS568" s="67"/>
      <c r="AT568" s="67"/>
      <c r="AU568" s="67"/>
      <c r="AV568" s="67"/>
      <c r="AW568" s="67"/>
      <c r="AX568" s="67"/>
      <c r="AY568" s="67"/>
      <c r="AZ568" s="67"/>
      <c r="BA568" s="67"/>
      <c r="BB568" s="67"/>
      <c r="BC568" s="67"/>
      <c r="BD568" s="67"/>
      <c r="BE568" s="67"/>
      <c r="BF568" s="67"/>
      <c r="BG568" s="67"/>
      <c r="BH568" s="67"/>
      <c r="BI568" s="67"/>
      <c r="BJ568" s="67"/>
      <c r="BK568" s="67"/>
      <c r="BL568" s="67"/>
      <c r="BM568" s="67"/>
      <c r="BN568" s="67"/>
      <c r="BO568" s="67"/>
      <c r="BP568" s="67"/>
      <c r="BQ568" s="67"/>
      <c r="BR568" s="67"/>
      <c r="BS568" s="67"/>
      <c r="BT568" s="67"/>
      <c r="BU568" s="67"/>
      <c r="BV568" s="67"/>
      <c r="BW568" s="67"/>
      <c r="BX568" s="67"/>
      <c r="BY568" s="67"/>
      <c r="BZ568" s="67"/>
      <c r="CA568" s="67"/>
      <c r="CB568" s="67"/>
      <c r="CC568" s="67"/>
      <c r="CD568" s="67"/>
      <c r="CE568" s="67"/>
      <c r="CF568" s="67"/>
      <c r="CG568" s="67"/>
      <c r="CH568" s="67"/>
      <c r="CI568" s="67"/>
      <c r="CJ568" s="67"/>
      <c r="CK568" s="67"/>
      <c r="CL568" s="67"/>
      <c r="CM568" s="67"/>
      <c r="CN568" s="67"/>
      <c r="CO568" s="67"/>
      <c r="CP568" s="67"/>
      <c r="CQ568" s="67"/>
      <c r="CR568" s="67"/>
      <c r="CS568" s="67"/>
      <c r="CT568" s="67"/>
      <c r="CU568" s="67"/>
      <c r="CV568" s="67"/>
      <c r="CW568" s="67"/>
      <c r="CX568" s="67"/>
      <c r="CY568" s="67"/>
      <c r="CZ568" s="67"/>
      <c r="DA568" s="67"/>
      <c r="DB568" s="67"/>
      <c r="DC568" s="67"/>
      <c r="DD568" s="67"/>
      <c r="DE568" s="67"/>
      <c r="DF568" s="67"/>
    </row>
    <row r="569">
      <c r="A569" s="62"/>
      <c r="B569" s="88"/>
      <c r="C569" s="88"/>
      <c r="D569" s="88"/>
      <c r="E569" s="90"/>
      <c r="F569" s="91"/>
      <c r="G569" s="49"/>
      <c r="H569" s="70"/>
      <c r="I569" s="88"/>
      <c r="J569" s="88"/>
      <c r="K569" s="88"/>
      <c r="L569" s="90"/>
      <c r="M569" s="91"/>
      <c r="N569" s="49"/>
      <c r="O569" s="71"/>
      <c r="P569" s="92"/>
      <c r="Q569" s="71"/>
      <c r="R569" s="92"/>
      <c r="S569" s="71"/>
      <c r="T569" s="71"/>
      <c r="U569" s="68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29"/>
      <c r="AN569" s="67"/>
      <c r="AO569" s="67"/>
      <c r="AP569" s="67"/>
      <c r="AQ569" s="67"/>
      <c r="AR569" s="67"/>
      <c r="AS569" s="67"/>
      <c r="AT569" s="67"/>
      <c r="AU569" s="67"/>
      <c r="AV569" s="67"/>
      <c r="AW569" s="67"/>
      <c r="AX569" s="67"/>
      <c r="AY569" s="67"/>
      <c r="AZ569" s="67"/>
      <c r="BA569" s="67"/>
      <c r="BB569" s="67"/>
      <c r="BC569" s="67"/>
      <c r="BD569" s="67"/>
      <c r="BE569" s="67"/>
      <c r="BF569" s="67"/>
      <c r="BG569" s="67"/>
      <c r="BH569" s="67"/>
      <c r="BI569" s="67"/>
      <c r="BJ569" s="67"/>
      <c r="BK569" s="67"/>
      <c r="BL569" s="67"/>
      <c r="BM569" s="67"/>
      <c r="BN569" s="67"/>
      <c r="BO569" s="67"/>
      <c r="BP569" s="67"/>
      <c r="BQ569" s="67"/>
      <c r="BR569" s="67"/>
      <c r="BS569" s="67"/>
      <c r="BT569" s="67"/>
      <c r="BU569" s="67"/>
      <c r="BV569" s="67"/>
      <c r="BW569" s="67"/>
      <c r="BX569" s="67"/>
      <c r="BY569" s="67"/>
      <c r="BZ569" s="67"/>
      <c r="CA569" s="67"/>
      <c r="CB569" s="67"/>
      <c r="CC569" s="67"/>
      <c r="CD569" s="67"/>
      <c r="CE569" s="67"/>
      <c r="CF569" s="67"/>
      <c r="CG569" s="67"/>
      <c r="CH569" s="67"/>
      <c r="CI569" s="67"/>
      <c r="CJ569" s="67"/>
      <c r="CK569" s="67"/>
      <c r="CL569" s="67"/>
      <c r="CM569" s="67"/>
      <c r="CN569" s="67"/>
      <c r="CO569" s="67"/>
      <c r="CP569" s="67"/>
      <c r="CQ569" s="67"/>
      <c r="CR569" s="67"/>
      <c r="CS569" s="67"/>
      <c r="CT569" s="67"/>
      <c r="CU569" s="67"/>
      <c r="CV569" s="67"/>
      <c r="CW569" s="67"/>
      <c r="CX569" s="67"/>
      <c r="CY569" s="67"/>
      <c r="CZ569" s="67"/>
      <c r="DA569" s="67"/>
      <c r="DB569" s="67"/>
      <c r="DC569" s="67"/>
      <c r="DD569" s="67"/>
      <c r="DE569" s="67"/>
      <c r="DF569" s="67"/>
    </row>
    <row r="570">
      <c r="A570" s="62"/>
      <c r="B570" s="88"/>
      <c r="C570" s="88"/>
      <c r="D570" s="88"/>
      <c r="E570" s="90"/>
      <c r="F570" s="91"/>
      <c r="G570" s="49"/>
      <c r="H570" s="70"/>
      <c r="I570" s="88"/>
      <c r="J570" s="88"/>
      <c r="K570" s="88"/>
      <c r="L570" s="90"/>
      <c r="M570" s="91"/>
      <c r="N570" s="49"/>
      <c r="O570" s="71"/>
      <c r="P570" s="92"/>
      <c r="Q570" s="71"/>
      <c r="R570" s="92"/>
      <c r="S570" s="71"/>
      <c r="T570" s="71"/>
      <c r="U570" s="68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29"/>
      <c r="AN570" s="67"/>
      <c r="AO570" s="67"/>
      <c r="AP570" s="67"/>
      <c r="AQ570" s="67"/>
      <c r="AR570" s="67"/>
      <c r="AS570" s="67"/>
      <c r="AT570" s="67"/>
      <c r="AU570" s="67"/>
      <c r="AV570" s="67"/>
      <c r="AW570" s="67"/>
      <c r="AX570" s="67"/>
      <c r="AY570" s="67"/>
      <c r="AZ570" s="67"/>
      <c r="BA570" s="67"/>
      <c r="BB570" s="67"/>
      <c r="BC570" s="67"/>
      <c r="BD570" s="67"/>
      <c r="BE570" s="67"/>
      <c r="BF570" s="67"/>
      <c r="BG570" s="67"/>
      <c r="BH570" s="67"/>
      <c r="BI570" s="67"/>
      <c r="BJ570" s="67"/>
      <c r="BK570" s="67"/>
      <c r="BL570" s="67"/>
      <c r="BM570" s="67"/>
      <c r="BN570" s="67"/>
      <c r="BO570" s="67"/>
      <c r="BP570" s="67"/>
      <c r="BQ570" s="67"/>
      <c r="BR570" s="67"/>
      <c r="BS570" s="67"/>
      <c r="BT570" s="67"/>
      <c r="BU570" s="67"/>
      <c r="BV570" s="67"/>
      <c r="BW570" s="67"/>
      <c r="BX570" s="67"/>
      <c r="BY570" s="67"/>
      <c r="BZ570" s="67"/>
      <c r="CA570" s="67"/>
      <c r="CB570" s="67"/>
      <c r="CC570" s="67"/>
      <c r="CD570" s="67"/>
      <c r="CE570" s="67"/>
      <c r="CF570" s="67"/>
      <c r="CG570" s="67"/>
      <c r="CH570" s="67"/>
      <c r="CI570" s="67"/>
      <c r="CJ570" s="67"/>
      <c r="CK570" s="67"/>
      <c r="CL570" s="67"/>
      <c r="CM570" s="67"/>
      <c r="CN570" s="67"/>
      <c r="CO570" s="67"/>
      <c r="CP570" s="67"/>
      <c r="CQ570" s="67"/>
      <c r="CR570" s="67"/>
      <c r="CS570" s="67"/>
      <c r="CT570" s="67"/>
      <c r="CU570" s="67"/>
      <c r="CV570" s="67"/>
      <c r="CW570" s="67"/>
      <c r="CX570" s="67"/>
      <c r="CY570" s="67"/>
      <c r="CZ570" s="67"/>
      <c r="DA570" s="67"/>
      <c r="DB570" s="67"/>
      <c r="DC570" s="67"/>
      <c r="DD570" s="67"/>
      <c r="DE570" s="67"/>
      <c r="DF570" s="67"/>
    </row>
    <row r="571">
      <c r="A571" s="62"/>
      <c r="B571" s="88"/>
      <c r="C571" s="88"/>
      <c r="D571" s="88"/>
      <c r="E571" s="90"/>
      <c r="F571" s="91"/>
      <c r="G571" s="49"/>
      <c r="H571" s="70"/>
      <c r="I571" s="88"/>
      <c r="J571" s="88"/>
      <c r="K571" s="88"/>
      <c r="L571" s="90"/>
      <c r="M571" s="91"/>
      <c r="N571" s="49"/>
      <c r="O571" s="71"/>
      <c r="P571" s="92"/>
      <c r="Q571" s="71"/>
      <c r="R571" s="92"/>
      <c r="S571" s="71"/>
      <c r="T571" s="71"/>
      <c r="U571" s="68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29"/>
      <c r="AN571" s="67"/>
      <c r="AO571" s="67"/>
      <c r="AP571" s="67"/>
      <c r="AQ571" s="67"/>
      <c r="AR571" s="67"/>
      <c r="AS571" s="67"/>
      <c r="AT571" s="67"/>
      <c r="AU571" s="67"/>
      <c r="AV571" s="67"/>
      <c r="AW571" s="67"/>
      <c r="AX571" s="67"/>
      <c r="AY571" s="67"/>
      <c r="AZ571" s="67"/>
      <c r="BA571" s="67"/>
      <c r="BB571" s="67"/>
      <c r="BC571" s="67"/>
      <c r="BD571" s="67"/>
      <c r="BE571" s="67"/>
      <c r="BF571" s="67"/>
      <c r="BG571" s="67"/>
      <c r="BH571" s="67"/>
      <c r="BI571" s="67"/>
      <c r="BJ571" s="67"/>
      <c r="BK571" s="67"/>
      <c r="BL571" s="67"/>
      <c r="BM571" s="67"/>
      <c r="BN571" s="67"/>
      <c r="BO571" s="67"/>
      <c r="BP571" s="67"/>
      <c r="BQ571" s="67"/>
      <c r="BR571" s="67"/>
      <c r="BS571" s="67"/>
      <c r="BT571" s="67"/>
      <c r="BU571" s="67"/>
      <c r="BV571" s="67"/>
      <c r="BW571" s="67"/>
      <c r="BX571" s="67"/>
      <c r="BY571" s="67"/>
      <c r="BZ571" s="67"/>
      <c r="CA571" s="67"/>
      <c r="CB571" s="67"/>
      <c r="CC571" s="67"/>
      <c r="CD571" s="67"/>
      <c r="CE571" s="67"/>
      <c r="CF571" s="67"/>
      <c r="CG571" s="67"/>
      <c r="CH571" s="67"/>
      <c r="CI571" s="67"/>
      <c r="CJ571" s="67"/>
      <c r="CK571" s="67"/>
      <c r="CL571" s="67"/>
      <c r="CM571" s="67"/>
      <c r="CN571" s="67"/>
      <c r="CO571" s="67"/>
      <c r="CP571" s="67"/>
      <c r="CQ571" s="67"/>
      <c r="CR571" s="67"/>
      <c r="CS571" s="67"/>
      <c r="CT571" s="67"/>
      <c r="CU571" s="67"/>
      <c r="CV571" s="67"/>
      <c r="CW571" s="67"/>
      <c r="CX571" s="67"/>
      <c r="CY571" s="67"/>
      <c r="CZ571" s="67"/>
      <c r="DA571" s="67"/>
      <c r="DB571" s="67"/>
      <c r="DC571" s="67"/>
      <c r="DD571" s="67"/>
      <c r="DE571" s="67"/>
      <c r="DF571" s="67"/>
    </row>
    <row r="572">
      <c r="A572" s="62"/>
      <c r="B572" s="88"/>
      <c r="C572" s="88"/>
      <c r="D572" s="88"/>
      <c r="E572" s="90"/>
      <c r="F572" s="91"/>
      <c r="G572" s="49"/>
      <c r="H572" s="70"/>
      <c r="I572" s="88"/>
      <c r="J572" s="88"/>
      <c r="K572" s="88"/>
      <c r="L572" s="90"/>
      <c r="M572" s="91"/>
      <c r="N572" s="49"/>
      <c r="O572" s="71"/>
      <c r="P572" s="92"/>
      <c r="Q572" s="71"/>
      <c r="R572" s="92"/>
      <c r="S572" s="71"/>
      <c r="T572" s="71"/>
      <c r="U572" s="68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29"/>
      <c r="AN572" s="67"/>
      <c r="AO572" s="67"/>
      <c r="AP572" s="67"/>
      <c r="AQ572" s="67"/>
      <c r="AR572" s="67"/>
      <c r="AS572" s="67"/>
      <c r="AT572" s="67"/>
      <c r="AU572" s="67"/>
      <c r="AV572" s="67"/>
      <c r="AW572" s="67"/>
      <c r="AX572" s="67"/>
      <c r="AY572" s="67"/>
      <c r="AZ572" s="67"/>
      <c r="BA572" s="67"/>
      <c r="BB572" s="67"/>
      <c r="BC572" s="67"/>
      <c r="BD572" s="67"/>
      <c r="BE572" s="67"/>
      <c r="BF572" s="67"/>
      <c r="BG572" s="67"/>
      <c r="BH572" s="67"/>
      <c r="BI572" s="67"/>
      <c r="BJ572" s="67"/>
      <c r="BK572" s="67"/>
      <c r="BL572" s="67"/>
      <c r="BM572" s="67"/>
      <c r="BN572" s="67"/>
      <c r="BO572" s="67"/>
      <c r="BP572" s="67"/>
      <c r="BQ572" s="67"/>
      <c r="BR572" s="67"/>
      <c r="BS572" s="67"/>
      <c r="BT572" s="67"/>
      <c r="BU572" s="67"/>
      <c r="BV572" s="67"/>
      <c r="BW572" s="67"/>
      <c r="BX572" s="67"/>
      <c r="BY572" s="67"/>
      <c r="BZ572" s="67"/>
      <c r="CA572" s="67"/>
      <c r="CB572" s="67"/>
      <c r="CC572" s="67"/>
      <c r="CD572" s="67"/>
      <c r="CE572" s="67"/>
      <c r="CF572" s="67"/>
      <c r="CG572" s="67"/>
      <c r="CH572" s="67"/>
      <c r="CI572" s="67"/>
      <c r="CJ572" s="67"/>
      <c r="CK572" s="67"/>
      <c r="CL572" s="67"/>
      <c r="CM572" s="67"/>
      <c r="CN572" s="67"/>
      <c r="CO572" s="67"/>
      <c r="CP572" s="67"/>
      <c r="CQ572" s="67"/>
      <c r="CR572" s="67"/>
      <c r="CS572" s="67"/>
      <c r="CT572" s="67"/>
      <c r="CU572" s="67"/>
      <c r="CV572" s="67"/>
      <c r="CW572" s="67"/>
      <c r="CX572" s="67"/>
      <c r="CY572" s="67"/>
      <c r="CZ572" s="67"/>
      <c r="DA572" s="67"/>
      <c r="DB572" s="67"/>
      <c r="DC572" s="67"/>
      <c r="DD572" s="67"/>
      <c r="DE572" s="67"/>
      <c r="DF572" s="67"/>
    </row>
    <row r="573">
      <c r="A573" s="62"/>
      <c r="B573" s="88"/>
      <c r="C573" s="88"/>
      <c r="D573" s="88"/>
      <c r="E573" s="90"/>
      <c r="F573" s="91"/>
      <c r="G573" s="49"/>
      <c r="H573" s="70"/>
      <c r="I573" s="88"/>
      <c r="J573" s="88"/>
      <c r="K573" s="88"/>
      <c r="L573" s="90"/>
      <c r="M573" s="91"/>
      <c r="N573" s="49"/>
      <c r="O573" s="71"/>
      <c r="P573" s="92"/>
      <c r="Q573" s="71"/>
      <c r="R573" s="92"/>
      <c r="S573" s="71"/>
      <c r="T573" s="71"/>
      <c r="U573" s="68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29"/>
      <c r="AN573" s="67"/>
      <c r="AO573" s="67"/>
      <c r="AP573" s="67"/>
      <c r="AQ573" s="67"/>
      <c r="AR573" s="67"/>
      <c r="AS573" s="67"/>
      <c r="AT573" s="67"/>
      <c r="AU573" s="67"/>
      <c r="AV573" s="67"/>
      <c r="AW573" s="67"/>
      <c r="AX573" s="67"/>
      <c r="AY573" s="67"/>
      <c r="AZ573" s="67"/>
      <c r="BA573" s="67"/>
      <c r="BB573" s="67"/>
      <c r="BC573" s="67"/>
      <c r="BD573" s="67"/>
      <c r="BE573" s="67"/>
      <c r="BF573" s="67"/>
      <c r="BG573" s="67"/>
      <c r="BH573" s="67"/>
      <c r="BI573" s="67"/>
      <c r="BJ573" s="67"/>
      <c r="BK573" s="67"/>
      <c r="BL573" s="67"/>
      <c r="BM573" s="67"/>
      <c r="BN573" s="67"/>
      <c r="BO573" s="67"/>
      <c r="BP573" s="67"/>
      <c r="BQ573" s="67"/>
      <c r="BR573" s="67"/>
      <c r="BS573" s="67"/>
      <c r="BT573" s="67"/>
      <c r="BU573" s="67"/>
      <c r="BV573" s="67"/>
      <c r="BW573" s="67"/>
      <c r="BX573" s="67"/>
      <c r="BY573" s="67"/>
      <c r="BZ573" s="67"/>
      <c r="CA573" s="67"/>
      <c r="CB573" s="67"/>
      <c r="CC573" s="67"/>
      <c r="CD573" s="67"/>
      <c r="CE573" s="67"/>
      <c r="CF573" s="67"/>
      <c r="CG573" s="67"/>
      <c r="CH573" s="67"/>
      <c r="CI573" s="67"/>
      <c r="CJ573" s="67"/>
      <c r="CK573" s="67"/>
      <c r="CL573" s="67"/>
      <c r="CM573" s="67"/>
      <c r="CN573" s="67"/>
      <c r="CO573" s="67"/>
      <c r="CP573" s="67"/>
      <c r="CQ573" s="67"/>
      <c r="CR573" s="67"/>
      <c r="CS573" s="67"/>
      <c r="CT573" s="67"/>
      <c r="CU573" s="67"/>
      <c r="CV573" s="67"/>
      <c r="CW573" s="67"/>
      <c r="CX573" s="67"/>
      <c r="CY573" s="67"/>
      <c r="CZ573" s="67"/>
      <c r="DA573" s="67"/>
      <c r="DB573" s="67"/>
      <c r="DC573" s="67"/>
      <c r="DD573" s="67"/>
      <c r="DE573" s="67"/>
      <c r="DF573" s="67"/>
    </row>
    <row r="574">
      <c r="A574" s="62"/>
      <c r="B574" s="88"/>
      <c r="C574" s="88"/>
      <c r="D574" s="88"/>
      <c r="E574" s="90"/>
      <c r="F574" s="91"/>
      <c r="G574" s="49"/>
      <c r="H574" s="70"/>
      <c r="I574" s="88"/>
      <c r="J574" s="88"/>
      <c r="K574" s="88"/>
      <c r="L574" s="90"/>
      <c r="M574" s="91"/>
      <c r="N574" s="49"/>
      <c r="O574" s="71"/>
      <c r="P574" s="92"/>
      <c r="Q574" s="71"/>
      <c r="R574" s="92"/>
      <c r="S574" s="71"/>
      <c r="T574" s="71"/>
      <c r="U574" s="68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29"/>
      <c r="AN574" s="67"/>
      <c r="AO574" s="67"/>
      <c r="AP574" s="67"/>
      <c r="AQ574" s="67"/>
      <c r="AR574" s="67"/>
      <c r="AS574" s="67"/>
      <c r="AT574" s="67"/>
      <c r="AU574" s="67"/>
      <c r="AV574" s="67"/>
      <c r="AW574" s="67"/>
      <c r="AX574" s="67"/>
      <c r="AY574" s="67"/>
      <c r="AZ574" s="67"/>
      <c r="BA574" s="67"/>
      <c r="BB574" s="67"/>
      <c r="BC574" s="67"/>
      <c r="BD574" s="67"/>
      <c r="BE574" s="67"/>
      <c r="BF574" s="67"/>
      <c r="BG574" s="67"/>
      <c r="BH574" s="67"/>
      <c r="BI574" s="67"/>
      <c r="BJ574" s="67"/>
      <c r="BK574" s="67"/>
      <c r="BL574" s="67"/>
      <c r="BM574" s="67"/>
      <c r="BN574" s="67"/>
      <c r="BO574" s="67"/>
      <c r="BP574" s="67"/>
      <c r="BQ574" s="67"/>
      <c r="BR574" s="67"/>
      <c r="BS574" s="67"/>
      <c r="BT574" s="67"/>
      <c r="BU574" s="67"/>
      <c r="BV574" s="67"/>
      <c r="BW574" s="67"/>
      <c r="BX574" s="67"/>
      <c r="BY574" s="67"/>
      <c r="BZ574" s="67"/>
      <c r="CA574" s="67"/>
      <c r="CB574" s="67"/>
      <c r="CC574" s="67"/>
      <c r="CD574" s="67"/>
      <c r="CE574" s="67"/>
      <c r="CF574" s="67"/>
      <c r="CG574" s="67"/>
      <c r="CH574" s="67"/>
      <c r="CI574" s="67"/>
      <c r="CJ574" s="67"/>
      <c r="CK574" s="67"/>
      <c r="CL574" s="67"/>
      <c r="CM574" s="67"/>
      <c r="CN574" s="67"/>
      <c r="CO574" s="67"/>
      <c r="CP574" s="67"/>
      <c r="CQ574" s="67"/>
      <c r="CR574" s="67"/>
      <c r="CS574" s="67"/>
      <c r="CT574" s="67"/>
      <c r="CU574" s="67"/>
      <c r="CV574" s="67"/>
      <c r="CW574" s="67"/>
      <c r="CX574" s="67"/>
      <c r="CY574" s="67"/>
      <c r="CZ574" s="67"/>
      <c r="DA574" s="67"/>
      <c r="DB574" s="67"/>
      <c r="DC574" s="67"/>
      <c r="DD574" s="67"/>
      <c r="DE574" s="67"/>
      <c r="DF574" s="67"/>
    </row>
    <row r="575">
      <c r="A575" s="62"/>
      <c r="B575" s="88"/>
      <c r="C575" s="88"/>
      <c r="D575" s="88"/>
      <c r="E575" s="90"/>
      <c r="F575" s="91"/>
      <c r="G575" s="49"/>
      <c r="H575" s="70"/>
      <c r="I575" s="88"/>
      <c r="J575" s="88"/>
      <c r="K575" s="88"/>
      <c r="L575" s="90"/>
      <c r="M575" s="91"/>
      <c r="N575" s="49"/>
      <c r="O575" s="71"/>
      <c r="P575" s="92"/>
      <c r="Q575" s="71"/>
      <c r="R575" s="92"/>
      <c r="S575" s="71"/>
      <c r="T575" s="71"/>
      <c r="U575" s="68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29"/>
      <c r="AN575" s="67"/>
      <c r="AO575" s="67"/>
      <c r="AP575" s="67"/>
      <c r="AQ575" s="67"/>
      <c r="AR575" s="67"/>
      <c r="AS575" s="67"/>
      <c r="AT575" s="67"/>
      <c r="AU575" s="67"/>
      <c r="AV575" s="67"/>
      <c r="AW575" s="67"/>
      <c r="AX575" s="67"/>
      <c r="AY575" s="67"/>
      <c r="AZ575" s="67"/>
      <c r="BA575" s="67"/>
      <c r="BB575" s="67"/>
      <c r="BC575" s="67"/>
      <c r="BD575" s="67"/>
      <c r="BE575" s="67"/>
      <c r="BF575" s="67"/>
      <c r="BG575" s="67"/>
      <c r="BH575" s="67"/>
      <c r="BI575" s="67"/>
      <c r="BJ575" s="67"/>
      <c r="BK575" s="67"/>
      <c r="BL575" s="67"/>
      <c r="BM575" s="67"/>
      <c r="BN575" s="67"/>
      <c r="BO575" s="67"/>
      <c r="BP575" s="67"/>
      <c r="BQ575" s="67"/>
      <c r="BR575" s="67"/>
      <c r="BS575" s="67"/>
      <c r="BT575" s="67"/>
      <c r="BU575" s="67"/>
      <c r="BV575" s="67"/>
      <c r="BW575" s="67"/>
      <c r="BX575" s="67"/>
      <c r="BY575" s="67"/>
      <c r="BZ575" s="67"/>
      <c r="CA575" s="67"/>
      <c r="CB575" s="67"/>
      <c r="CC575" s="67"/>
      <c r="CD575" s="67"/>
      <c r="CE575" s="67"/>
      <c r="CF575" s="67"/>
      <c r="CG575" s="67"/>
      <c r="CH575" s="67"/>
      <c r="CI575" s="67"/>
      <c r="CJ575" s="67"/>
      <c r="CK575" s="67"/>
      <c r="CL575" s="67"/>
      <c r="CM575" s="67"/>
      <c r="CN575" s="67"/>
      <c r="CO575" s="67"/>
      <c r="CP575" s="67"/>
      <c r="CQ575" s="67"/>
      <c r="CR575" s="67"/>
      <c r="CS575" s="67"/>
      <c r="CT575" s="67"/>
      <c r="CU575" s="67"/>
      <c r="CV575" s="67"/>
      <c r="CW575" s="67"/>
      <c r="CX575" s="67"/>
      <c r="CY575" s="67"/>
      <c r="CZ575" s="67"/>
      <c r="DA575" s="67"/>
      <c r="DB575" s="67"/>
      <c r="DC575" s="67"/>
      <c r="DD575" s="67"/>
      <c r="DE575" s="67"/>
      <c r="DF575" s="67"/>
    </row>
    <row r="576">
      <c r="A576" s="62"/>
      <c r="B576" s="88"/>
      <c r="C576" s="88"/>
      <c r="D576" s="88"/>
      <c r="E576" s="90"/>
      <c r="F576" s="91"/>
      <c r="G576" s="49"/>
      <c r="H576" s="70"/>
      <c r="I576" s="88"/>
      <c r="J576" s="88"/>
      <c r="K576" s="88"/>
      <c r="L576" s="90"/>
      <c r="M576" s="91"/>
      <c r="N576" s="49"/>
      <c r="O576" s="71"/>
      <c r="P576" s="92"/>
      <c r="Q576" s="71"/>
      <c r="R576" s="92"/>
      <c r="S576" s="71"/>
      <c r="T576" s="71"/>
      <c r="U576" s="68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29"/>
      <c r="AN576" s="67"/>
      <c r="AO576" s="67"/>
      <c r="AP576" s="67"/>
      <c r="AQ576" s="67"/>
      <c r="AR576" s="67"/>
      <c r="AS576" s="67"/>
      <c r="AT576" s="67"/>
      <c r="AU576" s="67"/>
      <c r="AV576" s="67"/>
      <c r="AW576" s="67"/>
      <c r="AX576" s="67"/>
      <c r="AY576" s="67"/>
      <c r="AZ576" s="67"/>
      <c r="BA576" s="67"/>
      <c r="BB576" s="67"/>
      <c r="BC576" s="67"/>
      <c r="BD576" s="67"/>
      <c r="BE576" s="67"/>
      <c r="BF576" s="67"/>
      <c r="BG576" s="67"/>
      <c r="BH576" s="67"/>
      <c r="BI576" s="67"/>
      <c r="BJ576" s="67"/>
      <c r="BK576" s="67"/>
      <c r="BL576" s="67"/>
      <c r="BM576" s="67"/>
      <c r="BN576" s="67"/>
      <c r="BO576" s="67"/>
      <c r="BP576" s="67"/>
      <c r="BQ576" s="67"/>
      <c r="BR576" s="67"/>
      <c r="BS576" s="67"/>
      <c r="BT576" s="67"/>
      <c r="BU576" s="67"/>
      <c r="BV576" s="67"/>
      <c r="BW576" s="67"/>
      <c r="BX576" s="67"/>
      <c r="BY576" s="67"/>
      <c r="BZ576" s="67"/>
      <c r="CA576" s="67"/>
      <c r="CB576" s="67"/>
      <c r="CC576" s="67"/>
      <c r="CD576" s="67"/>
      <c r="CE576" s="67"/>
      <c r="CF576" s="67"/>
      <c r="CG576" s="67"/>
      <c r="CH576" s="67"/>
      <c r="CI576" s="67"/>
      <c r="CJ576" s="67"/>
      <c r="CK576" s="67"/>
      <c r="CL576" s="67"/>
      <c r="CM576" s="67"/>
      <c r="CN576" s="67"/>
      <c r="CO576" s="67"/>
      <c r="CP576" s="67"/>
      <c r="CQ576" s="67"/>
      <c r="CR576" s="67"/>
      <c r="CS576" s="67"/>
      <c r="CT576" s="67"/>
      <c r="CU576" s="67"/>
      <c r="CV576" s="67"/>
      <c r="CW576" s="67"/>
      <c r="CX576" s="67"/>
      <c r="CY576" s="67"/>
      <c r="CZ576" s="67"/>
      <c r="DA576" s="67"/>
      <c r="DB576" s="67"/>
      <c r="DC576" s="67"/>
      <c r="DD576" s="67"/>
      <c r="DE576" s="67"/>
      <c r="DF576" s="67"/>
    </row>
    <row r="577">
      <c r="A577" s="62"/>
      <c r="B577" s="88"/>
      <c r="C577" s="88"/>
      <c r="D577" s="88"/>
      <c r="E577" s="90"/>
      <c r="F577" s="91"/>
      <c r="G577" s="49"/>
      <c r="H577" s="70"/>
      <c r="I577" s="88"/>
      <c r="J577" s="88"/>
      <c r="K577" s="88"/>
      <c r="L577" s="90"/>
      <c r="M577" s="91"/>
      <c r="N577" s="49"/>
      <c r="O577" s="71"/>
      <c r="P577" s="92"/>
      <c r="Q577" s="71"/>
      <c r="R577" s="92"/>
      <c r="S577" s="71"/>
      <c r="T577" s="71"/>
      <c r="U577" s="68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29"/>
      <c r="AN577" s="67"/>
      <c r="AO577" s="67"/>
      <c r="AP577" s="67"/>
      <c r="AQ577" s="67"/>
      <c r="AR577" s="67"/>
      <c r="AS577" s="67"/>
      <c r="AT577" s="67"/>
      <c r="AU577" s="67"/>
      <c r="AV577" s="67"/>
      <c r="AW577" s="67"/>
      <c r="AX577" s="67"/>
      <c r="AY577" s="67"/>
      <c r="AZ577" s="67"/>
      <c r="BA577" s="67"/>
      <c r="BB577" s="67"/>
      <c r="BC577" s="67"/>
      <c r="BD577" s="67"/>
      <c r="BE577" s="67"/>
      <c r="BF577" s="67"/>
      <c r="BG577" s="67"/>
      <c r="BH577" s="67"/>
      <c r="BI577" s="67"/>
      <c r="BJ577" s="67"/>
      <c r="BK577" s="67"/>
      <c r="BL577" s="67"/>
      <c r="BM577" s="67"/>
      <c r="BN577" s="67"/>
      <c r="BO577" s="67"/>
      <c r="BP577" s="67"/>
      <c r="BQ577" s="67"/>
      <c r="BR577" s="67"/>
      <c r="BS577" s="67"/>
      <c r="BT577" s="67"/>
      <c r="BU577" s="67"/>
      <c r="BV577" s="67"/>
      <c r="BW577" s="67"/>
      <c r="BX577" s="67"/>
      <c r="BY577" s="67"/>
      <c r="BZ577" s="67"/>
      <c r="CA577" s="67"/>
      <c r="CB577" s="67"/>
      <c r="CC577" s="67"/>
      <c r="CD577" s="67"/>
      <c r="CE577" s="67"/>
      <c r="CF577" s="67"/>
      <c r="CG577" s="67"/>
      <c r="CH577" s="67"/>
      <c r="CI577" s="67"/>
      <c r="CJ577" s="67"/>
      <c r="CK577" s="67"/>
      <c r="CL577" s="67"/>
      <c r="CM577" s="67"/>
      <c r="CN577" s="67"/>
      <c r="CO577" s="67"/>
      <c r="CP577" s="67"/>
      <c r="CQ577" s="67"/>
      <c r="CR577" s="67"/>
      <c r="CS577" s="67"/>
      <c r="CT577" s="67"/>
      <c r="CU577" s="67"/>
      <c r="CV577" s="67"/>
      <c r="CW577" s="67"/>
      <c r="CX577" s="67"/>
      <c r="CY577" s="67"/>
      <c r="CZ577" s="67"/>
      <c r="DA577" s="67"/>
      <c r="DB577" s="67"/>
      <c r="DC577" s="67"/>
      <c r="DD577" s="67"/>
      <c r="DE577" s="67"/>
      <c r="DF577" s="67"/>
    </row>
    <row r="578">
      <c r="A578" s="62"/>
      <c r="B578" s="88"/>
      <c r="C578" s="88"/>
      <c r="D578" s="88"/>
      <c r="E578" s="90"/>
      <c r="F578" s="91"/>
      <c r="G578" s="49"/>
      <c r="H578" s="70"/>
      <c r="I578" s="88"/>
      <c r="J578" s="88"/>
      <c r="K578" s="88"/>
      <c r="L578" s="90"/>
      <c r="M578" s="91"/>
      <c r="N578" s="49"/>
      <c r="O578" s="71"/>
      <c r="P578" s="92"/>
      <c r="Q578" s="71"/>
      <c r="R578" s="92"/>
      <c r="S578" s="71"/>
      <c r="T578" s="71"/>
      <c r="U578" s="68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29"/>
      <c r="AN578" s="67"/>
      <c r="AO578" s="67"/>
      <c r="AP578" s="67"/>
      <c r="AQ578" s="67"/>
      <c r="AR578" s="67"/>
      <c r="AS578" s="67"/>
      <c r="AT578" s="67"/>
      <c r="AU578" s="67"/>
      <c r="AV578" s="67"/>
      <c r="AW578" s="67"/>
      <c r="AX578" s="67"/>
      <c r="AY578" s="67"/>
      <c r="AZ578" s="67"/>
      <c r="BA578" s="67"/>
      <c r="BB578" s="67"/>
      <c r="BC578" s="67"/>
      <c r="BD578" s="67"/>
      <c r="BE578" s="67"/>
      <c r="BF578" s="67"/>
      <c r="BG578" s="67"/>
      <c r="BH578" s="67"/>
      <c r="BI578" s="67"/>
      <c r="BJ578" s="67"/>
      <c r="BK578" s="67"/>
      <c r="BL578" s="67"/>
      <c r="BM578" s="67"/>
      <c r="BN578" s="67"/>
      <c r="BO578" s="67"/>
      <c r="BP578" s="67"/>
      <c r="BQ578" s="67"/>
      <c r="BR578" s="67"/>
      <c r="BS578" s="67"/>
      <c r="BT578" s="67"/>
      <c r="BU578" s="67"/>
      <c r="BV578" s="67"/>
      <c r="BW578" s="67"/>
      <c r="BX578" s="67"/>
      <c r="BY578" s="67"/>
      <c r="BZ578" s="67"/>
      <c r="CA578" s="67"/>
      <c r="CB578" s="67"/>
      <c r="CC578" s="67"/>
      <c r="CD578" s="67"/>
      <c r="CE578" s="67"/>
      <c r="CF578" s="67"/>
      <c r="CG578" s="67"/>
      <c r="CH578" s="67"/>
      <c r="CI578" s="67"/>
      <c r="CJ578" s="67"/>
      <c r="CK578" s="67"/>
      <c r="CL578" s="67"/>
      <c r="CM578" s="67"/>
      <c r="CN578" s="67"/>
      <c r="CO578" s="67"/>
      <c r="CP578" s="67"/>
      <c r="CQ578" s="67"/>
      <c r="CR578" s="67"/>
      <c r="CS578" s="67"/>
      <c r="CT578" s="67"/>
      <c r="CU578" s="67"/>
      <c r="CV578" s="67"/>
      <c r="CW578" s="67"/>
      <c r="CX578" s="67"/>
      <c r="CY578" s="67"/>
      <c r="CZ578" s="67"/>
      <c r="DA578" s="67"/>
      <c r="DB578" s="67"/>
      <c r="DC578" s="67"/>
      <c r="DD578" s="67"/>
      <c r="DE578" s="67"/>
      <c r="DF578" s="67"/>
    </row>
    <row r="579">
      <c r="A579" s="62"/>
      <c r="B579" s="88"/>
      <c r="C579" s="88"/>
      <c r="D579" s="88"/>
      <c r="E579" s="90"/>
      <c r="F579" s="91"/>
      <c r="G579" s="49"/>
      <c r="H579" s="70"/>
      <c r="I579" s="88"/>
      <c r="J579" s="88"/>
      <c r="K579" s="88"/>
      <c r="L579" s="90"/>
      <c r="M579" s="91"/>
      <c r="N579" s="49"/>
      <c r="O579" s="71"/>
      <c r="P579" s="92"/>
      <c r="Q579" s="71"/>
      <c r="R579" s="92"/>
      <c r="S579" s="71"/>
      <c r="T579" s="71"/>
      <c r="U579" s="68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29"/>
      <c r="AN579" s="67"/>
      <c r="AO579" s="67"/>
      <c r="AP579" s="67"/>
      <c r="AQ579" s="67"/>
      <c r="AR579" s="67"/>
      <c r="AS579" s="67"/>
      <c r="AT579" s="67"/>
      <c r="AU579" s="67"/>
      <c r="AV579" s="67"/>
      <c r="AW579" s="67"/>
      <c r="AX579" s="67"/>
      <c r="AY579" s="67"/>
      <c r="AZ579" s="67"/>
      <c r="BA579" s="67"/>
      <c r="BB579" s="67"/>
      <c r="BC579" s="67"/>
      <c r="BD579" s="67"/>
      <c r="BE579" s="67"/>
      <c r="BF579" s="67"/>
      <c r="BG579" s="67"/>
      <c r="BH579" s="67"/>
      <c r="BI579" s="67"/>
      <c r="BJ579" s="67"/>
      <c r="BK579" s="67"/>
      <c r="BL579" s="67"/>
      <c r="BM579" s="67"/>
      <c r="BN579" s="67"/>
      <c r="BO579" s="67"/>
      <c r="BP579" s="67"/>
      <c r="BQ579" s="67"/>
      <c r="BR579" s="67"/>
      <c r="BS579" s="67"/>
      <c r="BT579" s="67"/>
      <c r="BU579" s="67"/>
      <c r="BV579" s="67"/>
      <c r="BW579" s="67"/>
      <c r="BX579" s="67"/>
      <c r="BY579" s="67"/>
      <c r="BZ579" s="67"/>
      <c r="CA579" s="67"/>
      <c r="CB579" s="67"/>
      <c r="CC579" s="67"/>
      <c r="CD579" s="67"/>
      <c r="CE579" s="67"/>
      <c r="CF579" s="67"/>
      <c r="CG579" s="67"/>
      <c r="CH579" s="67"/>
      <c r="CI579" s="67"/>
      <c r="CJ579" s="67"/>
      <c r="CK579" s="67"/>
      <c r="CL579" s="67"/>
      <c r="CM579" s="67"/>
      <c r="CN579" s="67"/>
      <c r="CO579" s="67"/>
      <c r="CP579" s="67"/>
      <c r="CQ579" s="67"/>
      <c r="CR579" s="67"/>
      <c r="CS579" s="67"/>
      <c r="CT579" s="67"/>
      <c r="CU579" s="67"/>
      <c r="CV579" s="67"/>
      <c r="CW579" s="67"/>
      <c r="CX579" s="67"/>
      <c r="CY579" s="67"/>
      <c r="CZ579" s="67"/>
      <c r="DA579" s="67"/>
      <c r="DB579" s="67"/>
      <c r="DC579" s="67"/>
      <c r="DD579" s="67"/>
      <c r="DE579" s="67"/>
      <c r="DF579" s="67"/>
    </row>
    <row r="580">
      <c r="A580" s="62"/>
      <c r="B580" s="88"/>
      <c r="C580" s="88"/>
      <c r="D580" s="88"/>
      <c r="E580" s="90"/>
      <c r="F580" s="91"/>
      <c r="G580" s="49"/>
      <c r="H580" s="70"/>
      <c r="I580" s="88"/>
      <c r="J580" s="88"/>
      <c r="K580" s="88"/>
      <c r="L580" s="90"/>
      <c r="M580" s="91"/>
      <c r="N580" s="49"/>
      <c r="O580" s="71"/>
      <c r="P580" s="92"/>
      <c r="Q580" s="71"/>
      <c r="R580" s="92"/>
      <c r="S580" s="71"/>
      <c r="T580" s="71"/>
      <c r="U580" s="68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29"/>
      <c r="AN580" s="67"/>
      <c r="AO580" s="67"/>
      <c r="AP580" s="67"/>
      <c r="AQ580" s="67"/>
      <c r="AR580" s="67"/>
      <c r="AS580" s="67"/>
      <c r="AT580" s="67"/>
      <c r="AU580" s="67"/>
      <c r="AV580" s="67"/>
      <c r="AW580" s="67"/>
      <c r="AX580" s="67"/>
      <c r="AY580" s="67"/>
      <c r="AZ580" s="67"/>
      <c r="BA580" s="67"/>
      <c r="BB580" s="67"/>
      <c r="BC580" s="67"/>
      <c r="BD580" s="67"/>
      <c r="BE580" s="67"/>
      <c r="BF580" s="67"/>
      <c r="BG580" s="67"/>
      <c r="BH580" s="67"/>
      <c r="BI580" s="67"/>
      <c r="BJ580" s="67"/>
      <c r="BK580" s="67"/>
      <c r="BL580" s="67"/>
      <c r="BM580" s="67"/>
      <c r="BN580" s="67"/>
      <c r="BO580" s="67"/>
      <c r="BP580" s="67"/>
      <c r="BQ580" s="67"/>
      <c r="BR580" s="67"/>
      <c r="BS580" s="67"/>
      <c r="BT580" s="67"/>
      <c r="BU580" s="67"/>
      <c r="BV580" s="67"/>
      <c r="BW580" s="67"/>
      <c r="BX580" s="67"/>
      <c r="BY580" s="67"/>
      <c r="BZ580" s="67"/>
      <c r="CA580" s="67"/>
      <c r="CB580" s="67"/>
      <c r="CC580" s="67"/>
      <c r="CD580" s="67"/>
      <c r="CE580" s="67"/>
      <c r="CF580" s="67"/>
      <c r="CG580" s="67"/>
      <c r="CH580" s="67"/>
      <c r="CI580" s="67"/>
      <c r="CJ580" s="67"/>
      <c r="CK580" s="67"/>
      <c r="CL580" s="67"/>
      <c r="CM580" s="67"/>
      <c r="CN580" s="67"/>
      <c r="CO580" s="67"/>
      <c r="CP580" s="67"/>
      <c r="CQ580" s="67"/>
      <c r="CR580" s="67"/>
      <c r="CS580" s="67"/>
      <c r="CT580" s="67"/>
      <c r="CU580" s="67"/>
      <c r="CV580" s="67"/>
      <c r="CW580" s="67"/>
      <c r="CX580" s="67"/>
      <c r="CY580" s="67"/>
      <c r="CZ580" s="67"/>
      <c r="DA580" s="67"/>
      <c r="DB580" s="67"/>
      <c r="DC580" s="67"/>
      <c r="DD580" s="67"/>
      <c r="DE580" s="67"/>
      <c r="DF580" s="67"/>
    </row>
    <row r="581">
      <c r="A581" s="62"/>
      <c r="B581" s="88"/>
      <c r="C581" s="88"/>
      <c r="D581" s="88"/>
      <c r="E581" s="90"/>
      <c r="F581" s="91"/>
      <c r="G581" s="49"/>
      <c r="H581" s="70"/>
      <c r="I581" s="88"/>
      <c r="J581" s="88"/>
      <c r="K581" s="88"/>
      <c r="L581" s="90"/>
      <c r="M581" s="91"/>
      <c r="N581" s="49"/>
      <c r="O581" s="71"/>
      <c r="P581" s="92"/>
      <c r="Q581" s="71"/>
      <c r="R581" s="92"/>
      <c r="S581" s="71"/>
      <c r="T581" s="71"/>
      <c r="U581" s="68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29"/>
      <c r="AN581" s="67"/>
      <c r="AO581" s="67"/>
      <c r="AP581" s="67"/>
      <c r="AQ581" s="67"/>
      <c r="AR581" s="67"/>
      <c r="AS581" s="67"/>
      <c r="AT581" s="67"/>
      <c r="AU581" s="67"/>
      <c r="AV581" s="67"/>
      <c r="AW581" s="67"/>
      <c r="AX581" s="67"/>
      <c r="AY581" s="67"/>
      <c r="AZ581" s="67"/>
      <c r="BA581" s="67"/>
      <c r="BB581" s="67"/>
      <c r="BC581" s="67"/>
      <c r="BD581" s="67"/>
      <c r="BE581" s="67"/>
      <c r="BF581" s="67"/>
      <c r="BG581" s="67"/>
      <c r="BH581" s="67"/>
      <c r="BI581" s="67"/>
      <c r="BJ581" s="67"/>
      <c r="BK581" s="67"/>
      <c r="BL581" s="67"/>
      <c r="BM581" s="67"/>
      <c r="BN581" s="67"/>
      <c r="BO581" s="67"/>
      <c r="BP581" s="67"/>
      <c r="BQ581" s="67"/>
      <c r="BR581" s="67"/>
      <c r="BS581" s="67"/>
      <c r="BT581" s="67"/>
      <c r="BU581" s="67"/>
      <c r="BV581" s="67"/>
      <c r="BW581" s="67"/>
      <c r="BX581" s="67"/>
      <c r="BY581" s="67"/>
      <c r="BZ581" s="67"/>
      <c r="CA581" s="67"/>
      <c r="CB581" s="67"/>
      <c r="CC581" s="67"/>
      <c r="CD581" s="67"/>
      <c r="CE581" s="67"/>
      <c r="CF581" s="67"/>
      <c r="CG581" s="67"/>
      <c r="CH581" s="67"/>
      <c r="CI581" s="67"/>
      <c r="CJ581" s="67"/>
      <c r="CK581" s="67"/>
      <c r="CL581" s="67"/>
      <c r="CM581" s="67"/>
      <c r="CN581" s="67"/>
      <c r="CO581" s="67"/>
      <c r="CP581" s="67"/>
      <c r="CQ581" s="67"/>
      <c r="CR581" s="67"/>
      <c r="CS581" s="67"/>
      <c r="CT581" s="67"/>
      <c r="CU581" s="67"/>
      <c r="CV581" s="67"/>
      <c r="CW581" s="67"/>
      <c r="CX581" s="67"/>
      <c r="CY581" s="67"/>
      <c r="CZ581" s="67"/>
      <c r="DA581" s="67"/>
      <c r="DB581" s="67"/>
      <c r="DC581" s="67"/>
      <c r="DD581" s="67"/>
      <c r="DE581" s="67"/>
      <c r="DF581" s="67"/>
    </row>
    <row r="582">
      <c r="A582" s="29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71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101"/>
      <c r="AF582" s="101"/>
      <c r="AG582" s="101"/>
      <c r="AH582" s="101"/>
      <c r="AI582" s="101"/>
      <c r="AJ582" s="101"/>
      <c r="AK582" s="101"/>
      <c r="AL582" s="101"/>
      <c r="AM582" s="29"/>
      <c r="AN582" s="101"/>
      <c r="AO582" s="101"/>
      <c r="AP582" s="101"/>
      <c r="AQ582" s="101"/>
      <c r="AR582" s="101"/>
      <c r="AS582" s="101"/>
      <c r="AT582" s="101"/>
      <c r="AU582" s="101"/>
      <c r="AV582" s="101"/>
      <c r="AW582" s="101"/>
      <c r="AX582" s="101"/>
      <c r="AY582" s="101"/>
      <c r="AZ582" s="101"/>
      <c r="BA582" s="101"/>
      <c r="BB582" s="101"/>
      <c r="BC582" s="101"/>
      <c r="BD582" s="101"/>
      <c r="BE582" s="101"/>
      <c r="BF582" s="101"/>
      <c r="BG582" s="101"/>
      <c r="BH582" s="101"/>
      <c r="BI582" s="101"/>
      <c r="BJ582" s="101"/>
      <c r="BK582" s="101"/>
      <c r="BL582" s="101"/>
      <c r="BM582" s="101"/>
      <c r="BN582" s="101"/>
      <c r="BO582" s="101"/>
      <c r="BP582" s="101"/>
      <c r="BQ582" s="101"/>
      <c r="BR582" s="101"/>
      <c r="BS582" s="101"/>
      <c r="BT582" s="101"/>
      <c r="BU582" s="101"/>
      <c r="BV582" s="101"/>
      <c r="BW582" s="101"/>
      <c r="BX582" s="101"/>
      <c r="BY582" s="101"/>
      <c r="BZ582" s="101"/>
      <c r="CA582" s="101"/>
      <c r="CB582" s="101"/>
      <c r="CC582" s="101"/>
      <c r="CD582" s="101"/>
      <c r="CE582" s="101"/>
      <c r="CF582" s="101"/>
      <c r="CG582" s="101"/>
      <c r="CH582" s="101"/>
      <c r="CI582" s="101"/>
      <c r="CJ582" s="101"/>
      <c r="CK582" s="101"/>
      <c r="CL582" s="101"/>
      <c r="CM582" s="101"/>
      <c r="CN582" s="101"/>
      <c r="CO582" s="101"/>
      <c r="CP582" s="101"/>
      <c r="CQ582" s="101"/>
      <c r="CR582" s="101"/>
      <c r="CS582" s="101"/>
      <c r="CT582" s="101"/>
      <c r="CU582" s="101"/>
      <c r="CV582" s="101"/>
      <c r="CW582" s="101"/>
      <c r="CX582" s="101"/>
      <c r="CY582" s="101"/>
      <c r="CZ582" s="101"/>
      <c r="DA582" s="101"/>
      <c r="DB582" s="101"/>
      <c r="DC582" s="101"/>
      <c r="DD582" s="101"/>
      <c r="DE582" s="101"/>
      <c r="DF582" s="101"/>
    </row>
    <row r="583">
      <c r="A583" s="29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71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101"/>
      <c r="AF583" s="101"/>
      <c r="AG583" s="101"/>
      <c r="AH583" s="101"/>
      <c r="AI583" s="101"/>
      <c r="AJ583" s="101"/>
      <c r="AK583" s="101"/>
      <c r="AL583" s="101"/>
      <c r="AM583" s="29"/>
      <c r="AN583" s="101"/>
      <c r="AO583" s="101"/>
      <c r="AP583" s="101"/>
      <c r="AQ583" s="101"/>
      <c r="AR583" s="101"/>
      <c r="AS583" s="101"/>
      <c r="AT583" s="101"/>
      <c r="AU583" s="101"/>
      <c r="AV583" s="101"/>
      <c r="AW583" s="101"/>
      <c r="AX583" s="101"/>
      <c r="AY583" s="101"/>
      <c r="AZ583" s="101"/>
      <c r="BA583" s="101"/>
      <c r="BB583" s="101"/>
      <c r="BC583" s="101"/>
      <c r="BD583" s="101"/>
      <c r="BE583" s="101"/>
      <c r="BF583" s="101"/>
      <c r="BG583" s="101"/>
      <c r="BH583" s="101"/>
      <c r="BI583" s="101"/>
      <c r="BJ583" s="101"/>
      <c r="BK583" s="101"/>
      <c r="BL583" s="101"/>
      <c r="BM583" s="101"/>
      <c r="BN583" s="101"/>
      <c r="BO583" s="101"/>
      <c r="BP583" s="101"/>
      <c r="BQ583" s="101"/>
      <c r="BR583" s="101"/>
      <c r="BS583" s="101"/>
      <c r="BT583" s="101"/>
      <c r="BU583" s="101"/>
      <c r="BV583" s="101"/>
      <c r="BW583" s="101"/>
      <c r="BX583" s="101"/>
      <c r="BY583" s="101"/>
      <c r="BZ583" s="101"/>
      <c r="CA583" s="101"/>
      <c r="CB583" s="101"/>
      <c r="CC583" s="101"/>
      <c r="CD583" s="101"/>
      <c r="CE583" s="101"/>
      <c r="CF583" s="101"/>
      <c r="CG583" s="101"/>
      <c r="CH583" s="101"/>
      <c r="CI583" s="101"/>
      <c r="CJ583" s="101"/>
      <c r="CK583" s="101"/>
      <c r="CL583" s="101"/>
      <c r="CM583" s="101"/>
      <c r="CN583" s="101"/>
      <c r="CO583" s="101"/>
      <c r="CP583" s="101"/>
      <c r="CQ583" s="101"/>
      <c r="CR583" s="101"/>
      <c r="CS583" s="101"/>
      <c r="CT583" s="101"/>
      <c r="CU583" s="101"/>
      <c r="CV583" s="101"/>
      <c r="CW583" s="101"/>
      <c r="CX583" s="101"/>
      <c r="CY583" s="101"/>
      <c r="CZ583" s="101"/>
      <c r="DA583" s="101"/>
      <c r="DB583" s="101"/>
      <c r="DC583" s="101"/>
      <c r="DD583" s="101"/>
      <c r="DE583" s="101"/>
      <c r="DF583" s="101"/>
    </row>
    <row r="584">
      <c r="A584" s="29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71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101"/>
      <c r="AF584" s="101"/>
      <c r="AG584" s="101"/>
      <c r="AH584" s="101"/>
      <c r="AI584" s="101"/>
      <c r="AJ584" s="101"/>
      <c r="AK584" s="101"/>
      <c r="AL584" s="101"/>
      <c r="AM584" s="29"/>
      <c r="AN584" s="101"/>
      <c r="AO584" s="101"/>
      <c r="AP584" s="101"/>
      <c r="AQ584" s="101"/>
      <c r="AR584" s="101"/>
      <c r="AS584" s="101"/>
      <c r="AT584" s="101"/>
      <c r="AU584" s="101"/>
      <c r="AV584" s="101"/>
      <c r="AW584" s="101"/>
      <c r="AX584" s="101"/>
      <c r="AY584" s="101"/>
      <c r="AZ584" s="101"/>
      <c r="BA584" s="101"/>
      <c r="BB584" s="101"/>
      <c r="BC584" s="101"/>
      <c r="BD584" s="101"/>
      <c r="BE584" s="101"/>
      <c r="BF584" s="101"/>
      <c r="BG584" s="101"/>
      <c r="BH584" s="101"/>
      <c r="BI584" s="101"/>
      <c r="BJ584" s="101"/>
      <c r="BK584" s="101"/>
      <c r="BL584" s="101"/>
      <c r="BM584" s="101"/>
      <c r="BN584" s="101"/>
      <c r="BO584" s="101"/>
      <c r="BP584" s="101"/>
      <c r="BQ584" s="101"/>
      <c r="BR584" s="101"/>
      <c r="BS584" s="101"/>
      <c r="BT584" s="101"/>
      <c r="BU584" s="101"/>
      <c r="BV584" s="101"/>
      <c r="BW584" s="101"/>
      <c r="BX584" s="101"/>
      <c r="BY584" s="101"/>
      <c r="BZ584" s="101"/>
      <c r="CA584" s="101"/>
      <c r="CB584" s="101"/>
      <c r="CC584" s="101"/>
      <c r="CD584" s="101"/>
      <c r="CE584" s="101"/>
      <c r="CF584" s="101"/>
      <c r="CG584" s="101"/>
      <c r="CH584" s="101"/>
      <c r="CI584" s="101"/>
      <c r="CJ584" s="101"/>
      <c r="CK584" s="101"/>
      <c r="CL584" s="101"/>
      <c r="CM584" s="101"/>
      <c r="CN584" s="101"/>
      <c r="CO584" s="101"/>
      <c r="CP584" s="101"/>
      <c r="CQ584" s="101"/>
      <c r="CR584" s="101"/>
      <c r="CS584" s="101"/>
      <c r="CT584" s="101"/>
      <c r="CU584" s="101"/>
      <c r="CV584" s="101"/>
      <c r="CW584" s="101"/>
      <c r="CX584" s="101"/>
      <c r="CY584" s="101"/>
      <c r="CZ584" s="101"/>
      <c r="DA584" s="101"/>
      <c r="DB584" s="101"/>
      <c r="DC584" s="101"/>
      <c r="DD584" s="101"/>
      <c r="DE584" s="101"/>
      <c r="DF584" s="101"/>
    </row>
    <row r="585">
      <c r="A585" s="29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71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101"/>
      <c r="AF585" s="101"/>
      <c r="AG585" s="101"/>
      <c r="AH585" s="101"/>
      <c r="AI585" s="101"/>
      <c r="AJ585" s="101"/>
      <c r="AK585" s="101"/>
      <c r="AL585" s="101"/>
      <c r="AM585" s="29"/>
      <c r="AN585" s="101"/>
      <c r="AO585" s="101"/>
      <c r="AP585" s="101"/>
      <c r="AQ585" s="101"/>
      <c r="AR585" s="101"/>
      <c r="AS585" s="101"/>
      <c r="AT585" s="101"/>
      <c r="AU585" s="101"/>
      <c r="AV585" s="101"/>
      <c r="AW585" s="101"/>
      <c r="AX585" s="101"/>
      <c r="AY585" s="101"/>
      <c r="AZ585" s="101"/>
      <c r="BA585" s="101"/>
      <c r="BB585" s="101"/>
      <c r="BC585" s="101"/>
      <c r="BD585" s="101"/>
      <c r="BE585" s="101"/>
      <c r="BF585" s="101"/>
      <c r="BG585" s="101"/>
      <c r="BH585" s="101"/>
      <c r="BI585" s="101"/>
      <c r="BJ585" s="101"/>
      <c r="BK585" s="101"/>
      <c r="BL585" s="101"/>
      <c r="BM585" s="101"/>
      <c r="BN585" s="101"/>
      <c r="BO585" s="101"/>
      <c r="BP585" s="101"/>
      <c r="BQ585" s="101"/>
      <c r="BR585" s="101"/>
      <c r="BS585" s="101"/>
      <c r="BT585" s="101"/>
      <c r="BU585" s="101"/>
      <c r="BV585" s="101"/>
      <c r="BW585" s="101"/>
      <c r="BX585" s="101"/>
      <c r="BY585" s="101"/>
      <c r="BZ585" s="101"/>
      <c r="CA585" s="101"/>
      <c r="CB585" s="101"/>
      <c r="CC585" s="101"/>
      <c r="CD585" s="101"/>
      <c r="CE585" s="101"/>
      <c r="CF585" s="101"/>
      <c r="CG585" s="101"/>
      <c r="CH585" s="101"/>
      <c r="CI585" s="101"/>
      <c r="CJ585" s="101"/>
      <c r="CK585" s="101"/>
      <c r="CL585" s="101"/>
      <c r="CM585" s="101"/>
      <c r="CN585" s="101"/>
      <c r="CO585" s="101"/>
      <c r="CP585" s="101"/>
      <c r="CQ585" s="101"/>
      <c r="CR585" s="101"/>
      <c r="CS585" s="101"/>
      <c r="CT585" s="101"/>
      <c r="CU585" s="101"/>
      <c r="CV585" s="101"/>
      <c r="CW585" s="101"/>
      <c r="CX585" s="101"/>
      <c r="CY585" s="101"/>
      <c r="CZ585" s="101"/>
      <c r="DA585" s="101"/>
      <c r="DB585" s="101"/>
      <c r="DC585" s="101"/>
      <c r="DD585" s="101"/>
      <c r="DE585" s="101"/>
      <c r="DF585" s="101"/>
    </row>
    <row r="586">
      <c r="A586" s="29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71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101"/>
      <c r="AF586" s="101"/>
      <c r="AG586" s="101"/>
      <c r="AH586" s="101"/>
      <c r="AI586" s="101"/>
      <c r="AJ586" s="101"/>
      <c r="AK586" s="101"/>
      <c r="AL586" s="101"/>
      <c r="AM586" s="29"/>
      <c r="AN586" s="101"/>
      <c r="AO586" s="101"/>
      <c r="AP586" s="101"/>
      <c r="AQ586" s="101"/>
      <c r="AR586" s="101"/>
      <c r="AS586" s="101"/>
      <c r="AT586" s="101"/>
      <c r="AU586" s="101"/>
      <c r="AV586" s="101"/>
      <c r="AW586" s="101"/>
      <c r="AX586" s="101"/>
      <c r="AY586" s="101"/>
      <c r="AZ586" s="101"/>
      <c r="BA586" s="101"/>
      <c r="BB586" s="101"/>
      <c r="BC586" s="101"/>
      <c r="BD586" s="101"/>
      <c r="BE586" s="101"/>
      <c r="BF586" s="101"/>
      <c r="BG586" s="101"/>
      <c r="BH586" s="101"/>
      <c r="BI586" s="101"/>
      <c r="BJ586" s="101"/>
      <c r="BK586" s="101"/>
      <c r="BL586" s="101"/>
      <c r="BM586" s="101"/>
      <c r="BN586" s="101"/>
      <c r="BO586" s="101"/>
      <c r="BP586" s="101"/>
      <c r="BQ586" s="101"/>
      <c r="BR586" s="101"/>
      <c r="BS586" s="101"/>
      <c r="BT586" s="101"/>
      <c r="BU586" s="101"/>
      <c r="BV586" s="101"/>
      <c r="BW586" s="101"/>
      <c r="BX586" s="101"/>
      <c r="BY586" s="101"/>
      <c r="BZ586" s="101"/>
      <c r="CA586" s="101"/>
      <c r="CB586" s="101"/>
      <c r="CC586" s="101"/>
      <c r="CD586" s="101"/>
      <c r="CE586" s="101"/>
      <c r="CF586" s="101"/>
      <c r="CG586" s="101"/>
      <c r="CH586" s="101"/>
      <c r="CI586" s="101"/>
      <c r="CJ586" s="101"/>
      <c r="CK586" s="101"/>
      <c r="CL586" s="101"/>
      <c r="CM586" s="101"/>
      <c r="CN586" s="101"/>
      <c r="CO586" s="101"/>
      <c r="CP586" s="101"/>
      <c r="CQ586" s="101"/>
      <c r="CR586" s="101"/>
      <c r="CS586" s="101"/>
      <c r="CT586" s="101"/>
      <c r="CU586" s="101"/>
      <c r="CV586" s="101"/>
      <c r="CW586" s="101"/>
      <c r="CX586" s="101"/>
      <c r="CY586" s="101"/>
      <c r="CZ586" s="101"/>
      <c r="DA586" s="101"/>
      <c r="DB586" s="101"/>
      <c r="DC586" s="101"/>
      <c r="DD586" s="101"/>
      <c r="DE586" s="101"/>
      <c r="DF586" s="101"/>
    </row>
    <row r="587">
      <c r="A587" s="29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71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101"/>
      <c r="AF587" s="101"/>
      <c r="AG587" s="101"/>
      <c r="AH587" s="101"/>
      <c r="AI587" s="101"/>
      <c r="AJ587" s="101"/>
      <c r="AK587" s="101"/>
      <c r="AL587" s="101"/>
      <c r="AM587" s="29"/>
      <c r="AN587" s="101"/>
      <c r="AO587" s="101"/>
      <c r="AP587" s="101"/>
      <c r="AQ587" s="101"/>
      <c r="AR587" s="101"/>
      <c r="AS587" s="101"/>
      <c r="AT587" s="101"/>
      <c r="AU587" s="101"/>
      <c r="AV587" s="101"/>
      <c r="AW587" s="101"/>
      <c r="AX587" s="101"/>
      <c r="AY587" s="101"/>
      <c r="AZ587" s="101"/>
      <c r="BA587" s="101"/>
      <c r="BB587" s="101"/>
      <c r="BC587" s="101"/>
      <c r="BD587" s="101"/>
      <c r="BE587" s="101"/>
      <c r="BF587" s="101"/>
      <c r="BG587" s="101"/>
      <c r="BH587" s="101"/>
      <c r="BI587" s="101"/>
      <c r="BJ587" s="101"/>
      <c r="BK587" s="101"/>
      <c r="BL587" s="101"/>
      <c r="BM587" s="101"/>
      <c r="BN587" s="101"/>
      <c r="BO587" s="101"/>
      <c r="BP587" s="101"/>
      <c r="BQ587" s="101"/>
      <c r="BR587" s="101"/>
      <c r="BS587" s="101"/>
      <c r="BT587" s="101"/>
      <c r="BU587" s="101"/>
      <c r="BV587" s="101"/>
      <c r="BW587" s="101"/>
      <c r="BX587" s="101"/>
      <c r="BY587" s="101"/>
      <c r="BZ587" s="101"/>
      <c r="CA587" s="101"/>
      <c r="CB587" s="101"/>
      <c r="CC587" s="101"/>
      <c r="CD587" s="101"/>
      <c r="CE587" s="101"/>
      <c r="CF587" s="101"/>
      <c r="CG587" s="101"/>
      <c r="CH587" s="101"/>
      <c r="CI587" s="101"/>
      <c r="CJ587" s="101"/>
      <c r="CK587" s="101"/>
      <c r="CL587" s="101"/>
      <c r="CM587" s="101"/>
      <c r="CN587" s="101"/>
      <c r="CO587" s="101"/>
      <c r="CP587" s="101"/>
      <c r="CQ587" s="101"/>
      <c r="CR587" s="101"/>
      <c r="CS587" s="101"/>
      <c r="CT587" s="101"/>
      <c r="CU587" s="101"/>
      <c r="CV587" s="101"/>
      <c r="CW587" s="101"/>
      <c r="CX587" s="101"/>
      <c r="CY587" s="101"/>
      <c r="CZ587" s="101"/>
      <c r="DA587" s="101"/>
      <c r="DB587" s="101"/>
      <c r="DC587" s="101"/>
      <c r="DD587" s="101"/>
      <c r="DE587" s="101"/>
      <c r="DF587" s="101"/>
    </row>
    <row r="588">
      <c r="A588" s="29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71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101"/>
      <c r="AF588" s="101"/>
      <c r="AG588" s="101"/>
      <c r="AH588" s="101"/>
      <c r="AI588" s="101"/>
      <c r="AJ588" s="101"/>
      <c r="AK588" s="101"/>
      <c r="AL588" s="101"/>
      <c r="AM588" s="29"/>
      <c r="AN588" s="101"/>
      <c r="AO588" s="101"/>
      <c r="AP588" s="101"/>
      <c r="AQ588" s="101"/>
      <c r="AR588" s="101"/>
      <c r="AS588" s="101"/>
      <c r="AT588" s="101"/>
      <c r="AU588" s="101"/>
      <c r="AV588" s="101"/>
      <c r="AW588" s="101"/>
      <c r="AX588" s="101"/>
      <c r="AY588" s="101"/>
      <c r="AZ588" s="101"/>
      <c r="BA588" s="101"/>
      <c r="BB588" s="101"/>
      <c r="BC588" s="101"/>
      <c r="BD588" s="101"/>
      <c r="BE588" s="101"/>
      <c r="BF588" s="101"/>
      <c r="BG588" s="101"/>
      <c r="BH588" s="101"/>
      <c r="BI588" s="101"/>
      <c r="BJ588" s="101"/>
      <c r="BK588" s="101"/>
      <c r="BL588" s="101"/>
      <c r="BM588" s="101"/>
      <c r="BN588" s="101"/>
      <c r="BO588" s="101"/>
      <c r="BP588" s="101"/>
      <c r="BQ588" s="101"/>
      <c r="BR588" s="101"/>
      <c r="BS588" s="101"/>
      <c r="BT588" s="101"/>
      <c r="BU588" s="101"/>
      <c r="BV588" s="101"/>
      <c r="BW588" s="101"/>
      <c r="BX588" s="101"/>
      <c r="BY588" s="101"/>
      <c r="BZ588" s="101"/>
      <c r="CA588" s="101"/>
      <c r="CB588" s="101"/>
      <c r="CC588" s="101"/>
      <c r="CD588" s="101"/>
      <c r="CE588" s="101"/>
      <c r="CF588" s="101"/>
      <c r="CG588" s="101"/>
      <c r="CH588" s="101"/>
      <c r="CI588" s="101"/>
      <c r="CJ588" s="101"/>
      <c r="CK588" s="101"/>
      <c r="CL588" s="101"/>
      <c r="CM588" s="101"/>
      <c r="CN588" s="101"/>
      <c r="CO588" s="101"/>
      <c r="CP588" s="101"/>
      <c r="CQ588" s="101"/>
      <c r="CR588" s="101"/>
      <c r="CS588" s="101"/>
      <c r="CT588" s="101"/>
      <c r="CU588" s="101"/>
      <c r="CV588" s="101"/>
      <c r="CW588" s="101"/>
      <c r="CX588" s="101"/>
      <c r="CY588" s="101"/>
      <c r="CZ588" s="101"/>
      <c r="DA588" s="101"/>
      <c r="DB588" s="101"/>
      <c r="DC588" s="101"/>
      <c r="DD588" s="101"/>
      <c r="DE588" s="101"/>
      <c r="DF588" s="101"/>
    </row>
    <row r="589">
      <c r="A589" s="29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71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101"/>
      <c r="AF589" s="101"/>
      <c r="AG589" s="101"/>
      <c r="AH589" s="101"/>
      <c r="AI589" s="101"/>
      <c r="AJ589" s="101"/>
      <c r="AK589" s="101"/>
      <c r="AL589" s="101"/>
      <c r="AM589" s="29"/>
      <c r="AN589" s="101"/>
      <c r="AO589" s="101"/>
      <c r="AP589" s="101"/>
      <c r="AQ589" s="101"/>
      <c r="AR589" s="101"/>
      <c r="AS589" s="101"/>
      <c r="AT589" s="101"/>
      <c r="AU589" s="101"/>
      <c r="AV589" s="101"/>
      <c r="AW589" s="101"/>
      <c r="AX589" s="101"/>
      <c r="AY589" s="101"/>
      <c r="AZ589" s="101"/>
      <c r="BA589" s="101"/>
      <c r="BB589" s="101"/>
      <c r="BC589" s="101"/>
      <c r="BD589" s="101"/>
      <c r="BE589" s="101"/>
      <c r="BF589" s="101"/>
      <c r="BG589" s="101"/>
      <c r="BH589" s="101"/>
      <c r="BI589" s="101"/>
      <c r="BJ589" s="101"/>
      <c r="BK589" s="101"/>
      <c r="BL589" s="101"/>
      <c r="BM589" s="101"/>
      <c r="BN589" s="101"/>
      <c r="BO589" s="101"/>
      <c r="BP589" s="101"/>
      <c r="BQ589" s="101"/>
      <c r="BR589" s="101"/>
      <c r="BS589" s="101"/>
      <c r="BT589" s="101"/>
      <c r="BU589" s="101"/>
      <c r="BV589" s="101"/>
      <c r="BW589" s="101"/>
      <c r="BX589" s="101"/>
      <c r="BY589" s="101"/>
      <c r="BZ589" s="101"/>
      <c r="CA589" s="101"/>
      <c r="CB589" s="101"/>
      <c r="CC589" s="101"/>
      <c r="CD589" s="101"/>
      <c r="CE589" s="101"/>
      <c r="CF589" s="101"/>
      <c r="CG589" s="101"/>
      <c r="CH589" s="101"/>
      <c r="CI589" s="101"/>
      <c r="CJ589" s="101"/>
      <c r="CK589" s="101"/>
      <c r="CL589" s="101"/>
      <c r="CM589" s="101"/>
      <c r="CN589" s="101"/>
      <c r="CO589" s="101"/>
      <c r="CP589" s="101"/>
      <c r="CQ589" s="101"/>
      <c r="CR589" s="101"/>
      <c r="CS589" s="101"/>
      <c r="CT589" s="101"/>
      <c r="CU589" s="101"/>
      <c r="CV589" s="101"/>
      <c r="CW589" s="101"/>
      <c r="CX589" s="101"/>
      <c r="CY589" s="101"/>
      <c r="CZ589" s="101"/>
      <c r="DA589" s="101"/>
      <c r="DB589" s="101"/>
      <c r="DC589" s="101"/>
      <c r="DD589" s="101"/>
      <c r="DE589" s="101"/>
      <c r="DF589" s="101"/>
    </row>
    <row r="590">
      <c r="A590" s="29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71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101"/>
      <c r="AF590" s="101"/>
      <c r="AG590" s="101"/>
      <c r="AH590" s="101"/>
      <c r="AI590" s="101"/>
      <c r="AJ590" s="101"/>
      <c r="AK590" s="101"/>
      <c r="AL590" s="101"/>
      <c r="AM590" s="29"/>
      <c r="AN590" s="101"/>
      <c r="AO590" s="101"/>
      <c r="AP590" s="101"/>
      <c r="AQ590" s="101"/>
      <c r="AR590" s="101"/>
      <c r="AS590" s="101"/>
      <c r="AT590" s="101"/>
      <c r="AU590" s="101"/>
      <c r="AV590" s="101"/>
      <c r="AW590" s="101"/>
      <c r="AX590" s="101"/>
      <c r="AY590" s="101"/>
      <c r="AZ590" s="101"/>
      <c r="BA590" s="101"/>
      <c r="BB590" s="101"/>
      <c r="BC590" s="101"/>
      <c r="BD590" s="101"/>
      <c r="BE590" s="101"/>
      <c r="BF590" s="101"/>
      <c r="BG590" s="101"/>
      <c r="BH590" s="101"/>
      <c r="BI590" s="101"/>
      <c r="BJ590" s="101"/>
      <c r="BK590" s="101"/>
      <c r="BL590" s="101"/>
      <c r="BM590" s="101"/>
      <c r="BN590" s="101"/>
      <c r="BO590" s="101"/>
      <c r="BP590" s="101"/>
      <c r="BQ590" s="101"/>
      <c r="BR590" s="101"/>
      <c r="BS590" s="101"/>
      <c r="BT590" s="101"/>
      <c r="BU590" s="101"/>
      <c r="BV590" s="101"/>
      <c r="BW590" s="101"/>
      <c r="BX590" s="101"/>
      <c r="BY590" s="101"/>
      <c r="BZ590" s="101"/>
      <c r="CA590" s="101"/>
      <c r="CB590" s="101"/>
      <c r="CC590" s="101"/>
      <c r="CD590" s="101"/>
      <c r="CE590" s="101"/>
      <c r="CF590" s="101"/>
      <c r="CG590" s="101"/>
      <c r="CH590" s="101"/>
      <c r="CI590" s="101"/>
      <c r="CJ590" s="101"/>
      <c r="CK590" s="101"/>
      <c r="CL590" s="101"/>
      <c r="CM590" s="101"/>
      <c r="CN590" s="101"/>
      <c r="CO590" s="101"/>
      <c r="CP590" s="101"/>
      <c r="CQ590" s="101"/>
      <c r="CR590" s="101"/>
      <c r="CS590" s="101"/>
      <c r="CT590" s="101"/>
      <c r="CU590" s="101"/>
      <c r="CV590" s="101"/>
      <c r="CW590" s="101"/>
      <c r="CX590" s="101"/>
      <c r="CY590" s="101"/>
      <c r="CZ590" s="101"/>
      <c r="DA590" s="101"/>
      <c r="DB590" s="101"/>
      <c r="DC590" s="101"/>
      <c r="DD590" s="101"/>
      <c r="DE590" s="101"/>
      <c r="DF590" s="101"/>
    </row>
    <row r="591">
      <c r="A591" s="29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71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101"/>
      <c r="AF591" s="101"/>
      <c r="AG591" s="101"/>
      <c r="AH591" s="101"/>
      <c r="AI591" s="101"/>
      <c r="AJ591" s="101"/>
      <c r="AK591" s="101"/>
      <c r="AL591" s="101"/>
      <c r="AM591" s="29"/>
      <c r="AN591" s="101"/>
      <c r="AO591" s="101"/>
      <c r="AP591" s="101"/>
      <c r="AQ591" s="101"/>
      <c r="AR591" s="101"/>
      <c r="AS591" s="101"/>
      <c r="AT591" s="101"/>
      <c r="AU591" s="101"/>
      <c r="AV591" s="101"/>
      <c r="AW591" s="101"/>
      <c r="AX591" s="101"/>
      <c r="AY591" s="101"/>
      <c r="AZ591" s="101"/>
      <c r="BA591" s="101"/>
      <c r="BB591" s="101"/>
      <c r="BC591" s="101"/>
      <c r="BD591" s="101"/>
      <c r="BE591" s="101"/>
      <c r="BF591" s="101"/>
      <c r="BG591" s="101"/>
      <c r="BH591" s="101"/>
      <c r="BI591" s="101"/>
      <c r="BJ591" s="101"/>
      <c r="BK591" s="101"/>
      <c r="BL591" s="101"/>
      <c r="BM591" s="101"/>
      <c r="BN591" s="101"/>
      <c r="BO591" s="101"/>
      <c r="BP591" s="101"/>
      <c r="BQ591" s="101"/>
      <c r="BR591" s="101"/>
      <c r="BS591" s="101"/>
      <c r="BT591" s="101"/>
      <c r="BU591" s="101"/>
      <c r="BV591" s="101"/>
      <c r="BW591" s="101"/>
      <c r="BX591" s="101"/>
      <c r="BY591" s="101"/>
      <c r="BZ591" s="101"/>
      <c r="CA591" s="101"/>
      <c r="CB591" s="101"/>
      <c r="CC591" s="101"/>
      <c r="CD591" s="101"/>
      <c r="CE591" s="101"/>
      <c r="CF591" s="101"/>
      <c r="CG591" s="101"/>
      <c r="CH591" s="101"/>
      <c r="CI591" s="101"/>
      <c r="CJ591" s="101"/>
      <c r="CK591" s="101"/>
      <c r="CL591" s="101"/>
      <c r="CM591" s="101"/>
      <c r="CN591" s="101"/>
      <c r="CO591" s="101"/>
      <c r="CP591" s="101"/>
      <c r="CQ591" s="101"/>
      <c r="CR591" s="101"/>
      <c r="CS591" s="101"/>
      <c r="CT591" s="101"/>
      <c r="CU591" s="101"/>
      <c r="CV591" s="101"/>
      <c r="CW591" s="101"/>
      <c r="CX591" s="101"/>
      <c r="CY591" s="101"/>
      <c r="CZ591" s="101"/>
      <c r="DA591" s="101"/>
      <c r="DB591" s="101"/>
      <c r="DC591" s="101"/>
      <c r="DD591" s="101"/>
      <c r="DE591" s="101"/>
      <c r="DF591" s="101"/>
    </row>
    <row r="592">
      <c r="A592" s="29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71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101"/>
      <c r="AF592" s="101"/>
      <c r="AG592" s="101"/>
      <c r="AH592" s="101"/>
      <c r="AI592" s="101"/>
      <c r="AJ592" s="101"/>
      <c r="AK592" s="101"/>
      <c r="AL592" s="101"/>
      <c r="AM592" s="29"/>
      <c r="AN592" s="101"/>
      <c r="AO592" s="101"/>
      <c r="AP592" s="101"/>
      <c r="AQ592" s="101"/>
      <c r="AR592" s="101"/>
      <c r="AS592" s="101"/>
      <c r="AT592" s="101"/>
      <c r="AU592" s="101"/>
      <c r="AV592" s="101"/>
      <c r="AW592" s="101"/>
      <c r="AX592" s="101"/>
      <c r="AY592" s="101"/>
      <c r="AZ592" s="101"/>
      <c r="BA592" s="101"/>
      <c r="BB592" s="101"/>
      <c r="BC592" s="101"/>
      <c r="BD592" s="101"/>
      <c r="BE592" s="101"/>
      <c r="BF592" s="101"/>
      <c r="BG592" s="101"/>
      <c r="BH592" s="101"/>
      <c r="BI592" s="101"/>
      <c r="BJ592" s="101"/>
      <c r="BK592" s="101"/>
      <c r="BL592" s="101"/>
      <c r="BM592" s="101"/>
      <c r="BN592" s="101"/>
      <c r="BO592" s="101"/>
      <c r="BP592" s="101"/>
      <c r="BQ592" s="101"/>
      <c r="BR592" s="101"/>
      <c r="BS592" s="101"/>
      <c r="BT592" s="101"/>
      <c r="BU592" s="101"/>
      <c r="BV592" s="101"/>
      <c r="BW592" s="101"/>
      <c r="BX592" s="101"/>
      <c r="BY592" s="101"/>
      <c r="BZ592" s="101"/>
      <c r="CA592" s="101"/>
      <c r="CB592" s="101"/>
      <c r="CC592" s="101"/>
      <c r="CD592" s="101"/>
      <c r="CE592" s="101"/>
      <c r="CF592" s="101"/>
      <c r="CG592" s="101"/>
      <c r="CH592" s="101"/>
      <c r="CI592" s="101"/>
      <c r="CJ592" s="101"/>
      <c r="CK592" s="101"/>
      <c r="CL592" s="101"/>
      <c r="CM592" s="101"/>
      <c r="CN592" s="101"/>
      <c r="CO592" s="101"/>
      <c r="CP592" s="101"/>
      <c r="CQ592" s="101"/>
      <c r="CR592" s="101"/>
      <c r="CS592" s="101"/>
      <c r="CT592" s="101"/>
      <c r="CU592" s="101"/>
      <c r="CV592" s="101"/>
      <c r="CW592" s="101"/>
      <c r="CX592" s="101"/>
      <c r="CY592" s="101"/>
      <c r="CZ592" s="101"/>
      <c r="DA592" s="101"/>
      <c r="DB592" s="101"/>
      <c r="DC592" s="101"/>
      <c r="DD592" s="101"/>
      <c r="DE592" s="101"/>
      <c r="DF592" s="101"/>
    </row>
    <row r="593">
      <c r="A593" s="29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71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101"/>
      <c r="AF593" s="101"/>
      <c r="AG593" s="101"/>
      <c r="AH593" s="101"/>
      <c r="AI593" s="101"/>
      <c r="AJ593" s="101"/>
      <c r="AK593" s="101"/>
      <c r="AL593" s="101"/>
      <c r="AM593" s="29"/>
      <c r="AN593" s="101"/>
      <c r="AO593" s="101"/>
      <c r="AP593" s="101"/>
      <c r="AQ593" s="101"/>
      <c r="AR593" s="101"/>
      <c r="AS593" s="101"/>
      <c r="AT593" s="101"/>
      <c r="AU593" s="101"/>
      <c r="AV593" s="101"/>
      <c r="AW593" s="101"/>
      <c r="AX593" s="101"/>
      <c r="AY593" s="101"/>
      <c r="AZ593" s="101"/>
      <c r="BA593" s="101"/>
      <c r="BB593" s="101"/>
      <c r="BC593" s="101"/>
      <c r="BD593" s="101"/>
      <c r="BE593" s="101"/>
      <c r="BF593" s="101"/>
      <c r="BG593" s="101"/>
      <c r="BH593" s="101"/>
      <c r="BI593" s="101"/>
      <c r="BJ593" s="101"/>
      <c r="BK593" s="101"/>
      <c r="BL593" s="101"/>
      <c r="BM593" s="101"/>
      <c r="BN593" s="101"/>
      <c r="BO593" s="101"/>
      <c r="BP593" s="101"/>
      <c r="BQ593" s="101"/>
      <c r="BR593" s="101"/>
      <c r="BS593" s="101"/>
      <c r="BT593" s="101"/>
      <c r="BU593" s="101"/>
      <c r="BV593" s="101"/>
      <c r="BW593" s="101"/>
      <c r="BX593" s="101"/>
      <c r="BY593" s="101"/>
      <c r="BZ593" s="101"/>
      <c r="CA593" s="101"/>
      <c r="CB593" s="101"/>
      <c r="CC593" s="101"/>
      <c r="CD593" s="101"/>
      <c r="CE593" s="101"/>
      <c r="CF593" s="101"/>
      <c r="CG593" s="101"/>
      <c r="CH593" s="101"/>
      <c r="CI593" s="101"/>
      <c r="CJ593" s="101"/>
      <c r="CK593" s="101"/>
      <c r="CL593" s="101"/>
      <c r="CM593" s="101"/>
      <c r="CN593" s="101"/>
      <c r="CO593" s="101"/>
      <c r="CP593" s="101"/>
      <c r="CQ593" s="101"/>
      <c r="CR593" s="101"/>
      <c r="CS593" s="101"/>
      <c r="CT593" s="101"/>
      <c r="CU593" s="101"/>
      <c r="CV593" s="101"/>
      <c r="CW593" s="101"/>
      <c r="CX593" s="101"/>
      <c r="CY593" s="101"/>
      <c r="CZ593" s="101"/>
      <c r="DA593" s="101"/>
      <c r="DB593" s="101"/>
      <c r="DC593" s="101"/>
      <c r="DD593" s="101"/>
      <c r="DE593" s="101"/>
      <c r="DF593" s="101"/>
    </row>
    <row r="594">
      <c r="A594" s="29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71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101"/>
      <c r="AF594" s="101"/>
      <c r="AG594" s="101"/>
      <c r="AH594" s="101"/>
      <c r="AI594" s="101"/>
      <c r="AJ594" s="101"/>
      <c r="AK594" s="101"/>
      <c r="AL594" s="101"/>
      <c r="AM594" s="29"/>
      <c r="AN594" s="101"/>
      <c r="AO594" s="101"/>
      <c r="AP594" s="101"/>
      <c r="AQ594" s="101"/>
      <c r="AR594" s="101"/>
      <c r="AS594" s="101"/>
      <c r="AT594" s="101"/>
      <c r="AU594" s="101"/>
      <c r="AV594" s="101"/>
      <c r="AW594" s="101"/>
      <c r="AX594" s="101"/>
      <c r="AY594" s="101"/>
      <c r="AZ594" s="101"/>
      <c r="BA594" s="101"/>
      <c r="BB594" s="101"/>
      <c r="BC594" s="101"/>
      <c r="BD594" s="101"/>
      <c r="BE594" s="101"/>
      <c r="BF594" s="101"/>
      <c r="BG594" s="101"/>
      <c r="BH594" s="101"/>
      <c r="BI594" s="101"/>
      <c r="BJ594" s="101"/>
      <c r="BK594" s="101"/>
      <c r="BL594" s="101"/>
      <c r="BM594" s="101"/>
      <c r="BN594" s="101"/>
      <c r="BO594" s="101"/>
      <c r="BP594" s="101"/>
      <c r="BQ594" s="101"/>
      <c r="BR594" s="101"/>
      <c r="BS594" s="101"/>
      <c r="BT594" s="101"/>
      <c r="BU594" s="101"/>
      <c r="BV594" s="101"/>
      <c r="BW594" s="101"/>
      <c r="BX594" s="101"/>
      <c r="BY594" s="101"/>
      <c r="BZ594" s="101"/>
      <c r="CA594" s="101"/>
      <c r="CB594" s="101"/>
      <c r="CC594" s="101"/>
      <c r="CD594" s="101"/>
      <c r="CE594" s="101"/>
      <c r="CF594" s="101"/>
      <c r="CG594" s="101"/>
      <c r="CH594" s="101"/>
      <c r="CI594" s="101"/>
      <c r="CJ594" s="101"/>
      <c r="CK594" s="101"/>
      <c r="CL594" s="101"/>
      <c r="CM594" s="101"/>
      <c r="CN594" s="101"/>
      <c r="CO594" s="101"/>
      <c r="CP594" s="101"/>
      <c r="CQ594" s="101"/>
      <c r="CR594" s="101"/>
      <c r="CS594" s="101"/>
      <c r="CT594" s="101"/>
      <c r="CU594" s="101"/>
      <c r="CV594" s="101"/>
      <c r="CW594" s="101"/>
      <c r="CX594" s="101"/>
      <c r="CY594" s="101"/>
      <c r="CZ594" s="101"/>
      <c r="DA594" s="101"/>
      <c r="DB594" s="101"/>
      <c r="DC594" s="101"/>
      <c r="DD594" s="101"/>
      <c r="DE594" s="101"/>
      <c r="DF594" s="101"/>
    </row>
    <row r="595">
      <c r="A595" s="29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71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101"/>
      <c r="AF595" s="101"/>
      <c r="AG595" s="101"/>
      <c r="AH595" s="101"/>
      <c r="AI595" s="101"/>
      <c r="AJ595" s="101"/>
      <c r="AK595" s="101"/>
      <c r="AL595" s="101"/>
      <c r="AM595" s="29"/>
      <c r="AN595" s="101"/>
      <c r="AO595" s="101"/>
      <c r="AP595" s="101"/>
      <c r="AQ595" s="101"/>
      <c r="AR595" s="101"/>
      <c r="AS595" s="101"/>
      <c r="AT595" s="101"/>
      <c r="AU595" s="101"/>
      <c r="AV595" s="101"/>
      <c r="AW595" s="101"/>
      <c r="AX595" s="101"/>
      <c r="AY595" s="101"/>
      <c r="AZ595" s="101"/>
      <c r="BA595" s="101"/>
      <c r="BB595" s="101"/>
      <c r="BC595" s="101"/>
      <c r="BD595" s="101"/>
      <c r="BE595" s="101"/>
      <c r="BF595" s="101"/>
      <c r="BG595" s="101"/>
      <c r="BH595" s="101"/>
      <c r="BI595" s="101"/>
      <c r="BJ595" s="101"/>
      <c r="BK595" s="101"/>
      <c r="BL595" s="101"/>
      <c r="BM595" s="101"/>
      <c r="BN595" s="101"/>
      <c r="BO595" s="101"/>
      <c r="BP595" s="101"/>
      <c r="BQ595" s="101"/>
      <c r="BR595" s="101"/>
      <c r="BS595" s="101"/>
      <c r="BT595" s="101"/>
      <c r="BU595" s="101"/>
      <c r="BV595" s="101"/>
      <c r="BW595" s="101"/>
      <c r="BX595" s="101"/>
      <c r="BY595" s="101"/>
      <c r="BZ595" s="101"/>
      <c r="CA595" s="101"/>
      <c r="CB595" s="101"/>
      <c r="CC595" s="101"/>
      <c r="CD595" s="101"/>
      <c r="CE595" s="101"/>
      <c r="CF595" s="101"/>
      <c r="CG595" s="101"/>
      <c r="CH595" s="101"/>
      <c r="CI595" s="101"/>
      <c r="CJ595" s="101"/>
      <c r="CK595" s="101"/>
      <c r="CL595" s="101"/>
      <c r="CM595" s="101"/>
      <c r="CN595" s="101"/>
      <c r="CO595" s="101"/>
      <c r="CP595" s="101"/>
      <c r="CQ595" s="101"/>
      <c r="CR595" s="101"/>
      <c r="CS595" s="101"/>
      <c r="CT595" s="101"/>
      <c r="CU595" s="101"/>
      <c r="CV595" s="101"/>
      <c r="CW595" s="101"/>
      <c r="CX595" s="101"/>
      <c r="CY595" s="101"/>
      <c r="CZ595" s="101"/>
      <c r="DA595" s="101"/>
      <c r="DB595" s="101"/>
      <c r="DC595" s="101"/>
      <c r="DD595" s="101"/>
      <c r="DE595" s="101"/>
      <c r="DF595" s="101"/>
    </row>
    <row r="596">
      <c r="A596" s="29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71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101"/>
      <c r="AF596" s="101"/>
      <c r="AG596" s="101"/>
      <c r="AH596" s="101"/>
      <c r="AI596" s="101"/>
      <c r="AJ596" s="101"/>
      <c r="AK596" s="101"/>
      <c r="AL596" s="101"/>
      <c r="AM596" s="29"/>
      <c r="AN596" s="101"/>
      <c r="AO596" s="101"/>
      <c r="AP596" s="101"/>
      <c r="AQ596" s="101"/>
      <c r="AR596" s="101"/>
      <c r="AS596" s="101"/>
      <c r="AT596" s="101"/>
      <c r="AU596" s="101"/>
      <c r="AV596" s="101"/>
      <c r="AW596" s="101"/>
      <c r="AX596" s="101"/>
      <c r="AY596" s="101"/>
      <c r="AZ596" s="101"/>
      <c r="BA596" s="101"/>
      <c r="BB596" s="101"/>
      <c r="BC596" s="101"/>
      <c r="BD596" s="101"/>
      <c r="BE596" s="101"/>
      <c r="BF596" s="101"/>
      <c r="BG596" s="101"/>
      <c r="BH596" s="101"/>
      <c r="BI596" s="101"/>
      <c r="BJ596" s="101"/>
      <c r="BK596" s="101"/>
      <c r="BL596" s="101"/>
      <c r="BM596" s="101"/>
      <c r="BN596" s="101"/>
      <c r="BO596" s="101"/>
      <c r="BP596" s="101"/>
      <c r="BQ596" s="101"/>
      <c r="BR596" s="101"/>
      <c r="BS596" s="101"/>
      <c r="BT596" s="101"/>
      <c r="BU596" s="101"/>
      <c r="BV596" s="101"/>
      <c r="BW596" s="101"/>
      <c r="BX596" s="101"/>
      <c r="BY596" s="101"/>
      <c r="BZ596" s="101"/>
      <c r="CA596" s="101"/>
      <c r="CB596" s="101"/>
      <c r="CC596" s="101"/>
      <c r="CD596" s="101"/>
      <c r="CE596" s="101"/>
      <c r="CF596" s="101"/>
      <c r="CG596" s="101"/>
      <c r="CH596" s="101"/>
      <c r="CI596" s="101"/>
      <c r="CJ596" s="101"/>
      <c r="CK596" s="101"/>
      <c r="CL596" s="101"/>
      <c r="CM596" s="101"/>
      <c r="CN596" s="101"/>
      <c r="CO596" s="101"/>
      <c r="CP596" s="101"/>
      <c r="CQ596" s="101"/>
      <c r="CR596" s="101"/>
      <c r="CS596" s="101"/>
      <c r="CT596" s="101"/>
      <c r="CU596" s="101"/>
      <c r="CV596" s="101"/>
      <c r="CW596" s="101"/>
      <c r="CX596" s="101"/>
      <c r="CY596" s="101"/>
      <c r="CZ596" s="101"/>
      <c r="DA596" s="101"/>
      <c r="DB596" s="101"/>
      <c r="DC596" s="101"/>
      <c r="DD596" s="101"/>
      <c r="DE596" s="101"/>
      <c r="DF596" s="101"/>
    </row>
    <row r="597">
      <c r="A597" s="29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71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101"/>
      <c r="AF597" s="101"/>
      <c r="AG597" s="101"/>
      <c r="AH597" s="101"/>
      <c r="AI597" s="101"/>
      <c r="AJ597" s="101"/>
      <c r="AK597" s="101"/>
      <c r="AL597" s="101"/>
      <c r="AM597" s="29"/>
      <c r="AN597" s="101"/>
      <c r="AO597" s="101"/>
      <c r="AP597" s="101"/>
      <c r="AQ597" s="101"/>
      <c r="AR597" s="101"/>
      <c r="AS597" s="101"/>
      <c r="AT597" s="101"/>
      <c r="AU597" s="101"/>
      <c r="AV597" s="101"/>
      <c r="AW597" s="101"/>
      <c r="AX597" s="101"/>
      <c r="AY597" s="101"/>
      <c r="AZ597" s="101"/>
      <c r="BA597" s="101"/>
      <c r="BB597" s="101"/>
      <c r="BC597" s="101"/>
      <c r="BD597" s="101"/>
      <c r="BE597" s="101"/>
      <c r="BF597" s="101"/>
      <c r="BG597" s="101"/>
      <c r="BH597" s="101"/>
      <c r="BI597" s="101"/>
      <c r="BJ597" s="101"/>
      <c r="BK597" s="101"/>
      <c r="BL597" s="101"/>
      <c r="BM597" s="101"/>
      <c r="BN597" s="101"/>
      <c r="BO597" s="101"/>
      <c r="BP597" s="101"/>
      <c r="BQ597" s="101"/>
      <c r="BR597" s="101"/>
      <c r="BS597" s="101"/>
      <c r="BT597" s="101"/>
      <c r="BU597" s="101"/>
      <c r="BV597" s="101"/>
      <c r="BW597" s="101"/>
      <c r="BX597" s="101"/>
      <c r="BY597" s="101"/>
      <c r="BZ597" s="101"/>
      <c r="CA597" s="101"/>
      <c r="CB597" s="101"/>
      <c r="CC597" s="101"/>
      <c r="CD597" s="101"/>
      <c r="CE597" s="101"/>
      <c r="CF597" s="101"/>
      <c r="CG597" s="101"/>
      <c r="CH597" s="101"/>
      <c r="CI597" s="101"/>
      <c r="CJ597" s="101"/>
      <c r="CK597" s="101"/>
      <c r="CL597" s="101"/>
      <c r="CM597" s="101"/>
      <c r="CN597" s="101"/>
      <c r="CO597" s="101"/>
      <c r="CP597" s="101"/>
      <c r="CQ597" s="101"/>
      <c r="CR597" s="101"/>
      <c r="CS597" s="101"/>
      <c r="CT597" s="101"/>
      <c r="CU597" s="101"/>
      <c r="CV597" s="101"/>
      <c r="CW597" s="101"/>
      <c r="CX597" s="101"/>
      <c r="CY597" s="101"/>
      <c r="CZ597" s="101"/>
      <c r="DA597" s="101"/>
      <c r="DB597" s="101"/>
      <c r="DC597" s="101"/>
      <c r="DD597" s="101"/>
      <c r="DE597" s="101"/>
      <c r="DF597" s="101"/>
    </row>
    <row r="598">
      <c r="A598" s="29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71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101"/>
      <c r="AF598" s="101"/>
      <c r="AG598" s="101"/>
      <c r="AH598" s="101"/>
      <c r="AI598" s="101"/>
      <c r="AJ598" s="101"/>
      <c r="AK598" s="101"/>
      <c r="AL598" s="101"/>
      <c r="AM598" s="29"/>
      <c r="AN598" s="101"/>
      <c r="AO598" s="101"/>
      <c r="AP598" s="101"/>
      <c r="AQ598" s="101"/>
      <c r="AR598" s="101"/>
      <c r="AS598" s="101"/>
      <c r="AT598" s="101"/>
      <c r="AU598" s="101"/>
      <c r="AV598" s="101"/>
      <c r="AW598" s="101"/>
      <c r="AX598" s="101"/>
      <c r="AY598" s="101"/>
      <c r="AZ598" s="101"/>
      <c r="BA598" s="101"/>
      <c r="BB598" s="101"/>
      <c r="BC598" s="101"/>
      <c r="BD598" s="101"/>
      <c r="BE598" s="101"/>
      <c r="BF598" s="101"/>
      <c r="BG598" s="101"/>
      <c r="BH598" s="101"/>
      <c r="BI598" s="101"/>
      <c r="BJ598" s="101"/>
      <c r="BK598" s="101"/>
      <c r="BL598" s="101"/>
      <c r="BM598" s="101"/>
      <c r="BN598" s="101"/>
      <c r="BO598" s="101"/>
      <c r="BP598" s="101"/>
      <c r="BQ598" s="101"/>
      <c r="BR598" s="101"/>
      <c r="BS598" s="101"/>
      <c r="BT598" s="101"/>
      <c r="BU598" s="101"/>
      <c r="BV598" s="101"/>
      <c r="BW598" s="101"/>
      <c r="BX598" s="101"/>
      <c r="BY598" s="101"/>
      <c r="BZ598" s="101"/>
      <c r="CA598" s="101"/>
      <c r="CB598" s="101"/>
      <c r="CC598" s="101"/>
      <c r="CD598" s="101"/>
      <c r="CE598" s="101"/>
      <c r="CF598" s="101"/>
      <c r="CG598" s="101"/>
      <c r="CH598" s="101"/>
      <c r="CI598" s="101"/>
      <c r="CJ598" s="101"/>
      <c r="CK598" s="101"/>
      <c r="CL598" s="101"/>
      <c r="CM598" s="101"/>
      <c r="CN598" s="101"/>
      <c r="CO598" s="101"/>
      <c r="CP598" s="101"/>
      <c r="CQ598" s="101"/>
      <c r="CR598" s="101"/>
      <c r="CS598" s="101"/>
      <c r="CT598" s="101"/>
      <c r="CU598" s="101"/>
      <c r="CV598" s="101"/>
      <c r="CW598" s="101"/>
      <c r="CX598" s="101"/>
      <c r="CY598" s="101"/>
      <c r="CZ598" s="101"/>
      <c r="DA598" s="101"/>
      <c r="DB598" s="101"/>
      <c r="DC598" s="101"/>
      <c r="DD598" s="101"/>
      <c r="DE598" s="101"/>
      <c r="DF598" s="101"/>
    </row>
    <row r="599">
      <c r="A599" s="29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71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101"/>
      <c r="AF599" s="101"/>
      <c r="AG599" s="101"/>
      <c r="AH599" s="101"/>
      <c r="AI599" s="101"/>
      <c r="AJ599" s="101"/>
      <c r="AK599" s="101"/>
      <c r="AL599" s="101"/>
      <c r="AM599" s="29"/>
      <c r="AN599" s="101"/>
      <c r="AO599" s="101"/>
      <c r="AP599" s="101"/>
      <c r="AQ599" s="101"/>
      <c r="AR599" s="101"/>
      <c r="AS599" s="101"/>
      <c r="AT599" s="101"/>
      <c r="AU599" s="101"/>
      <c r="AV599" s="101"/>
      <c r="AW599" s="101"/>
      <c r="AX599" s="101"/>
      <c r="AY599" s="101"/>
      <c r="AZ599" s="101"/>
      <c r="BA599" s="101"/>
      <c r="BB599" s="101"/>
      <c r="BC599" s="101"/>
      <c r="BD599" s="101"/>
      <c r="BE599" s="101"/>
      <c r="BF599" s="101"/>
      <c r="BG599" s="101"/>
      <c r="BH599" s="101"/>
      <c r="BI599" s="101"/>
      <c r="BJ599" s="101"/>
      <c r="BK599" s="101"/>
      <c r="BL599" s="101"/>
      <c r="BM599" s="101"/>
      <c r="BN599" s="101"/>
      <c r="BO599" s="101"/>
      <c r="BP599" s="101"/>
      <c r="BQ599" s="101"/>
      <c r="BR599" s="101"/>
      <c r="BS599" s="101"/>
      <c r="BT599" s="101"/>
      <c r="BU599" s="101"/>
      <c r="BV599" s="101"/>
      <c r="BW599" s="101"/>
      <c r="BX599" s="101"/>
      <c r="BY599" s="101"/>
      <c r="BZ599" s="101"/>
      <c r="CA599" s="101"/>
      <c r="CB599" s="101"/>
      <c r="CC599" s="101"/>
      <c r="CD599" s="101"/>
      <c r="CE599" s="101"/>
      <c r="CF599" s="101"/>
      <c r="CG599" s="101"/>
      <c r="CH599" s="101"/>
      <c r="CI599" s="101"/>
      <c r="CJ599" s="101"/>
      <c r="CK599" s="101"/>
      <c r="CL599" s="101"/>
      <c r="CM599" s="101"/>
      <c r="CN599" s="101"/>
      <c r="CO599" s="101"/>
      <c r="CP599" s="101"/>
      <c r="CQ599" s="101"/>
      <c r="CR599" s="101"/>
      <c r="CS599" s="101"/>
      <c r="CT599" s="101"/>
      <c r="CU599" s="101"/>
      <c r="CV599" s="101"/>
      <c r="CW599" s="101"/>
      <c r="CX599" s="101"/>
      <c r="CY599" s="101"/>
      <c r="CZ599" s="101"/>
      <c r="DA599" s="101"/>
      <c r="DB599" s="101"/>
      <c r="DC599" s="101"/>
      <c r="DD599" s="101"/>
      <c r="DE599" s="101"/>
      <c r="DF599" s="101"/>
    </row>
    <row r="600">
      <c r="A600" s="29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71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101"/>
      <c r="AF600" s="101"/>
      <c r="AG600" s="101"/>
      <c r="AH600" s="101"/>
      <c r="AI600" s="101"/>
      <c r="AJ600" s="101"/>
      <c r="AK600" s="101"/>
      <c r="AL600" s="101"/>
      <c r="AM600" s="29"/>
      <c r="AN600" s="101"/>
      <c r="AO600" s="101"/>
      <c r="AP600" s="101"/>
      <c r="AQ600" s="101"/>
      <c r="AR600" s="101"/>
      <c r="AS600" s="101"/>
      <c r="AT600" s="101"/>
      <c r="AU600" s="101"/>
      <c r="AV600" s="101"/>
      <c r="AW600" s="101"/>
      <c r="AX600" s="101"/>
      <c r="AY600" s="101"/>
      <c r="AZ600" s="101"/>
      <c r="BA600" s="101"/>
      <c r="BB600" s="101"/>
      <c r="BC600" s="101"/>
      <c r="BD600" s="101"/>
      <c r="BE600" s="101"/>
      <c r="BF600" s="101"/>
      <c r="BG600" s="101"/>
      <c r="BH600" s="101"/>
      <c r="BI600" s="101"/>
      <c r="BJ600" s="101"/>
      <c r="BK600" s="101"/>
      <c r="BL600" s="101"/>
      <c r="BM600" s="101"/>
      <c r="BN600" s="101"/>
      <c r="BO600" s="101"/>
      <c r="BP600" s="101"/>
      <c r="BQ600" s="101"/>
      <c r="BR600" s="101"/>
      <c r="BS600" s="101"/>
      <c r="BT600" s="101"/>
      <c r="BU600" s="101"/>
      <c r="BV600" s="101"/>
      <c r="BW600" s="101"/>
      <c r="BX600" s="101"/>
      <c r="BY600" s="101"/>
      <c r="BZ600" s="101"/>
      <c r="CA600" s="101"/>
      <c r="CB600" s="101"/>
      <c r="CC600" s="101"/>
      <c r="CD600" s="101"/>
      <c r="CE600" s="101"/>
      <c r="CF600" s="101"/>
      <c r="CG600" s="101"/>
      <c r="CH600" s="101"/>
      <c r="CI600" s="101"/>
      <c r="CJ600" s="101"/>
      <c r="CK600" s="101"/>
      <c r="CL600" s="101"/>
      <c r="CM600" s="101"/>
      <c r="CN600" s="101"/>
      <c r="CO600" s="101"/>
      <c r="CP600" s="101"/>
      <c r="CQ600" s="101"/>
      <c r="CR600" s="101"/>
      <c r="CS600" s="101"/>
      <c r="CT600" s="101"/>
      <c r="CU600" s="101"/>
      <c r="CV600" s="101"/>
      <c r="CW600" s="101"/>
      <c r="CX600" s="101"/>
      <c r="CY600" s="101"/>
      <c r="CZ600" s="101"/>
      <c r="DA600" s="101"/>
      <c r="DB600" s="101"/>
      <c r="DC600" s="101"/>
      <c r="DD600" s="101"/>
      <c r="DE600" s="101"/>
      <c r="DF600" s="101"/>
    </row>
    <row r="601">
      <c r="A601" s="29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71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101"/>
      <c r="AF601" s="101"/>
      <c r="AG601" s="101"/>
      <c r="AH601" s="101"/>
      <c r="AI601" s="101"/>
      <c r="AJ601" s="101"/>
      <c r="AK601" s="101"/>
      <c r="AL601" s="101"/>
      <c r="AM601" s="29"/>
      <c r="AN601" s="101"/>
      <c r="AO601" s="101"/>
      <c r="AP601" s="101"/>
      <c r="AQ601" s="101"/>
      <c r="AR601" s="101"/>
      <c r="AS601" s="101"/>
      <c r="AT601" s="101"/>
      <c r="AU601" s="101"/>
      <c r="AV601" s="101"/>
      <c r="AW601" s="101"/>
      <c r="AX601" s="101"/>
      <c r="AY601" s="101"/>
      <c r="AZ601" s="101"/>
      <c r="BA601" s="101"/>
      <c r="BB601" s="101"/>
      <c r="BC601" s="101"/>
      <c r="BD601" s="101"/>
      <c r="BE601" s="101"/>
      <c r="BF601" s="101"/>
      <c r="BG601" s="101"/>
      <c r="BH601" s="101"/>
      <c r="BI601" s="101"/>
      <c r="BJ601" s="101"/>
      <c r="BK601" s="101"/>
      <c r="BL601" s="101"/>
      <c r="BM601" s="101"/>
      <c r="BN601" s="101"/>
      <c r="BO601" s="101"/>
      <c r="BP601" s="101"/>
      <c r="BQ601" s="101"/>
      <c r="BR601" s="101"/>
      <c r="BS601" s="101"/>
      <c r="BT601" s="101"/>
      <c r="BU601" s="101"/>
      <c r="BV601" s="101"/>
      <c r="BW601" s="101"/>
      <c r="BX601" s="101"/>
      <c r="BY601" s="101"/>
      <c r="BZ601" s="101"/>
      <c r="CA601" s="101"/>
      <c r="CB601" s="101"/>
      <c r="CC601" s="101"/>
      <c r="CD601" s="101"/>
      <c r="CE601" s="101"/>
      <c r="CF601" s="101"/>
      <c r="CG601" s="101"/>
      <c r="CH601" s="101"/>
      <c r="CI601" s="101"/>
      <c r="CJ601" s="101"/>
      <c r="CK601" s="101"/>
      <c r="CL601" s="101"/>
      <c r="CM601" s="101"/>
      <c r="CN601" s="101"/>
      <c r="CO601" s="101"/>
      <c r="CP601" s="101"/>
      <c r="CQ601" s="101"/>
      <c r="CR601" s="101"/>
      <c r="CS601" s="101"/>
      <c r="CT601" s="101"/>
      <c r="CU601" s="101"/>
      <c r="CV601" s="101"/>
      <c r="CW601" s="101"/>
      <c r="CX601" s="101"/>
      <c r="CY601" s="101"/>
      <c r="CZ601" s="101"/>
      <c r="DA601" s="101"/>
      <c r="DB601" s="101"/>
      <c r="DC601" s="101"/>
      <c r="DD601" s="101"/>
      <c r="DE601" s="101"/>
      <c r="DF601" s="101"/>
    </row>
    <row r="602">
      <c r="A602" s="29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71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101"/>
      <c r="AF602" s="101"/>
      <c r="AG602" s="101"/>
      <c r="AH602" s="101"/>
      <c r="AI602" s="101"/>
      <c r="AJ602" s="101"/>
      <c r="AK602" s="101"/>
      <c r="AL602" s="101"/>
      <c r="AM602" s="29"/>
      <c r="AN602" s="101"/>
      <c r="AO602" s="101"/>
      <c r="AP602" s="101"/>
      <c r="AQ602" s="101"/>
      <c r="AR602" s="101"/>
      <c r="AS602" s="101"/>
      <c r="AT602" s="101"/>
      <c r="AU602" s="101"/>
      <c r="AV602" s="101"/>
      <c r="AW602" s="101"/>
      <c r="AX602" s="101"/>
      <c r="AY602" s="101"/>
      <c r="AZ602" s="101"/>
      <c r="BA602" s="101"/>
      <c r="BB602" s="101"/>
      <c r="BC602" s="101"/>
      <c r="BD602" s="101"/>
      <c r="BE602" s="101"/>
      <c r="BF602" s="101"/>
      <c r="BG602" s="101"/>
      <c r="BH602" s="101"/>
      <c r="BI602" s="101"/>
      <c r="BJ602" s="101"/>
      <c r="BK602" s="101"/>
      <c r="BL602" s="101"/>
      <c r="BM602" s="101"/>
      <c r="BN602" s="101"/>
      <c r="BO602" s="101"/>
      <c r="BP602" s="101"/>
      <c r="BQ602" s="101"/>
      <c r="BR602" s="101"/>
      <c r="BS602" s="101"/>
      <c r="BT602" s="101"/>
      <c r="BU602" s="101"/>
      <c r="BV602" s="101"/>
      <c r="BW602" s="101"/>
      <c r="BX602" s="101"/>
      <c r="BY602" s="101"/>
      <c r="BZ602" s="101"/>
      <c r="CA602" s="101"/>
      <c r="CB602" s="101"/>
      <c r="CC602" s="101"/>
      <c r="CD602" s="101"/>
      <c r="CE602" s="101"/>
      <c r="CF602" s="101"/>
      <c r="CG602" s="101"/>
      <c r="CH602" s="101"/>
      <c r="CI602" s="101"/>
      <c r="CJ602" s="101"/>
      <c r="CK602" s="101"/>
      <c r="CL602" s="101"/>
      <c r="CM602" s="101"/>
      <c r="CN602" s="101"/>
      <c r="CO602" s="101"/>
      <c r="CP602" s="101"/>
      <c r="CQ602" s="101"/>
      <c r="CR602" s="101"/>
      <c r="CS602" s="101"/>
      <c r="CT602" s="101"/>
      <c r="CU602" s="101"/>
      <c r="CV602" s="101"/>
      <c r="CW602" s="101"/>
      <c r="CX602" s="101"/>
      <c r="CY602" s="101"/>
      <c r="CZ602" s="101"/>
      <c r="DA602" s="101"/>
      <c r="DB602" s="101"/>
      <c r="DC602" s="101"/>
      <c r="DD602" s="101"/>
      <c r="DE602" s="101"/>
      <c r="DF602" s="101"/>
    </row>
    <row r="603">
      <c r="A603" s="29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71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101"/>
      <c r="AF603" s="101"/>
      <c r="AG603" s="101"/>
      <c r="AH603" s="101"/>
      <c r="AI603" s="101"/>
      <c r="AJ603" s="101"/>
      <c r="AK603" s="101"/>
      <c r="AL603" s="101"/>
      <c r="AM603" s="29"/>
      <c r="AN603" s="101"/>
      <c r="AO603" s="101"/>
      <c r="AP603" s="101"/>
      <c r="AQ603" s="101"/>
      <c r="AR603" s="101"/>
      <c r="AS603" s="101"/>
      <c r="AT603" s="101"/>
      <c r="AU603" s="101"/>
      <c r="AV603" s="101"/>
      <c r="AW603" s="101"/>
      <c r="AX603" s="101"/>
      <c r="AY603" s="101"/>
      <c r="AZ603" s="101"/>
      <c r="BA603" s="101"/>
      <c r="BB603" s="101"/>
      <c r="BC603" s="101"/>
      <c r="BD603" s="101"/>
      <c r="BE603" s="101"/>
      <c r="BF603" s="101"/>
      <c r="BG603" s="101"/>
      <c r="BH603" s="101"/>
      <c r="BI603" s="101"/>
      <c r="BJ603" s="101"/>
      <c r="BK603" s="101"/>
      <c r="BL603" s="101"/>
      <c r="BM603" s="101"/>
      <c r="BN603" s="101"/>
      <c r="BO603" s="101"/>
      <c r="BP603" s="101"/>
      <c r="BQ603" s="101"/>
      <c r="BR603" s="101"/>
      <c r="BS603" s="101"/>
      <c r="BT603" s="101"/>
      <c r="BU603" s="101"/>
      <c r="BV603" s="101"/>
      <c r="BW603" s="101"/>
      <c r="BX603" s="101"/>
      <c r="BY603" s="101"/>
      <c r="BZ603" s="101"/>
      <c r="CA603" s="101"/>
      <c r="CB603" s="101"/>
      <c r="CC603" s="101"/>
      <c r="CD603" s="101"/>
      <c r="CE603" s="101"/>
      <c r="CF603" s="101"/>
      <c r="CG603" s="101"/>
      <c r="CH603" s="101"/>
      <c r="CI603" s="101"/>
      <c r="CJ603" s="101"/>
      <c r="CK603" s="101"/>
      <c r="CL603" s="101"/>
      <c r="CM603" s="101"/>
      <c r="CN603" s="101"/>
      <c r="CO603" s="101"/>
      <c r="CP603" s="101"/>
      <c r="CQ603" s="101"/>
      <c r="CR603" s="101"/>
      <c r="CS603" s="101"/>
      <c r="CT603" s="101"/>
      <c r="CU603" s="101"/>
      <c r="CV603" s="101"/>
      <c r="CW603" s="101"/>
      <c r="CX603" s="101"/>
      <c r="CY603" s="101"/>
      <c r="CZ603" s="101"/>
      <c r="DA603" s="101"/>
      <c r="DB603" s="101"/>
      <c r="DC603" s="101"/>
      <c r="DD603" s="101"/>
      <c r="DE603" s="101"/>
      <c r="DF603" s="101"/>
    </row>
    <row r="604">
      <c r="A604" s="29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71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101"/>
      <c r="AF604" s="101"/>
      <c r="AG604" s="101"/>
      <c r="AH604" s="101"/>
      <c r="AI604" s="101"/>
      <c r="AJ604" s="101"/>
      <c r="AK604" s="101"/>
      <c r="AL604" s="101"/>
      <c r="AM604" s="29"/>
      <c r="AN604" s="101"/>
      <c r="AO604" s="101"/>
      <c r="AP604" s="101"/>
      <c r="AQ604" s="101"/>
      <c r="AR604" s="101"/>
      <c r="AS604" s="101"/>
      <c r="AT604" s="101"/>
      <c r="AU604" s="101"/>
      <c r="AV604" s="101"/>
      <c r="AW604" s="101"/>
      <c r="AX604" s="101"/>
      <c r="AY604" s="101"/>
      <c r="AZ604" s="101"/>
      <c r="BA604" s="101"/>
      <c r="BB604" s="101"/>
      <c r="BC604" s="101"/>
      <c r="BD604" s="101"/>
      <c r="BE604" s="101"/>
      <c r="BF604" s="101"/>
      <c r="BG604" s="101"/>
      <c r="BH604" s="101"/>
      <c r="BI604" s="101"/>
      <c r="BJ604" s="101"/>
      <c r="BK604" s="101"/>
      <c r="BL604" s="101"/>
      <c r="BM604" s="101"/>
      <c r="BN604" s="101"/>
      <c r="BO604" s="101"/>
      <c r="BP604" s="101"/>
      <c r="BQ604" s="101"/>
      <c r="BR604" s="101"/>
      <c r="BS604" s="101"/>
      <c r="BT604" s="101"/>
      <c r="BU604" s="101"/>
      <c r="BV604" s="101"/>
      <c r="BW604" s="101"/>
      <c r="BX604" s="101"/>
      <c r="BY604" s="101"/>
      <c r="BZ604" s="101"/>
      <c r="CA604" s="101"/>
      <c r="CB604" s="101"/>
      <c r="CC604" s="101"/>
      <c r="CD604" s="101"/>
      <c r="CE604" s="101"/>
      <c r="CF604" s="101"/>
      <c r="CG604" s="101"/>
      <c r="CH604" s="101"/>
      <c r="CI604" s="101"/>
      <c r="CJ604" s="101"/>
      <c r="CK604" s="101"/>
      <c r="CL604" s="101"/>
      <c r="CM604" s="101"/>
      <c r="CN604" s="101"/>
      <c r="CO604" s="101"/>
      <c r="CP604" s="101"/>
      <c r="CQ604" s="101"/>
      <c r="CR604" s="101"/>
      <c r="CS604" s="101"/>
      <c r="CT604" s="101"/>
      <c r="CU604" s="101"/>
      <c r="CV604" s="101"/>
      <c r="CW604" s="101"/>
      <c r="CX604" s="101"/>
      <c r="CY604" s="101"/>
      <c r="CZ604" s="101"/>
      <c r="DA604" s="101"/>
      <c r="DB604" s="101"/>
      <c r="DC604" s="101"/>
      <c r="DD604" s="101"/>
      <c r="DE604" s="101"/>
      <c r="DF604" s="101"/>
    </row>
    <row r="605">
      <c r="A605" s="29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71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101"/>
      <c r="AF605" s="101"/>
      <c r="AG605" s="101"/>
      <c r="AH605" s="101"/>
      <c r="AI605" s="101"/>
      <c r="AJ605" s="101"/>
      <c r="AK605" s="101"/>
      <c r="AL605" s="101"/>
      <c r="AM605" s="29"/>
      <c r="AN605" s="101"/>
      <c r="AO605" s="101"/>
      <c r="AP605" s="101"/>
      <c r="AQ605" s="101"/>
      <c r="AR605" s="101"/>
      <c r="AS605" s="101"/>
      <c r="AT605" s="101"/>
      <c r="AU605" s="101"/>
      <c r="AV605" s="101"/>
      <c r="AW605" s="101"/>
      <c r="AX605" s="101"/>
      <c r="AY605" s="101"/>
      <c r="AZ605" s="101"/>
      <c r="BA605" s="101"/>
      <c r="BB605" s="101"/>
      <c r="BC605" s="101"/>
      <c r="BD605" s="101"/>
      <c r="BE605" s="101"/>
      <c r="BF605" s="101"/>
      <c r="BG605" s="101"/>
      <c r="BH605" s="101"/>
      <c r="BI605" s="101"/>
      <c r="BJ605" s="101"/>
      <c r="BK605" s="101"/>
      <c r="BL605" s="101"/>
      <c r="BM605" s="101"/>
      <c r="BN605" s="101"/>
      <c r="BO605" s="101"/>
      <c r="BP605" s="101"/>
      <c r="BQ605" s="101"/>
      <c r="BR605" s="101"/>
      <c r="BS605" s="101"/>
      <c r="BT605" s="101"/>
      <c r="BU605" s="101"/>
      <c r="BV605" s="101"/>
      <c r="BW605" s="101"/>
      <c r="BX605" s="101"/>
      <c r="BY605" s="101"/>
      <c r="BZ605" s="101"/>
      <c r="CA605" s="101"/>
      <c r="CB605" s="101"/>
      <c r="CC605" s="101"/>
      <c r="CD605" s="101"/>
      <c r="CE605" s="101"/>
      <c r="CF605" s="101"/>
      <c r="CG605" s="101"/>
      <c r="CH605" s="101"/>
      <c r="CI605" s="101"/>
      <c r="CJ605" s="101"/>
      <c r="CK605" s="101"/>
      <c r="CL605" s="101"/>
      <c r="CM605" s="101"/>
      <c r="CN605" s="101"/>
      <c r="CO605" s="101"/>
      <c r="CP605" s="101"/>
      <c r="CQ605" s="101"/>
      <c r="CR605" s="101"/>
      <c r="CS605" s="101"/>
      <c r="CT605" s="101"/>
      <c r="CU605" s="101"/>
      <c r="CV605" s="101"/>
      <c r="CW605" s="101"/>
      <c r="CX605" s="101"/>
      <c r="CY605" s="101"/>
      <c r="CZ605" s="101"/>
      <c r="DA605" s="101"/>
      <c r="DB605" s="101"/>
      <c r="DC605" s="101"/>
      <c r="DD605" s="101"/>
      <c r="DE605" s="101"/>
      <c r="DF605" s="101"/>
    </row>
    <row r="606">
      <c r="A606" s="29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71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101"/>
      <c r="AF606" s="101"/>
      <c r="AG606" s="101"/>
      <c r="AH606" s="101"/>
      <c r="AI606" s="101"/>
      <c r="AJ606" s="101"/>
      <c r="AK606" s="101"/>
      <c r="AL606" s="101"/>
      <c r="AM606" s="29"/>
      <c r="AN606" s="101"/>
      <c r="AO606" s="101"/>
      <c r="AP606" s="101"/>
      <c r="AQ606" s="101"/>
      <c r="AR606" s="101"/>
      <c r="AS606" s="101"/>
      <c r="AT606" s="101"/>
      <c r="AU606" s="101"/>
      <c r="AV606" s="101"/>
      <c r="AW606" s="101"/>
      <c r="AX606" s="101"/>
      <c r="AY606" s="101"/>
      <c r="AZ606" s="101"/>
      <c r="BA606" s="101"/>
      <c r="BB606" s="101"/>
      <c r="BC606" s="101"/>
      <c r="BD606" s="101"/>
      <c r="BE606" s="101"/>
      <c r="BF606" s="101"/>
      <c r="BG606" s="101"/>
      <c r="BH606" s="101"/>
      <c r="BI606" s="101"/>
      <c r="BJ606" s="101"/>
      <c r="BK606" s="101"/>
      <c r="BL606" s="101"/>
      <c r="BM606" s="101"/>
      <c r="BN606" s="101"/>
      <c r="BO606" s="101"/>
      <c r="BP606" s="101"/>
      <c r="BQ606" s="101"/>
      <c r="BR606" s="101"/>
      <c r="BS606" s="101"/>
      <c r="BT606" s="101"/>
      <c r="BU606" s="101"/>
      <c r="BV606" s="101"/>
      <c r="BW606" s="101"/>
      <c r="BX606" s="101"/>
      <c r="BY606" s="101"/>
      <c r="BZ606" s="101"/>
      <c r="CA606" s="101"/>
      <c r="CB606" s="101"/>
      <c r="CC606" s="101"/>
      <c r="CD606" s="101"/>
      <c r="CE606" s="101"/>
      <c r="CF606" s="101"/>
      <c r="CG606" s="101"/>
      <c r="CH606" s="101"/>
      <c r="CI606" s="101"/>
      <c r="CJ606" s="101"/>
      <c r="CK606" s="101"/>
      <c r="CL606" s="101"/>
      <c r="CM606" s="101"/>
      <c r="CN606" s="101"/>
      <c r="CO606" s="101"/>
      <c r="CP606" s="101"/>
      <c r="CQ606" s="101"/>
      <c r="CR606" s="101"/>
      <c r="CS606" s="101"/>
      <c r="CT606" s="101"/>
      <c r="CU606" s="101"/>
      <c r="CV606" s="101"/>
      <c r="CW606" s="101"/>
      <c r="CX606" s="101"/>
      <c r="CY606" s="101"/>
      <c r="CZ606" s="101"/>
      <c r="DA606" s="101"/>
      <c r="DB606" s="101"/>
      <c r="DC606" s="101"/>
      <c r="DD606" s="101"/>
      <c r="DE606" s="101"/>
      <c r="DF606" s="101"/>
    </row>
    <row r="607">
      <c r="A607" s="29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71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101"/>
      <c r="AF607" s="101"/>
      <c r="AG607" s="101"/>
      <c r="AH607" s="101"/>
      <c r="AI607" s="101"/>
      <c r="AJ607" s="101"/>
      <c r="AK607" s="101"/>
      <c r="AL607" s="101"/>
      <c r="AM607" s="29"/>
      <c r="AN607" s="101"/>
      <c r="AO607" s="101"/>
      <c r="AP607" s="101"/>
      <c r="AQ607" s="101"/>
      <c r="AR607" s="101"/>
      <c r="AS607" s="101"/>
      <c r="AT607" s="101"/>
      <c r="AU607" s="101"/>
      <c r="AV607" s="101"/>
      <c r="AW607" s="101"/>
      <c r="AX607" s="101"/>
      <c r="AY607" s="101"/>
      <c r="AZ607" s="101"/>
      <c r="BA607" s="101"/>
      <c r="BB607" s="101"/>
      <c r="BC607" s="101"/>
      <c r="BD607" s="101"/>
      <c r="BE607" s="101"/>
      <c r="BF607" s="101"/>
      <c r="BG607" s="101"/>
      <c r="BH607" s="101"/>
      <c r="BI607" s="101"/>
      <c r="BJ607" s="101"/>
      <c r="BK607" s="101"/>
      <c r="BL607" s="101"/>
      <c r="BM607" s="101"/>
      <c r="BN607" s="101"/>
      <c r="BO607" s="101"/>
      <c r="BP607" s="101"/>
      <c r="BQ607" s="101"/>
      <c r="BR607" s="101"/>
      <c r="BS607" s="101"/>
      <c r="BT607" s="101"/>
      <c r="BU607" s="101"/>
      <c r="BV607" s="101"/>
      <c r="BW607" s="101"/>
      <c r="BX607" s="101"/>
      <c r="BY607" s="101"/>
      <c r="BZ607" s="101"/>
      <c r="CA607" s="101"/>
      <c r="CB607" s="101"/>
      <c r="CC607" s="101"/>
      <c r="CD607" s="101"/>
      <c r="CE607" s="101"/>
      <c r="CF607" s="101"/>
      <c r="CG607" s="101"/>
      <c r="CH607" s="101"/>
      <c r="CI607" s="101"/>
      <c r="CJ607" s="101"/>
      <c r="CK607" s="101"/>
      <c r="CL607" s="101"/>
      <c r="CM607" s="101"/>
      <c r="CN607" s="101"/>
      <c r="CO607" s="101"/>
      <c r="CP607" s="101"/>
      <c r="CQ607" s="101"/>
      <c r="CR607" s="101"/>
      <c r="CS607" s="101"/>
      <c r="CT607" s="101"/>
      <c r="CU607" s="101"/>
      <c r="CV607" s="101"/>
      <c r="CW607" s="101"/>
      <c r="CX607" s="101"/>
      <c r="CY607" s="101"/>
      <c r="CZ607" s="101"/>
      <c r="DA607" s="101"/>
      <c r="DB607" s="101"/>
      <c r="DC607" s="101"/>
      <c r="DD607" s="101"/>
      <c r="DE607" s="101"/>
      <c r="DF607" s="101"/>
    </row>
    <row r="608">
      <c r="A608" s="29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71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101"/>
      <c r="AF608" s="101"/>
      <c r="AG608" s="101"/>
      <c r="AH608" s="101"/>
      <c r="AI608" s="101"/>
      <c r="AJ608" s="101"/>
      <c r="AK608" s="101"/>
      <c r="AL608" s="101"/>
      <c r="AM608" s="29"/>
      <c r="AN608" s="101"/>
      <c r="AO608" s="101"/>
      <c r="AP608" s="101"/>
      <c r="AQ608" s="101"/>
      <c r="AR608" s="101"/>
      <c r="AS608" s="101"/>
      <c r="AT608" s="101"/>
      <c r="AU608" s="101"/>
      <c r="AV608" s="101"/>
      <c r="AW608" s="101"/>
      <c r="AX608" s="101"/>
      <c r="AY608" s="101"/>
      <c r="AZ608" s="101"/>
      <c r="BA608" s="101"/>
      <c r="BB608" s="101"/>
      <c r="BC608" s="101"/>
      <c r="BD608" s="101"/>
      <c r="BE608" s="101"/>
      <c r="BF608" s="101"/>
      <c r="BG608" s="101"/>
      <c r="BH608" s="101"/>
      <c r="BI608" s="101"/>
      <c r="BJ608" s="101"/>
      <c r="BK608" s="101"/>
      <c r="BL608" s="101"/>
      <c r="BM608" s="101"/>
      <c r="BN608" s="101"/>
      <c r="BO608" s="101"/>
      <c r="BP608" s="101"/>
      <c r="BQ608" s="101"/>
      <c r="BR608" s="101"/>
      <c r="BS608" s="101"/>
      <c r="BT608" s="101"/>
      <c r="BU608" s="101"/>
      <c r="BV608" s="101"/>
      <c r="BW608" s="101"/>
      <c r="BX608" s="101"/>
      <c r="BY608" s="101"/>
      <c r="BZ608" s="101"/>
      <c r="CA608" s="101"/>
      <c r="CB608" s="101"/>
      <c r="CC608" s="101"/>
      <c r="CD608" s="101"/>
      <c r="CE608" s="101"/>
      <c r="CF608" s="101"/>
      <c r="CG608" s="101"/>
      <c r="CH608" s="101"/>
      <c r="CI608" s="101"/>
      <c r="CJ608" s="101"/>
      <c r="CK608" s="101"/>
      <c r="CL608" s="101"/>
      <c r="CM608" s="101"/>
      <c r="CN608" s="101"/>
      <c r="CO608" s="101"/>
      <c r="CP608" s="101"/>
      <c r="CQ608" s="101"/>
      <c r="CR608" s="101"/>
      <c r="CS608" s="101"/>
      <c r="CT608" s="101"/>
      <c r="CU608" s="101"/>
      <c r="CV608" s="101"/>
      <c r="CW608" s="101"/>
      <c r="CX608" s="101"/>
      <c r="CY608" s="101"/>
      <c r="CZ608" s="101"/>
      <c r="DA608" s="101"/>
      <c r="DB608" s="101"/>
      <c r="DC608" s="101"/>
      <c r="DD608" s="101"/>
      <c r="DE608" s="101"/>
      <c r="DF608" s="101"/>
    </row>
    <row r="609">
      <c r="A609" s="29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71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101"/>
      <c r="AF609" s="101"/>
      <c r="AG609" s="101"/>
      <c r="AH609" s="101"/>
      <c r="AI609" s="101"/>
      <c r="AJ609" s="101"/>
      <c r="AK609" s="101"/>
      <c r="AL609" s="101"/>
      <c r="AM609" s="29"/>
      <c r="AN609" s="101"/>
      <c r="AO609" s="101"/>
      <c r="AP609" s="101"/>
      <c r="AQ609" s="101"/>
      <c r="AR609" s="101"/>
      <c r="AS609" s="101"/>
      <c r="AT609" s="101"/>
      <c r="AU609" s="101"/>
      <c r="AV609" s="101"/>
      <c r="AW609" s="101"/>
      <c r="AX609" s="101"/>
      <c r="AY609" s="101"/>
      <c r="AZ609" s="101"/>
      <c r="BA609" s="101"/>
      <c r="BB609" s="101"/>
      <c r="BC609" s="101"/>
      <c r="BD609" s="101"/>
      <c r="BE609" s="101"/>
      <c r="BF609" s="101"/>
      <c r="BG609" s="101"/>
      <c r="BH609" s="101"/>
      <c r="BI609" s="101"/>
      <c r="BJ609" s="101"/>
      <c r="BK609" s="101"/>
      <c r="BL609" s="101"/>
      <c r="BM609" s="101"/>
      <c r="BN609" s="101"/>
      <c r="BO609" s="101"/>
      <c r="BP609" s="101"/>
      <c r="BQ609" s="101"/>
      <c r="BR609" s="101"/>
      <c r="BS609" s="101"/>
      <c r="BT609" s="101"/>
      <c r="BU609" s="101"/>
      <c r="BV609" s="101"/>
      <c r="BW609" s="101"/>
      <c r="BX609" s="101"/>
      <c r="BY609" s="101"/>
      <c r="BZ609" s="101"/>
      <c r="CA609" s="101"/>
      <c r="CB609" s="101"/>
      <c r="CC609" s="101"/>
      <c r="CD609" s="101"/>
      <c r="CE609" s="101"/>
      <c r="CF609" s="101"/>
      <c r="CG609" s="101"/>
      <c r="CH609" s="101"/>
      <c r="CI609" s="101"/>
      <c r="CJ609" s="101"/>
      <c r="CK609" s="101"/>
      <c r="CL609" s="101"/>
      <c r="CM609" s="101"/>
      <c r="CN609" s="101"/>
      <c r="CO609" s="101"/>
      <c r="CP609" s="101"/>
      <c r="CQ609" s="101"/>
      <c r="CR609" s="101"/>
      <c r="CS609" s="101"/>
      <c r="CT609" s="101"/>
      <c r="CU609" s="101"/>
      <c r="CV609" s="101"/>
      <c r="CW609" s="101"/>
      <c r="CX609" s="101"/>
      <c r="CY609" s="101"/>
      <c r="CZ609" s="101"/>
      <c r="DA609" s="101"/>
      <c r="DB609" s="101"/>
      <c r="DC609" s="101"/>
      <c r="DD609" s="101"/>
      <c r="DE609" s="101"/>
      <c r="DF609" s="101"/>
    </row>
    <row r="610">
      <c r="A610" s="29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71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101"/>
      <c r="AF610" s="101"/>
      <c r="AG610" s="101"/>
      <c r="AH610" s="101"/>
      <c r="AI610" s="101"/>
      <c r="AJ610" s="101"/>
      <c r="AK610" s="101"/>
      <c r="AL610" s="101"/>
      <c r="AM610" s="29"/>
      <c r="AN610" s="101"/>
      <c r="AO610" s="101"/>
      <c r="AP610" s="101"/>
      <c r="AQ610" s="101"/>
      <c r="AR610" s="101"/>
      <c r="AS610" s="101"/>
      <c r="AT610" s="101"/>
      <c r="AU610" s="101"/>
      <c r="AV610" s="101"/>
      <c r="AW610" s="101"/>
      <c r="AX610" s="101"/>
      <c r="AY610" s="101"/>
      <c r="AZ610" s="101"/>
      <c r="BA610" s="101"/>
      <c r="BB610" s="101"/>
      <c r="BC610" s="101"/>
      <c r="BD610" s="101"/>
      <c r="BE610" s="101"/>
      <c r="BF610" s="101"/>
      <c r="BG610" s="101"/>
      <c r="BH610" s="101"/>
      <c r="BI610" s="101"/>
      <c r="BJ610" s="101"/>
      <c r="BK610" s="101"/>
      <c r="BL610" s="101"/>
      <c r="BM610" s="101"/>
      <c r="BN610" s="101"/>
      <c r="BO610" s="101"/>
      <c r="BP610" s="101"/>
      <c r="BQ610" s="101"/>
      <c r="BR610" s="101"/>
      <c r="BS610" s="101"/>
      <c r="BT610" s="101"/>
      <c r="BU610" s="101"/>
      <c r="BV610" s="101"/>
      <c r="BW610" s="101"/>
      <c r="BX610" s="101"/>
      <c r="BY610" s="101"/>
      <c r="BZ610" s="101"/>
      <c r="CA610" s="101"/>
      <c r="CB610" s="101"/>
      <c r="CC610" s="101"/>
      <c r="CD610" s="101"/>
      <c r="CE610" s="101"/>
      <c r="CF610" s="101"/>
      <c r="CG610" s="101"/>
      <c r="CH610" s="101"/>
      <c r="CI610" s="101"/>
      <c r="CJ610" s="101"/>
      <c r="CK610" s="101"/>
      <c r="CL610" s="101"/>
      <c r="CM610" s="101"/>
      <c r="CN610" s="101"/>
      <c r="CO610" s="101"/>
      <c r="CP610" s="101"/>
      <c r="CQ610" s="101"/>
      <c r="CR610" s="101"/>
      <c r="CS610" s="101"/>
      <c r="CT610" s="101"/>
      <c r="CU610" s="101"/>
      <c r="CV610" s="101"/>
      <c r="CW610" s="101"/>
      <c r="CX610" s="101"/>
      <c r="CY610" s="101"/>
      <c r="CZ610" s="101"/>
      <c r="DA610" s="101"/>
      <c r="DB610" s="101"/>
      <c r="DC610" s="101"/>
      <c r="DD610" s="101"/>
      <c r="DE610" s="101"/>
      <c r="DF610" s="101"/>
    </row>
    <row r="611">
      <c r="A611" s="29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71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101"/>
      <c r="AF611" s="101"/>
      <c r="AG611" s="101"/>
      <c r="AH611" s="101"/>
      <c r="AI611" s="101"/>
      <c r="AJ611" s="101"/>
      <c r="AK611" s="101"/>
      <c r="AL611" s="101"/>
      <c r="AM611" s="29"/>
      <c r="AN611" s="101"/>
      <c r="AO611" s="101"/>
      <c r="AP611" s="101"/>
      <c r="AQ611" s="101"/>
      <c r="AR611" s="101"/>
      <c r="AS611" s="101"/>
      <c r="AT611" s="101"/>
      <c r="AU611" s="101"/>
      <c r="AV611" s="101"/>
      <c r="AW611" s="101"/>
      <c r="AX611" s="101"/>
      <c r="AY611" s="101"/>
      <c r="AZ611" s="101"/>
      <c r="BA611" s="101"/>
      <c r="BB611" s="101"/>
      <c r="BC611" s="101"/>
      <c r="BD611" s="101"/>
      <c r="BE611" s="101"/>
      <c r="BF611" s="101"/>
      <c r="BG611" s="101"/>
      <c r="BH611" s="101"/>
      <c r="BI611" s="101"/>
      <c r="BJ611" s="101"/>
      <c r="BK611" s="101"/>
      <c r="BL611" s="101"/>
      <c r="BM611" s="101"/>
      <c r="BN611" s="101"/>
      <c r="BO611" s="101"/>
      <c r="BP611" s="101"/>
      <c r="BQ611" s="101"/>
      <c r="BR611" s="101"/>
      <c r="BS611" s="101"/>
      <c r="BT611" s="101"/>
      <c r="BU611" s="101"/>
      <c r="BV611" s="101"/>
      <c r="BW611" s="101"/>
      <c r="BX611" s="101"/>
      <c r="BY611" s="101"/>
      <c r="BZ611" s="101"/>
      <c r="CA611" s="101"/>
      <c r="CB611" s="101"/>
      <c r="CC611" s="101"/>
      <c r="CD611" s="101"/>
      <c r="CE611" s="101"/>
      <c r="CF611" s="101"/>
      <c r="CG611" s="101"/>
      <c r="CH611" s="101"/>
      <c r="CI611" s="101"/>
      <c r="CJ611" s="101"/>
      <c r="CK611" s="101"/>
      <c r="CL611" s="101"/>
      <c r="CM611" s="101"/>
      <c r="CN611" s="101"/>
      <c r="CO611" s="101"/>
      <c r="CP611" s="101"/>
      <c r="CQ611" s="101"/>
      <c r="CR611" s="101"/>
      <c r="CS611" s="101"/>
      <c r="CT611" s="101"/>
      <c r="CU611" s="101"/>
      <c r="CV611" s="101"/>
      <c r="CW611" s="101"/>
      <c r="CX611" s="101"/>
      <c r="CY611" s="101"/>
      <c r="CZ611" s="101"/>
      <c r="DA611" s="101"/>
      <c r="DB611" s="101"/>
      <c r="DC611" s="101"/>
      <c r="DD611" s="101"/>
      <c r="DE611" s="101"/>
      <c r="DF611" s="101"/>
    </row>
    <row r="612">
      <c r="A612" s="29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71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101"/>
      <c r="AF612" s="101"/>
      <c r="AG612" s="101"/>
      <c r="AH612" s="101"/>
      <c r="AI612" s="101"/>
      <c r="AJ612" s="101"/>
      <c r="AK612" s="101"/>
      <c r="AL612" s="101"/>
      <c r="AM612" s="29"/>
      <c r="AN612" s="101"/>
      <c r="AO612" s="101"/>
      <c r="AP612" s="101"/>
      <c r="AQ612" s="101"/>
      <c r="AR612" s="101"/>
      <c r="AS612" s="101"/>
      <c r="AT612" s="101"/>
      <c r="AU612" s="101"/>
      <c r="AV612" s="101"/>
      <c r="AW612" s="101"/>
      <c r="AX612" s="101"/>
      <c r="AY612" s="101"/>
      <c r="AZ612" s="101"/>
      <c r="BA612" s="101"/>
      <c r="BB612" s="101"/>
      <c r="BC612" s="101"/>
      <c r="BD612" s="101"/>
      <c r="BE612" s="101"/>
      <c r="BF612" s="101"/>
      <c r="BG612" s="101"/>
      <c r="BH612" s="101"/>
      <c r="BI612" s="101"/>
      <c r="BJ612" s="101"/>
      <c r="BK612" s="101"/>
      <c r="BL612" s="101"/>
      <c r="BM612" s="101"/>
      <c r="BN612" s="101"/>
      <c r="BO612" s="101"/>
      <c r="BP612" s="101"/>
      <c r="BQ612" s="101"/>
      <c r="BR612" s="101"/>
      <c r="BS612" s="101"/>
      <c r="BT612" s="101"/>
      <c r="BU612" s="101"/>
      <c r="BV612" s="101"/>
      <c r="BW612" s="101"/>
      <c r="BX612" s="101"/>
      <c r="BY612" s="101"/>
      <c r="BZ612" s="101"/>
      <c r="CA612" s="101"/>
      <c r="CB612" s="101"/>
      <c r="CC612" s="101"/>
      <c r="CD612" s="101"/>
      <c r="CE612" s="101"/>
      <c r="CF612" s="101"/>
      <c r="CG612" s="101"/>
      <c r="CH612" s="101"/>
      <c r="CI612" s="101"/>
      <c r="CJ612" s="101"/>
      <c r="CK612" s="101"/>
      <c r="CL612" s="101"/>
      <c r="CM612" s="101"/>
      <c r="CN612" s="101"/>
      <c r="CO612" s="101"/>
      <c r="CP612" s="101"/>
      <c r="CQ612" s="101"/>
      <c r="CR612" s="101"/>
      <c r="CS612" s="101"/>
      <c r="CT612" s="101"/>
      <c r="CU612" s="101"/>
      <c r="CV612" s="101"/>
      <c r="CW612" s="101"/>
      <c r="CX612" s="101"/>
      <c r="CY612" s="101"/>
      <c r="CZ612" s="101"/>
      <c r="DA612" s="101"/>
      <c r="DB612" s="101"/>
      <c r="DC612" s="101"/>
      <c r="DD612" s="101"/>
      <c r="DE612" s="101"/>
      <c r="DF612" s="101"/>
    </row>
    <row r="613">
      <c r="A613" s="29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71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101"/>
      <c r="AF613" s="101"/>
      <c r="AG613" s="101"/>
      <c r="AH613" s="101"/>
      <c r="AI613" s="101"/>
      <c r="AJ613" s="101"/>
      <c r="AK613" s="101"/>
      <c r="AL613" s="101"/>
      <c r="AM613" s="29"/>
      <c r="AN613" s="101"/>
      <c r="AO613" s="101"/>
      <c r="AP613" s="101"/>
      <c r="AQ613" s="101"/>
      <c r="AR613" s="101"/>
      <c r="AS613" s="101"/>
      <c r="AT613" s="101"/>
      <c r="AU613" s="101"/>
      <c r="AV613" s="101"/>
      <c r="AW613" s="101"/>
      <c r="AX613" s="101"/>
      <c r="AY613" s="101"/>
      <c r="AZ613" s="101"/>
      <c r="BA613" s="101"/>
      <c r="BB613" s="101"/>
      <c r="BC613" s="101"/>
      <c r="BD613" s="101"/>
      <c r="BE613" s="101"/>
      <c r="BF613" s="101"/>
      <c r="BG613" s="101"/>
      <c r="BH613" s="101"/>
      <c r="BI613" s="101"/>
      <c r="BJ613" s="101"/>
      <c r="BK613" s="101"/>
      <c r="BL613" s="101"/>
      <c r="BM613" s="101"/>
      <c r="BN613" s="101"/>
      <c r="BO613" s="101"/>
      <c r="BP613" s="101"/>
      <c r="BQ613" s="101"/>
      <c r="BR613" s="101"/>
      <c r="BS613" s="101"/>
      <c r="BT613" s="101"/>
      <c r="BU613" s="101"/>
      <c r="BV613" s="101"/>
      <c r="BW613" s="101"/>
      <c r="BX613" s="101"/>
      <c r="BY613" s="101"/>
      <c r="BZ613" s="101"/>
      <c r="CA613" s="101"/>
      <c r="CB613" s="101"/>
      <c r="CC613" s="101"/>
      <c r="CD613" s="101"/>
      <c r="CE613" s="101"/>
      <c r="CF613" s="101"/>
      <c r="CG613" s="101"/>
      <c r="CH613" s="101"/>
      <c r="CI613" s="101"/>
      <c r="CJ613" s="101"/>
      <c r="CK613" s="101"/>
      <c r="CL613" s="101"/>
      <c r="CM613" s="101"/>
      <c r="CN613" s="101"/>
      <c r="CO613" s="101"/>
      <c r="CP613" s="101"/>
      <c r="CQ613" s="101"/>
      <c r="CR613" s="101"/>
      <c r="CS613" s="101"/>
      <c r="CT613" s="101"/>
      <c r="CU613" s="101"/>
      <c r="CV613" s="101"/>
      <c r="CW613" s="101"/>
      <c r="CX613" s="101"/>
      <c r="CY613" s="101"/>
      <c r="CZ613" s="101"/>
      <c r="DA613" s="101"/>
      <c r="DB613" s="101"/>
      <c r="DC613" s="101"/>
      <c r="DD613" s="101"/>
      <c r="DE613" s="101"/>
      <c r="DF613" s="101"/>
    </row>
    <row r="614">
      <c r="A614" s="29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71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101"/>
      <c r="AF614" s="101"/>
      <c r="AG614" s="101"/>
      <c r="AH614" s="101"/>
      <c r="AI614" s="101"/>
      <c r="AJ614" s="101"/>
      <c r="AK614" s="101"/>
      <c r="AL614" s="101"/>
      <c r="AM614" s="29"/>
      <c r="AN614" s="101"/>
      <c r="AO614" s="101"/>
      <c r="AP614" s="101"/>
      <c r="AQ614" s="101"/>
      <c r="AR614" s="101"/>
      <c r="AS614" s="101"/>
      <c r="AT614" s="101"/>
      <c r="AU614" s="101"/>
      <c r="AV614" s="101"/>
      <c r="AW614" s="101"/>
      <c r="AX614" s="101"/>
      <c r="AY614" s="101"/>
      <c r="AZ614" s="101"/>
      <c r="BA614" s="101"/>
      <c r="BB614" s="101"/>
      <c r="BC614" s="101"/>
      <c r="BD614" s="101"/>
      <c r="BE614" s="101"/>
      <c r="BF614" s="101"/>
      <c r="BG614" s="101"/>
      <c r="BH614" s="101"/>
      <c r="BI614" s="101"/>
      <c r="BJ614" s="101"/>
      <c r="BK614" s="101"/>
      <c r="BL614" s="101"/>
      <c r="BM614" s="101"/>
      <c r="BN614" s="101"/>
      <c r="BO614" s="101"/>
      <c r="BP614" s="101"/>
      <c r="BQ614" s="101"/>
      <c r="BR614" s="101"/>
      <c r="BS614" s="101"/>
      <c r="BT614" s="101"/>
      <c r="BU614" s="101"/>
      <c r="BV614" s="101"/>
      <c r="BW614" s="101"/>
      <c r="BX614" s="101"/>
      <c r="BY614" s="101"/>
      <c r="BZ614" s="101"/>
      <c r="CA614" s="101"/>
      <c r="CB614" s="101"/>
      <c r="CC614" s="101"/>
      <c r="CD614" s="101"/>
      <c r="CE614" s="101"/>
      <c r="CF614" s="101"/>
      <c r="CG614" s="101"/>
      <c r="CH614" s="101"/>
      <c r="CI614" s="101"/>
      <c r="CJ614" s="101"/>
      <c r="CK614" s="101"/>
      <c r="CL614" s="101"/>
      <c r="CM614" s="101"/>
      <c r="CN614" s="101"/>
      <c r="CO614" s="101"/>
      <c r="CP614" s="101"/>
      <c r="CQ614" s="101"/>
      <c r="CR614" s="101"/>
      <c r="CS614" s="101"/>
      <c r="CT614" s="101"/>
      <c r="CU614" s="101"/>
      <c r="CV614" s="101"/>
      <c r="CW614" s="101"/>
      <c r="CX614" s="101"/>
      <c r="CY614" s="101"/>
      <c r="CZ614" s="101"/>
      <c r="DA614" s="101"/>
      <c r="DB614" s="101"/>
      <c r="DC614" s="101"/>
      <c r="DD614" s="101"/>
      <c r="DE614" s="101"/>
      <c r="DF614" s="101"/>
    </row>
    <row r="615">
      <c r="A615" s="29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71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101"/>
      <c r="AF615" s="101"/>
      <c r="AG615" s="101"/>
      <c r="AH615" s="101"/>
      <c r="AI615" s="101"/>
      <c r="AJ615" s="101"/>
      <c r="AK615" s="101"/>
      <c r="AL615" s="101"/>
      <c r="AM615" s="29"/>
      <c r="AN615" s="101"/>
      <c r="AO615" s="101"/>
      <c r="AP615" s="101"/>
      <c r="AQ615" s="101"/>
      <c r="AR615" s="101"/>
      <c r="AS615" s="101"/>
      <c r="AT615" s="101"/>
      <c r="AU615" s="101"/>
      <c r="AV615" s="101"/>
      <c r="AW615" s="101"/>
      <c r="AX615" s="101"/>
      <c r="AY615" s="101"/>
      <c r="AZ615" s="101"/>
      <c r="BA615" s="101"/>
      <c r="BB615" s="101"/>
      <c r="BC615" s="101"/>
      <c r="BD615" s="101"/>
      <c r="BE615" s="101"/>
      <c r="BF615" s="101"/>
      <c r="BG615" s="101"/>
      <c r="BH615" s="101"/>
      <c r="BI615" s="101"/>
      <c r="BJ615" s="101"/>
      <c r="BK615" s="101"/>
      <c r="BL615" s="101"/>
      <c r="BM615" s="101"/>
      <c r="BN615" s="101"/>
      <c r="BO615" s="101"/>
      <c r="BP615" s="101"/>
      <c r="BQ615" s="101"/>
      <c r="BR615" s="101"/>
      <c r="BS615" s="101"/>
      <c r="BT615" s="101"/>
      <c r="BU615" s="101"/>
      <c r="BV615" s="101"/>
      <c r="BW615" s="101"/>
      <c r="BX615" s="101"/>
      <c r="BY615" s="101"/>
      <c r="BZ615" s="101"/>
      <c r="CA615" s="101"/>
      <c r="CB615" s="101"/>
      <c r="CC615" s="101"/>
      <c r="CD615" s="101"/>
      <c r="CE615" s="101"/>
      <c r="CF615" s="101"/>
      <c r="CG615" s="101"/>
      <c r="CH615" s="101"/>
      <c r="CI615" s="101"/>
      <c r="CJ615" s="101"/>
      <c r="CK615" s="101"/>
      <c r="CL615" s="101"/>
      <c r="CM615" s="101"/>
      <c r="CN615" s="101"/>
      <c r="CO615" s="101"/>
      <c r="CP615" s="101"/>
      <c r="CQ615" s="101"/>
      <c r="CR615" s="101"/>
      <c r="CS615" s="101"/>
      <c r="CT615" s="101"/>
      <c r="CU615" s="101"/>
      <c r="CV615" s="101"/>
      <c r="CW615" s="101"/>
      <c r="CX615" s="101"/>
      <c r="CY615" s="101"/>
      <c r="CZ615" s="101"/>
      <c r="DA615" s="101"/>
      <c r="DB615" s="101"/>
      <c r="DC615" s="101"/>
      <c r="DD615" s="101"/>
      <c r="DE615" s="101"/>
      <c r="DF615" s="101"/>
    </row>
    <row r="616">
      <c r="A616" s="29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71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101"/>
      <c r="AF616" s="101"/>
      <c r="AG616" s="101"/>
      <c r="AH616" s="101"/>
      <c r="AI616" s="101"/>
      <c r="AJ616" s="101"/>
      <c r="AK616" s="101"/>
      <c r="AL616" s="101"/>
      <c r="AM616" s="29"/>
      <c r="AN616" s="101"/>
      <c r="AO616" s="101"/>
      <c r="AP616" s="101"/>
      <c r="AQ616" s="101"/>
      <c r="AR616" s="101"/>
      <c r="AS616" s="101"/>
      <c r="AT616" s="101"/>
      <c r="AU616" s="101"/>
      <c r="AV616" s="101"/>
      <c r="AW616" s="101"/>
      <c r="AX616" s="101"/>
      <c r="AY616" s="101"/>
      <c r="AZ616" s="101"/>
      <c r="BA616" s="101"/>
      <c r="BB616" s="101"/>
      <c r="BC616" s="101"/>
      <c r="BD616" s="101"/>
      <c r="BE616" s="101"/>
      <c r="BF616" s="101"/>
      <c r="BG616" s="101"/>
      <c r="BH616" s="101"/>
      <c r="BI616" s="101"/>
      <c r="BJ616" s="101"/>
      <c r="BK616" s="101"/>
      <c r="BL616" s="101"/>
      <c r="BM616" s="101"/>
      <c r="BN616" s="101"/>
      <c r="BO616" s="101"/>
      <c r="BP616" s="101"/>
      <c r="BQ616" s="101"/>
      <c r="BR616" s="101"/>
      <c r="BS616" s="101"/>
      <c r="BT616" s="101"/>
      <c r="BU616" s="101"/>
      <c r="BV616" s="101"/>
      <c r="BW616" s="101"/>
      <c r="BX616" s="101"/>
      <c r="BY616" s="101"/>
      <c r="BZ616" s="101"/>
      <c r="CA616" s="101"/>
      <c r="CB616" s="101"/>
      <c r="CC616" s="101"/>
      <c r="CD616" s="101"/>
      <c r="CE616" s="101"/>
      <c r="CF616" s="101"/>
      <c r="CG616" s="101"/>
      <c r="CH616" s="101"/>
      <c r="CI616" s="101"/>
      <c r="CJ616" s="101"/>
      <c r="CK616" s="101"/>
      <c r="CL616" s="101"/>
      <c r="CM616" s="101"/>
      <c r="CN616" s="101"/>
      <c r="CO616" s="101"/>
      <c r="CP616" s="101"/>
      <c r="CQ616" s="101"/>
      <c r="CR616" s="101"/>
      <c r="CS616" s="101"/>
      <c r="CT616" s="101"/>
      <c r="CU616" s="101"/>
      <c r="CV616" s="101"/>
      <c r="CW616" s="101"/>
      <c r="CX616" s="101"/>
      <c r="CY616" s="101"/>
      <c r="CZ616" s="101"/>
      <c r="DA616" s="101"/>
      <c r="DB616" s="101"/>
      <c r="DC616" s="101"/>
      <c r="DD616" s="101"/>
      <c r="DE616" s="101"/>
      <c r="DF616" s="101"/>
    </row>
    <row r="617">
      <c r="A617" s="29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71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101"/>
      <c r="AF617" s="101"/>
      <c r="AG617" s="101"/>
      <c r="AH617" s="101"/>
      <c r="AI617" s="101"/>
      <c r="AJ617" s="101"/>
      <c r="AK617" s="101"/>
      <c r="AL617" s="101"/>
      <c r="AM617" s="29"/>
      <c r="AN617" s="101"/>
      <c r="AO617" s="101"/>
      <c r="AP617" s="101"/>
      <c r="AQ617" s="101"/>
      <c r="AR617" s="101"/>
      <c r="AS617" s="101"/>
      <c r="AT617" s="101"/>
      <c r="AU617" s="101"/>
      <c r="AV617" s="101"/>
      <c r="AW617" s="101"/>
      <c r="AX617" s="101"/>
      <c r="AY617" s="101"/>
      <c r="AZ617" s="101"/>
      <c r="BA617" s="101"/>
      <c r="BB617" s="101"/>
      <c r="BC617" s="101"/>
      <c r="BD617" s="101"/>
      <c r="BE617" s="101"/>
      <c r="BF617" s="101"/>
      <c r="BG617" s="101"/>
      <c r="BH617" s="101"/>
      <c r="BI617" s="101"/>
      <c r="BJ617" s="101"/>
      <c r="BK617" s="101"/>
      <c r="BL617" s="101"/>
      <c r="BM617" s="101"/>
      <c r="BN617" s="101"/>
      <c r="BO617" s="101"/>
      <c r="BP617" s="101"/>
      <c r="BQ617" s="101"/>
      <c r="BR617" s="101"/>
      <c r="BS617" s="101"/>
      <c r="BT617" s="101"/>
      <c r="BU617" s="101"/>
      <c r="BV617" s="101"/>
      <c r="BW617" s="101"/>
      <c r="BX617" s="101"/>
      <c r="BY617" s="101"/>
      <c r="BZ617" s="101"/>
      <c r="CA617" s="101"/>
      <c r="CB617" s="101"/>
      <c r="CC617" s="101"/>
      <c r="CD617" s="101"/>
      <c r="CE617" s="101"/>
      <c r="CF617" s="101"/>
      <c r="CG617" s="101"/>
      <c r="CH617" s="101"/>
      <c r="CI617" s="101"/>
      <c r="CJ617" s="101"/>
      <c r="CK617" s="101"/>
      <c r="CL617" s="101"/>
      <c r="CM617" s="101"/>
      <c r="CN617" s="101"/>
      <c r="CO617" s="101"/>
      <c r="CP617" s="101"/>
      <c r="CQ617" s="101"/>
      <c r="CR617" s="101"/>
      <c r="CS617" s="101"/>
      <c r="CT617" s="101"/>
      <c r="CU617" s="101"/>
      <c r="CV617" s="101"/>
      <c r="CW617" s="101"/>
      <c r="CX617" s="101"/>
      <c r="CY617" s="101"/>
      <c r="CZ617" s="101"/>
      <c r="DA617" s="101"/>
      <c r="DB617" s="101"/>
      <c r="DC617" s="101"/>
      <c r="DD617" s="101"/>
      <c r="DE617" s="101"/>
      <c r="DF617" s="101"/>
    </row>
    <row r="618">
      <c r="A618" s="29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71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101"/>
      <c r="AF618" s="101"/>
      <c r="AG618" s="101"/>
      <c r="AH618" s="101"/>
      <c r="AI618" s="101"/>
      <c r="AJ618" s="101"/>
      <c r="AK618" s="101"/>
      <c r="AL618" s="101"/>
      <c r="AM618" s="29"/>
      <c r="AN618" s="101"/>
      <c r="AO618" s="101"/>
      <c r="AP618" s="101"/>
      <c r="AQ618" s="101"/>
      <c r="AR618" s="101"/>
      <c r="AS618" s="101"/>
      <c r="AT618" s="101"/>
      <c r="AU618" s="101"/>
      <c r="AV618" s="101"/>
      <c r="AW618" s="101"/>
      <c r="AX618" s="101"/>
      <c r="AY618" s="101"/>
      <c r="AZ618" s="101"/>
      <c r="BA618" s="101"/>
      <c r="BB618" s="101"/>
      <c r="BC618" s="101"/>
      <c r="BD618" s="101"/>
      <c r="BE618" s="101"/>
      <c r="BF618" s="101"/>
      <c r="BG618" s="101"/>
      <c r="BH618" s="101"/>
      <c r="BI618" s="101"/>
      <c r="BJ618" s="101"/>
      <c r="BK618" s="101"/>
      <c r="BL618" s="101"/>
      <c r="BM618" s="101"/>
      <c r="BN618" s="101"/>
      <c r="BO618" s="101"/>
      <c r="BP618" s="101"/>
      <c r="BQ618" s="101"/>
      <c r="BR618" s="101"/>
      <c r="BS618" s="101"/>
      <c r="BT618" s="101"/>
      <c r="BU618" s="101"/>
      <c r="BV618" s="101"/>
      <c r="BW618" s="101"/>
      <c r="BX618" s="101"/>
      <c r="BY618" s="101"/>
      <c r="BZ618" s="101"/>
      <c r="CA618" s="101"/>
      <c r="CB618" s="101"/>
      <c r="CC618" s="101"/>
      <c r="CD618" s="101"/>
      <c r="CE618" s="101"/>
      <c r="CF618" s="101"/>
      <c r="CG618" s="101"/>
      <c r="CH618" s="101"/>
      <c r="CI618" s="101"/>
      <c r="CJ618" s="101"/>
      <c r="CK618" s="101"/>
      <c r="CL618" s="101"/>
      <c r="CM618" s="101"/>
      <c r="CN618" s="101"/>
      <c r="CO618" s="101"/>
      <c r="CP618" s="101"/>
      <c r="CQ618" s="101"/>
      <c r="CR618" s="101"/>
      <c r="CS618" s="101"/>
      <c r="CT618" s="101"/>
      <c r="CU618" s="101"/>
      <c r="CV618" s="101"/>
      <c r="CW618" s="101"/>
      <c r="CX618" s="101"/>
      <c r="CY618" s="101"/>
      <c r="CZ618" s="101"/>
      <c r="DA618" s="101"/>
      <c r="DB618" s="101"/>
      <c r="DC618" s="101"/>
      <c r="DD618" s="101"/>
      <c r="DE618" s="101"/>
      <c r="DF618" s="101"/>
    </row>
    <row r="619">
      <c r="A619" s="29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71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101"/>
      <c r="AF619" s="101"/>
      <c r="AG619" s="101"/>
      <c r="AH619" s="101"/>
      <c r="AI619" s="101"/>
      <c r="AJ619" s="101"/>
      <c r="AK619" s="101"/>
      <c r="AL619" s="101"/>
      <c r="AM619" s="29"/>
      <c r="AN619" s="101"/>
      <c r="AO619" s="101"/>
      <c r="AP619" s="101"/>
      <c r="AQ619" s="101"/>
      <c r="AR619" s="101"/>
      <c r="AS619" s="101"/>
      <c r="AT619" s="101"/>
      <c r="AU619" s="101"/>
      <c r="AV619" s="101"/>
      <c r="AW619" s="101"/>
      <c r="AX619" s="101"/>
      <c r="AY619" s="101"/>
      <c r="AZ619" s="101"/>
      <c r="BA619" s="101"/>
      <c r="BB619" s="101"/>
      <c r="BC619" s="101"/>
      <c r="BD619" s="101"/>
      <c r="BE619" s="101"/>
      <c r="BF619" s="101"/>
      <c r="BG619" s="101"/>
      <c r="BH619" s="101"/>
      <c r="BI619" s="101"/>
      <c r="BJ619" s="101"/>
      <c r="BK619" s="101"/>
      <c r="BL619" s="101"/>
      <c r="BM619" s="101"/>
      <c r="BN619" s="101"/>
      <c r="BO619" s="101"/>
      <c r="BP619" s="101"/>
      <c r="BQ619" s="101"/>
      <c r="BR619" s="101"/>
      <c r="BS619" s="101"/>
      <c r="BT619" s="101"/>
      <c r="BU619" s="101"/>
      <c r="BV619" s="101"/>
      <c r="BW619" s="101"/>
      <c r="BX619" s="101"/>
      <c r="BY619" s="101"/>
      <c r="BZ619" s="101"/>
      <c r="CA619" s="101"/>
      <c r="CB619" s="101"/>
      <c r="CC619" s="101"/>
      <c r="CD619" s="101"/>
      <c r="CE619" s="101"/>
      <c r="CF619" s="101"/>
      <c r="CG619" s="101"/>
      <c r="CH619" s="101"/>
      <c r="CI619" s="101"/>
      <c r="CJ619" s="101"/>
      <c r="CK619" s="101"/>
      <c r="CL619" s="101"/>
      <c r="CM619" s="101"/>
      <c r="CN619" s="101"/>
      <c r="CO619" s="101"/>
      <c r="CP619" s="101"/>
      <c r="CQ619" s="101"/>
      <c r="CR619" s="101"/>
      <c r="CS619" s="101"/>
      <c r="CT619" s="101"/>
      <c r="CU619" s="101"/>
      <c r="CV619" s="101"/>
      <c r="CW619" s="101"/>
      <c r="CX619" s="101"/>
      <c r="CY619" s="101"/>
      <c r="CZ619" s="101"/>
      <c r="DA619" s="101"/>
      <c r="DB619" s="101"/>
      <c r="DC619" s="101"/>
      <c r="DD619" s="101"/>
      <c r="DE619" s="101"/>
      <c r="DF619" s="101"/>
    </row>
    <row r="620">
      <c r="A620" s="29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2"/>
      <c r="P620" s="101"/>
      <c r="Q620" s="101"/>
      <c r="R620" s="101"/>
      <c r="S620" s="101"/>
      <c r="T620" s="103"/>
      <c r="U620" s="103"/>
      <c r="V620" s="103"/>
      <c r="W620" s="104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  <c r="AM620" s="29"/>
      <c r="AN620" s="101"/>
      <c r="AO620" s="101"/>
      <c r="AP620" s="101"/>
      <c r="AQ620" s="101"/>
      <c r="AR620" s="101"/>
      <c r="AS620" s="101"/>
      <c r="AT620" s="101"/>
      <c r="AU620" s="101"/>
      <c r="AV620" s="101"/>
      <c r="AW620" s="101"/>
      <c r="AX620" s="101"/>
      <c r="AY620" s="101"/>
      <c r="AZ620" s="101"/>
      <c r="BA620" s="101"/>
      <c r="BB620" s="101"/>
      <c r="BC620" s="101"/>
      <c r="BD620" s="101"/>
      <c r="BE620" s="101"/>
      <c r="BF620" s="101"/>
      <c r="BG620" s="101"/>
      <c r="BH620" s="101"/>
      <c r="BI620" s="101"/>
      <c r="BJ620" s="101"/>
      <c r="BK620" s="101"/>
      <c r="BL620" s="101"/>
      <c r="BM620" s="101"/>
      <c r="BN620" s="101"/>
      <c r="BO620" s="101"/>
      <c r="BP620" s="101"/>
      <c r="BQ620" s="101"/>
      <c r="BR620" s="101"/>
      <c r="BS620" s="101"/>
      <c r="BT620" s="101"/>
      <c r="BU620" s="101"/>
      <c r="BV620" s="101"/>
      <c r="BW620" s="101"/>
      <c r="BX620" s="101"/>
      <c r="BY620" s="101"/>
      <c r="BZ620" s="101"/>
      <c r="CA620" s="101"/>
      <c r="CB620" s="101"/>
      <c r="CC620" s="101"/>
      <c r="CD620" s="101"/>
      <c r="CE620" s="101"/>
      <c r="CF620" s="101"/>
      <c r="CG620" s="101"/>
      <c r="CH620" s="101"/>
      <c r="CI620" s="101"/>
      <c r="CJ620" s="101"/>
      <c r="CK620" s="101"/>
      <c r="CL620" s="101"/>
      <c r="CM620" s="101"/>
      <c r="CN620" s="101"/>
      <c r="CO620" s="101"/>
      <c r="CP620" s="101"/>
      <c r="CQ620" s="101"/>
      <c r="CR620" s="101"/>
      <c r="CS620" s="101"/>
      <c r="CT620" s="101"/>
      <c r="CU620" s="101"/>
      <c r="CV620" s="101"/>
      <c r="CW620" s="101"/>
      <c r="CX620" s="101"/>
      <c r="CY620" s="101"/>
      <c r="CZ620" s="101"/>
      <c r="DA620" s="101"/>
      <c r="DB620" s="101"/>
      <c r="DC620" s="101"/>
      <c r="DD620" s="101"/>
      <c r="DE620" s="101"/>
      <c r="DF620" s="101"/>
    </row>
    <row r="621">
      <c r="A621" s="29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2"/>
      <c r="P621" s="101"/>
      <c r="Q621" s="101"/>
      <c r="R621" s="101"/>
      <c r="S621" s="101"/>
      <c r="T621" s="103"/>
      <c r="U621" s="103"/>
      <c r="V621" s="103"/>
      <c r="W621" s="104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  <c r="AL621" s="101"/>
      <c r="AM621" s="29"/>
      <c r="AN621" s="101"/>
      <c r="AO621" s="101"/>
      <c r="AP621" s="101"/>
      <c r="AQ621" s="101"/>
      <c r="AR621" s="101"/>
      <c r="AS621" s="101"/>
      <c r="AT621" s="101"/>
      <c r="AU621" s="101"/>
      <c r="AV621" s="101"/>
      <c r="AW621" s="101"/>
      <c r="AX621" s="101"/>
      <c r="AY621" s="101"/>
      <c r="AZ621" s="101"/>
      <c r="BA621" s="101"/>
      <c r="BB621" s="101"/>
      <c r="BC621" s="101"/>
      <c r="BD621" s="101"/>
      <c r="BE621" s="101"/>
      <c r="BF621" s="101"/>
      <c r="BG621" s="101"/>
      <c r="BH621" s="101"/>
      <c r="BI621" s="101"/>
      <c r="BJ621" s="101"/>
      <c r="BK621" s="101"/>
      <c r="BL621" s="101"/>
      <c r="BM621" s="101"/>
      <c r="BN621" s="101"/>
      <c r="BO621" s="101"/>
      <c r="BP621" s="101"/>
      <c r="BQ621" s="101"/>
      <c r="BR621" s="101"/>
      <c r="BS621" s="101"/>
      <c r="BT621" s="101"/>
      <c r="BU621" s="101"/>
      <c r="BV621" s="101"/>
      <c r="BW621" s="101"/>
      <c r="BX621" s="101"/>
      <c r="BY621" s="101"/>
      <c r="BZ621" s="101"/>
      <c r="CA621" s="101"/>
      <c r="CB621" s="101"/>
      <c r="CC621" s="101"/>
      <c r="CD621" s="101"/>
      <c r="CE621" s="101"/>
      <c r="CF621" s="101"/>
      <c r="CG621" s="101"/>
      <c r="CH621" s="101"/>
      <c r="CI621" s="101"/>
      <c r="CJ621" s="101"/>
      <c r="CK621" s="101"/>
      <c r="CL621" s="101"/>
      <c r="CM621" s="101"/>
      <c r="CN621" s="101"/>
      <c r="CO621" s="101"/>
      <c r="CP621" s="101"/>
      <c r="CQ621" s="101"/>
      <c r="CR621" s="101"/>
      <c r="CS621" s="101"/>
      <c r="CT621" s="101"/>
      <c r="CU621" s="101"/>
      <c r="CV621" s="101"/>
      <c r="CW621" s="101"/>
      <c r="CX621" s="101"/>
      <c r="CY621" s="101"/>
      <c r="CZ621" s="101"/>
      <c r="DA621" s="101"/>
      <c r="DB621" s="101"/>
      <c r="DC621" s="101"/>
      <c r="DD621" s="101"/>
      <c r="DE621" s="101"/>
      <c r="DF621" s="101"/>
    </row>
    <row r="622">
      <c r="A622" s="29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2"/>
      <c r="P622" s="101"/>
      <c r="Q622" s="101"/>
      <c r="R622" s="101"/>
      <c r="S622" s="101"/>
      <c r="T622" s="103"/>
      <c r="U622" s="103"/>
      <c r="V622" s="103"/>
      <c r="W622" s="104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  <c r="AL622" s="101"/>
      <c r="AM622" s="29"/>
      <c r="AN622" s="101"/>
      <c r="AO622" s="101"/>
      <c r="AP622" s="101"/>
      <c r="AQ622" s="101"/>
      <c r="AR622" s="101"/>
      <c r="AS622" s="101"/>
      <c r="AT622" s="101"/>
      <c r="AU622" s="101"/>
      <c r="AV622" s="101"/>
      <c r="AW622" s="101"/>
      <c r="AX622" s="101"/>
      <c r="AY622" s="101"/>
      <c r="AZ622" s="101"/>
      <c r="BA622" s="101"/>
      <c r="BB622" s="101"/>
      <c r="BC622" s="101"/>
      <c r="BD622" s="101"/>
      <c r="BE622" s="101"/>
      <c r="BF622" s="101"/>
      <c r="BG622" s="101"/>
      <c r="BH622" s="101"/>
      <c r="BI622" s="101"/>
      <c r="BJ622" s="101"/>
      <c r="BK622" s="101"/>
      <c r="BL622" s="101"/>
      <c r="BM622" s="101"/>
      <c r="BN622" s="101"/>
      <c r="BO622" s="101"/>
      <c r="BP622" s="101"/>
      <c r="BQ622" s="101"/>
      <c r="BR622" s="101"/>
      <c r="BS622" s="101"/>
      <c r="BT622" s="101"/>
      <c r="BU622" s="101"/>
      <c r="BV622" s="101"/>
      <c r="BW622" s="101"/>
      <c r="BX622" s="101"/>
      <c r="BY622" s="101"/>
      <c r="BZ622" s="101"/>
      <c r="CA622" s="101"/>
      <c r="CB622" s="101"/>
      <c r="CC622" s="101"/>
      <c r="CD622" s="101"/>
      <c r="CE622" s="101"/>
      <c r="CF622" s="101"/>
      <c r="CG622" s="101"/>
      <c r="CH622" s="101"/>
      <c r="CI622" s="101"/>
      <c r="CJ622" s="101"/>
      <c r="CK622" s="101"/>
      <c r="CL622" s="101"/>
      <c r="CM622" s="101"/>
      <c r="CN622" s="101"/>
      <c r="CO622" s="101"/>
      <c r="CP622" s="101"/>
      <c r="CQ622" s="101"/>
      <c r="CR622" s="101"/>
      <c r="CS622" s="101"/>
      <c r="CT622" s="101"/>
      <c r="CU622" s="101"/>
      <c r="CV622" s="101"/>
      <c r="CW622" s="101"/>
      <c r="CX622" s="101"/>
      <c r="CY622" s="101"/>
      <c r="CZ622" s="101"/>
      <c r="DA622" s="101"/>
      <c r="DB622" s="101"/>
      <c r="DC622" s="101"/>
      <c r="DD622" s="101"/>
      <c r="DE622" s="101"/>
      <c r="DF622" s="101"/>
    </row>
    <row r="623">
      <c r="A623" s="29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2"/>
      <c r="P623" s="101"/>
      <c r="Q623" s="101"/>
      <c r="R623" s="101"/>
      <c r="S623" s="101"/>
      <c r="T623" s="103"/>
      <c r="U623" s="103"/>
      <c r="V623" s="103"/>
      <c r="W623" s="104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  <c r="AL623" s="101"/>
      <c r="AM623" s="29"/>
      <c r="AN623" s="101"/>
      <c r="AO623" s="101"/>
      <c r="AP623" s="101"/>
      <c r="AQ623" s="101"/>
      <c r="AR623" s="101"/>
      <c r="AS623" s="101"/>
      <c r="AT623" s="101"/>
      <c r="AU623" s="101"/>
      <c r="AV623" s="101"/>
      <c r="AW623" s="101"/>
      <c r="AX623" s="101"/>
      <c r="AY623" s="101"/>
      <c r="AZ623" s="101"/>
      <c r="BA623" s="101"/>
      <c r="BB623" s="101"/>
      <c r="BC623" s="101"/>
      <c r="BD623" s="101"/>
      <c r="BE623" s="101"/>
      <c r="BF623" s="101"/>
      <c r="BG623" s="101"/>
      <c r="BH623" s="101"/>
      <c r="BI623" s="101"/>
      <c r="BJ623" s="101"/>
      <c r="BK623" s="101"/>
      <c r="BL623" s="101"/>
      <c r="BM623" s="101"/>
      <c r="BN623" s="101"/>
      <c r="BO623" s="101"/>
      <c r="BP623" s="101"/>
      <c r="BQ623" s="101"/>
      <c r="BR623" s="101"/>
      <c r="BS623" s="101"/>
      <c r="BT623" s="101"/>
      <c r="BU623" s="101"/>
      <c r="BV623" s="101"/>
      <c r="BW623" s="101"/>
      <c r="BX623" s="101"/>
      <c r="BY623" s="101"/>
      <c r="BZ623" s="101"/>
      <c r="CA623" s="101"/>
      <c r="CB623" s="101"/>
      <c r="CC623" s="101"/>
      <c r="CD623" s="101"/>
      <c r="CE623" s="101"/>
      <c r="CF623" s="101"/>
      <c r="CG623" s="101"/>
      <c r="CH623" s="101"/>
      <c r="CI623" s="101"/>
      <c r="CJ623" s="101"/>
      <c r="CK623" s="101"/>
      <c r="CL623" s="101"/>
      <c r="CM623" s="101"/>
      <c r="CN623" s="101"/>
      <c r="CO623" s="101"/>
      <c r="CP623" s="101"/>
      <c r="CQ623" s="101"/>
      <c r="CR623" s="101"/>
      <c r="CS623" s="101"/>
      <c r="CT623" s="101"/>
      <c r="CU623" s="101"/>
      <c r="CV623" s="101"/>
      <c r="CW623" s="101"/>
      <c r="CX623" s="101"/>
      <c r="CY623" s="101"/>
      <c r="CZ623" s="101"/>
      <c r="DA623" s="101"/>
      <c r="DB623" s="101"/>
      <c r="DC623" s="101"/>
      <c r="DD623" s="101"/>
      <c r="DE623" s="101"/>
      <c r="DF623" s="101"/>
    </row>
    <row r="624">
      <c r="A624" s="29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2"/>
      <c r="P624" s="101"/>
      <c r="Q624" s="101"/>
      <c r="R624" s="101"/>
      <c r="S624" s="101"/>
      <c r="T624" s="103"/>
      <c r="U624" s="103"/>
      <c r="V624" s="103"/>
      <c r="W624" s="104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  <c r="AL624" s="101"/>
      <c r="AM624" s="29"/>
      <c r="AN624" s="101"/>
      <c r="AO624" s="101"/>
      <c r="AP624" s="101"/>
      <c r="AQ624" s="101"/>
      <c r="AR624" s="101"/>
      <c r="AS624" s="101"/>
      <c r="AT624" s="101"/>
      <c r="AU624" s="101"/>
      <c r="AV624" s="101"/>
      <c r="AW624" s="101"/>
      <c r="AX624" s="101"/>
      <c r="AY624" s="101"/>
      <c r="AZ624" s="101"/>
      <c r="BA624" s="101"/>
      <c r="BB624" s="101"/>
      <c r="BC624" s="101"/>
      <c r="BD624" s="101"/>
      <c r="BE624" s="101"/>
      <c r="BF624" s="101"/>
      <c r="BG624" s="101"/>
      <c r="BH624" s="101"/>
      <c r="BI624" s="101"/>
      <c r="BJ624" s="101"/>
      <c r="BK624" s="101"/>
      <c r="BL624" s="101"/>
      <c r="BM624" s="101"/>
      <c r="BN624" s="101"/>
      <c r="BO624" s="101"/>
      <c r="BP624" s="101"/>
      <c r="BQ624" s="101"/>
      <c r="BR624" s="101"/>
      <c r="BS624" s="101"/>
      <c r="BT624" s="101"/>
      <c r="BU624" s="101"/>
      <c r="BV624" s="101"/>
      <c r="BW624" s="101"/>
      <c r="BX624" s="101"/>
      <c r="BY624" s="101"/>
      <c r="BZ624" s="101"/>
      <c r="CA624" s="101"/>
      <c r="CB624" s="101"/>
      <c r="CC624" s="101"/>
      <c r="CD624" s="101"/>
      <c r="CE624" s="101"/>
      <c r="CF624" s="101"/>
      <c r="CG624" s="101"/>
      <c r="CH624" s="101"/>
      <c r="CI624" s="101"/>
      <c r="CJ624" s="101"/>
      <c r="CK624" s="101"/>
      <c r="CL624" s="101"/>
      <c r="CM624" s="101"/>
      <c r="CN624" s="101"/>
      <c r="CO624" s="101"/>
      <c r="CP624" s="101"/>
      <c r="CQ624" s="101"/>
      <c r="CR624" s="101"/>
      <c r="CS624" s="101"/>
      <c r="CT624" s="101"/>
      <c r="CU624" s="101"/>
      <c r="CV624" s="101"/>
      <c r="CW624" s="101"/>
      <c r="CX624" s="101"/>
      <c r="CY624" s="101"/>
      <c r="CZ624" s="101"/>
      <c r="DA624" s="101"/>
      <c r="DB624" s="101"/>
      <c r="DC624" s="101"/>
      <c r="DD624" s="101"/>
      <c r="DE624" s="101"/>
      <c r="DF624" s="101"/>
    </row>
    <row r="625">
      <c r="A625" s="29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2"/>
      <c r="P625" s="101"/>
      <c r="Q625" s="101"/>
      <c r="R625" s="101"/>
      <c r="S625" s="101"/>
      <c r="T625" s="103"/>
      <c r="U625" s="103"/>
      <c r="V625" s="103"/>
      <c r="W625" s="104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  <c r="AL625" s="101"/>
      <c r="AM625" s="29"/>
      <c r="AN625" s="101"/>
      <c r="AO625" s="101"/>
      <c r="AP625" s="101"/>
      <c r="AQ625" s="101"/>
      <c r="AR625" s="101"/>
      <c r="AS625" s="101"/>
      <c r="AT625" s="101"/>
      <c r="AU625" s="101"/>
      <c r="AV625" s="101"/>
      <c r="AW625" s="101"/>
      <c r="AX625" s="101"/>
      <c r="AY625" s="101"/>
      <c r="AZ625" s="101"/>
      <c r="BA625" s="101"/>
      <c r="BB625" s="101"/>
      <c r="BC625" s="101"/>
      <c r="BD625" s="101"/>
      <c r="BE625" s="101"/>
      <c r="BF625" s="101"/>
      <c r="BG625" s="101"/>
      <c r="BH625" s="101"/>
      <c r="BI625" s="101"/>
      <c r="BJ625" s="101"/>
      <c r="BK625" s="101"/>
      <c r="BL625" s="101"/>
      <c r="BM625" s="101"/>
      <c r="BN625" s="101"/>
      <c r="BO625" s="101"/>
      <c r="BP625" s="101"/>
      <c r="BQ625" s="101"/>
      <c r="BR625" s="101"/>
      <c r="BS625" s="101"/>
      <c r="BT625" s="101"/>
      <c r="BU625" s="101"/>
      <c r="BV625" s="101"/>
      <c r="BW625" s="101"/>
      <c r="BX625" s="101"/>
      <c r="BY625" s="101"/>
      <c r="BZ625" s="101"/>
      <c r="CA625" s="101"/>
      <c r="CB625" s="101"/>
      <c r="CC625" s="101"/>
      <c r="CD625" s="101"/>
      <c r="CE625" s="101"/>
      <c r="CF625" s="101"/>
      <c r="CG625" s="101"/>
      <c r="CH625" s="101"/>
      <c r="CI625" s="101"/>
      <c r="CJ625" s="101"/>
      <c r="CK625" s="101"/>
      <c r="CL625" s="101"/>
      <c r="CM625" s="101"/>
      <c r="CN625" s="101"/>
      <c r="CO625" s="101"/>
      <c r="CP625" s="101"/>
      <c r="CQ625" s="101"/>
      <c r="CR625" s="101"/>
      <c r="CS625" s="101"/>
      <c r="CT625" s="101"/>
      <c r="CU625" s="101"/>
      <c r="CV625" s="101"/>
      <c r="CW625" s="101"/>
      <c r="CX625" s="101"/>
      <c r="CY625" s="101"/>
      <c r="CZ625" s="101"/>
      <c r="DA625" s="101"/>
      <c r="DB625" s="101"/>
      <c r="DC625" s="101"/>
      <c r="DD625" s="101"/>
      <c r="DE625" s="101"/>
      <c r="DF625" s="101"/>
    </row>
    <row r="626">
      <c r="A626" s="29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2"/>
      <c r="P626" s="101"/>
      <c r="Q626" s="101"/>
      <c r="R626" s="101"/>
      <c r="S626" s="101"/>
      <c r="T626" s="103"/>
      <c r="U626" s="103"/>
      <c r="V626" s="103"/>
      <c r="W626" s="104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  <c r="AL626" s="101"/>
      <c r="AM626" s="29"/>
      <c r="AN626" s="101"/>
      <c r="AO626" s="101"/>
      <c r="AP626" s="101"/>
      <c r="AQ626" s="101"/>
      <c r="AR626" s="101"/>
      <c r="AS626" s="101"/>
      <c r="AT626" s="101"/>
      <c r="AU626" s="101"/>
      <c r="AV626" s="101"/>
      <c r="AW626" s="101"/>
      <c r="AX626" s="101"/>
      <c r="AY626" s="101"/>
      <c r="AZ626" s="101"/>
      <c r="BA626" s="101"/>
      <c r="BB626" s="101"/>
      <c r="BC626" s="101"/>
      <c r="BD626" s="101"/>
      <c r="BE626" s="101"/>
      <c r="BF626" s="101"/>
      <c r="BG626" s="101"/>
      <c r="BH626" s="101"/>
      <c r="BI626" s="101"/>
      <c r="BJ626" s="101"/>
      <c r="BK626" s="101"/>
      <c r="BL626" s="101"/>
      <c r="BM626" s="101"/>
      <c r="BN626" s="101"/>
      <c r="BO626" s="101"/>
      <c r="BP626" s="101"/>
      <c r="BQ626" s="101"/>
      <c r="BR626" s="101"/>
      <c r="BS626" s="101"/>
      <c r="BT626" s="101"/>
      <c r="BU626" s="101"/>
      <c r="BV626" s="101"/>
      <c r="BW626" s="101"/>
      <c r="BX626" s="101"/>
      <c r="BY626" s="101"/>
      <c r="BZ626" s="101"/>
      <c r="CA626" s="101"/>
      <c r="CB626" s="101"/>
      <c r="CC626" s="101"/>
      <c r="CD626" s="101"/>
      <c r="CE626" s="101"/>
      <c r="CF626" s="101"/>
      <c r="CG626" s="101"/>
      <c r="CH626" s="101"/>
      <c r="CI626" s="101"/>
      <c r="CJ626" s="101"/>
      <c r="CK626" s="101"/>
      <c r="CL626" s="101"/>
      <c r="CM626" s="101"/>
      <c r="CN626" s="101"/>
      <c r="CO626" s="101"/>
      <c r="CP626" s="101"/>
      <c r="CQ626" s="101"/>
      <c r="CR626" s="101"/>
      <c r="CS626" s="101"/>
      <c r="CT626" s="101"/>
      <c r="CU626" s="101"/>
      <c r="CV626" s="101"/>
      <c r="CW626" s="101"/>
      <c r="CX626" s="101"/>
      <c r="CY626" s="101"/>
      <c r="CZ626" s="101"/>
      <c r="DA626" s="101"/>
      <c r="DB626" s="101"/>
      <c r="DC626" s="101"/>
      <c r="DD626" s="101"/>
      <c r="DE626" s="101"/>
      <c r="DF626" s="101"/>
    </row>
    <row r="627">
      <c r="A627" s="29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2"/>
      <c r="P627" s="101"/>
      <c r="Q627" s="101"/>
      <c r="R627" s="101"/>
      <c r="S627" s="101"/>
      <c r="T627" s="103"/>
      <c r="U627" s="103"/>
      <c r="V627" s="103"/>
      <c r="W627" s="104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  <c r="AL627" s="101"/>
      <c r="AM627" s="29"/>
      <c r="AN627" s="101"/>
      <c r="AO627" s="101"/>
      <c r="AP627" s="101"/>
      <c r="AQ627" s="101"/>
      <c r="AR627" s="101"/>
      <c r="AS627" s="101"/>
      <c r="AT627" s="101"/>
      <c r="AU627" s="101"/>
      <c r="AV627" s="101"/>
      <c r="AW627" s="101"/>
      <c r="AX627" s="101"/>
      <c r="AY627" s="101"/>
      <c r="AZ627" s="101"/>
      <c r="BA627" s="101"/>
      <c r="BB627" s="101"/>
      <c r="BC627" s="101"/>
      <c r="BD627" s="101"/>
      <c r="BE627" s="101"/>
      <c r="BF627" s="101"/>
      <c r="BG627" s="101"/>
      <c r="BH627" s="101"/>
      <c r="BI627" s="101"/>
      <c r="BJ627" s="101"/>
      <c r="BK627" s="101"/>
      <c r="BL627" s="101"/>
      <c r="BM627" s="101"/>
      <c r="BN627" s="101"/>
      <c r="BO627" s="101"/>
      <c r="BP627" s="101"/>
      <c r="BQ627" s="101"/>
      <c r="BR627" s="101"/>
      <c r="BS627" s="101"/>
      <c r="BT627" s="101"/>
      <c r="BU627" s="101"/>
      <c r="BV627" s="101"/>
      <c r="BW627" s="101"/>
      <c r="BX627" s="101"/>
      <c r="BY627" s="101"/>
      <c r="BZ627" s="101"/>
      <c r="CA627" s="101"/>
      <c r="CB627" s="101"/>
      <c r="CC627" s="101"/>
      <c r="CD627" s="101"/>
      <c r="CE627" s="101"/>
      <c r="CF627" s="101"/>
      <c r="CG627" s="101"/>
      <c r="CH627" s="101"/>
      <c r="CI627" s="101"/>
      <c r="CJ627" s="101"/>
      <c r="CK627" s="101"/>
      <c r="CL627" s="101"/>
      <c r="CM627" s="101"/>
      <c r="CN627" s="101"/>
      <c r="CO627" s="101"/>
      <c r="CP627" s="101"/>
      <c r="CQ627" s="101"/>
      <c r="CR627" s="101"/>
      <c r="CS627" s="101"/>
      <c r="CT627" s="101"/>
      <c r="CU627" s="101"/>
      <c r="CV627" s="101"/>
      <c r="CW627" s="101"/>
      <c r="CX627" s="101"/>
      <c r="CY627" s="101"/>
      <c r="CZ627" s="101"/>
      <c r="DA627" s="101"/>
      <c r="DB627" s="101"/>
      <c r="DC627" s="101"/>
      <c r="DD627" s="101"/>
      <c r="DE627" s="101"/>
      <c r="DF627" s="101"/>
    </row>
    <row r="628">
      <c r="A628" s="29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2"/>
      <c r="P628" s="101"/>
      <c r="Q628" s="101"/>
      <c r="R628" s="101"/>
      <c r="S628" s="101"/>
      <c r="T628" s="103"/>
      <c r="U628" s="103"/>
      <c r="V628" s="103"/>
      <c r="W628" s="104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  <c r="AL628" s="101"/>
      <c r="AM628" s="29"/>
      <c r="AN628" s="101"/>
      <c r="AO628" s="101"/>
      <c r="AP628" s="101"/>
      <c r="AQ628" s="101"/>
      <c r="AR628" s="101"/>
      <c r="AS628" s="101"/>
      <c r="AT628" s="101"/>
      <c r="AU628" s="101"/>
      <c r="AV628" s="101"/>
      <c r="AW628" s="101"/>
      <c r="AX628" s="101"/>
      <c r="AY628" s="101"/>
      <c r="AZ628" s="101"/>
      <c r="BA628" s="101"/>
      <c r="BB628" s="101"/>
      <c r="BC628" s="101"/>
      <c r="BD628" s="101"/>
      <c r="BE628" s="101"/>
      <c r="BF628" s="101"/>
      <c r="BG628" s="101"/>
      <c r="BH628" s="101"/>
      <c r="BI628" s="101"/>
      <c r="BJ628" s="101"/>
      <c r="BK628" s="101"/>
      <c r="BL628" s="101"/>
      <c r="BM628" s="101"/>
      <c r="BN628" s="101"/>
      <c r="BO628" s="101"/>
      <c r="BP628" s="101"/>
      <c r="BQ628" s="101"/>
      <c r="BR628" s="101"/>
      <c r="BS628" s="101"/>
      <c r="BT628" s="101"/>
      <c r="BU628" s="101"/>
      <c r="BV628" s="101"/>
      <c r="BW628" s="101"/>
      <c r="BX628" s="101"/>
      <c r="BY628" s="101"/>
      <c r="BZ628" s="101"/>
      <c r="CA628" s="101"/>
      <c r="CB628" s="101"/>
      <c r="CC628" s="101"/>
      <c r="CD628" s="101"/>
      <c r="CE628" s="101"/>
      <c r="CF628" s="101"/>
      <c r="CG628" s="101"/>
      <c r="CH628" s="101"/>
      <c r="CI628" s="101"/>
      <c r="CJ628" s="101"/>
      <c r="CK628" s="101"/>
      <c r="CL628" s="101"/>
      <c r="CM628" s="101"/>
      <c r="CN628" s="101"/>
      <c r="CO628" s="101"/>
      <c r="CP628" s="101"/>
      <c r="CQ628" s="101"/>
      <c r="CR628" s="101"/>
      <c r="CS628" s="101"/>
      <c r="CT628" s="101"/>
      <c r="CU628" s="101"/>
      <c r="CV628" s="101"/>
      <c r="CW628" s="101"/>
      <c r="CX628" s="101"/>
      <c r="CY628" s="101"/>
      <c r="CZ628" s="101"/>
      <c r="DA628" s="101"/>
      <c r="DB628" s="101"/>
      <c r="DC628" s="101"/>
      <c r="DD628" s="101"/>
      <c r="DE628" s="101"/>
      <c r="DF628" s="101"/>
    </row>
    <row r="629">
      <c r="A629" s="29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2"/>
      <c r="P629" s="101"/>
      <c r="Q629" s="101"/>
      <c r="R629" s="101"/>
      <c r="S629" s="101"/>
      <c r="T629" s="103"/>
      <c r="U629" s="103"/>
      <c r="V629" s="103"/>
      <c r="W629" s="104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  <c r="AM629" s="29"/>
      <c r="AN629" s="101"/>
      <c r="AO629" s="101"/>
      <c r="AP629" s="101"/>
      <c r="AQ629" s="101"/>
      <c r="AR629" s="101"/>
      <c r="AS629" s="101"/>
      <c r="AT629" s="101"/>
      <c r="AU629" s="101"/>
      <c r="AV629" s="101"/>
      <c r="AW629" s="101"/>
      <c r="AX629" s="101"/>
      <c r="AY629" s="101"/>
      <c r="AZ629" s="101"/>
      <c r="BA629" s="101"/>
      <c r="BB629" s="101"/>
      <c r="BC629" s="101"/>
      <c r="BD629" s="101"/>
      <c r="BE629" s="101"/>
      <c r="BF629" s="101"/>
      <c r="BG629" s="101"/>
      <c r="BH629" s="101"/>
      <c r="BI629" s="101"/>
      <c r="BJ629" s="101"/>
      <c r="BK629" s="101"/>
      <c r="BL629" s="101"/>
      <c r="BM629" s="101"/>
      <c r="BN629" s="101"/>
      <c r="BO629" s="101"/>
      <c r="BP629" s="101"/>
      <c r="BQ629" s="101"/>
      <c r="BR629" s="101"/>
      <c r="BS629" s="101"/>
      <c r="BT629" s="101"/>
      <c r="BU629" s="101"/>
      <c r="BV629" s="101"/>
      <c r="BW629" s="101"/>
      <c r="BX629" s="101"/>
      <c r="BY629" s="101"/>
      <c r="BZ629" s="101"/>
      <c r="CA629" s="101"/>
      <c r="CB629" s="101"/>
      <c r="CC629" s="101"/>
      <c r="CD629" s="101"/>
      <c r="CE629" s="101"/>
      <c r="CF629" s="101"/>
      <c r="CG629" s="101"/>
      <c r="CH629" s="101"/>
      <c r="CI629" s="101"/>
      <c r="CJ629" s="101"/>
      <c r="CK629" s="101"/>
      <c r="CL629" s="101"/>
      <c r="CM629" s="101"/>
      <c r="CN629" s="101"/>
      <c r="CO629" s="101"/>
      <c r="CP629" s="101"/>
      <c r="CQ629" s="101"/>
      <c r="CR629" s="101"/>
      <c r="CS629" s="101"/>
      <c r="CT629" s="101"/>
      <c r="CU629" s="101"/>
      <c r="CV629" s="101"/>
      <c r="CW629" s="101"/>
      <c r="CX629" s="101"/>
      <c r="CY629" s="101"/>
      <c r="CZ629" s="101"/>
      <c r="DA629" s="101"/>
      <c r="DB629" s="101"/>
      <c r="DC629" s="101"/>
      <c r="DD629" s="101"/>
      <c r="DE629" s="101"/>
      <c r="DF629" s="101"/>
    </row>
    <row r="630">
      <c r="A630" s="29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2"/>
      <c r="P630" s="101"/>
      <c r="Q630" s="101"/>
      <c r="R630" s="101"/>
      <c r="S630" s="101"/>
      <c r="T630" s="103"/>
      <c r="U630" s="103"/>
      <c r="V630" s="103"/>
      <c r="W630" s="104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  <c r="AL630" s="101"/>
      <c r="AM630" s="29"/>
      <c r="AN630" s="101"/>
      <c r="AO630" s="101"/>
      <c r="AP630" s="101"/>
      <c r="AQ630" s="101"/>
      <c r="AR630" s="101"/>
      <c r="AS630" s="101"/>
      <c r="AT630" s="101"/>
      <c r="AU630" s="101"/>
      <c r="AV630" s="101"/>
      <c r="AW630" s="101"/>
      <c r="AX630" s="101"/>
      <c r="AY630" s="101"/>
      <c r="AZ630" s="101"/>
      <c r="BA630" s="101"/>
      <c r="BB630" s="101"/>
      <c r="BC630" s="101"/>
      <c r="BD630" s="101"/>
      <c r="BE630" s="101"/>
      <c r="BF630" s="101"/>
      <c r="BG630" s="101"/>
      <c r="BH630" s="101"/>
      <c r="BI630" s="101"/>
      <c r="BJ630" s="101"/>
      <c r="BK630" s="101"/>
      <c r="BL630" s="101"/>
      <c r="BM630" s="101"/>
      <c r="BN630" s="101"/>
      <c r="BO630" s="101"/>
      <c r="BP630" s="101"/>
      <c r="BQ630" s="101"/>
      <c r="BR630" s="101"/>
      <c r="BS630" s="101"/>
      <c r="BT630" s="101"/>
      <c r="BU630" s="101"/>
      <c r="BV630" s="101"/>
      <c r="BW630" s="101"/>
      <c r="BX630" s="101"/>
      <c r="BY630" s="101"/>
      <c r="BZ630" s="101"/>
      <c r="CA630" s="101"/>
      <c r="CB630" s="101"/>
      <c r="CC630" s="101"/>
      <c r="CD630" s="101"/>
      <c r="CE630" s="101"/>
      <c r="CF630" s="101"/>
      <c r="CG630" s="101"/>
      <c r="CH630" s="101"/>
      <c r="CI630" s="101"/>
      <c r="CJ630" s="101"/>
      <c r="CK630" s="101"/>
      <c r="CL630" s="101"/>
      <c r="CM630" s="101"/>
      <c r="CN630" s="101"/>
      <c r="CO630" s="101"/>
      <c r="CP630" s="101"/>
      <c r="CQ630" s="101"/>
      <c r="CR630" s="101"/>
      <c r="CS630" s="101"/>
      <c r="CT630" s="101"/>
      <c r="CU630" s="101"/>
      <c r="CV630" s="101"/>
      <c r="CW630" s="101"/>
      <c r="CX630" s="101"/>
      <c r="CY630" s="101"/>
      <c r="CZ630" s="101"/>
      <c r="DA630" s="101"/>
      <c r="DB630" s="101"/>
      <c r="DC630" s="101"/>
      <c r="DD630" s="101"/>
      <c r="DE630" s="101"/>
      <c r="DF630" s="101"/>
    </row>
    <row r="631">
      <c r="A631" s="29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2"/>
      <c r="P631" s="101"/>
      <c r="Q631" s="101"/>
      <c r="R631" s="101"/>
      <c r="S631" s="101"/>
      <c r="T631" s="103"/>
      <c r="U631" s="103"/>
      <c r="V631" s="103"/>
      <c r="W631" s="104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  <c r="AL631" s="101"/>
      <c r="AM631" s="29"/>
      <c r="AN631" s="101"/>
      <c r="AO631" s="101"/>
      <c r="AP631" s="101"/>
      <c r="AQ631" s="101"/>
      <c r="AR631" s="101"/>
      <c r="AS631" s="101"/>
      <c r="AT631" s="101"/>
      <c r="AU631" s="101"/>
      <c r="AV631" s="101"/>
      <c r="AW631" s="101"/>
      <c r="AX631" s="101"/>
      <c r="AY631" s="101"/>
      <c r="AZ631" s="101"/>
      <c r="BA631" s="101"/>
      <c r="BB631" s="101"/>
      <c r="BC631" s="101"/>
      <c r="BD631" s="101"/>
      <c r="BE631" s="101"/>
      <c r="BF631" s="101"/>
      <c r="BG631" s="101"/>
      <c r="BH631" s="101"/>
      <c r="BI631" s="101"/>
      <c r="BJ631" s="101"/>
      <c r="BK631" s="101"/>
      <c r="BL631" s="101"/>
      <c r="BM631" s="101"/>
      <c r="BN631" s="101"/>
      <c r="BO631" s="101"/>
      <c r="BP631" s="101"/>
      <c r="BQ631" s="101"/>
      <c r="BR631" s="101"/>
      <c r="BS631" s="101"/>
      <c r="BT631" s="101"/>
      <c r="BU631" s="101"/>
      <c r="BV631" s="101"/>
      <c r="BW631" s="101"/>
      <c r="BX631" s="101"/>
      <c r="BY631" s="101"/>
      <c r="BZ631" s="101"/>
      <c r="CA631" s="101"/>
      <c r="CB631" s="101"/>
      <c r="CC631" s="101"/>
      <c r="CD631" s="101"/>
      <c r="CE631" s="101"/>
      <c r="CF631" s="101"/>
      <c r="CG631" s="101"/>
      <c r="CH631" s="101"/>
      <c r="CI631" s="101"/>
      <c r="CJ631" s="101"/>
      <c r="CK631" s="101"/>
      <c r="CL631" s="101"/>
      <c r="CM631" s="101"/>
      <c r="CN631" s="101"/>
      <c r="CO631" s="101"/>
      <c r="CP631" s="101"/>
      <c r="CQ631" s="101"/>
      <c r="CR631" s="101"/>
      <c r="CS631" s="101"/>
      <c r="CT631" s="101"/>
      <c r="CU631" s="101"/>
      <c r="CV631" s="101"/>
      <c r="CW631" s="101"/>
      <c r="CX631" s="101"/>
      <c r="CY631" s="101"/>
      <c r="CZ631" s="101"/>
      <c r="DA631" s="101"/>
      <c r="DB631" s="101"/>
      <c r="DC631" s="101"/>
      <c r="DD631" s="101"/>
      <c r="DE631" s="101"/>
      <c r="DF631" s="101"/>
    </row>
    <row r="632">
      <c r="A632" s="29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2"/>
      <c r="P632" s="101"/>
      <c r="Q632" s="101"/>
      <c r="R632" s="101"/>
      <c r="S632" s="101"/>
      <c r="T632" s="103"/>
      <c r="U632" s="103"/>
      <c r="V632" s="103"/>
      <c r="W632" s="104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  <c r="AL632" s="101"/>
      <c r="AM632" s="29"/>
      <c r="AN632" s="101"/>
      <c r="AO632" s="101"/>
      <c r="AP632" s="101"/>
      <c r="AQ632" s="101"/>
      <c r="AR632" s="101"/>
      <c r="AS632" s="101"/>
      <c r="AT632" s="101"/>
      <c r="AU632" s="101"/>
      <c r="AV632" s="101"/>
      <c r="AW632" s="101"/>
      <c r="AX632" s="101"/>
      <c r="AY632" s="101"/>
      <c r="AZ632" s="101"/>
      <c r="BA632" s="101"/>
      <c r="BB632" s="101"/>
      <c r="BC632" s="101"/>
      <c r="BD632" s="101"/>
      <c r="BE632" s="101"/>
      <c r="BF632" s="101"/>
      <c r="BG632" s="101"/>
      <c r="BH632" s="101"/>
      <c r="BI632" s="101"/>
      <c r="BJ632" s="101"/>
      <c r="BK632" s="101"/>
      <c r="BL632" s="101"/>
      <c r="BM632" s="101"/>
      <c r="BN632" s="101"/>
      <c r="BO632" s="101"/>
      <c r="BP632" s="101"/>
      <c r="BQ632" s="101"/>
      <c r="BR632" s="101"/>
      <c r="BS632" s="101"/>
      <c r="BT632" s="101"/>
      <c r="BU632" s="101"/>
      <c r="BV632" s="101"/>
      <c r="BW632" s="101"/>
      <c r="BX632" s="101"/>
      <c r="BY632" s="101"/>
      <c r="BZ632" s="101"/>
      <c r="CA632" s="101"/>
      <c r="CB632" s="101"/>
      <c r="CC632" s="101"/>
      <c r="CD632" s="101"/>
      <c r="CE632" s="101"/>
      <c r="CF632" s="101"/>
      <c r="CG632" s="101"/>
      <c r="CH632" s="101"/>
      <c r="CI632" s="101"/>
      <c r="CJ632" s="101"/>
      <c r="CK632" s="101"/>
      <c r="CL632" s="101"/>
      <c r="CM632" s="101"/>
      <c r="CN632" s="101"/>
      <c r="CO632" s="101"/>
      <c r="CP632" s="101"/>
      <c r="CQ632" s="101"/>
      <c r="CR632" s="101"/>
      <c r="CS632" s="101"/>
      <c r="CT632" s="101"/>
      <c r="CU632" s="101"/>
      <c r="CV632" s="101"/>
      <c r="CW632" s="101"/>
      <c r="CX632" s="101"/>
      <c r="CY632" s="101"/>
      <c r="CZ632" s="101"/>
      <c r="DA632" s="101"/>
      <c r="DB632" s="101"/>
      <c r="DC632" s="101"/>
      <c r="DD632" s="101"/>
      <c r="DE632" s="101"/>
      <c r="DF632" s="101"/>
    </row>
    <row r="633">
      <c r="A633" s="29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2"/>
      <c r="P633" s="101"/>
      <c r="Q633" s="101"/>
      <c r="R633" s="101"/>
      <c r="S633" s="101"/>
      <c r="T633" s="103"/>
      <c r="U633" s="103"/>
      <c r="V633" s="103"/>
      <c r="W633" s="104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  <c r="AL633" s="101"/>
      <c r="AM633" s="29"/>
      <c r="AN633" s="101"/>
      <c r="AO633" s="101"/>
      <c r="AP633" s="101"/>
      <c r="AQ633" s="101"/>
      <c r="AR633" s="101"/>
      <c r="AS633" s="101"/>
      <c r="AT633" s="101"/>
      <c r="AU633" s="101"/>
      <c r="AV633" s="101"/>
      <c r="AW633" s="101"/>
      <c r="AX633" s="101"/>
      <c r="AY633" s="101"/>
      <c r="AZ633" s="101"/>
      <c r="BA633" s="101"/>
      <c r="BB633" s="101"/>
      <c r="BC633" s="101"/>
      <c r="BD633" s="101"/>
      <c r="BE633" s="101"/>
      <c r="BF633" s="101"/>
      <c r="BG633" s="101"/>
      <c r="BH633" s="101"/>
      <c r="BI633" s="101"/>
      <c r="BJ633" s="101"/>
      <c r="BK633" s="101"/>
      <c r="BL633" s="101"/>
      <c r="BM633" s="101"/>
      <c r="BN633" s="101"/>
      <c r="BO633" s="101"/>
      <c r="BP633" s="101"/>
      <c r="BQ633" s="101"/>
      <c r="BR633" s="101"/>
      <c r="BS633" s="101"/>
      <c r="BT633" s="101"/>
      <c r="BU633" s="101"/>
      <c r="BV633" s="101"/>
      <c r="BW633" s="101"/>
      <c r="BX633" s="101"/>
      <c r="BY633" s="101"/>
      <c r="BZ633" s="101"/>
      <c r="CA633" s="101"/>
      <c r="CB633" s="101"/>
      <c r="CC633" s="101"/>
      <c r="CD633" s="101"/>
      <c r="CE633" s="101"/>
      <c r="CF633" s="101"/>
      <c r="CG633" s="101"/>
      <c r="CH633" s="101"/>
      <c r="CI633" s="101"/>
      <c r="CJ633" s="101"/>
      <c r="CK633" s="101"/>
      <c r="CL633" s="101"/>
      <c r="CM633" s="101"/>
      <c r="CN633" s="101"/>
      <c r="CO633" s="101"/>
      <c r="CP633" s="101"/>
      <c r="CQ633" s="101"/>
      <c r="CR633" s="101"/>
      <c r="CS633" s="101"/>
      <c r="CT633" s="101"/>
      <c r="CU633" s="101"/>
      <c r="CV633" s="101"/>
      <c r="CW633" s="101"/>
      <c r="CX633" s="101"/>
      <c r="CY633" s="101"/>
      <c r="CZ633" s="101"/>
      <c r="DA633" s="101"/>
      <c r="DB633" s="101"/>
      <c r="DC633" s="101"/>
      <c r="DD633" s="101"/>
      <c r="DE633" s="101"/>
      <c r="DF633" s="101"/>
    </row>
    <row r="634">
      <c r="A634" s="29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2"/>
      <c r="P634" s="101"/>
      <c r="Q634" s="101"/>
      <c r="R634" s="101"/>
      <c r="S634" s="101"/>
      <c r="T634" s="103"/>
      <c r="U634" s="103"/>
      <c r="V634" s="103"/>
      <c r="W634" s="104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  <c r="AM634" s="29"/>
      <c r="AN634" s="101"/>
      <c r="AO634" s="101"/>
      <c r="AP634" s="101"/>
      <c r="AQ634" s="101"/>
      <c r="AR634" s="101"/>
      <c r="AS634" s="101"/>
      <c r="AT634" s="101"/>
      <c r="AU634" s="101"/>
      <c r="AV634" s="101"/>
      <c r="AW634" s="101"/>
      <c r="AX634" s="101"/>
      <c r="AY634" s="101"/>
      <c r="AZ634" s="101"/>
      <c r="BA634" s="101"/>
      <c r="BB634" s="101"/>
      <c r="BC634" s="101"/>
      <c r="BD634" s="101"/>
      <c r="BE634" s="101"/>
      <c r="BF634" s="101"/>
      <c r="BG634" s="101"/>
      <c r="BH634" s="101"/>
      <c r="BI634" s="101"/>
      <c r="BJ634" s="101"/>
      <c r="BK634" s="101"/>
      <c r="BL634" s="101"/>
      <c r="BM634" s="101"/>
      <c r="BN634" s="101"/>
      <c r="BO634" s="101"/>
      <c r="BP634" s="101"/>
      <c r="BQ634" s="101"/>
      <c r="BR634" s="101"/>
      <c r="BS634" s="101"/>
      <c r="BT634" s="101"/>
      <c r="BU634" s="101"/>
      <c r="BV634" s="101"/>
      <c r="BW634" s="101"/>
      <c r="BX634" s="101"/>
      <c r="BY634" s="101"/>
      <c r="BZ634" s="101"/>
      <c r="CA634" s="101"/>
      <c r="CB634" s="101"/>
      <c r="CC634" s="101"/>
      <c r="CD634" s="101"/>
      <c r="CE634" s="101"/>
      <c r="CF634" s="101"/>
      <c r="CG634" s="101"/>
      <c r="CH634" s="101"/>
      <c r="CI634" s="101"/>
      <c r="CJ634" s="101"/>
      <c r="CK634" s="101"/>
      <c r="CL634" s="101"/>
      <c r="CM634" s="101"/>
      <c r="CN634" s="101"/>
      <c r="CO634" s="101"/>
      <c r="CP634" s="101"/>
      <c r="CQ634" s="101"/>
      <c r="CR634" s="101"/>
      <c r="CS634" s="101"/>
      <c r="CT634" s="101"/>
      <c r="CU634" s="101"/>
      <c r="CV634" s="101"/>
      <c r="CW634" s="101"/>
      <c r="CX634" s="101"/>
      <c r="CY634" s="101"/>
      <c r="CZ634" s="101"/>
      <c r="DA634" s="101"/>
      <c r="DB634" s="101"/>
      <c r="DC634" s="101"/>
      <c r="DD634" s="101"/>
      <c r="DE634" s="101"/>
      <c r="DF634" s="101"/>
    </row>
    <row r="635">
      <c r="A635" s="29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2"/>
      <c r="P635" s="101"/>
      <c r="Q635" s="101"/>
      <c r="R635" s="101"/>
      <c r="S635" s="101"/>
      <c r="T635" s="103"/>
      <c r="U635" s="103"/>
      <c r="V635" s="103"/>
      <c r="W635" s="104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  <c r="AL635" s="101"/>
      <c r="AM635" s="29"/>
      <c r="AN635" s="101"/>
      <c r="AO635" s="101"/>
      <c r="AP635" s="101"/>
      <c r="AQ635" s="101"/>
      <c r="AR635" s="101"/>
      <c r="AS635" s="101"/>
      <c r="AT635" s="101"/>
      <c r="AU635" s="101"/>
      <c r="AV635" s="101"/>
      <c r="AW635" s="101"/>
      <c r="AX635" s="101"/>
      <c r="AY635" s="101"/>
      <c r="AZ635" s="101"/>
      <c r="BA635" s="101"/>
      <c r="BB635" s="101"/>
      <c r="BC635" s="101"/>
      <c r="BD635" s="101"/>
      <c r="BE635" s="101"/>
      <c r="BF635" s="101"/>
      <c r="BG635" s="101"/>
      <c r="BH635" s="101"/>
      <c r="BI635" s="101"/>
      <c r="BJ635" s="101"/>
      <c r="BK635" s="101"/>
      <c r="BL635" s="101"/>
      <c r="BM635" s="101"/>
      <c r="BN635" s="101"/>
      <c r="BO635" s="101"/>
      <c r="BP635" s="101"/>
      <c r="BQ635" s="101"/>
      <c r="BR635" s="101"/>
      <c r="BS635" s="101"/>
      <c r="BT635" s="101"/>
      <c r="BU635" s="101"/>
      <c r="BV635" s="101"/>
      <c r="BW635" s="101"/>
      <c r="BX635" s="101"/>
      <c r="BY635" s="101"/>
      <c r="BZ635" s="101"/>
      <c r="CA635" s="101"/>
      <c r="CB635" s="101"/>
      <c r="CC635" s="101"/>
      <c r="CD635" s="101"/>
      <c r="CE635" s="101"/>
      <c r="CF635" s="101"/>
      <c r="CG635" s="101"/>
      <c r="CH635" s="101"/>
      <c r="CI635" s="101"/>
      <c r="CJ635" s="101"/>
      <c r="CK635" s="101"/>
      <c r="CL635" s="101"/>
      <c r="CM635" s="101"/>
      <c r="CN635" s="101"/>
      <c r="CO635" s="101"/>
      <c r="CP635" s="101"/>
      <c r="CQ635" s="101"/>
      <c r="CR635" s="101"/>
      <c r="CS635" s="101"/>
      <c r="CT635" s="101"/>
      <c r="CU635" s="101"/>
      <c r="CV635" s="101"/>
      <c r="CW635" s="101"/>
      <c r="CX635" s="101"/>
      <c r="CY635" s="101"/>
      <c r="CZ635" s="101"/>
      <c r="DA635" s="101"/>
      <c r="DB635" s="101"/>
      <c r="DC635" s="101"/>
      <c r="DD635" s="101"/>
      <c r="DE635" s="101"/>
      <c r="DF635" s="101"/>
    </row>
    <row r="636">
      <c r="A636" s="29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2"/>
      <c r="P636" s="101"/>
      <c r="Q636" s="101"/>
      <c r="R636" s="101"/>
      <c r="S636" s="101"/>
      <c r="T636" s="103"/>
      <c r="U636" s="103"/>
      <c r="V636" s="103"/>
      <c r="W636" s="104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  <c r="AL636" s="101"/>
      <c r="AM636" s="29"/>
      <c r="AN636" s="101"/>
      <c r="AO636" s="101"/>
      <c r="AP636" s="101"/>
      <c r="AQ636" s="101"/>
      <c r="AR636" s="101"/>
      <c r="AS636" s="101"/>
      <c r="AT636" s="101"/>
      <c r="AU636" s="101"/>
      <c r="AV636" s="101"/>
      <c r="AW636" s="101"/>
      <c r="AX636" s="101"/>
      <c r="AY636" s="101"/>
      <c r="AZ636" s="101"/>
      <c r="BA636" s="101"/>
      <c r="BB636" s="101"/>
      <c r="BC636" s="101"/>
      <c r="BD636" s="101"/>
      <c r="BE636" s="101"/>
      <c r="BF636" s="101"/>
      <c r="BG636" s="101"/>
      <c r="BH636" s="101"/>
      <c r="BI636" s="101"/>
      <c r="BJ636" s="101"/>
      <c r="BK636" s="101"/>
      <c r="BL636" s="101"/>
      <c r="BM636" s="101"/>
      <c r="BN636" s="101"/>
      <c r="BO636" s="101"/>
      <c r="BP636" s="101"/>
      <c r="BQ636" s="101"/>
      <c r="BR636" s="101"/>
      <c r="BS636" s="101"/>
      <c r="BT636" s="101"/>
      <c r="BU636" s="101"/>
      <c r="BV636" s="101"/>
      <c r="BW636" s="101"/>
      <c r="BX636" s="101"/>
      <c r="BY636" s="101"/>
      <c r="BZ636" s="101"/>
      <c r="CA636" s="101"/>
      <c r="CB636" s="101"/>
      <c r="CC636" s="101"/>
      <c r="CD636" s="101"/>
      <c r="CE636" s="101"/>
      <c r="CF636" s="101"/>
      <c r="CG636" s="101"/>
      <c r="CH636" s="101"/>
      <c r="CI636" s="101"/>
      <c r="CJ636" s="101"/>
      <c r="CK636" s="101"/>
      <c r="CL636" s="101"/>
      <c r="CM636" s="101"/>
      <c r="CN636" s="101"/>
      <c r="CO636" s="101"/>
      <c r="CP636" s="101"/>
      <c r="CQ636" s="101"/>
      <c r="CR636" s="101"/>
      <c r="CS636" s="101"/>
      <c r="CT636" s="101"/>
      <c r="CU636" s="101"/>
      <c r="CV636" s="101"/>
      <c r="CW636" s="101"/>
      <c r="CX636" s="101"/>
      <c r="CY636" s="101"/>
      <c r="CZ636" s="101"/>
      <c r="DA636" s="101"/>
      <c r="DB636" s="101"/>
      <c r="DC636" s="101"/>
      <c r="DD636" s="101"/>
      <c r="DE636" s="101"/>
      <c r="DF636" s="101"/>
    </row>
    <row r="637">
      <c r="A637" s="29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3"/>
      <c r="U637" s="103"/>
      <c r="V637" s="103"/>
      <c r="W637" s="104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  <c r="AL637" s="101"/>
      <c r="AM637" s="29"/>
      <c r="AN637" s="101"/>
      <c r="AO637" s="101"/>
      <c r="AP637" s="101"/>
      <c r="AQ637" s="101"/>
      <c r="AR637" s="101"/>
      <c r="AS637" s="101"/>
      <c r="AT637" s="101"/>
      <c r="AU637" s="101"/>
      <c r="AV637" s="101"/>
      <c r="AW637" s="101"/>
      <c r="AX637" s="101"/>
      <c r="AY637" s="101"/>
      <c r="AZ637" s="101"/>
      <c r="BA637" s="101"/>
      <c r="BB637" s="101"/>
      <c r="BC637" s="101"/>
      <c r="BD637" s="101"/>
      <c r="BE637" s="101"/>
      <c r="BF637" s="101"/>
      <c r="BG637" s="101"/>
      <c r="BH637" s="101"/>
      <c r="BI637" s="101"/>
      <c r="BJ637" s="101"/>
      <c r="BK637" s="101"/>
      <c r="BL637" s="101"/>
      <c r="BM637" s="101"/>
      <c r="BN637" s="101"/>
      <c r="BO637" s="101"/>
      <c r="BP637" s="101"/>
      <c r="BQ637" s="101"/>
      <c r="BR637" s="101"/>
      <c r="BS637" s="101"/>
      <c r="BT637" s="101"/>
      <c r="BU637" s="101"/>
      <c r="BV637" s="101"/>
      <c r="BW637" s="101"/>
      <c r="BX637" s="101"/>
      <c r="BY637" s="101"/>
      <c r="BZ637" s="101"/>
      <c r="CA637" s="101"/>
      <c r="CB637" s="101"/>
      <c r="CC637" s="101"/>
      <c r="CD637" s="101"/>
      <c r="CE637" s="101"/>
      <c r="CF637" s="101"/>
      <c r="CG637" s="101"/>
      <c r="CH637" s="101"/>
      <c r="CI637" s="101"/>
      <c r="CJ637" s="101"/>
      <c r="CK637" s="101"/>
      <c r="CL637" s="101"/>
      <c r="CM637" s="101"/>
      <c r="CN637" s="101"/>
      <c r="CO637" s="101"/>
      <c r="CP637" s="101"/>
      <c r="CQ637" s="101"/>
      <c r="CR637" s="101"/>
      <c r="CS637" s="101"/>
      <c r="CT637" s="101"/>
      <c r="CU637" s="101"/>
      <c r="CV637" s="101"/>
      <c r="CW637" s="101"/>
      <c r="CX637" s="101"/>
      <c r="CY637" s="101"/>
      <c r="CZ637" s="101"/>
      <c r="DA637" s="101"/>
      <c r="DB637" s="101"/>
      <c r="DC637" s="101"/>
      <c r="DD637" s="101"/>
      <c r="DE637" s="101"/>
      <c r="DF637" s="101"/>
    </row>
    <row r="638">
      <c r="A638" s="29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3"/>
      <c r="U638" s="103"/>
      <c r="V638" s="103"/>
      <c r="W638" s="104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  <c r="AM638" s="29"/>
      <c r="AN638" s="101"/>
      <c r="AO638" s="101"/>
      <c r="AP638" s="101"/>
      <c r="AQ638" s="101"/>
      <c r="AR638" s="101"/>
      <c r="AS638" s="101"/>
      <c r="AT638" s="101"/>
      <c r="AU638" s="101"/>
      <c r="AV638" s="101"/>
      <c r="AW638" s="101"/>
      <c r="AX638" s="101"/>
      <c r="AY638" s="101"/>
      <c r="AZ638" s="101"/>
      <c r="BA638" s="101"/>
      <c r="BB638" s="101"/>
      <c r="BC638" s="101"/>
      <c r="BD638" s="101"/>
      <c r="BE638" s="101"/>
      <c r="BF638" s="101"/>
      <c r="BG638" s="101"/>
      <c r="BH638" s="101"/>
      <c r="BI638" s="101"/>
      <c r="BJ638" s="101"/>
      <c r="BK638" s="101"/>
      <c r="BL638" s="101"/>
      <c r="BM638" s="101"/>
      <c r="BN638" s="101"/>
      <c r="BO638" s="101"/>
      <c r="BP638" s="101"/>
      <c r="BQ638" s="101"/>
      <c r="BR638" s="101"/>
      <c r="BS638" s="101"/>
      <c r="BT638" s="101"/>
      <c r="BU638" s="101"/>
      <c r="BV638" s="101"/>
      <c r="BW638" s="101"/>
      <c r="BX638" s="101"/>
      <c r="BY638" s="101"/>
      <c r="BZ638" s="101"/>
      <c r="CA638" s="101"/>
      <c r="CB638" s="101"/>
      <c r="CC638" s="101"/>
      <c r="CD638" s="101"/>
      <c r="CE638" s="101"/>
      <c r="CF638" s="101"/>
      <c r="CG638" s="101"/>
      <c r="CH638" s="101"/>
      <c r="CI638" s="101"/>
      <c r="CJ638" s="101"/>
      <c r="CK638" s="101"/>
      <c r="CL638" s="101"/>
      <c r="CM638" s="101"/>
      <c r="CN638" s="101"/>
      <c r="CO638" s="101"/>
      <c r="CP638" s="101"/>
      <c r="CQ638" s="101"/>
      <c r="CR638" s="101"/>
      <c r="CS638" s="101"/>
      <c r="CT638" s="101"/>
      <c r="CU638" s="101"/>
      <c r="CV638" s="101"/>
      <c r="CW638" s="101"/>
      <c r="CX638" s="101"/>
      <c r="CY638" s="101"/>
      <c r="CZ638" s="101"/>
      <c r="DA638" s="101"/>
      <c r="DB638" s="101"/>
      <c r="DC638" s="101"/>
      <c r="DD638" s="101"/>
      <c r="DE638" s="101"/>
      <c r="DF638" s="101"/>
    </row>
    <row r="639">
      <c r="A639" s="29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3"/>
      <c r="U639" s="103"/>
      <c r="V639" s="103"/>
      <c r="W639" s="104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  <c r="AL639" s="101"/>
      <c r="AM639" s="29"/>
      <c r="AN639" s="101"/>
      <c r="AO639" s="101"/>
      <c r="AP639" s="101"/>
      <c r="AQ639" s="101"/>
      <c r="AR639" s="101"/>
      <c r="AS639" s="101"/>
      <c r="AT639" s="101"/>
      <c r="AU639" s="101"/>
      <c r="AV639" s="101"/>
      <c r="AW639" s="101"/>
      <c r="AX639" s="101"/>
      <c r="AY639" s="101"/>
      <c r="AZ639" s="101"/>
      <c r="BA639" s="101"/>
      <c r="BB639" s="101"/>
      <c r="BC639" s="101"/>
      <c r="BD639" s="101"/>
      <c r="BE639" s="101"/>
      <c r="BF639" s="101"/>
      <c r="BG639" s="101"/>
      <c r="BH639" s="101"/>
      <c r="BI639" s="101"/>
      <c r="BJ639" s="101"/>
      <c r="BK639" s="101"/>
      <c r="BL639" s="101"/>
      <c r="BM639" s="101"/>
      <c r="BN639" s="101"/>
      <c r="BO639" s="101"/>
      <c r="BP639" s="101"/>
      <c r="BQ639" s="101"/>
      <c r="BR639" s="101"/>
      <c r="BS639" s="101"/>
      <c r="BT639" s="101"/>
      <c r="BU639" s="101"/>
      <c r="BV639" s="101"/>
      <c r="BW639" s="101"/>
      <c r="BX639" s="101"/>
      <c r="BY639" s="101"/>
      <c r="BZ639" s="101"/>
      <c r="CA639" s="101"/>
      <c r="CB639" s="101"/>
      <c r="CC639" s="101"/>
      <c r="CD639" s="101"/>
      <c r="CE639" s="101"/>
      <c r="CF639" s="101"/>
      <c r="CG639" s="101"/>
      <c r="CH639" s="101"/>
      <c r="CI639" s="101"/>
      <c r="CJ639" s="101"/>
      <c r="CK639" s="101"/>
      <c r="CL639" s="101"/>
      <c r="CM639" s="101"/>
      <c r="CN639" s="101"/>
      <c r="CO639" s="101"/>
      <c r="CP639" s="101"/>
      <c r="CQ639" s="101"/>
      <c r="CR639" s="101"/>
      <c r="CS639" s="101"/>
      <c r="CT639" s="101"/>
      <c r="CU639" s="101"/>
      <c r="CV639" s="101"/>
      <c r="CW639" s="101"/>
      <c r="CX639" s="101"/>
      <c r="CY639" s="101"/>
      <c r="CZ639" s="101"/>
      <c r="DA639" s="101"/>
      <c r="DB639" s="101"/>
      <c r="DC639" s="101"/>
      <c r="DD639" s="101"/>
      <c r="DE639" s="101"/>
      <c r="DF639" s="101"/>
    </row>
    <row r="640">
      <c r="A640" s="29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3"/>
      <c r="U640" s="103"/>
      <c r="V640" s="103"/>
      <c r="W640" s="104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  <c r="AL640" s="101"/>
      <c r="AM640" s="29"/>
      <c r="AN640" s="101"/>
      <c r="AO640" s="101"/>
      <c r="AP640" s="101"/>
      <c r="AQ640" s="101"/>
      <c r="AR640" s="101"/>
      <c r="AS640" s="101"/>
      <c r="AT640" s="101"/>
      <c r="AU640" s="101"/>
      <c r="AV640" s="101"/>
      <c r="AW640" s="101"/>
      <c r="AX640" s="101"/>
      <c r="AY640" s="101"/>
      <c r="AZ640" s="101"/>
      <c r="BA640" s="101"/>
      <c r="BB640" s="101"/>
      <c r="BC640" s="101"/>
      <c r="BD640" s="101"/>
      <c r="BE640" s="101"/>
      <c r="BF640" s="101"/>
      <c r="BG640" s="101"/>
      <c r="BH640" s="101"/>
      <c r="BI640" s="101"/>
      <c r="BJ640" s="101"/>
      <c r="BK640" s="101"/>
      <c r="BL640" s="101"/>
      <c r="BM640" s="101"/>
      <c r="BN640" s="101"/>
      <c r="BO640" s="101"/>
      <c r="BP640" s="101"/>
      <c r="BQ640" s="101"/>
      <c r="BR640" s="101"/>
      <c r="BS640" s="101"/>
      <c r="BT640" s="101"/>
      <c r="BU640" s="101"/>
      <c r="BV640" s="101"/>
      <c r="BW640" s="101"/>
      <c r="BX640" s="101"/>
      <c r="BY640" s="101"/>
      <c r="BZ640" s="101"/>
      <c r="CA640" s="101"/>
      <c r="CB640" s="101"/>
      <c r="CC640" s="101"/>
      <c r="CD640" s="101"/>
      <c r="CE640" s="101"/>
      <c r="CF640" s="101"/>
      <c r="CG640" s="101"/>
      <c r="CH640" s="101"/>
      <c r="CI640" s="101"/>
      <c r="CJ640" s="101"/>
      <c r="CK640" s="101"/>
      <c r="CL640" s="101"/>
      <c r="CM640" s="101"/>
      <c r="CN640" s="101"/>
      <c r="CO640" s="101"/>
      <c r="CP640" s="101"/>
      <c r="CQ640" s="101"/>
      <c r="CR640" s="101"/>
      <c r="CS640" s="101"/>
      <c r="CT640" s="101"/>
      <c r="CU640" s="101"/>
      <c r="CV640" s="101"/>
      <c r="CW640" s="101"/>
      <c r="CX640" s="101"/>
      <c r="CY640" s="101"/>
      <c r="CZ640" s="101"/>
      <c r="DA640" s="101"/>
      <c r="DB640" s="101"/>
      <c r="DC640" s="101"/>
      <c r="DD640" s="101"/>
      <c r="DE640" s="101"/>
      <c r="DF640" s="101"/>
    </row>
    <row r="641">
      <c r="A641" s="29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3"/>
      <c r="U641" s="103"/>
      <c r="V641" s="103"/>
      <c r="W641" s="104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  <c r="AL641" s="101"/>
      <c r="AM641" s="29"/>
      <c r="AN641" s="101"/>
      <c r="AO641" s="101"/>
      <c r="AP641" s="101"/>
      <c r="AQ641" s="101"/>
      <c r="AR641" s="101"/>
      <c r="AS641" s="101"/>
      <c r="AT641" s="101"/>
      <c r="AU641" s="101"/>
      <c r="AV641" s="101"/>
      <c r="AW641" s="101"/>
      <c r="AX641" s="101"/>
      <c r="AY641" s="101"/>
      <c r="AZ641" s="101"/>
      <c r="BA641" s="101"/>
      <c r="BB641" s="101"/>
      <c r="BC641" s="101"/>
      <c r="BD641" s="101"/>
      <c r="BE641" s="101"/>
      <c r="BF641" s="101"/>
      <c r="BG641" s="101"/>
      <c r="BH641" s="101"/>
      <c r="BI641" s="101"/>
      <c r="BJ641" s="101"/>
      <c r="BK641" s="101"/>
      <c r="BL641" s="101"/>
      <c r="BM641" s="101"/>
      <c r="BN641" s="101"/>
      <c r="BO641" s="101"/>
      <c r="BP641" s="101"/>
      <c r="BQ641" s="101"/>
      <c r="BR641" s="101"/>
      <c r="BS641" s="101"/>
      <c r="BT641" s="101"/>
      <c r="BU641" s="101"/>
      <c r="BV641" s="101"/>
      <c r="BW641" s="101"/>
      <c r="BX641" s="101"/>
      <c r="BY641" s="101"/>
      <c r="BZ641" s="101"/>
      <c r="CA641" s="101"/>
      <c r="CB641" s="101"/>
      <c r="CC641" s="101"/>
      <c r="CD641" s="101"/>
      <c r="CE641" s="101"/>
      <c r="CF641" s="101"/>
      <c r="CG641" s="101"/>
      <c r="CH641" s="101"/>
      <c r="CI641" s="101"/>
      <c r="CJ641" s="101"/>
      <c r="CK641" s="101"/>
      <c r="CL641" s="101"/>
      <c r="CM641" s="101"/>
      <c r="CN641" s="101"/>
      <c r="CO641" s="101"/>
      <c r="CP641" s="101"/>
      <c r="CQ641" s="101"/>
      <c r="CR641" s="101"/>
      <c r="CS641" s="101"/>
      <c r="CT641" s="101"/>
      <c r="CU641" s="101"/>
      <c r="CV641" s="101"/>
      <c r="CW641" s="101"/>
      <c r="CX641" s="101"/>
      <c r="CY641" s="101"/>
      <c r="CZ641" s="101"/>
      <c r="DA641" s="101"/>
      <c r="DB641" s="101"/>
      <c r="DC641" s="101"/>
      <c r="DD641" s="101"/>
      <c r="DE641" s="101"/>
      <c r="DF641" s="101"/>
    </row>
    <row r="642">
      <c r="A642" s="29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3"/>
      <c r="U642" s="103"/>
      <c r="V642" s="103"/>
      <c r="W642" s="104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  <c r="AL642" s="101"/>
      <c r="AM642" s="29"/>
      <c r="AN642" s="101"/>
      <c r="AO642" s="101"/>
      <c r="AP642" s="101"/>
      <c r="AQ642" s="101"/>
      <c r="AR642" s="101"/>
      <c r="AS642" s="101"/>
      <c r="AT642" s="101"/>
      <c r="AU642" s="101"/>
      <c r="AV642" s="101"/>
      <c r="AW642" s="101"/>
      <c r="AX642" s="101"/>
      <c r="AY642" s="101"/>
      <c r="AZ642" s="101"/>
      <c r="BA642" s="101"/>
      <c r="BB642" s="101"/>
      <c r="BC642" s="101"/>
      <c r="BD642" s="101"/>
      <c r="BE642" s="101"/>
      <c r="BF642" s="101"/>
      <c r="BG642" s="101"/>
      <c r="BH642" s="101"/>
      <c r="BI642" s="101"/>
      <c r="BJ642" s="101"/>
      <c r="BK642" s="101"/>
      <c r="BL642" s="101"/>
      <c r="BM642" s="101"/>
      <c r="BN642" s="101"/>
      <c r="BO642" s="101"/>
      <c r="BP642" s="101"/>
      <c r="BQ642" s="101"/>
      <c r="BR642" s="101"/>
      <c r="BS642" s="101"/>
      <c r="BT642" s="101"/>
      <c r="BU642" s="101"/>
      <c r="BV642" s="101"/>
      <c r="BW642" s="101"/>
      <c r="BX642" s="101"/>
      <c r="BY642" s="101"/>
      <c r="BZ642" s="101"/>
      <c r="CA642" s="101"/>
      <c r="CB642" s="101"/>
      <c r="CC642" s="101"/>
      <c r="CD642" s="101"/>
      <c r="CE642" s="101"/>
      <c r="CF642" s="101"/>
      <c r="CG642" s="101"/>
      <c r="CH642" s="101"/>
      <c r="CI642" s="101"/>
      <c r="CJ642" s="101"/>
      <c r="CK642" s="101"/>
      <c r="CL642" s="101"/>
      <c r="CM642" s="101"/>
      <c r="CN642" s="101"/>
      <c r="CO642" s="101"/>
      <c r="CP642" s="101"/>
      <c r="CQ642" s="101"/>
      <c r="CR642" s="101"/>
      <c r="CS642" s="101"/>
      <c r="CT642" s="101"/>
      <c r="CU642" s="101"/>
      <c r="CV642" s="101"/>
      <c r="CW642" s="101"/>
      <c r="CX642" s="101"/>
      <c r="CY642" s="101"/>
      <c r="CZ642" s="101"/>
      <c r="DA642" s="101"/>
      <c r="DB642" s="101"/>
      <c r="DC642" s="101"/>
      <c r="DD642" s="101"/>
      <c r="DE642" s="101"/>
      <c r="DF642" s="101"/>
    </row>
    <row r="643">
      <c r="A643" s="29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3"/>
      <c r="U643" s="103"/>
      <c r="V643" s="103"/>
      <c r="W643" s="104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  <c r="AL643" s="101"/>
      <c r="AM643" s="29"/>
      <c r="AN643" s="101"/>
      <c r="AO643" s="101"/>
      <c r="AP643" s="101"/>
      <c r="AQ643" s="101"/>
      <c r="AR643" s="101"/>
      <c r="AS643" s="101"/>
      <c r="AT643" s="101"/>
      <c r="AU643" s="101"/>
      <c r="AV643" s="101"/>
      <c r="AW643" s="101"/>
      <c r="AX643" s="101"/>
      <c r="AY643" s="101"/>
      <c r="AZ643" s="101"/>
      <c r="BA643" s="101"/>
      <c r="BB643" s="101"/>
      <c r="BC643" s="101"/>
      <c r="BD643" s="101"/>
      <c r="BE643" s="101"/>
      <c r="BF643" s="101"/>
      <c r="BG643" s="101"/>
      <c r="BH643" s="101"/>
      <c r="BI643" s="101"/>
      <c r="BJ643" s="101"/>
      <c r="BK643" s="101"/>
      <c r="BL643" s="101"/>
      <c r="BM643" s="101"/>
      <c r="BN643" s="101"/>
      <c r="BO643" s="101"/>
      <c r="BP643" s="101"/>
      <c r="BQ643" s="101"/>
      <c r="BR643" s="101"/>
      <c r="BS643" s="101"/>
      <c r="BT643" s="101"/>
      <c r="BU643" s="101"/>
      <c r="BV643" s="101"/>
      <c r="BW643" s="101"/>
      <c r="BX643" s="101"/>
      <c r="BY643" s="101"/>
      <c r="BZ643" s="101"/>
      <c r="CA643" s="101"/>
      <c r="CB643" s="101"/>
      <c r="CC643" s="101"/>
      <c r="CD643" s="101"/>
      <c r="CE643" s="101"/>
      <c r="CF643" s="101"/>
      <c r="CG643" s="101"/>
      <c r="CH643" s="101"/>
      <c r="CI643" s="101"/>
      <c r="CJ643" s="101"/>
      <c r="CK643" s="101"/>
      <c r="CL643" s="101"/>
      <c r="CM643" s="101"/>
      <c r="CN643" s="101"/>
      <c r="CO643" s="101"/>
      <c r="CP643" s="101"/>
      <c r="CQ643" s="101"/>
      <c r="CR643" s="101"/>
      <c r="CS643" s="101"/>
      <c r="CT643" s="101"/>
      <c r="CU643" s="101"/>
      <c r="CV643" s="101"/>
      <c r="CW643" s="101"/>
      <c r="CX643" s="101"/>
      <c r="CY643" s="101"/>
      <c r="CZ643" s="101"/>
      <c r="DA643" s="101"/>
      <c r="DB643" s="101"/>
      <c r="DC643" s="101"/>
      <c r="DD643" s="101"/>
      <c r="DE643" s="101"/>
      <c r="DF643" s="101"/>
    </row>
    <row r="644">
      <c r="A644" s="29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3"/>
      <c r="U644" s="103"/>
      <c r="V644" s="103"/>
      <c r="W644" s="104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  <c r="AL644" s="101"/>
      <c r="AM644" s="29"/>
      <c r="AN644" s="101"/>
      <c r="AO644" s="101"/>
      <c r="AP644" s="101"/>
      <c r="AQ644" s="101"/>
      <c r="AR644" s="101"/>
      <c r="AS644" s="101"/>
      <c r="AT644" s="101"/>
      <c r="AU644" s="101"/>
      <c r="AV644" s="101"/>
      <c r="AW644" s="101"/>
      <c r="AX644" s="101"/>
      <c r="AY644" s="101"/>
      <c r="AZ644" s="101"/>
      <c r="BA644" s="101"/>
      <c r="BB644" s="101"/>
      <c r="BC644" s="101"/>
      <c r="BD644" s="101"/>
      <c r="BE644" s="101"/>
      <c r="BF644" s="101"/>
      <c r="BG644" s="101"/>
      <c r="BH644" s="101"/>
      <c r="BI644" s="101"/>
      <c r="BJ644" s="101"/>
      <c r="BK644" s="101"/>
      <c r="BL644" s="101"/>
      <c r="BM644" s="101"/>
      <c r="BN644" s="101"/>
      <c r="BO644" s="101"/>
      <c r="BP644" s="101"/>
      <c r="BQ644" s="101"/>
      <c r="BR644" s="101"/>
      <c r="BS644" s="101"/>
      <c r="BT644" s="101"/>
      <c r="BU644" s="101"/>
      <c r="BV644" s="101"/>
      <c r="BW644" s="101"/>
      <c r="BX644" s="101"/>
      <c r="BY644" s="101"/>
      <c r="BZ644" s="101"/>
      <c r="CA644" s="101"/>
      <c r="CB644" s="101"/>
      <c r="CC644" s="101"/>
      <c r="CD644" s="101"/>
      <c r="CE644" s="101"/>
      <c r="CF644" s="101"/>
      <c r="CG644" s="101"/>
      <c r="CH644" s="101"/>
      <c r="CI644" s="101"/>
      <c r="CJ644" s="101"/>
      <c r="CK644" s="101"/>
      <c r="CL644" s="101"/>
      <c r="CM644" s="101"/>
      <c r="CN644" s="101"/>
      <c r="CO644" s="101"/>
      <c r="CP644" s="101"/>
      <c r="CQ644" s="101"/>
      <c r="CR644" s="101"/>
      <c r="CS644" s="101"/>
      <c r="CT644" s="101"/>
      <c r="CU644" s="101"/>
      <c r="CV644" s="101"/>
      <c r="CW644" s="101"/>
      <c r="CX644" s="101"/>
      <c r="CY644" s="101"/>
      <c r="CZ644" s="101"/>
      <c r="DA644" s="101"/>
      <c r="DB644" s="101"/>
      <c r="DC644" s="101"/>
      <c r="DD644" s="101"/>
      <c r="DE644" s="101"/>
      <c r="DF644" s="101"/>
    </row>
    <row r="645">
      <c r="A645" s="29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3"/>
      <c r="U645" s="103"/>
      <c r="V645" s="103"/>
      <c r="W645" s="104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  <c r="AL645" s="101"/>
      <c r="AM645" s="29"/>
      <c r="AN645" s="101"/>
      <c r="AO645" s="101"/>
      <c r="AP645" s="101"/>
      <c r="AQ645" s="101"/>
      <c r="AR645" s="101"/>
      <c r="AS645" s="101"/>
      <c r="AT645" s="101"/>
      <c r="AU645" s="101"/>
      <c r="AV645" s="101"/>
      <c r="AW645" s="101"/>
      <c r="AX645" s="101"/>
      <c r="AY645" s="101"/>
      <c r="AZ645" s="101"/>
      <c r="BA645" s="101"/>
      <c r="BB645" s="101"/>
      <c r="BC645" s="101"/>
      <c r="BD645" s="101"/>
      <c r="BE645" s="101"/>
      <c r="BF645" s="101"/>
      <c r="BG645" s="101"/>
      <c r="BH645" s="101"/>
      <c r="BI645" s="101"/>
      <c r="BJ645" s="101"/>
      <c r="BK645" s="101"/>
      <c r="BL645" s="101"/>
      <c r="BM645" s="101"/>
      <c r="BN645" s="101"/>
      <c r="BO645" s="101"/>
      <c r="BP645" s="101"/>
      <c r="BQ645" s="101"/>
      <c r="BR645" s="101"/>
      <c r="BS645" s="101"/>
      <c r="BT645" s="101"/>
      <c r="BU645" s="101"/>
      <c r="BV645" s="101"/>
      <c r="BW645" s="101"/>
      <c r="BX645" s="101"/>
      <c r="BY645" s="101"/>
      <c r="BZ645" s="101"/>
      <c r="CA645" s="101"/>
      <c r="CB645" s="101"/>
      <c r="CC645" s="101"/>
      <c r="CD645" s="101"/>
      <c r="CE645" s="101"/>
      <c r="CF645" s="101"/>
      <c r="CG645" s="101"/>
      <c r="CH645" s="101"/>
      <c r="CI645" s="101"/>
      <c r="CJ645" s="101"/>
      <c r="CK645" s="101"/>
      <c r="CL645" s="101"/>
      <c r="CM645" s="101"/>
      <c r="CN645" s="101"/>
      <c r="CO645" s="101"/>
      <c r="CP645" s="101"/>
      <c r="CQ645" s="101"/>
      <c r="CR645" s="101"/>
      <c r="CS645" s="101"/>
      <c r="CT645" s="101"/>
      <c r="CU645" s="101"/>
      <c r="CV645" s="101"/>
      <c r="CW645" s="101"/>
      <c r="CX645" s="101"/>
      <c r="CY645" s="101"/>
      <c r="CZ645" s="101"/>
      <c r="DA645" s="101"/>
      <c r="DB645" s="101"/>
      <c r="DC645" s="101"/>
      <c r="DD645" s="101"/>
      <c r="DE645" s="101"/>
      <c r="DF645" s="101"/>
    </row>
    <row r="646">
      <c r="A646" s="29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3"/>
      <c r="U646" s="103"/>
      <c r="V646" s="103"/>
      <c r="W646" s="104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  <c r="AL646" s="101"/>
      <c r="AM646" s="29"/>
      <c r="AN646" s="101"/>
      <c r="AO646" s="101"/>
      <c r="AP646" s="101"/>
      <c r="AQ646" s="101"/>
      <c r="AR646" s="101"/>
      <c r="AS646" s="101"/>
      <c r="AT646" s="101"/>
      <c r="AU646" s="101"/>
      <c r="AV646" s="101"/>
      <c r="AW646" s="101"/>
      <c r="AX646" s="101"/>
      <c r="AY646" s="101"/>
      <c r="AZ646" s="101"/>
      <c r="BA646" s="101"/>
      <c r="BB646" s="101"/>
      <c r="BC646" s="101"/>
      <c r="BD646" s="101"/>
      <c r="BE646" s="101"/>
      <c r="BF646" s="101"/>
      <c r="BG646" s="101"/>
      <c r="BH646" s="101"/>
      <c r="BI646" s="101"/>
      <c r="BJ646" s="101"/>
      <c r="BK646" s="101"/>
      <c r="BL646" s="101"/>
      <c r="BM646" s="101"/>
      <c r="BN646" s="101"/>
      <c r="BO646" s="101"/>
      <c r="BP646" s="101"/>
      <c r="BQ646" s="101"/>
      <c r="BR646" s="101"/>
      <c r="BS646" s="101"/>
      <c r="BT646" s="101"/>
      <c r="BU646" s="101"/>
      <c r="BV646" s="101"/>
      <c r="BW646" s="101"/>
      <c r="BX646" s="101"/>
      <c r="BY646" s="101"/>
      <c r="BZ646" s="101"/>
      <c r="CA646" s="101"/>
      <c r="CB646" s="101"/>
      <c r="CC646" s="101"/>
      <c r="CD646" s="101"/>
      <c r="CE646" s="101"/>
      <c r="CF646" s="101"/>
      <c r="CG646" s="101"/>
      <c r="CH646" s="101"/>
      <c r="CI646" s="101"/>
      <c r="CJ646" s="101"/>
      <c r="CK646" s="101"/>
      <c r="CL646" s="101"/>
      <c r="CM646" s="101"/>
      <c r="CN646" s="101"/>
      <c r="CO646" s="101"/>
      <c r="CP646" s="101"/>
      <c r="CQ646" s="101"/>
      <c r="CR646" s="101"/>
      <c r="CS646" s="101"/>
      <c r="CT646" s="101"/>
      <c r="CU646" s="101"/>
      <c r="CV646" s="101"/>
      <c r="CW646" s="101"/>
      <c r="CX646" s="101"/>
      <c r="CY646" s="101"/>
      <c r="CZ646" s="101"/>
      <c r="DA646" s="101"/>
      <c r="DB646" s="101"/>
      <c r="DC646" s="101"/>
      <c r="DD646" s="101"/>
      <c r="DE646" s="101"/>
      <c r="DF646" s="101"/>
    </row>
    <row r="647">
      <c r="A647" s="29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3"/>
      <c r="U647" s="103"/>
      <c r="V647" s="103"/>
      <c r="W647" s="104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  <c r="AM647" s="29"/>
      <c r="AN647" s="101"/>
      <c r="AO647" s="101"/>
      <c r="AP647" s="101"/>
      <c r="AQ647" s="101"/>
      <c r="AR647" s="101"/>
      <c r="AS647" s="101"/>
      <c r="AT647" s="101"/>
      <c r="AU647" s="101"/>
      <c r="AV647" s="101"/>
      <c r="AW647" s="101"/>
      <c r="AX647" s="101"/>
      <c r="AY647" s="101"/>
      <c r="AZ647" s="101"/>
      <c r="BA647" s="101"/>
      <c r="BB647" s="101"/>
      <c r="BC647" s="101"/>
      <c r="BD647" s="101"/>
      <c r="BE647" s="101"/>
      <c r="BF647" s="101"/>
      <c r="BG647" s="101"/>
      <c r="BH647" s="101"/>
      <c r="BI647" s="101"/>
      <c r="BJ647" s="101"/>
      <c r="BK647" s="101"/>
      <c r="BL647" s="101"/>
      <c r="BM647" s="101"/>
      <c r="BN647" s="101"/>
      <c r="BO647" s="101"/>
      <c r="BP647" s="101"/>
      <c r="BQ647" s="101"/>
      <c r="BR647" s="101"/>
      <c r="BS647" s="101"/>
      <c r="BT647" s="101"/>
      <c r="BU647" s="101"/>
      <c r="BV647" s="101"/>
      <c r="BW647" s="101"/>
      <c r="BX647" s="101"/>
      <c r="BY647" s="101"/>
      <c r="BZ647" s="101"/>
      <c r="CA647" s="101"/>
      <c r="CB647" s="101"/>
      <c r="CC647" s="101"/>
      <c r="CD647" s="101"/>
      <c r="CE647" s="101"/>
      <c r="CF647" s="101"/>
      <c r="CG647" s="101"/>
      <c r="CH647" s="101"/>
      <c r="CI647" s="101"/>
      <c r="CJ647" s="101"/>
      <c r="CK647" s="101"/>
      <c r="CL647" s="101"/>
      <c r="CM647" s="101"/>
      <c r="CN647" s="101"/>
      <c r="CO647" s="101"/>
      <c r="CP647" s="101"/>
      <c r="CQ647" s="101"/>
      <c r="CR647" s="101"/>
      <c r="CS647" s="101"/>
      <c r="CT647" s="101"/>
      <c r="CU647" s="101"/>
      <c r="CV647" s="101"/>
      <c r="CW647" s="101"/>
      <c r="CX647" s="101"/>
      <c r="CY647" s="101"/>
      <c r="CZ647" s="101"/>
      <c r="DA647" s="101"/>
      <c r="DB647" s="101"/>
      <c r="DC647" s="101"/>
      <c r="DD647" s="101"/>
      <c r="DE647" s="101"/>
      <c r="DF647" s="101"/>
    </row>
    <row r="648">
      <c r="A648" s="29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3"/>
      <c r="U648" s="103"/>
      <c r="V648" s="103"/>
      <c r="W648" s="104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  <c r="AL648" s="101"/>
      <c r="AM648" s="29"/>
      <c r="AN648" s="101"/>
      <c r="AO648" s="101"/>
      <c r="AP648" s="101"/>
      <c r="AQ648" s="101"/>
      <c r="AR648" s="101"/>
      <c r="AS648" s="101"/>
      <c r="AT648" s="101"/>
      <c r="AU648" s="101"/>
      <c r="AV648" s="101"/>
      <c r="AW648" s="101"/>
      <c r="AX648" s="101"/>
      <c r="AY648" s="101"/>
      <c r="AZ648" s="101"/>
      <c r="BA648" s="101"/>
      <c r="BB648" s="101"/>
      <c r="BC648" s="101"/>
      <c r="BD648" s="101"/>
      <c r="BE648" s="101"/>
      <c r="BF648" s="101"/>
      <c r="BG648" s="101"/>
      <c r="BH648" s="101"/>
      <c r="BI648" s="101"/>
      <c r="BJ648" s="101"/>
      <c r="BK648" s="101"/>
      <c r="BL648" s="101"/>
      <c r="BM648" s="101"/>
      <c r="BN648" s="101"/>
      <c r="BO648" s="101"/>
      <c r="BP648" s="101"/>
      <c r="BQ648" s="101"/>
      <c r="BR648" s="101"/>
      <c r="BS648" s="101"/>
      <c r="BT648" s="101"/>
      <c r="BU648" s="101"/>
      <c r="BV648" s="101"/>
      <c r="BW648" s="101"/>
      <c r="BX648" s="101"/>
      <c r="BY648" s="101"/>
      <c r="BZ648" s="101"/>
      <c r="CA648" s="101"/>
      <c r="CB648" s="101"/>
      <c r="CC648" s="101"/>
      <c r="CD648" s="101"/>
      <c r="CE648" s="101"/>
      <c r="CF648" s="101"/>
      <c r="CG648" s="101"/>
      <c r="CH648" s="101"/>
      <c r="CI648" s="101"/>
      <c r="CJ648" s="101"/>
      <c r="CK648" s="101"/>
      <c r="CL648" s="101"/>
      <c r="CM648" s="101"/>
      <c r="CN648" s="101"/>
      <c r="CO648" s="101"/>
      <c r="CP648" s="101"/>
      <c r="CQ648" s="101"/>
      <c r="CR648" s="101"/>
      <c r="CS648" s="101"/>
      <c r="CT648" s="101"/>
      <c r="CU648" s="101"/>
      <c r="CV648" s="101"/>
      <c r="CW648" s="101"/>
      <c r="CX648" s="101"/>
      <c r="CY648" s="101"/>
      <c r="CZ648" s="101"/>
      <c r="DA648" s="101"/>
      <c r="DB648" s="101"/>
      <c r="DC648" s="101"/>
      <c r="DD648" s="101"/>
      <c r="DE648" s="101"/>
      <c r="DF648" s="101"/>
    </row>
    <row r="649">
      <c r="A649" s="29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3"/>
      <c r="U649" s="103"/>
      <c r="V649" s="103"/>
      <c r="W649" s="104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  <c r="AL649" s="101"/>
      <c r="AM649" s="29"/>
      <c r="AN649" s="101"/>
      <c r="AO649" s="101"/>
      <c r="AP649" s="101"/>
      <c r="AQ649" s="101"/>
      <c r="AR649" s="101"/>
      <c r="AS649" s="101"/>
      <c r="AT649" s="101"/>
      <c r="AU649" s="101"/>
      <c r="AV649" s="101"/>
      <c r="AW649" s="101"/>
      <c r="AX649" s="101"/>
      <c r="AY649" s="101"/>
      <c r="AZ649" s="101"/>
      <c r="BA649" s="101"/>
      <c r="BB649" s="101"/>
      <c r="BC649" s="101"/>
      <c r="BD649" s="101"/>
      <c r="BE649" s="101"/>
      <c r="BF649" s="101"/>
      <c r="BG649" s="101"/>
      <c r="BH649" s="101"/>
      <c r="BI649" s="101"/>
      <c r="BJ649" s="101"/>
      <c r="BK649" s="101"/>
      <c r="BL649" s="101"/>
      <c r="BM649" s="101"/>
      <c r="BN649" s="101"/>
      <c r="BO649" s="101"/>
      <c r="BP649" s="101"/>
      <c r="BQ649" s="101"/>
      <c r="BR649" s="101"/>
      <c r="BS649" s="101"/>
      <c r="BT649" s="101"/>
      <c r="BU649" s="101"/>
      <c r="BV649" s="101"/>
      <c r="BW649" s="101"/>
      <c r="BX649" s="101"/>
      <c r="BY649" s="101"/>
      <c r="BZ649" s="101"/>
      <c r="CA649" s="101"/>
      <c r="CB649" s="101"/>
      <c r="CC649" s="101"/>
      <c r="CD649" s="101"/>
      <c r="CE649" s="101"/>
      <c r="CF649" s="101"/>
      <c r="CG649" s="101"/>
      <c r="CH649" s="101"/>
      <c r="CI649" s="101"/>
      <c r="CJ649" s="101"/>
      <c r="CK649" s="101"/>
      <c r="CL649" s="101"/>
      <c r="CM649" s="101"/>
      <c r="CN649" s="101"/>
      <c r="CO649" s="101"/>
      <c r="CP649" s="101"/>
      <c r="CQ649" s="101"/>
      <c r="CR649" s="101"/>
      <c r="CS649" s="101"/>
      <c r="CT649" s="101"/>
      <c r="CU649" s="101"/>
      <c r="CV649" s="101"/>
      <c r="CW649" s="101"/>
      <c r="CX649" s="101"/>
      <c r="CY649" s="101"/>
      <c r="CZ649" s="101"/>
      <c r="DA649" s="101"/>
      <c r="DB649" s="101"/>
      <c r="DC649" s="101"/>
      <c r="DD649" s="101"/>
      <c r="DE649" s="101"/>
      <c r="DF649" s="101"/>
    </row>
    <row r="650">
      <c r="A650" s="29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3"/>
      <c r="U650" s="103"/>
      <c r="V650" s="103"/>
      <c r="W650" s="104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  <c r="AL650" s="101"/>
      <c r="AM650" s="29"/>
      <c r="AN650" s="101"/>
      <c r="AO650" s="101"/>
      <c r="AP650" s="101"/>
      <c r="AQ650" s="101"/>
      <c r="AR650" s="101"/>
      <c r="AS650" s="101"/>
      <c r="AT650" s="101"/>
      <c r="AU650" s="101"/>
      <c r="AV650" s="101"/>
      <c r="AW650" s="101"/>
      <c r="AX650" s="101"/>
      <c r="AY650" s="101"/>
      <c r="AZ650" s="101"/>
      <c r="BA650" s="101"/>
      <c r="BB650" s="101"/>
      <c r="BC650" s="101"/>
      <c r="BD650" s="101"/>
      <c r="BE650" s="101"/>
      <c r="BF650" s="101"/>
      <c r="BG650" s="101"/>
      <c r="BH650" s="101"/>
      <c r="BI650" s="101"/>
      <c r="BJ650" s="101"/>
      <c r="BK650" s="101"/>
      <c r="BL650" s="101"/>
      <c r="BM650" s="101"/>
      <c r="BN650" s="101"/>
      <c r="BO650" s="101"/>
      <c r="BP650" s="101"/>
      <c r="BQ650" s="101"/>
      <c r="BR650" s="101"/>
      <c r="BS650" s="101"/>
      <c r="BT650" s="101"/>
      <c r="BU650" s="101"/>
      <c r="BV650" s="101"/>
      <c r="BW650" s="101"/>
      <c r="BX650" s="101"/>
      <c r="BY650" s="101"/>
      <c r="BZ650" s="101"/>
      <c r="CA650" s="101"/>
      <c r="CB650" s="101"/>
      <c r="CC650" s="101"/>
      <c r="CD650" s="101"/>
      <c r="CE650" s="101"/>
      <c r="CF650" s="101"/>
      <c r="CG650" s="101"/>
      <c r="CH650" s="101"/>
      <c r="CI650" s="101"/>
      <c r="CJ650" s="101"/>
      <c r="CK650" s="101"/>
      <c r="CL650" s="101"/>
      <c r="CM650" s="101"/>
      <c r="CN650" s="101"/>
      <c r="CO650" s="101"/>
      <c r="CP650" s="101"/>
      <c r="CQ650" s="101"/>
      <c r="CR650" s="101"/>
      <c r="CS650" s="101"/>
      <c r="CT650" s="101"/>
      <c r="CU650" s="101"/>
      <c r="CV650" s="101"/>
      <c r="CW650" s="101"/>
      <c r="CX650" s="101"/>
      <c r="CY650" s="101"/>
      <c r="CZ650" s="101"/>
      <c r="DA650" s="101"/>
      <c r="DB650" s="101"/>
      <c r="DC650" s="101"/>
      <c r="DD650" s="101"/>
      <c r="DE650" s="101"/>
      <c r="DF650" s="101"/>
    </row>
    <row r="651">
      <c r="A651" s="29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3"/>
      <c r="U651" s="103"/>
      <c r="V651" s="103"/>
      <c r="W651" s="104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  <c r="AM651" s="29"/>
      <c r="AN651" s="101"/>
      <c r="AO651" s="101"/>
      <c r="AP651" s="101"/>
      <c r="AQ651" s="101"/>
      <c r="AR651" s="101"/>
      <c r="AS651" s="101"/>
      <c r="AT651" s="101"/>
      <c r="AU651" s="101"/>
      <c r="AV651" s="101"/>
      <c r="AW651" s="101"/>
      <c r="AX651" s="101"/>
      <c r="AY651" s="101"/>
      <c r="AZ651" s="101"/>
      <c r="BA651" s="101"/>
      <c r="BB651" s="101"/>
      <c r="BC651" s="101"/>
      <c r="BD651" s="101"/>
      <c r="BE651" s="101"/>
      <c r="BF651" s="101"/>
      <c r="BG651" s="101"/>
      <c r="BH651" s="101"/>
      <c r="BI651" s="101"/>
      <c r="BJ651" s="101"/>
      <c r="BK651" s="101"/>
      <c r="BL651" s="101"/>
      <c r="BM651" s="101"/>
      <c r="BN651" s="101"/>
      <c r="BO651" s="101"/>
      <c r="BP651" s="101"/>
      <c r="BQ651" s="101"/>
      <c r="BR651" s="101"/>
      <c r="BS651" s="101"/>
      <c r="BT651" s="101"/>
      <c r="BU651" s="101"/>
      <c r="BV651" s="101"/>
      <c r="BW651" s="101"/>
      <c r="BX651" s="101"/>
      <c r="BY651" s="101"/>
      <c r="BZ651" s="101"/>
      <c r="CA651" s="101"/>
      <c r="CB651" s="101"/>
      <c r="CC651" s="101"/>
      <c r="CD651" s="101"/>
      <c r="CE651" s="101"/>
      <c r="CF651" s="101"/>
      <c r="CG651" s="101"/>
      <c r="CH651" s="101"/>
      <c r="CI651" s="101"/>
      <c r="CJ651" s="101"/>
      <c r="CK651" s="101"/>
      <c r="CL651" s="101"/>
      <c r="CM651" s="101"/>
      <c r="CN651" s="101"/>
      <c r="CO651" s="101"/>
      <c r="CP651" s="101"/>
      <c r="CQ651" s="101"/>
      <c r="CR651" s="101"/>
      <c r="CS651" s="101"/>
      <c r="CT651" s="101"/>
      <c r="CU651" s="101"/>
      <c r="CV651" s="101"/>
      <c r="CW651" s="101"/>
      <c r="CX651" s="101"/>
      <c r="CY651" s="101"/>
      <c r="CZ651" s="101"/>
      <c r="DA651" s="101"/>
      <c r="DB651" s="101"/>
      <c r="DC651" s="101"/>
      <c r="DD651" s="101"/>
      <c r="DE651" s="101"/>
      <c r="DF651" s="101"/>
    </row>
    <row r="652">
      <c r="A652" s="29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3"/>
      <c r="U652" s="103"/>
      <c r="V652" s="103"/>
      <c r="W652" s="104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  <c r="AM652" s="29"/>
      <c r="AN652" s="101"/>
      <c r="AO652" s="101"/>
      <c r="AP652" s="101"/>
      <c r="AQ652" s="101"/>
      <c r="AR652" s="101"/>
      <c r="AS652" s="101"/>
      <c r="AT652" s="101"/>
      <c r="AU652" s="101"/>
      <c r="AV652" s="101"/>
      <c r="AW652" s="101"/>
      <c r="AX652" s="101"/>
      <c r="AY652" s="101"/>
      <c r="AZ652" s="101"/>
      <c r="BA652" s="101"/>
      <c r="BB652" s="101"/>
      <c r="BC652" s="101"/>
      <c r="BD652" s="101"/>
      <c r="BE652" s="101"/>
      <c r="BF652" s="101"/>
      <c r="BG652" s="101"/>
      <c r="BH652" s="101"/>
      <c r="BI652" s="101"/>
      <c r="BJ652" s="101"/>
      <c r="BK652" s="101"/>
      <c r="BL652" s="101"/>
      <c r="BM652" s="101"/>
      <c r="BN652" s="101"/>
      <c r="BO652" s="101"/>
      <c r="BP652" s="101"/>
      <c r="BQ652" s="101"/>
      <c r="BR652" s="101"/>
      <c r="BS652" s="101"/>
      <c r="BT652" s="101"/>
      <c r="BU652" s="101"/>
      <c r="BV652" s="101"/>
      <c r="BW652" s="101"/>
      <c r="BX652" s="101"/>
      <c r="BY652" s="101"/>
      <c r="BZ652" s="101"/>
      <c r="CA652" s="101"/>
      <c r="CB652" s="101"/>
      <c r="CC652" s="101"/>
      <c r="CD652" s="101"/>
      <c r="CE652" s="101"/>
      <c r="CF652" s="101"/>
      <c r="CG652" s="101"/>
      <c r="CH652" s="101"/>
      <c r="CI652" s="101"/>
      <c r="CJ652" s="101"/>
      <c r="CK652" s="101"/>
      <c r="CL652" s="101"/>
      <c r="CM652" s="101"/>
      <c r="CN652" s="101"/>
      <c r="CO652" s="101"/>
      <c r="CP652" s="101"/>
      <c r="CQ652" s="101"/>
      <c r="CR652" s="101"/>
      <c r="CS652" s="101"/>
      <c r="CT652" s="101"/>
      <c r="CU652" s="101"/>
      <c r="CV652" s="101"/>
      <c r="CW652" s="101"/>
      <c r="CX652" s="101"/>
      <c r="CY652" s="101"/>
      <c r="CZ652" s="101"/>
      <c r="DA652" s="101"/>
      <c r="DB652" s="101"/>
      <c r="DC652" s="101"/>
      <c r="DD652" s="101"/>
      <c r="DE652" s="101"/>
      <c r="DF652" s="101"/>
    </row>
    <row r="653">
      <c r="A653" s="29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3"/>
      <c r="U653" s="103"/>
      <c r="V653" s="103"/>
      <c r="W653" s="104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  <c r="AM653" s="29"/>
      <c r="AN653" s="101"/>
      <c r="AO653" s="101"/>
      <c r="AP653" s="101"/>
      <c r="AQ653" s="101"/>
      <c r="AR653" s="101"/>
      <c r="AS653" s="101"/>
      <c r="AT653" s="101"/>
      <c r="AU653" s="101"/>
      <c r="AV653" s="101"/>
      <c r="AW653" s="101"/>
      <c r="AX653" s="101"/>
      <c r="AY653" s="101"/>
      <c r="AZ653" s="101"/>
      <c r="BA653" s="101"/>
      <c r="BB653" s="101"/>
      <c r="BC653" s="101"/>
      <c r="BD653" s="101"/>
      <c r="BE653" s="101"/>
      <c r="BF653" s="101"/>
      <c r="BG653" s="101"/>
      <c r="BH653" s="101"/>
      <c r="BI653" s="101"/>
      <c r="BJ653" s="101"/>
      <c r="BK653" s="101"/>
      <c r="BL653" s="101"/>
      <c r="BM653" s="101"/>
      <c r="BN653" s="101"/>
      <c r="BO653" s="101"/>
      <c r="BP653" s="101"/>
      <c r="BQ653" s="101"/>
      <c r="BR653" s="101"/>
      <c r="BS653" s="101"/>
      <c r="BT653" s="101"/>
      <c r="BU653" s="101"/>
      <c r="BV653" s="101"/>
      <c r="BW653" s="101"/>
      <c r="BX653" s="101"/>
      <c r="BY653" s="101"/>
      <c r="BZ653" s="101"/>
      <c r="CA653" s="101"/>
      <c r="CB653" s="101"/>
      <c r="CC653" s="101"/>
      <c r="CD653" s="101"/>
      <c r="CE653" s="101"/>
      <c r="CF653" s="101"/>
      <c r="CG653" s="101"/>
      <c r="CH653" s="101"/>
      <c r="CI653" s="101"/>
      <c r="CJ653" s="101"/>
      <c r="CK653" s="101"/>
      <c r="CL653" s="101"/>
      <c r="CM653" s="101"/>
      <c r="CN653" s="101"/>
      <c r="CO653" s="101"/>
      <c r="CP653" s="101"/>
      <c r="CQ653" s="101"/>
      <c r="CR653" s="101"/>
      <c r="CS653" s="101"/>
      <c r="CT653" s="101"/>
      <c r="CU653" s="101"/>
      <c r="CV653" s="101"/>
      <c r="CW653" s="101"/>
      <c r="CX653" s="101"/>
      <c r="CY653" s="101"/>
      <c r="CZ653" s="101"/>
      <c r="DA653" s="101"/>
      <c r="DB653" s="101"/>
      <c r="DC653" s="101"/>
      <c r="DD653" s="101"/>
      <c r="DE653" s="101"/>
      <c r="DF653" s="101"/>
    </row>
    <row r="654">
      <c r="A654" s="29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3"/>
      <c r="U654" s="103"/>
      <c r="V654" s="103"/>
      <c r="W654" s="104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  <c r="AM654" s="29"/>
      <c r="AN654" s="101"/>
      <c r="AO654" s="101"/>
      <c r="AP654" s="101"/>
      <c r="AQ654" s="101"/>
      <c r="AR654" s="101"/>
      <c r="AS654" s="101"/>
      <c r="AT654" s="101"/>
      <c r="AU654" s="101"/>
      <c r="AV654" s="101"/>
      <c r="AW654" s="101"/>
      <c r="AX654" s="101"/>
      <c r="AY654" s="101"/>
      <c r="AZ654" s="101"/>
      <c r="BA654" s="101"/>
      <c r="BB654" s="101"/>
      <c r="BC654" s="101"/>
      <c r="BD654" s="101"/>
      <c r="BE654" s="101"/>
      <c r="BF654" s="101"/>
      <c r="BG654" s="101"/>
      <c r="BH654" s="101"/>
      <c r="BI654" s="101"/>
      <c r="BJ654" s="101"/>
      <c r="BK654" s="101"/>
      <c r="BL654" s="101"/>
      <c r="BM654" s="101"/>
      <c r="BN654" s="101"/>
      <c r="BO654" s="101"/>
      <c r="BP654" s="101"/>
      <c r="BQ654" s="101"/>
      <c r="BR654" s="101"/>
      <c r="BS654" s="101"/>
      <c r="BT654" s="101"/>
      <c r="BU654" s="101"/>
      <c r="BV654" s="101"/>
      <c r="BW654" s="101"/>
      <c r="BX654" s="101"/>
      <c r="BY654" s="101"/>
      <c r="BZ654" s="101"/>
      <c r="CA654" s="101"/>
      <c r="CB654" s="101"/>
      <c r="CC654" s="101"/>
      <c r="CD654" s="101"/>
      <c r="CE654" s="101"/>
      <c r="CF654" s="101"/>
      <c r="CG654" s="101"/>
      <c r="CH654" s="101"/>
      <c r="CI654" s="101"/>
      <c r="CJ654" s="101"/>
      <c r="CK654" s="101"/>
      <c r="CL654" s="101"/>
      <c r="CM654" s="101"/>
      <c r="CN654" s="101"/>
      <c r="CO654" s="101"/>
      <c r="CP654" s="101"/>
      <c r="CQ654" s="101"/>
      <c r="CR654" s="101"/>
      <c r="CS654" s="101"/>
      <c r="CT654" s="101"/>
      <c r="CU654" s="101"/>
      <c r="CV654" s="101"/>
      <c r="CW654" s="101"/>
      <c r="CX654" s="101"/>
      <c r="CY654" s="101"/>
      <c r="CZ654" s="101"/>
      <c r="DA654" s="101"/>
      <c r="DB654" s="101"/>
      <c r="DC654" s="101"/>
      <c r="DD654" s="101"/>
      <c r="DE654" s="101"/>
      <c r="DF654" s="101"/>
    </row>
    <row r="655">
      <c r="A655" s="29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3"/>
      <c r="U655" s="103"/>
      <c r="V655" s="103"/>
      <c r="W655" s="104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  <c r="AM655" s="29"/>
      <c r="AN655" s="101"/>
      <c r="AO655" s="101"/>
      <c r="AP655" s="101"/>
      <c r="AQ655" s="101"/>
      <c r="AR655" s="101"/>
      <c r="AS655" s="101"/>
      <c r="AT655" s="101"/>
      <c r="AU655" s="101"/>
      <c r="AV655" s="101"/>
      <c r="AW655" s="101"/>
      <c r="AX655" s="101"/>
      <c r="AY655" s="101"/>
      <c r="AZ655" s="101"/>
      <c r="BA655" s="101"/>
      <c r="BB655" s="101"/>
      <c r="BC655" s="101"/>
      <c r="BD655" s="101"/>
      <c r="BE655" s="101"/>
      <c r="BF655" s="101"/>
      <c r="BG655" s="101"/>
      <c r="BH655" s="101"/>
      <c r="BI655" s="101"/>
      <c r="BJ655" s="101"/>
      <c r="BK655" s="101"/>
      <c r="BL655" s="101"/>
      <c r="BM655" s="101"/>
      <c r="BN655" s="101"/>
      <c r="BO655" s="101"/>
      <c r="BP655" s="101"/>
      <c r="BQ655" s="101"/>
      <c r="BR655" s="101"/>
      <c r="BS655" s="101"/>
      <c r="BT655" s="101"/>
      <c r="BU655" s="101"/>
      <c r="BV655" s="101"/>
      <c r="BW655" s="101"/>
      <c r="BX655" s="101"/>
      <c r="BY655" s="101"/>
      <c r="BZ655" s="101"/>
      <c r="CA655" s="101"/>
      <c r="CB655" s="101"/>
      <c r="CC655" s="101"/>
      <c r="CD655" s="101"/>
      <c r="CE655" s="101"/>
      <c r="CF655" s="101"/>
      <c r="CG655" s="101"/>
      <c r="CH655" s="101"/>
      <c r="CI655" s="101"/>
      <c r="CJ655" s="101"/>
      <c r="CK655" s="101"/>
      <c r="CL655" s="101"/>
      <c r="CM655" s="101"/>
      <c r="CN655" s="101"/>
      <c r="CO655" s="101"/>
      <c r="CP655" s="101"/>
      <c r="CQ655" s="101"/>
      <c r="CR655" s="101"/>
      <c r="CS655" s="101"/>
      <c r="CT655" s="101"/>
      <c r="CU655" s="101"/>
      <c r="CV655" s="101"/>
      <c r="CW655" s="101"/>
      <c r="CX655" s="101"/>
      <c r="CY655" s="101"/>
      <c r="CZ655" s="101"/>
      <c r="DA655" s="101"/>
      <c r="DB655" s="101"/>
      <c r="DC655" s="101"/>
      <c r="DD655" s="101"/>
      <c r="DE655" s="101"/>
      <c r="DF655" s="101"/>
    </row>
    <row r="656">
      <c r="A656" s="29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3"/>
      <c r="U656" s="103"/>
      <c r="V656" s="103"/>
      <c r="W656" s="104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  <c r="AM656" s="29"/>
      <c r="AN656" s="101"/>
      <c r="AO656" s="101"/>
      <c r="AP656" s="101"/>
      <c r="AQ656" s="101"/>
      <c r="AR656" s="101"/>
      <c r="AS656" s="101"/>
      <c r="AT656" s="101"/>
      <c r="AU656" s="101"/>
      <c r="AV656" s="101"/>
      <c r="AW656" s="101"/>
      <c r="AX656" s="101"/>
      <c r="AY656" s="101"/>
      <c r="AZ656" s="101"/>
      <c r="BA656" s="101"/>
      <c r="BB656" s="101"/>
      <c r="BC656" s="101"/>
      <c r="BD656" s="101"/>
      <c r="BE656" s="101"/>
      <c r="BF656" s="101"/>
      <c r="BG656" s="101"/>
      <c r="BH656" s="101"/>
      <c r="BI656" s="101"/>
      <c r="BJ656" s="101"/>
      <c r="BK656" s="101"/>
      <c r="BL656" s="101"/>
      <c r="BM656" s="101"/>
      <c r="BN656" s="101"/>
      <c r="BO656" s="101"/>
      <c r="BP656" s="101"/>
      <c r="BQ656" s="101"/>
      <c r="BR656" s="101"/>
      <c r="BS656" s="101"/>
      <c r="BT656" s="101"/>
      <c r="BU656" s="101"/>
      <c r="BV656" s="101"/>
      <c r="BW656" s="101"/>
      <c r="BX656" s="101"/>
      <c r="BY656" s="101"/>
      <c r="BZ656" s="101"/>
      <c r="CA656" s="101"/>
      <c r="CB656" s="101"/>
      <c r="CC656" s="101"/>
      <c r="CD656" s="101"/>
      <c r="CE656" s="101"/>
      <c r="CF656" s="101"/>
      <c r="CG656" s="101"/>
      <c r="CH656" s="101"/>
      <c r="CI656" s="101"/>
      <c r="CJ656" s="101"/>
      <c r="CK656" s="101"/>
      <c r="CL656" s="101"/>
      <c r="CM656" s="101"/>
      <c r="CN656" s="101"/>
      <c r="CO656" s="101"/>
      <c r="CP656" s="101"/>
      <c r="CQ656" s="101"/>
      <c r="CR656" s="101"/>
      <c r="CS656" s="101"/>
      <c r="CT656" s="101"/>
      <c r="CU656" s="101"/>
      <c r="CV656" s="101"/>
      <c r="CW656" s="101"/>
      <c r="CX656" s="101"/>
      <c r="CY656" s="101"/>
      <c r="CZ656" s="101"/>
      <c r="DA656" s="101"/>
      <c r="DB656" s="101"/>
      <c r="DC656" s="101"/>
      <c r="DD656" s="101"/>
      <c r="DE656" s="101"/>
      <c r="DF656" s="101"/>
    </row>
    <row r="657">
      <c r="A657" s="29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3"/>
      <c r="U657" s="103"/>
      <c r="V657" s="103"/>
      <c r="W657" s="104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  <c r="AL657" s="101"/>
      <c r="AM657" s="29"/>
      <c r="AN657" s="101"/>
      <c r="AO657" s="101"/>
      <c r="AP657" s="101"/>
      <c r="AQ657" s="101"/>
      <c r="AR657" s="101"/>
      <c r="AS657" s="101"/>
      <c r="AT657" s="101"/>
      <c r="AU657" s="101"/>
      <c r="AV657" s="101"/>
      <c r="AW657" s="101"/>
      <c r="AX657" s="101"/>
      <c r="AY657" s="101"/>
      <c r="AZ657" s="101"/>
      <c r="BA657" s="101"/>
      <c r="BB657" s="101"/>
      <c r="BC657" s="101"/>
      <c r="BD657" s="101"/>
      <c r="BE657" s="101"/>
      <c r="BF657" s="101"/>
      <c r="BG657" s="101"/>
      <c r="BH657" s="101"/>
      <c r="BI657" s="101"/>
      <c r="BJ657" s="101"/>
      <c r="BK657" s="101"/>
      <c r="BL657" s="101"/>
      <c r="BM657" s="101"/>
      <c r="BN657" s="101"/>
      <c r="BO657" s="101"/>
      <c r="BP657" s="101"/>
      <c r="BQ657" s="101"/>
      <c r="BR657" s="101"/>
      <c r="BS657" s="101"/>
      <c r="BT657" s="101"/>
      <c r="BU657" s="101"/>
      <c r="BV657" s="101"/>
      <c r="BW657" s="101"/>
      <c r="BX657" s="101"/>
      <c r="BY657" s="101"/>
      <c r="BZ657" s="101"/>
      <c r="CA657" s="101"/>
      <c r="CB657" s="101"/>
      <c r="CC657" s="101"/>
      <c r="CD657" s="101"/>
      <c r="CE657" s="101"/>
      <c r="CF657" s="101"/>
      <c r="CG657" s="101"/>
      <c r="CH657" s="101"/>
      <c r="CI657" s="101"/>
      <c r="CJ657" s="101"/>
      <c r="CK657" s="101"/>
      <c r="CL657" s="101"/>
      <c r="CM657" s="101"/>
      <c r="CN657" s="101"/>
      <c r="CO657" s="101"/>
      <c r="CP657" s="101"/>
      <c r="CQ657" s="101"/>
      <c r="CR657" s="101"/>
      <c r="CS657" s="101"/>
      <c r="CT657" s="101"/>
      <c r="CU657" s="101"/>
      <c r="CV657" s="101"/>
      <c r="CW657" s="101"/>
      <c r="CX657" s="101"/>
      <c r="CY657" s="101"/>
      <c r="CZ657" s="101"/>
      <c r="DA657" s="101"/>
      <c r="DB657" s="101"/>
      <c r="DC657" s="101"/>
      <c r="DD657" s="101"/>
      <c r="DE657" s="101"/>
      <c r="DF657" s="101"/>
    </row>
    <row r="658">
      <c r="A658" s="29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3"/>
      <c r="U658" s="103"/>
      <c r="V658" s="103"/>
      <c r="W658" s="104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  <c r="AL658" s="101"/>
      <c r="AM658" s="29"/>
      <c r="AN658" s="101"/>
      <c r="AO658" s="101"/>
      <c r="AP658" s="101"/>
      <c r="AQ658" s="101"/>
      <c r="AR658" s="101"/>
      <c r="AS658" s="101"/>
      <c r="AT658" s="101"/>
      <c r="AU658" s="101"/>
      <c r="AV658" s="101"/>
      <c r="AW658" s="101"/>
      <c r="AX658" s="101"/>
      <c r="AY658" s="101"/>
      <c r="AZ658" s="101"/>
      <c r="BA658" s="101"/>
      <c r="BB658" s="101"/>
      <c r="BC658" s="101"/>
      <c r="BD658" s="101"/>
      <c r="BE658" s="101"/>
      <c r="BF658" s="101"/>
      <c r="BG658" s="101"/>
      <c r="BH658" s="101"/>
      <c r="BI658" s="101"/>
      <c r="BJ658" s="101"/>
      <c r="BK658" s="101"/>
      <c r="BL658" s="101"/>
      <c r="BM658" s="101"/>
      <c r="BN658" s="101"/>
      <c r="BO658" s="101"/>
      <c r="BP658" s="101"/>
      <c r="BQ658" s="101"/>
      <c r="BR658" s="101"/>
      <c r="BS658" s="101"/>
      <c r="BT658" s="101"/>
      <c r="BU658" s="101"/>
      <c r="BV658" s="101"/>
      <c r="BW658" s="101"/>
      <c r="BX658" s="101"/>
      <c r="BY658" s="101"/>
      <c r="BZ658" s="101"/>
      <c r="CA658" s="101"/>
      <c r="CB658" s="101"/>
      <c r="CC658" s="101"/>
      <c r="CD658" s="101"/>
      <c r="CE658" s="101"/>
      <c r="CF658" s="101"/>
      <c r="CG658" s="101"/>
      <c r="CH658" s="101"/>
      <c r="CI658" s="101"/>
      <c r="CJ658" s="101"/>
      <c r="CK658" s="101"/>
      <c r="CL658" s="101"/>
      <c r="CM658" s="101"/>
      <c r="CN658" s="101"/>
      <c r="CO658" s="101"/>
      <c r="CP658" s="101"/>
      <c r="CQ658" s="101"/>
      <c r="CR658" s="101"/>
      <c r="CS658" s="101"/>
      <c r="CT658" s="101"/>
      <c r="CU658" s="101"/>
      <c r="CV658" s="101"/>
      <c r="CW658" s="101"/>
      <c r="CX658" s="101"/>
      <c r="CY658" s="101"/>
      <c r="CZ658" s="101"/>
      <c r="DA658" s="101"/>
      <c r="DB658" s="101"/>
      <c r="DC658" s="101"/>
      <c r="DD658" s="101"/>
      <c r="DE658" s="101"/>
      <c r="DF658" s="101"/>
    </row>
    <row r="659">
      <c r="A659" s="29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3"/>
      <c r="U659" s="103"/>
      <c r="V659" s="103"/>
      <c r="W659" s="104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  <c r="AL659" s="101"/>
      <c r="AM659" s="29"/>
      <c r="AN659" s="101"/>
      <c r="AO659" s="101"/>
      <c r="AP659" s="101"/>
      <c r="AQ659" s="101"/>
      <c r="AR659" s="101"/>
      <c r="AS659" s="101"/>
      <c r="AT659" s="101"/>
      <c r="AU659" s="101"/>
      <c r="AV659" s="101"/>
      <c r="AW659" s="101"/>
      <c r="AX659" s="101"/>
      <c r="AY659" s="101"/>
      <c r="AZ659" s="101"/>
      <c r="BA659" s="101"/>
      <c r="BB659" s="101"/>
      <c r="BC659" s="101"/>
      <c r="BD659" s="101"/>
      <c r="BE659" s="101"/>
      <c r="BF659" s="101"/>
      <c r="BG659" s="101"/>
      <c r="BH659" s="101"/>
      <c r="BI659" s="101"/>
      <c r="BJ659" s="101"/>
      <c r="BK659" s="101"/>
      <c r="BL659" s="101"/>
      <c r="BM659" s="101"/>
      <c r="BN659" s="101"/>
      <c r="BO659" s="101"/>
      <c r="BP659" s="101"/>
      <c r="BQ659" s="101"/>
      <c r="BR659" s="101"/>
      <c r="BS659" s="101"/>
      <c r="BT659" s="101"/>
      <c r="BU659" s="101"/>
      <c r="BV659" s="101"/>
      <c r="BW659" s="101"/>
      <c r="BX659" s="101"/>
      <c r="BY659" s="101"/>
      <c r="BZ659" s="101"/>
      <c r="CA659" s="101"/>
      <c r="CB659" s="101"/>
      <c r="CC659" s="101"/>
      <c r="CD659" s="101"/>
      <c r="CE659" s="101"/>
      <c r="CF659" s="101"/>
      <c r="CG659" s="101"/>
      <c r="CH659" s="101"/>
      <c r="CI659" s="101"/>
      <c r="CJ659" s="101"/>
      <c r="CK659" s="101"/>
      <c r="CL659" s="101"/>
      <c r="CM659" s="101"/>
      <c r="CN659" s="101"/>
      <c r="CO659" s="101"/>
      <c r="CP659" s="101"/>
      <c r="CQ659" s="101"/>
      <c r="CR659" s="101"/>
      <c r="CS659" s="101"/>
      <c r="CT659" s="101"/>
      <c r="CU659" s="101"/>
      <c r="CV659" s="101"/>
      <c r="CW659" s="101"/>
      <c r="CX659" s="101"/>
      <c r="CY659" s="101"/>
      <c r="CZ659" s="101"/>
      <c r="DA659" s="101"/>
      <c r="DB659" s="101"/>
      <c r="DC659" s="101"/>
      <c r="DD659" s="101"/>
      <c r="DE659" s="101"/>
      <c r="DF659" s="101"/>
    </row>
    <row r="660">
      <c r="A660" s="29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3"/>
      <c r="U660" s="103"/>
      <c r="V660" s="103"/>
      <c r="W660" s="104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  <c r="AL660" s="101"/>
      <c r="AM660" s="29"/>
      <c r="AN660" s="101"/>
      <c r="AO660" s="101"/>
      <c r="AP660" s="101"/>
      <c r="AQ660" s="101"/>
      <c r="AR660" s="101"/>
      <c r="AS660" s="101"/>
      <c r="AT660" s="101"/>
      <c r="AU660" s="101"/>
      <c r="AV660" s="101"/>
      <c r="AW660" s="101"/>
      <c r="AX660" s="101"/>
      <c r="AY660" s="101"/>
      <c r="AZ660" s="101"/>
      <c r="BA660" s="101"/>
      <c r="BB660" s="101"/>
      <c r="BC660" s="101"/>
      <c r="BD660" s="101"/>
      <c r="BE660" s="101"/>
      <c r="BF660" s="101"/>
      <c r="BG660" s="101"/>
      <c r="BH660" s="101"/>
      <c r="BI660" s="101"/>
      <c r="BJ660" s="101"/>
      <c r="BK660" s="101"/>
      <c r="BL660" s="101"/>
      <c r="BM660" s="101"/>
      <c r="BN660" s="101"/>
      <c r="BO660" s="101"/>
      <c r="BP660" s="101"/>
      <c r="BQ660" s="101"/>
      <c r="BR660" s="101"/>
      <c r="BS660" s="101"/>
      <c r="BT660" s="101"/>
      <c r="BU660" s="101"/>
      <c r="BV660" s="101"/>
      <c r="BW660" s="101"/>
      <c r="BX660" s="101"/>
      <c r="BY660" s="101"/>
      <c r="BZ660" s="101"/>
      <c r="CA660" s="101"/>
      <c r="CB660" s="101"/>
      <c r="CC660" s="101"/>
      <c r="CD660" s="101"/>
      <c r="CE660" s="101"/>
      <c r="CF660" s="101"/>
      <c r="CG660" s="101"/>
      <c r="CH660" s="101"/>
      <c r="CI660" s="101"/>
      <c r="CJ660" s="101"/>
      <c r="CK660" s="101"/>
      <c r="CL660" s="101"/>
      <c r="CM660" s="101"/>
      <c r="CN660" s="101"/>
      <c r="CO660" s="101"/>
      <c r="CP660" s="101"/>
      <c r="CQ660" s="101"/>
      <c r="CR660" s="101"/>
      <c r="CS660" s="101"/>
      <c r="CT660" s="101"/>
      <c r="CU660" s="101"/>
      <c r="CV660" s="101"/>
      <c r="CW660" s="101"/>
      <c r="CX660" s="101"/>
      <c r="CY660" s="101"/>
      <c r="CZ660" s="101"/>
      <c r="DA660" s="101"/>
      <c r="DB660" s="101"/>
      <c r="DC660" s="101"/>
      <c r="DD660" s="101"/>
      <c r="DE660" s="101"/>
      <c r="DF660" s="101"/>
    </row>
    <row r="661">
      <c r="A661" s="29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3"/>
      <c r="U661" s="103"/>
      <c r="V661" s="103"/>
      <c r="W661" s="104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  <c r="AL661" s="101"/>
      <c r="AM661" s="29"/>
      <c r="AN661" s="101"/>
      <c r="AO661" s="101"/>
      <c r="AP661" s="101"/>
      <c r="AQ661" s="101"/>
      <c r="AR661" s="101"/>
      <c r="AS661" s="101"/>
      <c r="AT661" s="101"/>
      <c r="AU661" s="101"/>
      <c r="AV661" s="101"/>
      <c r="AW661" s="101"/>
      <c r="AX661" s="101"/>
      <c r="AY661" s="101"/>
      <c r="AZ661" s="101"/>
      <c r="BA661" s="101"/>
      <c r="BB661" s="101"/>
      <c r="BC661" s="101"/>
      <c r="BD661" s="101"/>
      <c r="BE661" s="101"/>
      <c r="BF661" s="101"/>
      <c r="BG661" s="101"/>
      <c r="BH661" s="101"/>
      <c r="BI661" s="101"/>
      <c r="BJ661" s="101"/>
      <c r="BK661" s="101"/>
      <c r="BL661" s="101"/>
      <c r="BM661" s="101"/>
      <c r="BN661" s="101"/>
      <c r="BO661" s="101"/>
      <c r="BP661" s="101"/>
      <c r="BQ661" s="101"/>
      <c r="BR661" s="101"/>
      <c r="BS661" s="101"/>
      <c r="BT661" s="101"/>
      <c r="BU661" s="101"/>
      <c r="BV661" s="101"/>
      <c r="BW661" s="101"/>
      <c r="BX661" s="101"/>
      <c r="BY661" s="101"/>
      <c r="BZ661" s="101"/>
      <c r="CA661" s="101"/>
      <c r="CB661" s="101"/>
      <c r="CC661" s="101"/>
      <c r="CD661" s="101"/>
      <c r="CE661" s="101"/>
      <c r="CF661" s="101"/>
      <c r="CG661" s="101"/>
      <c r="CH661" s="101"/>
      <c r="CI661" s="101"/>
      <c r="CJ661" s="101"/>
      <c r="CK661" s="101"/>
      <c r="CL661" s="101"/>
      <c r="CM661" s="101"/>
      <c r="CN661" s="101"/>
      <c r="CO661" s="101"/>
      <c r="CP661" s="101"/>
      <c r="CQ661" s="101"/>
      <c r="CR661" s="101"/>
      <c r="CS661" s="101"/>
      <c r="CT661" s="101"/>
      <c r="CU661" s="101"/>
      <c r="CV661" s="101"/>
      <c r="CW661" s="101"/>
      <c r="CX661" s="101"/>
      <c r="CY661" s="101"/>
      <c r="CZ661" s="101"/>
      <c r="DA661" s="101"/>
      <c r="DB661" s="101"/>
      <c r="DC661" s="101"/>
      <c r="DD661" s="101"/>
      <c r="DE661" s="101"/>
      <c r="DF661" s="101"/>
    </row>
    <row r="662">
      <c r="A662" s="29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3"/>
      <c r="U662" s="103"/>
      <c r="V662" s="103"/>
      <c r="W662" s="104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  <c r="AL662" s="101"/>
      <c r="AM662" s="29"/>
      <c r="AN662" s="101"/>
      <c r="AO662" s="101"/>
      <c r="AP662" s="101"/>
      <c r="AQ662" s="101"/>
      <c r="AR662" s="101"/>
      <c r="AS662" s="101"/>
      <c r="AT662" s="101"/>
      <c r="AU662" s="101"/>
      <c r="AV662" s="101"/>
      <c r="AW662" s="101"/>
      <c r="AX662" s="101"/>
      <c r="AY662" s="101"/>
      <c r="AZ662" s="101"/>
      <c r="BA662" s="101"/>
      <c r="BB662" s="101"/>
      <c r="BC662" s="101"/>
      <c r="BD662" s="101"/>
      <c r="BE662" s="101"/>
      <c r="BF662" s="101"/>
      <c r="BG662" s="101"/>
      <c r="BH662" s="101"/>
      <c r="BI662" s="101"/>
      <c r="BJ662" s="101"/>
      <c r="BK662" s="101"/>
      <c r="BL662" s="101"/>
      <c r="BM662" s="101"/>
      <c r="BN662" s="101"/>
      <c r="BO662" s="101"/>
      <c r="BP662" s="101"/>
      <c r="BQ662" s="101"/>
      <c r="BR662" s="101"/>
      <c r="BS662" s="101"/>
      <c r="BT662" s="101"/>
      <c r="BU662" s="101"/>
      <c r="BV662" s="101"/>
      <c r="BW662" s="101"/>
      <c r="BX662" s="101"/>
      <c r="BY662" s="101"/>
      <c r="BZ662" s="101"/>
      <c r="CA662" s="101"/>
      <c r="CB662" s="101"/>
      <c r="CC662" s="101"/>
      <c r="CD662" s="101"/>
      <c r="CE662" s="101"/>
      <c r="CF662" s="101"/>
      <c r="CG662" s="101"/>
      <c r="CH662" s="101"/>
      <c r="CI662" s="101"/>
      <c r="CJ662" s="101"/>
      <c r="CK662" s="101"/>
      <c r="CL662" s="101"/>
      <c r="CM662" s="101"/>
      <c r="CN662" s="101"/>
      <c r="CO662" s="101"/>
      <c r="CP662" s="101"/>
      <c r="CQ662" s="101"/>
      <c r="CR662" s="101"/>
      <c r="CS662" s="101"/>
      <c r="CT662" s="101"/>
      <c r="CU662" s="101"/>
      <c r="CV662" s="101"/>
      <c r="CW662" s="101"/>
      <c r="CX662" s="101"/>
      <c r="CY662" s="101"/>
      <c r="CZ662" s="101"/>
      <c r="DA662" s="101"/>
      <c r="DB662" s="101"/>
      <c r="DC662" s="101"/>
      <c r="DD662" s="101"/>
      <c r="DE662" s="101"/>
      <c r="DF662" s="101"/>
    </row>
    <row r="663">
      <c r="A663" s="29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3"/>
      <c r="U663" s="103"/>
      <c r="V663" s="103"/>
      <c r="W663" s="104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  <c r="AM663" s="29"/>
      <c r="AN663" s="101"/>
      <c r="AO663" s="101"/>
      <c r="AP663" s="101"/>
      <c r="AQ663" s="101"/>
      <c r="AR663" s="101"/>
      <c r="AS663" s="101"/>
      <c r="AT663" s="101"/>
      <c r="AU663" s="101"/>
      <c r="AV663" s="101"/>
      <c r="AW663" s="101"/>
      <c r="AX663" s="101"/>
      <c r="AY663" s="101"/>
      <c r="AZ663" s="101"/>
      <c r="BA663" s="101"/>
      <c r="BB663" s="101"/>
      <c r="BC663" s="101"/>
      <c r="BD663" s="101"/>
      <c r="BE663" s="101"/>
      <c r="BF663" s="101"/>
      <c r="BG663" s="101"/>
      <c r="BH663" s="101"/>
      <c r="BI663" s="101"/>
      <c r="BJ663" s="101"/>
      <c r="BK663" s="101"/>
      <c r="BL663" s="101"/>
      <c r="BM663" s="101"/>
      <c r="BN663" s="101"/>
      <c r="BO663" s="101"/>
      <c r="BP663" s="101"/>
      <c r="BQ663" s="101"/>
      <c r="BR663" s="101"/>
      <c r="BS663" s="101"/>
      <c r="BT663" s="101"/>
      <c r="BU663" s="101"/>
      <c r="BV663" s="101"/>
      <c r="BW663" s="101"/>
      <c r="BX663" s="101"/>
      <c r="BY663" s="101"/>
      <c r="BZ663" s="101"/>
      <c r="CA663" s="101"/>
      <c r="CB663" s="101"/>
      <c r="CC663" s="101"/>
      <c r="CD663" s="101"/>
      <c r="CE663" s="101"/>
      <c r="CF663" s="101"/>
      <c r="CG663" s="101"/>
      <c r="CH663" s="101"/>
      <c r="CI663" s="101"/>
      <c r="CJ663" s="101"/>
      <c r="CK663" s="101"/>
      <c r="CL663" s="101"/>
      <c r="CM663" s="101"/>
      <c r="CN663" s="101"/>
      <c r="CO663" s="101"/>
      <c r="CP663" s="101"/>
      <c r="CQ663" s="101"/>
      <c r="CR663" s="101"/>
      <c r="CS663" s="101"/>
      <c r="CT663" s="101"/>
      <c r="CU663" s="101"/>
      <c r="CV663" s="101"/>
      <c r="CW663" s="101"/>
      <c r="CX663" s="101"/>
      <c r="CY663" s="101"/>
      <c r="CZ663" s="101"/>
      <c r="DA663" s="101"/>
      <c r="DB663" s="101"/>
      <c r="DC663" s="101"/>
      <c r="DD663" s="101"/>
      <c r="DE663" s="101"/>
      <c r="DF663" s="101"/>
    </row>
    <row r="664">
      <c r="A664" s="29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3"/>
      <c r="U664" s="103"/>
      <c r="V664" s="103"/>
      <c r="W664" s="104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  <c r="AL664" s="101"/>
      <c r="AM664" s="29"/>
      <c r="AN664" s="101"/>
      <c r="AO664" s="101"/>
      <c r="AP664" s="101"/>
      <c r="AQ664" s="101"/>
      <c r="AR664" s="101"/>
      <c r="AS664" s="101"/>
      <c r="AT664" s="101"/>
      <c r="AU664" s="101"/>
      <c r="AV664" s="101"/>
      <c r="AW664" s="101"/>
      <c r="AX664" s="101"/>
      <c r="AY664" s="101"/>
      <c r="AZ664" s="101"/>
      <c r="BA664" s="101"/>
      <c r="BB664" s="101"/>
      <c r="BC664" s="101"/>
      <c r="BD664" s="101"/>
      <c r="BE664" s="101"/>
      <c r="BF664" s="101"/>
      <c r="BG664" s="101"/>
      <c r="BH664" s="101"/>
      <c r="BI664" s="101"/>
      <c r="BJ664" s="101"/>
      <c r="BK664" s="101"/>
      <c r="BL664" s="101"/>
      <c r="BM664" s="101"/>
      <c r="BN664" s="101"/>
      <c r="BO664" s="101"/>
      <c r="BP664" s="101"/>
      <c r="BQ664" s="101"/>
      <c r="BR664" s="101"/>
      <c r="BS664" s="101"/>
      <c r="BT664" s="101"/>
      <c r="BU664" s="101"/>
      <c r="BV664" s="101"/>
      <c r="BW664" s="101"/>
      <c r="BX664" s="101"/>
      <c r="BY664" s="101"/>
      <c r="BZ664" s="101"/>
      <c r="CA664" s="101"/>
      <c r="CB664" s="101"/>
      <c r="CC664" s="101"/>
      <c r="CD664" s="101"/>
      <c r="CE664" s="101"/>
      <c r="CF664" s="101"/>
      <c r="CG664" s="101"/>
      <c r="CH664" s="101"/>
      <c r="CI664" s="101"/>
      <c r="CJ664" s="101"/>
      <c r="CK664" s="101"/>
      <c r="CL664" s="101"/>
      <c r="CM664" s="101"/>
      <c r="CN664" s="101"/>
      <c r="CO664" s="101"/>
      <c r="CP664" s="101"/>
      <c r="CQ664" s="101"/>
      <c r="CR664" s="101"/>
      <c r="CS664" s="101"/>
      <c r="CT664" s="101"/>
      <c r="CU664" s="101"/>
      <c r="CV664" s="101"/>
      <c r="CW664" s="101"/>
      <c r="CX664" s="101"/>
      <c r="CY664" s="101"/>
      <c r="CZ664" s="101"/>
      <c r="DA664" s="101"/>
      <c r="DB664" s="101"/>
      <c r="DC664" s="101"/>
      <c r="DD664" s="101"/>
      <c r="DE664" s="101"/>
      <c r="DF664" s="101"/>
    </row>
    <row r="665">
      <c r="A665" s="29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3"/>
      <c r="U665" s="103"/>
      <c r="V665" s="103"/>
      <c r="W665" s="104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  <c r="AM665" s="29"/>
      <c r="AN665" s="101"/>
      <c r="AO665" s="101"/>
      <c r="AP665" s="101"/>
      <c r="AQ665" s="101"/>
      <c r="AR665" s="101"/>
      <c r="AS665" s="101"/>
      <c r="AT665" s="101"/>
      <c r="AU665" s="101"/>
      <c r="AV665" s="101"/>
      <c r="AW665" s="101"/>
      <c r="AX665" s="101"/>
      <c r="AY665" s="101"/>
      <c r="AZ665" s="101"/>
      <c r="BA665" s="101"/>
      <c r="BB665" s="101"/>
      <c r="BC665" s="101"/>
      <c r="BD665" s="101"/>
      <c r="BE665" s="101"/>
      <c r="BF665" s="101"/>
      <c r="BG665" s="101"/>
      <c r="BH665" s="101"/>
      <c r="BI665" s="101"/>
      <c r="BJ665" s="101"/>
      <c r="BK665" s="101"/>
      <c r="BL665" s="101"/>
      <c r="BM665" s="101"/>
      <c r="BN665" s="101"/>
      <c r="BO665" s="101"/>
      <c r="BP665" s="101"/>
      <c r="BQ665" s="101"/>
      <c r="BR665" s="101"/>
      <c r="BS665" s="101"/>
      <c r="BT665" s="101"/>
      <c r="BU665" s="101"/>
      <c r="BV665" s="101"/>
      <c r="BW665" s="101"/>
      <c r="BX665" s="101"/>
      <c r="BY665" s="101"/>
      <c r="BZ665" s="101"/>
      <c r="CA665" s="101"/>
      <c r="CB665" s="101"/>
      <c r="CC665" s="101"/>
      <c r="CD665" s="101"/>
      <c r="CE665" s="101"/>
      <c r="CF665" s="101"/>
      <c r="CG665" s="101"/>
      <c r="CH665" s="101"/>
      <c r="CI665" s="101"/>
      <c r="CJ665" s="101"/>
      <c r="CK665" s="101"/>
      <c r="CL665" s="101"/>
      <c r="CM665" s="101"/>
      <c r="CN665" s="101"/>
      <c r="CO665" s="101"/>
      <c r="CP665" s="101"/>
      <c r="CQ665" s="101"/>
      <c r="CR665" s="101"/>
      <c r="CS665" s="101"/>
      <c r="CT665" s="101"/>
      <c r="CU665" s="101"/>
      <c r="CV665" s="101"/>
      <c r="CW665" s="101"/>
      <c r="CX665" s="101"/>
      <c r="CY665" s="101"/>
      <c r="CZ665" s="101"/>
      <c r="DA665" s="101"/>
      <c r="DB665" s="101"/>
      <c r="DC665" s="101"/>
      <c r="DD665" s="101"/>
      <c r="DE665" s="101"/>
      <c r="DF665" s="101"/>
    </row>
    <row r="666">
      <c r="A666" s="29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3"/>
      <c r="U666" s="103"/>
      <c r="V666" s="103"/>
      <c r="W666" s="104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  <c r="AL666" s="101"/>
      <c r="AM666" s="29"/>
      <c r="AN666" s="101"/>
      <c r="AO666" s="101"/>
      <c r="AP666" s="101"/>
      <c r="AQ666" s="101"/>
      <c r="AR666" s="101"/>
      <c r="AS666" s="101"/>
      <c r="AT666" s="101"/>
      <c r="AU666" s="101"/>
      <c r="AV666" s="101"/>
      <c r="AW666" s="101"/>
      <c r="AX666" s="101"/>
      <c r="AY666" s="101"/>
      <c r="AZ666" s="101"/>
      <c r="BA666" s="101"/>
      <c r="BB666" s="101"/>
      <c r="BC666" s="101"/>
      <c r="BD666" s="101"/>
      <c r="BE666" s="101"/>
      <c r="BF666" s="101"/>
      <c r="BG666" s="101"/>
      <c r="BH666" s="101"/>
      <c r="BI666" s="101"/>
      <c r="BJ666" s="101"/>
      <c r="BK666" s="101"/>
      <c r="BL666" s="101"/>
      <c r="BM666" s="101"/>
      <c r="BN666" s="101"/>
      <c r="BO666" s="101"/>
      <c r="BP666" s="101"/>
      <c r="BQ666" s="101"/>
      <c r="BR666" s="101"/>
      <c r="BS666" s="101"/>
      <c r="BT666" s="101"/>
      <c r="BU666" s="101"/>
      <c r="BV666" s="101"/>
      <c r="BW666" s="101"/>
      <c r="BX666" s="101"/>
      <c r="BY666" s="101"/>
      <c r="BZ666" s="101"/>
      <c r="CA666" s="101"/>
      <c r="CB666" s="101"/>
      <c r="CC666" s="101"/>
      <c r="CD666" s="101"/>
      <c r="CE666" s="101"/>
      <c r="CF666" s="101"/>
      <c r="CG666" s="101"/>
      <c r="CH666" s="101"/>
      <c r="CI666" s="101"/>
      <c r="CJ666" s="101"/>
      <c r="CK666" s="101"/>
      <c r="CL666" s="101"/>
      <c r="CM666" s="101"/>
      <c r="CN666" s="101"/>
      <c r="CO666" s="101"/>
      <c r="CP666" s="101"/>
      <c r="CQ666" s="101"/>
      <c r="CR666" s="101"/>
      <c r="CS666" s="101"/>
      <c r="CT666" s="101"/>
      <c r="CU666" s="101"/>
      <c r="CV666" s="101"/>
      <c r="CW666" s="101"/>
      <c r="CX666" s="101"/>
      <c r="CY666" s="101"/>
      <c r="CZ666" s="101"/>
      <c r="DA666" s="101"/>
      <c r="DB666" s="101"/>
      <c r="DC666" s="101"/>
      <c r="DD666" s="101"/>
      <c r="DE666" s="101"/>
      <c r="DF666" s="101"/>
    </row>
    <row r="667">
      <c r="A667" s="29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3"/>
      <c r="U667" s="103"/>
      <c r="V667" s="103"/>
      <c r="W667" s="104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  <c r="AL667" s="101"/>
      <c r="AM667" s="29"/>
      <c r="AN667" s="101"/>
      <c r="AO667" s="101"/>
      <c r="AP667" s="101"/>
      <c r="AQ667" s="101"/>
      <c r="AR667" s="101"/>
      <c r="AS667" s="101"/>
      <c r="AT667" s="101"/>
      <c r="AU667" s="101"/>
      <c r="AV667" s="101"/>
      <c r="AW667" s="101"/>
      <c r="AX667" s="101"/>
      <c r="AY667" s="101"/>
      <c r="AZ667" s="101"/>
      <c r="BA667" s="101"/>
      <c r="BB667" s="101"/>
      <c r="BC667" s="101"/>
      <c r="BD667" s="101"/>
      <c r="BE667" s="101"/>
      <c r="BF667" s="101"/>
      <c r="BG667" s="101"/>
      <c r="BH667" s="101"/>
      <c r="BI667" s="101"/>
      <c r="BJ667" s="101"/>
      <c r="BK667" s="101"/>
      <c r="BL667" s="101"/>
      <c r="BM667" s="101"/>
      <c r="BN667" s="101"/>
      <c r="BO667" s="101"/>
      <c r="BP667" s="101"/>
      <c r="BQ667" s="101"/>
      <c r="BR667" s="101"/>
      <c r="BS667" s="101"/>
      <c r="BT667" s="101"/>
      <c r="BU667" s="101"/>
      <c r="BV667" s="101"/>
      <c r="BW667" s="101"/>
      <c r="BX667" s="101"/>
      <c r="BY667" s="101"/>
      <c r="BZ667" s="101"/>
      <c r="CA667" s="101"/>
      <c r="CB667" s="101"/>
      <c r="CC667" s="101"/>
      <c r="CD667" s="101"/>
      <c r="CE667" s="101"/>
      <c r="CF667" s="101"/>
      <c r="CG667" s="101"/>
      <c r="CH667" s="101"/>
      <c r="CI667" s="101"/>
      <c r="CJ667" s="101"/>
      <c r="CK667" s="101"/>
      <c r="CL667" s="101"/>
      <c r="CM667" s="101"/>
      <c r="CN667" s="101"/>
      <c r="CO667" s="101"/>
      <c r="CP667" s="101"/>
      <c r="CQ667" s="101"/>
      <c r="CR667" s="101"/>
      <c r="CS667" s="101"/>
      <c r="CT667" s="101"/>
      <c r="CU667" s="101"/>
      <c r="CV667" s="101"/>
      <c r="CW667" s="101"/>
      <c r="CX667" s="101"/>
      <c r="CY667" s="101"/>
      <c r="CZ667" s="101"/>
      <c r="DA667" s="101"/>
      <c r="DB667" s="101"/>
      <c r="DC667" s="101"/>
      <c r="DD667" s="101"/>
      <c r="DE667" s="101"/>
      <c r="DF667" s="101"/>
    </row>
    <row r="668">
      <c r="A668" s="29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3"/>
      <c r="U668" s="103"/>
      <c r="V668" s="103"/>
      <c r="W668" s="104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  <c r="AL668" s="101"/>
      <c r="AM668" s="29"/>
      <c r="AN668" s="101"/>
      <c r="AO668" s="101"/>
      <c r="AP668" s="101"/>
      <c r="AQ668" s="101"/>
      <c r="AR668" s="101"/>
      <c r="AS668" s="101"/>
      <c r="AT668" s="101"/>
      <c r="AU668" s="101"/>
      <c r="AV668" s="101"/>
      <c r="AW668" s="101"/>
      <c r="AX668" s="101"/>
      <c r="AY668" s="101"/>
      <c r="AZ668" s="101"/>
      <c r="BA668" s="101"/>
      <c r="BB668" s="101"/>
      <c r="BC668" s="101"/>
      <c r="BD668" s="101"/>
      <c r="BE668" s="101"/>
      <c r="BF668" s="101"/>
      <c r="BG668" s="101"/>
      <c r="BH668" s="101"/>
      <c r="BI668" s="101"/>
      <c r="BJ668" s="101"/>
      <c r="BK668" s="101"/>
      <c r="BL668" s="101"/>
      <c r="BM668" s="101"/>
      <c r="BN668" s="101"/>
      <c r="BO668" s="101"/>
      <c r="BP668" s="101"/>
      <c r="BQ668" s="101"/>
      <c r="BR668" s="101"/>
      <c r="BS668" s="101"/>
      <c r="BT668" s="101"/>
      <c r="BU668" s="101"/>
      <c r="BV668" s="101"/>
      <c r="BW668" s="101"/>
      <c r="BX668" s="101"/>
      <c r="BY668" s="101"/>
      <c r="BZ668" s="101"/>
      <c r="CA668" s="101"/>
      <c r="CB668" s="101"/>
      <c r="CC668" s="101"/>
      <c r="CD668" s="101"/>
      <c r="CE668" s="101"/>
      <c r="CF668" s="101"/>
      <c r="CG668" s="101"/>
      <c r="CH668" s="101"/>
      <c r="CI668" s="101"/>
      <c r="CJ668" s="101"/>
      <c r="CK668" s="101"/>
      <c r="CL668" s="101"/>
      <c r="CM668" s="101"/>
      <c r="CN668" s="101"/>
      <c r="CO668" s="101"/>
      <c r="CP668" s="101"/>
      <c r="CQ668" s="101"/>
      <c r="CR668" s="101"/>
      <c r="CS668" s="101"/>
      <c r="CT668" s="101"/>
      <c r="CU668" s="101"/>
      <c r="CV668" s="101"/>
      <c r="CW668" s="101"/>
      <c r="CX668" s="101"/>
      <c r="CY668" s="101"/>
      <c r="CZ668" s="101"/>
      <c r="DA668" s="101"/>
      <c r="DB668" s="101"/>
      <c r="DC668" s="101"/>
      <c r="DD668" s="101"/>
      <c r="DE668" s="101"/>
      <c r="DF668" s="101"/>
    </row>
    <row r="669">
      <c r="A669" s="29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3"/>
      <c r="U669" s="103"/>
      <c r="V669" s="103"/>
      <c r="W669" s="104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  <c r="AL669" s="101"/>
      <c r="AM669" s="29"/>
      <c r="AN669" s="101"/>
      <c r="AO669" s="101"/>
      <c r="AP669" s="101"/>
      <c r="AQ669" s="101"/>
      <c r="AR669" s="101"/>
      <c r="AS669" s="101"/>
      <c r="AT669" s="101"/>
      <c r="AU669" s="101"/>
      <c r="AV669" s="101"/>
      <c r="AW669" s="101"/>
      <c r="AX669" s="101"/>
      <c r="AY669" s="101"/>
      <c r="AZ669" s="101"/>
      <c r="BA669" s="101"/>
      <c r="BB669" s="101"/>
      <c r="BC669" s="101"/>
      <c r="BD669" s="101"/>
      <c r="BE669" s="101"/>
      <c r="BF669" s="101"/>
      <c r="BG669" s="101"/>
      <c r="BH669" s="101"/>
      <c r="BI669" s="101"/>
      <c r="BJ669" s="101"/>
      <c r="BK669" s="101"/>
      <c r="BL669" s="101"/>
      <c r="BM669" s="101"/>
      <c r="BN669" s="101"/>
      <c r="BO669" s="101"/>
      <c r="BP669" s="101"/>
      <c r="BQ669" s="101"/>
      <c r="BR669" s="101"/>
      <c r="BS669" s="101"/>
      <c r="BT669" s="101"/>
      <c r="BU669" s="101"/>
      <c r="BV669" s="101"/>
      <c r="BW669" s="101"/>
      <c r="BX669" s="101"/>
      <c r="BY669" s="101"/>
      <c r="BZ669" s="101"/>
      <c r="CA669" s="101"/>
      <c r="CB669" s="101"/>
      <c r="CC669" s="101"/>
      <c r="CD669" s="101"/>
      <c r="CE669" s="101"/>
      <c r="CF669" s="101"/>
      <c r="CG669" s="101"/>
      <c r="CH669" s="101"/>
      <c r="CI669" s="101"/>
      <c r="CJ669" s="101"/>
      <c r="CK669" s="101"/>
      <c r="CL669" s="101"/>
      <c r="CM669" s="101"/>
      <c r="CN669" s="101"/>
      <c r="CO669" s="101"/>
      <c r="CP669" s="101"/>
      <c r="CQ669" s="101"/>
      <c r="CR669" s="101"/>
      <c r="CS669" s="101"/>
      <c r="CT669" s="101"/>
      <c r="CU669" s="101"/>
      <c r="CV669" s="101"/>
      <c r="CW669" s="101"/>
      <c r="CX669" s="101"/>
      <c r="CY669" s="101"/>
      <c r="CZ669" s="101"/>
      <c r="DA669" s="101"/>
      <c r="DB669" s="101"/>
      <c r="DC669" s="101"/>
      <c r="DD669" s="101"/>
      <c r="DE669" s="101"/>
      <c r="DF669" s="101"/>
    </row>
    <row r="670">
      <c r="A670" s="29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3"/>
      <c r="U670" s="103"/>
      <c r="V670" s="103"/>
      <c r="W670" s="104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  <c r="AL670" s="101"/>
      <c r="AM670" s="29"/>
      <c r="AN670" s="101"/>
      <c r="AO670" s="101"/>
      <c r="AP670" s="101"/>
      <c r="AQ670" s="101"/>
      <c r="AR670" s="101"/>
      <c r="AS670" s="101"/>
      <c r="AT670" s="101"/>
      <c r="AU670" s="101"/>
      <c r="AV670" s="101"/>
      <c r="AW670" s="101"/>
      <c r="AX670" s="101"/>
      <c r="AY670" s="101"/>
      <c r="AZ670" s="101"/>
      <c r="BA670" s="101"/>
      <c r="BB670" s="101"/>
      <c r="BC670" s="101"/>
      <c r="BD670" s="101"/>
      <c r="BE670" s="101"/>
      <c r="BF670" s="101"/>
      <c r="BG670" s="101"/>
      <c r="BH670" s="101"/>
      <c r="BI670" s="101"/>
      <c r="BJ670" s="101"/>
      <c r="BK670" s="101"/>
      <c r="BL670" s="101"/>
      <c r="BM670" s="101"/>
      <c r="BN670" s="101"/>
      <c r="BO670" s="101"/>
      <c r="BP670" s="101"/>
      <c r="BQ670" s="101"/>
      <c r="BR670" s="101"/>
      <c r="BS670" s="101"/>
      <c r="BT670" s="101"/>
      <c r="BU670" s="101"/>
      <c r="BV670" s="101"/>
      <c r="BW670" s="101"/>
      <c r="BX670" s="101"/>
      <c r="BY670" s="101"/>
      <c r="BZ670" s="101"/>
      <c r="CA670" s="101"/>
      <c r="CB670" s="101"/>
      <c r="CC670" s="101"/>
      <c r="CD670" s="101"/>
      <c r="CE670" s="101"/>
      <c r="CF670" s="101"/>
      <c r="CG670" s="101"/>
      <c r="CH670" s="101"/>
      <c r="CI670" s="101"/>
      <c r="CJ670" s="101"/>
      <c r="CK670" s="101"/>
      <c r="CL670" s="101"/>
      <c r="CM670" s="101"/>
      <c r="CN670" s="101"/>
      <c r="CO670" s="101"/>
      <c r="CP670" s="101"/>
      <c r="CQ670" s="101"/>
      <c r="CR670" s="101"/>
      <c r="CS670" s="101"/>
      <c r="CT670" s="101"/>
      <c r="CU670" s="101"/>
      <c r="CV670" s="101"/>
      <c r="CW670" s="101"/>
      <c r="CX670" s="101"/>
      <c r="CY670" s="101"/>
      <c r="CZ670" s="101"/>
      <c r="DA670" s="101"/>
      <c r="DB670" s="101"/>
      <c r="DC670" s="101"/>
      <c r="DD670" s="101"/>
      <c r="DE670" s="101"/>
      <c r="DF670" s="101"/>
    </row>
    <row r="671">
      <c r="A671" s="29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3"/>
      <c r="U671" s="103"/>
      <c r="V671" s="103"/>
      <c r="W671" s="104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  <c r="AL671" s="101"/>
      <c r="AM671" s="29"/>
      <c r="AN671" s="101"/>
      <c r="AO671" s="101"/>
      <c r="AP671" s="101"/>
      <c r="AQ671" s="101"/>
      <c r="AR671" s="101"/>
      <c r="AS671" s="101"/>
      <c r="AT671" s="101"/>
      <c r="AU671" s="101"/>
      <c r="AV671" s="101"/>
      <c r="AW671" s="101"/>
      <c r="AX671" s="101"/>
      <c r="AY671" s="101"/>
      <c r="AZ671" s="101"/>
      <c r="BA671" s="101"/>
      <c r="BB671" s="101"/>
      <c r="BC671" s="101"/>
      <c r="BD671" s="101"/>
      <c r="BE671" s="101"/>
      <c r="BF671" s="101"/>
      <c r="BG671" s="101"/>
      <c r="BH671" s="101"/>
      <c r="BI671" s="101"/>
      <c r="BJ671" s="101"/>
      <c r="BK671" s="101"/>
      <c r="BL671" s="101"/>
      <c r="BM671" s="101"/>
      <c r="BN671" s="101"/>
      <c r="BO671" s="101"/>
      <c r="BP671" s="101"/>
      <c r="BQ671" s="101"/>
      <c r="BR671" s="101"/>
      <c r="BS671" s="101"/>
      <c r="BT671" s="101"/>
      <c r="BU671" s="101"/>
      <c r="BV671" s="101"/>
      <c r="BW671" s="101"/>
      <c r="BX671" s="101"/>
      <c r="BY671" s="101"/>
      <c r="BZ671" s="101"/>
      <c r="CA671" s="101"/>
      <c r="CB671" s="101"/>
      <c r="CC671" s="101"/>
      <c r="CD671" s="101"/>
      <c r="CE671" s="101"/>
      <c r="CF671" s="101"/>
      <c r="CG671" s="101"/>
      <c r="CH671" s="101"/>
      <c r="CI671" s="101"/>
      <c r="CJ671" s="101"/>
      <c r="CK671" s="101"/>
      <c r="CL671" s="101"/>
      <c r="CM671" s="101"/>
      <c r="CN671" s="101"/>
      <c r="CO671" s="101"/>
      <c r="CP671" s="101"/>
      <c r="CQ671" s="101"/>
      <c r="CR671" s="101"/>
      <c r="CS671" s="101"/>
      <c r="CT671" s="101"/>
      <c r="CU671" s="101"/>
      <c r="CV671" s="101"/>
      <c r="CW671" s="101"/>
      <c r="CX671" s="101"/>
      <c r="CY671" s="101"/>
      <c r="CZ671" s="101"/>
      <c r="DA671" s="101"/>
      <c r="DB671" s="101"/>
      <c r="DC671" s="101"/>
      <c r="DD671" s="101"/>
      <c r="DE671" s="101"/>
      <c r="DF671" s="101"/>
    </row>
    <row r="672">
      <c r="A672" s="29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3"/>
      <c r="U672" s="103"/>
      <c r="V672" s="103"/>
      <c r="W672" s="104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  <c r="AL672" s="101"/>
      <c r="AM672" s="29"/>
      <c r="AN672" s="101"/>
      <c r="AO672" s="101"/>
      <c r="AP672" s="101"/>
      <c r="AQ672" s="101"/>
      <c r="AR672" s="101"/>
      <c r="AS672" s="101"/>
      <c r="AT672" s="101"/>
      <c r="AU672" s="101"/>
      <c r="AV672" s="101"/>
      <c r="AW672" s="101"/>
      <c r="AX672" s="101"/>
      <c r="AY672" s="101"/>
      <c r="AZ672" s="101"/>
      <c r="BA672" s="101"/>
      <c r="BB672" s="101"/>
      <c r="BC672" s="101"/>
      <c r="BD672" s="101"/>
      <c r="BE672" s="101"/>
      <c r="BF672" s="101"/>
      <c r="BG672" s="101"/>
      <c r="BH672" s="101"/>
      <c r="BI672" s="101"/>
      <c r="BJ672" s="101"/>
      <c r="BK672" s="101"/>
      <c r="BL672" s="101"/>
      <c r="BM672" s="101"/>
      <c r="BN672" s="101"/>
      <c r="BO672" s="101"/>
      <c r="BP672" s="101"/>
      <c r="BQ672" s="101"/>
      <c r="BR672" s="101"/>
      <c r="BS672" s="101"/>
      <c r="BT672" s="101"/>
      <c r="BU672" s="101"/>
      <c r="BV672" s="101"/>
      <c r="BW672" s="101"/>
      <c r="BX672" s="101"/>
      <c r="BY672" s="101"/>
      <c r="BZ672" s="101"/>
      <c r="CA672" s="101"/>
      <c r="CB672" s="101"/>
      <c r="CC672" s="101"/>
      <c r="CD672" s="101"/>
      <c r="CE672" s="101"/>
      <c r="CF672" s="101"/>
      <c r="CG672" s="101"/>
      <c r="CH672" s="101"/>
      <c r="CI672" s="101"/>
      <c r="CJ672" s="101"/>
      <c r="CK672" s="101"/>
      <c r="CL672" s="101"/>
      <c r="CM672" s="101"/>
      <c r="CN672" s="101"/>
      <c r="CO672" s="101"/>
      <c r="CP672" s="101"/>
      <c r="CQ672" s="101"/>
      <c r="CR672" s="101"/>
      <c r="CS672" s="101"/>
      <c r="CT672" s="101"/>
      <c r="CU672" s="101"/>
      <c r="CV672" s="101"/>
      <c r="CW672" s="101"/>
      <c r="CX672" s="101"/>
      <c r="CY672" s="101"/>
      <c r="CZ672" s="101"/>
      <c r="DA672" s="101"/>
      <c r="DB672" s="101"/>
      <c r="DC672" s="101"/>
      <c r="DD672" s="101"/>
      <c r="DE672" s="101"/>
      <c r="DF672" s="101"/>
    </row>
    <row r="673">
      <c r="A673" s="29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3"/>
      <c r="U673" s="103"/>
      <c r="V673" s="103"/>
      <c r="W673" s="104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  <c r="AL673" s="101"/>
      <c r="AM673" s="29"/>
      <c r="AN673" s="101"/>
      <c r="AO673" s="101"/>
      <c r="AP673" s="101"/>
      <c r="AQ673" s="101"/>
      <c r="AR673" s="101"/>
      <c r="AS673" s="101"/>
      <c r="AT673" s="101"/>
      <c r="AU673" s="101"/>
      <c r="AV673" s="101"/>
      <c r="AW673" s="101"/>
      <c r="AX673" s="101"/>
      <c r="AY673" s="101"/>
      <c r="AZ673" s="101"/>
      <c r="BA673" s="101"/>
      <c r="BB673" s="101"/>
      <c r="BC673" s="101"/>
      <c r="BD673" s="101"/>
      <c r="BE673" s="101"/>
      <c r="BF673" s="101"/>
      <c r="BG673" s="101"/>
      <c r="BH673" s="101"/>
      <c r="BI673" s="101"/>
      <c r="BJ673" s="101"/>
      <c r="BK673" s="101"/>
      <c r="BL673" s="101"/>
      <c r="BM673" s="101"/>
      <c r="BN673" s="101"/>
      <c r="BO673" s="101"/>
      <c r="BP673" s="101"/>
      <c r="BQ673" s="101"/>
      <c r="BR673" s="101"/>
      <c r="BS673" s="101"/>
      <c r="BT673" s="101"/>
      <c r="BU673" s="101"/>
      <c r="BV673" s="101"/>
      <c r="BW673" s="101"/>
      <c r="BX673" s="101"/>
      <c r="BY673" s="101"/>
      <c r="BZ673" s="101"/>
      <c r="CA673" s="101"/>
      <c r="CB673" s="101"/>
      <c r="CC673" s="101"/>
      <c r="CD673" s="101"/>
      <c r="CE673" s="101"/>
      <c r="CF673" s="101"/>
      <c r="CG673" s="101"/>
      <c r="CH673" s="101"/>
      <c r="CI673" s="101"/>
      <c r="CJ673" s="101"/>
      <c r="CK673" s="101"/>
      <c r="CL673" s="101"/>
      <c r="CM673" s="101"/>
      <c r="CN673" s="101"/>
      <c r="CO673" s="101"/>
      <c r="CP673" s="101"/>
      <c r="CQ673" s="101"/>
      <c r="CR673" s="101"/>
      <c r="CS673" s="101"/>
      <c r="CT673" s="101"/>
      <c r="CU673" s="101"/>
      <c r="CV673" s="101"/>
      <c r="CW673" s="101"/>
      <c r="CX673" s="101"/>
      <c r="CY673" s="101"/>
      <c r="CZ673" s="101"/>
      <c r="DA673" s="101"/>
      <c r="DB673" s="101"/>
      <c r="DC673" s="101"/>
      <c r="DD673" s="101"/>
      <c r="DE673" s="101"/>
      <c r="DF673" s="101"/>
    </row>
    <row r="674">
      <c r="A674" s="29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3"/>
      <c r="U674" s="103"/>
      <c r="V674" s="103"/>
      <c r="W674" s="104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  <c r="AM674" s="29"/>
      <c r="AN674" s="101"/>
      <c r="AO674" s="101"/>
      <c r="AP674" s="101"/>
      <c r="AQ674" s="101"/>
      <c r="AR674" s="101"/>
      <c r="AS674" s="101"/>
      <c r="AT674" s="101"/>
      <c r="AU674" s="101"/>
      <c r="AV674" s="101"/>
      <c r="AW674" s="101"/>
      <c r="AX674" s="101"/>
      <c r="AY674" s="101"/>
      <c r="AZ674" s="101"/>
      <c r="BA674" s="101"/>
      <c r="BB674" s="101"/>
      <c r="BC674" s="101"/>
      <c r="BD674" s="101"/>
      <c r="BE674" s="101"/>
      <c r="BF674" s="101"/>
      <c r="BG674" s="101"/>
      <c r="BH674" s="101"/>
      <c r="BI674" s="101"/>
      <c r="BJ674" s="101"/>
      <c r="BK674" s="101"/>
      <c r="BL674" s="101"/>
      <c r="BM674" s="101"/>
      <c r="BN674" s="101"/>
      <c r="BO674" s="101"/>
      <c r="BP674" s="101"/>
      <c r="BQ674" s="101"/>
      <c r="BR674" s="101"/>
      <c r="BS674" s="101"/>
      <c r="BT674" s="101"/>
      <c r="BU674" s="101"/>
      <c r="BV674" s="101"/>
      <c r="BW674" s="101"/>
      <c r="BX674" s="101"/>
      <c r="BY674" s="101"/>
      <c r="BZ674" s="101"/>
      <c r="CA674" s="101"/>
      <c r="CB674" s="101"/>
      <c r="CC674" s="101"/>
      <c r="CD674" s="101"/>
      <c r="CE674" s="101"/>
      <c r="CF674" s="101"/>
      <c r="CG674" s="101"/>
      <c r="CH674" s="101"/>
      <c r="CI674" s="101"/>
      <c r="CJ674" s="101"/>
      <c r="CK674" s="101"/>
      <c r="CL674" s="101"/>
      <c r="CM674" s="101"/>
      <c r="CN674" s="101"/>
      <c r="CO674" s="101"/>
      <c r="CP674" s="101"/>
      <c r="CQ674" s="101"/>
      <c r="CR674" s="101"/>
      <c r="CS674" s="101"/>
      <c r="CT674" s="101"/>
      <c r="CU674" s="101"/>
      <c r="CV674" s="101"/>
      <c r="CW674" s="101"/>
      <c r="CX674" s="101"/>
      <c r="CY674" s="101"/>
      <c r="CZ674" s="101"/>
      <c r="DA674" s="101"/>
      <c r="DB674" s="101"/>
      <c r="DC674" s="101"/>
      <c r="DD674" s="101"/>
      <c r="DE674" s="101"/>
      <c r="DF674" s="101"/>
    </row>
    <row r="675">
      <c r="A675" s="29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3"/>
      <c r="U675" s="103"/>
      <c r="V675" s="103"/>
      <c r="W675" s="104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  <c r="AL675" s="101"/>
      <c r="AM675" s="29"/>
      <c r="AN675" s="101"/>
      <c r="AO675" s="101"/>
      <c r="AP675" s="101"/>
      <c r="AQ675" s="101"/>
      <c r="AR675" s="101"/>
      <c r="AS675" s="101"/>
      <c r="AT675" s="101"/>
      <c r="AU675" s="101"/>
      <c r="AV675" s="101"/>
      <c r="AW675" s="101"/>
      <c r="AX675" s="101"/>
      <c r="AY675" s="101"/>
      <c r="AZ675" s="101"/>
      <c r="BA675" s="101"/>
      <c r="BB675" s="101"/>
      <c r="BC675" s="101"/>
      <c r="BD675" s="101"/>
      <c r="BE675" s="101"/>
      <c r="BF675" s="101"/>
      <c r="BG675" s="101"/>
      <c r="BH675" s="101"/>
      <c r="BI675" s="101"/>
      <c r="BJ675" s="101"/>
      <c r="BK675" s="101"/>
      <c r="BL675" s="101"/>
      <c r="BM675" s="101"/>
      <c r="BN675" s="101"/>
      <c r="BO675" s="101"/>
      <c r="BP675" s="101"/>
      <c r="BQ675" s="101"/>
      <c r="BR675" s="101"/>
      <c r="BS675" s="101"/>
      <c r="BT675" s="101"/>
      <c r="BU675" s="101"/>
      <c r="BV675" s="101"/>
      <c r="BW675" s="101"/>
      <c r="BX675" s="101"/>
      <c r="BY675" s="101"/>
      <c r="BZ675" s="101"/>
      <c r="CA675" s="101"/>
      <c r="CB675" s="101"/>
      <c r="CC675" s="101"/>
      <c r="CD675" s="101"/>
      <c r="CE675" s="101"/>
      <c r="CF675" s="101"/>
      <c r="CG675" s="101"/>
      <c r="CH675" s="101"/>
      <c r="CI675" s="101"/>
      <c r="CJ675" s="101"/>
      <c r="CK675" s="101"/>
      <c r="CL675" s="101"/>
      <c r="CM675" s="101"/>
      <c r="CN675" s="101"/>
      <c r="CO675" s="101"/>
      <c r="CP675" s="101"/>
      <c r="CQ675" s="101"/>
      <c r="CR675" s="101"/>
      <c r="CS675" s="101"/>
      <c r="CT675" s="101"/>
      <c r="CU675" s="101"/>
      <c r="CV675" s="101"/>
      <c r="CW675" s="101"/>
      <c r="CX675" s="101"/>
      <c r="CY675" s="101"/>
      <c r="CZ675" s="101"/>
      <c r="DA675" s="101"/>
      <c r="DB675" s="101"/>
      <c r="DC675" s="101"/>
      <c r="DD675" s="101"/>
      <c r="DE675" s="101"/>
      <c r="DF675" s="101"/>
    </row>
    <row r="676">
      <c r="A676" s="29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3"/>
      <c r="U676" s="103"/>
      <c r="V676" s="103"/>
      <c r="W676" s="104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  <c r="AL676" s="101"/>
      <c r="AM676" s="29"/>
      <c r="AN676" s="101"/>
      <c r="AO676" s="101"/>
      <c r="AP676" s="101"/>
      <c r="AQ676" s="101"/>
      <c r="AR676" s="101"/>
      <c r="AS676" s="101"/>
      <c r="AT676" s="101"/>
      <c r="AU676" s="101"/>
      <c r="AV676" s="101"/>
      <c r="AW676" s="101"/>
      <c r="AX676" s="101"/>
      <c r="AY676" s="101"/>
      <c r="AZ676" s="101"/>
      <c r="BA676" s="101"/>
      <c r="BB676" s="101"/>
      <c r="BC676" s="101"/>
      <c r="BD676" s="101"/>
      <c r="BE676" s="101"/>
      <c r="BF676" s="101"/>
      <c r="BG676" s="101"/>
      <c r="BH676" s="101"/>
      <c r="BI676" s="101"/>
      <c r="BJ676" s="101"/>
      <c r="BK676" s="101"/>
      <c r="BL676" s="101"/>
      <c r="BM676" s="101"/>
      <c r="BN676" s="101"/>
      <c r="BO676" s="101"/>
      <c r="BP676" s="101"/>
      <c r="BQ676" s="101"/>
      <c r="BR676" s="101"/>
      <c r="BS676" s="101"/>
      <c r="BT676" s="101"/>
      <c r="BU676" s="101"/>
      <c r="BV676" s="101"/>
      <c r="BW676" s="101"/>
      <c r="BX676" s="101"/>
      <c r="BY676" s="101"/>
      <c r="BZ676" s="101"/>
      <c r="CA676" s="101"/>
      <c r="CB676" s="101"/>
      <c r="CC676" s="101"/>
      <c r="CD676" s="101"/>
      <c r="CE676" s="101"/>
      <c r="CF676" s="101"/>
      <c r="CG676" s="101"/>
      <c r="CH676" s="101"/>
      <c r="CI676" s="101"/>
      <c r="CJ676" s="101"/>
      <c r="CK676" s="101"/>
      <c r="CL676" s="101"/>
      <c r="CM676" s="101"/>
      <c r="CN676" s="101"/>
      <c r="CO676" s="101"/>
      <c r="CP676" s="101"/>
      <c r="CQ676" s="101"/>
      <c r="CR676" s="101"/>
      <c r="CS676" s="101"/>
      <c r="CT676" s="101"/>
      <c r="CU676" s="101"/>
      <c r="CV676" s="101"/>
      <c r="CW676" s="101"/>
      <c r="CX676" s="101"/>
      <c r="CY676" s="101"/>
      <c r="CZ676" s="101"/>
      <c r="DA676" s="101"/>
      <c r="DB676" s="101"/>
      <c r="DC676" s="101"/>
      <c r="DD676" s="101"/>
      <c r="DE676" s="101"/>
      <c r="DF676" s="101"/>
    </row>
    <row r="677">
      <c r="A677" s="29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3"/>
      <c r="U677" s="103"/>
      <c r="V677" s="103"/>
      <c r="W677" s="104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  <c r="AL677" s="101"/>
      <c r="AM677" s="29"/>
      <c r="AN677" s="101"/>
      <c r="AO677" s="101"/>
      <c r="AP677" s="101"/>
      <c r="AQ677" s="101"/>
      <c r="AR677" s="101"/>
      <c r="AS677" s="101"/>
      <c r="AT677" s="101"/>
      <c r="AU677" s="101"/>
      <c r="AV677" s="101"/>
      <c r="AW677" s="101"/>
      <c r="AX677" s="101"/>
      <c r="AY677" s="101"/>
      <c r="AZ677" s="101"/>
      <c r="BA677" s="101"/>
      <c r="BB677" s="101"/>
      <c r="BC677" s="101"/>
      <c r="BD677" s="101"/>
      <c r="BE677" s="101"/>
      <c r="BF677" s="101"/>
      <c r="BG677" s="101"/>
      <c r="BH677" s="101"/>
      <c r="BI677" s="101"/>
      <c r="BJ677" s="101"/>
      <c r="BK677" s="101"/>
      <c r="BL677" s="101"/>
      <c r="BM677" s="101"/>
      <c r="BN677" s="101"/>
      <c r="BO677" s="101"/>
      <c r="BP677" s="101"/>
      <c r="BQ677" s="101"/>
      <c r="BR677" s="101"/>
      <c r="BS677" s="101"/>
      <c r="BT677" s="101"/>
      <c r="BU677" s="101"/>
      <c r="BV677" s="101"/>
      <c r="BW677" s="101"/>
      <c r="BX677" s="101"/>
      <c r="BY677" s="101"/>
      <c r="BZ677" s="101"/>
      <c r="CA677" s="101"/>
      <c r="CB677" s="101"/>
      <c r="CC677" s="101"/>
      <c r="CD677" s="101"/>
      <c r="CE677" s="101"/>
      <c r="CF677" s="101"/>
      <c r="CG677" s="101"/>
      <c r="CH677" s="101"/>
      <c r="CI677" s="101"/>
      <c r="CJ677" s="101"/>
      <c r="CK677" s="101"/>
      <c r="CL677" s="101"/>
      <c r="CM677" s="101"/>
      <c r="CN677" s="101"/>
      <c r="CO677" s="101"/>
      <c r="CP677" s="101"/>
      <c r="CQ677" s="101"/>
      <c r="CR677" s="101"/>
      <c r="CS677" s="101"/>
      <c r="CT677" s="101"/>
      <c r="CU677" s="101"/>
      <c r="CV677" s="101"/>
      <c r="CW677" s="101"/>
      <c r="CX677" s="101"/>
      <c r="CY677" s="101"/>
      <c r="CZ677" s="101"/>
      <c r="DA677" s="101"/>
      <c r="DB677" s="101"/>
      <c r="DC677" s="101"/>
      <c r="DD677" s="101"/>
      <c r="DE677" s="101"/>
      <c r="DF677" s="101"/>
    </row>
    <row r="678">
      <c r="A678" s="29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3"/>
      <c r="U678" s="103"/>
      <c r="V678" s="103"/>
      <c r="W678" s="104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  <c r="AL678" s="101"/>
      <c r="AM678" s="29"/>
      <c r="AN678" s="101"/>
      <c r="AO678" s="101"/>
      <c r="AP678" s="101"/>
      <c r="AQ678" s="101"/>
      <c r="AR678" s="101"/>
      <c r="AS678" s="101"/>
      <c r="AT678" s="101"/>
      <c r="AU678" s="101"/>
      <c r="AV678" s="101"/>
      <c r="AW678" s="101"/>
      <c r="AX678" s="101"/>
      <c r="AY678" s="101"/>
      <c r="AZ678" s="101"/>
      <c r="BA678" s="101"/>
      <c r="BB678" s="101"/>
      <c r="BC678" s="101"/>
      <c r="BD678" s="101"/>
      <c r="BE678" s="101"/>
      <c r="BF678" s="101"/>
      <c r="BG678" s="101"/>
      <c r="BH678" s="101"/>
      <c r="BI678" s="101"/>
      <c r="BJ678" s="101"/>
      <c r="BK678" s="101"/>
      <c r="BL678" s="101"/>
      <c r="BM678" s="101"/>
      <c r="BN678" s="101"/>
      <c r="BO678" s="101"/>
      <c r="BP678" s="101"/>
      <c r="BQ678" s="101"/>
      <c r="BR678" s="101"/>
      <c r="BS678" s="101"/>
      <c r="BT678" s="101"/>
      <c r="BU678" s="101"/>
      <c r="BV678" s="101"/>
      <c r="BW678" s="101"/>
      <c r="BX678" s="101"/>
      <c r="BY678" s="101"/>
      <c r="BZ678" s="101"/>
      <c r="CA678" s="101"/>
      <c r="CB678" s="101"/>
      <c r="CC678" s="101"/>
      <c r="CD678" s="101"/>
      <c r="CE678" s="101"/>
      <c r="CF678" s="101"/>
      <c r="CG678" s="101"/>
      <c r="CH678" s="101"/>
      <c r="CI678" s="101"/>
      <c r="CJ678" s="101"/>
      <c r="CK678" s="101"/>
      <c r="CL678" s="101"/>
      <c r="CM678" s="101"/>
      <c r="CN678" s="101"/>
      <c r="CO678" s="101"/>
      <c r="CP678" s="101"/>
      <c r="CQ678" s="101"/>
      <c r="CR678" s="101"/>
      <c r="CS678" s="101"/>
      <c r="CT678" s="101"/>
      <c r="CU678" s="101"/>
      <c r="CV678" s="101"/>
      <c r="CW678" s="101"/>
      <c r="CX678" s="101"/>
      <c r="CY678" s="101"/>
      <c r="CZ678" s="101"/>
      <c r="DA678" s="101"/>
      <c r="DB678" s="101"/>
      <c r="DC678" s="101"/>
      <c r="DD678" s="101"/>
      <c r="DE678" s="101"/>
      <c r="DF678" s="101"/>
    </row>
    <row r="679">
      <c r="A679" s="29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3"/>
      <c r="U679" s="103"/>
      <c r="V679" s="103"/>
      <c r="W679" s="104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  <c r="AL679" s="101"/>
      <c r="AM679" s="29"/>
      <c r="AN679" s="101"/>
      <c r="AO679" s="101"/>
      <c r="AP679" s="101"/>
      <c r="AQ679" s="101"/>
      <c r="AR679" s="101"/>
      <c r="AS679" s="101"/>
      <c r="AT679" s="101"/>
      <c r="AU679" s="101"/>
      <c r="AV679" s="101"/>
      <c r="AW679" s="101"/>
      <c r="AX679" s="101"/>
      <c r="AY679" s="101"/>
      <c r="AZ679" s="101"/>
      <c r="BA679" s="101"/>
      <c r="BB679" s="101"/>
      <c r="BC679" s="101"/>
      <c r="BD679" s="101"/>
      <c r="BE679" s="101"/>
      <c r="BF679" s="101"/>
      <c r="BG679" s="101"/>
      <c r="BH679" s="101"/>
      <c r="BI679" s="101"/>
      <c r="BJ679" s="101"/>
      <c r="BK679" s="101"/>
      <c r="BL679" s="101"/>
      <c r="BM679" s="101"/>
      <c r="BN679" s="101"/>
      <c r="BO679" s="101"/>
      <c r="BP679" s="101"/>
      <c r="BQ679" s="101"/>
      <c r="BR679" s="101"/>
      <c r="BS679" s="101"/>
      <c r="BT679" s="101"/>
      <c r="BU679" s="101"/>
      <c r="BV679" s="101"/>
      <c r="BW679" s="101"/>
      <c r="BX679" s="101"/>
      <c r="BY679" s="101"/>
      <c r="BZ679" s="101"/>
      <c r="CA679" s="101"/>
      <c r="CB679" s="101"/>
      <c r="CC679" s="101"/>
      <c r="CD679" s="101"/>
      <c r="CE679" s="101"/>
      <c r="CF679" s="101"/>
      <c r="CG679" s="101"/>
      <c r="CH679" s="101"/>
      <c r="CI679" s="101"/>
      <c r="CJ679" s="101"/>
      <c r="CK679" s="101"/>
      <c r="CL679" s="101"/>
      <c r="CM679" s="101"/>
      <c r="CN679" s="101"/>
      <c r="CO679" s="101"/>
      <c r="CP679" s="101"/>
      <c r="CQ679" s="101"/>
      <c r="CR679" s="101"/>
      <c r="CS679" s="101"/>
      <c r="CT679" s="101"/>
      <c r="CU679" s="101"/>
      <c r="CV679" s="101"/>
      <c r="CW679" s="101"/>
      <c r="CX679" s="101"/>
      <c r="CY679" s="101"/>
      <c r="CZ679" s="101"/>
      <c r="DA679" s="101"/>
      <c r="DB679" s="101"/>
      <c r="DC679" s="101"/>
      <c r="DD679" s="101"/>
      <c r="DE679" s="101"/>
      <c r="DF679" s="101"/>
    </row>
    <row r="680">
      <c r="A680" s="29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3"/>
      <c r="U680" s="103"/>
      <c r="V680" s="103"/>
      <c r="W680" s="104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  <c r="AL680" s="101"/>
      <c r="AM680" s="29"/>
      <c r="AN680" s="101"/>
      <c r="AO680" s="101"/>
      <c r="AP680" s="101"/>
      <c r="AQ680" s="101"/>
      <c r="AR680" s="101"/>
      <c r="AS680" s="101"/>
      <c r="AT680" s="101"/>
      <c r="AU680" s="101"/>
      <c r="AV680" s="101"/>
      <c r="AW680" s="101"/>
      <c r="AX680" s="101"/>
      <c r="AY680" s="101"/>
      <c r="AZ680" s="101"/>
      <c r="BA680" s="101"/>
      <c r="BB680" s="101"/>
      <c r="BC680" s="101"/>
      <c r="BD680" s="101"/>
      <c r="BE680" s="101"/>
      <c r="BF680" s="101"/>
      <c r="BG680" s="101"/>
      <c r="BH680" s="101"/>
      <c r="BI680" s="101"/>
      <c r="BJ680" s="101"/>
      <c r="BK680" s="101"/>
      <c r="BL680" s="101"/>
      <c r="BM680" s="101"/>
      <c r="BN680" s="101"/>
      <c r="BO680" s="101"/>
      <c r="BP680" s="101"/>
      <c r="BQ680" s="101"/>
      <c r="BR680" s="101"/>
      <c r="BS680" s="101"/>
      <c r="BT680" s="101"/>
      <c r="BU680" s="101"/>
      <c r="BV680" s="101"/>
      <c r="BW680" s="101"/>
      <c r="BX680" s="101"/>
      <c r="BY680" s="101"/>
      <c r="BZ680" s="101"/>
      <c r="CA680" s="101"/>
      <c r="CB680" s="101"/>
      <c r="CC680" s="101"/>
      <c r="CD680" s="101"/>
      <c r="CE680" s="101"/>
      <c r="CF680" s="101"/>
      <c r="CG680" s="101"/>
      <c r="CH680" s="101"/>
      <c r="CI680" s="101"/>
      <c r="CJ680" s="101"/>
      <c r="CK680" s="101"/>
      <c r="CL680" s="101"/>
      <c r="CM680" s="101"/>
      <c r="CN680" s="101"/>
      <c r="CO680" s="101"/>
      <c r="CP680" s="101"/>
      <c r="CQ680" s="101"/>
      <c r="CR680" s="101"/>
      <c r="CS680" s="101"/>
      <c r="CT680" s="101"/>
      <c r="CU680" s="101"/>
      <c r="CV680" s="101"/>
      <c r="CW680" s="101"/>
      <c r="CX680" s="101"/>
      <c r="CY680" s="101"/>
      <c r="CZ680" s="101"/>
      <c r="DA680" s="101"/>
      <c r="DB680" s="101"/>
      <c r="DC680" s="101"/>
      <c r="DD680" s="101"/>
      <c r="DE680" s="101"/>
      <c r="DF680" s="101"/>
    </row>
    <row r="681">
      <c r="A681" s="29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3"/>
      <c r="U681" s="103"/>
      <c r="V681" s="103"/>
      <c r="W681" s="104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  <c r="AL681" s="101"/>
      <c r="AM681" s="29"/>
      <c r="AN681" s="101"/>
      <c r="AO681" s="101"/>
      <c r="AP681" s="101"/>
      <c r="AQ681" s="101"/>
      <c r="AR681" s="101"/>
      <c r="AS681" s="101"/>
      <c r="AT681" s="101"/>
      <c r="AU681" s="101"/>
      <c r="AV681" s="101"/>
      <c r="AW681" s="101"/>
      <c r="AX681" s="101"/>
      <c r="AY681" s="101"/>
      <c r="AZ681" s="101"/>
      <c r="BA681" s="101"/>
      <c r="BB681" s="101"/>
      <c r="BC681" s="101"/>
      <c r="BD681" s="101"/>
      <c r="BE681" s="101"/>
      <c r="BF681" s="101"/>
      <c r="BG681" s="101"/>
      <c r="BH681" s="101"/>
      <c r="BI681" s="101"/>
      <c r="BJ681" s="101"/>
      <c r="BK681" s="101"/>
      <c r="BL681" s="101"/>
      <c r="BM681" s="101"/>
      <c r="BN681" s="101"/>
      <c r="BO681" s="101"/>
      <c r="BP681" s="101"/>
      <c r="BQ681" s="101"/>
      <c r="BR681" s="101"/>
      <c r="BS681" s="101"/>
      <c r="BT681" s="101"/>
      <c r="BU681" s="101"/>
      <c r="BV681" s="101"/>
      <c r="BW681" s="101"/>
      <c r="BX681" s="101"/>
      <c r="BY681" s="101"/>
      <c r="BZ681" s="101"/>
      <c r="CA681" s="101"/>
      <c r="CB681" s="101"/>
      <c r="CC681" s="101"/>
      <c r="CD681" s="101"/>
      <c r="CE681" s="101"/>
      <c r="CF681" s="101"/>
      <c r="CG681" s="101"/>
      <c r="CH681" s="101"/>
      <c r="CI681" s="101"/>
      <c r="CJ681" s="101"/>
      <c r="CK681" s="101"/>
      <c r="CL681" s="101"/>
      <c r="CM681" s="101"/>
      <c r="CN681" s="101"/>
      <c r="CO681" s="101"/>
      <c r="CP681" s="101"/>
      <c r="CQ681" s="101"/>
      <c r="CR681" s="101"/>
      <c r="CS681" s="101"/>
      <c r="CT681" s="101"/>
      <c r="CU681" s="101"/>
      <c r="CV681" s="101"/>
      <c r="CW681" s="101"/>
      <c r="CX681" s="101"/>
      <c r="CY681" s="101"/>
      <c r="CZ681" s="101"/>
      <c r="DA681" s="101"/>
      <c r="DB681" s="101"/>
      <c r="DC681" s="101"/>
      <c r="DD681" s="101"/>
      <c r="DE681" s="101"/>
      <c r="DF681" s="101"/>
    </row>
    <row r="682">
      <c r="A682" s="29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3"/>
      <c r="U682" s="103"/>
      <c r="V682" s="103"/>
      <c r="W682" s="104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  <c r="AL682" s="101"/>
      <c r="AM682" s="29"/>
      <c r="AN682" s="101"/>
      <c r="AO682" s="101"/>
      <c r="AP682" s="101"/>
      <c r="AQ682" s="101"/>
      <c r="AR682" s="101"/>
      <c r="AS682" s="101"/>
      <c r="AT682" s="101"/>
      <c r="AU682" s="101"/>
      <c r="AV682" s="101"/>
      <c r="AW682" s="101"/>
      <c r="AX682" s="101"/>
      <c r="AY682" s="101"/>
      <c r="AZ682" s="101"/>
      <c r="BA682" s="101"/>
      <c r="BB682" s="101"/>
      <c r="BC682" s="101"/>
      <c r="BD682" s="101"/>
      <c r="BE682" s="101"/>
      <c r="BF682" s="101"/>
      <c r="BG682" s="101"/>
      <c r="BH682" s="101"/>
      <c r="BI682" s="101"/>
      <c r="BJ682" s="101"/>
      <c r="BK682" s="101"/>
      <c r="BL682" s="101"/>
      <c r="BM682" s="101"/>
      <c r="BN682" s="101"/>
      <c r="BO682" s="101"/>
      <c r="BP682" s="101"/>
      <c r="BQ682" s="101"/>
      <c r="BR682" s="101"/>
      <c r="BS682" s="101"/>
      <c r="BT682" s="101"/>
      <c r="BU682" s="101"/>
      <c r="BV682" s="101"/>
      <c r="BW682" s="101"/>
      <c r="BX682" s="101"/>
      <c r="BY682" s="101"/>
      <c r="BZ682" s="101"/>
      <c r="CA682" s="101"/>
      <c r="CB682" s="101"/>
      <c r="CC682" s="101"/>
      <c r="CD682" s="101"/>
      <c r="CE682" s="101"/>
      <c r="CF682" s="101"/>
      <c r="CG682" s="101"/>
      <c r="CH682" s="101"/>
      <c r="CI682" s="101"/>
      <c r="CJ682" s="101"/>
      <c r="CK682" s="101"/>
      <c r="CL682" s="101"/>
      <c r="CM682" s="101"/>
      <c r="CN682" s="101"/>
      <c r="CO682" s="101"/>
      <c r="CP682" s="101"/>
      <c r="CQ682" s="101"/>
      <c r="CR682" s="101"/>
      <c r="CS682" s="101"/>
      <c r="CT682" s="101"/>
      <c r="CU682" s="101"/>
      <c r="CV682" s="101"/>
      <c r="CW682" s="101"/>
      <c r="CX682" s="101"/>
      <c r="CY682" s="101"/>
      <c r="CZ682" s="101"/>
      <c r="DA682" s="101"/>
      <c r="DB682" s="101"/>
      <c r="DC682" s="101"/>
      <c r="DD682" s="101"/>
      <c r="DE682" s="101"/>
      <c r="DF682" s="101"/>
    </row>
    <row r="683">
      <c r="A683" s="29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3"/>
      <c r="U683" s="103"/>
      <c r="V683" s="103"/>
      <c r="W683" s="104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  <c r="AM683" s="29"/>
      <c r="AN683" s="101"/>
      <c r="AO683" s="101"/>
      <c r="AP683" s="101"/>
      <c r="AQ683" s="101"/>
      <c r="AR683" s="101"/>
      <c r="AS683" s="101"/>
      <c r="AT683" s="101"/>
      <c r="AU683" s="101"/>
      <c r="AV683" s="101"/>
      <c r="AW683" s="101"/>
      <c r="AX683" s="101"/>
      <c r="AY683" s="101"/>
      <c r="AZ683" s="101"/>
      <c r="BA683" s="101"/>
      <c r="BB683" s="101"/>
      <c r="BC683" s="101"/>
      <c r="BD683" s="101"/>
      <c r="BE683" s="101"/>
      <c r="BF683" s="101"/>
      <c r="BG683" s="101"/>
      <c r="BH683" s="101"/>
      <c r="BI683" s="101"/>
      <c r="BJ683" s="101"/>
      <c r="BK683" s="101"/>
      <c r="BL683" s="101"/>
      <c r="BM683" s="101"/>
      <c r="BN683" s="101"/>
      <c r="BO683" s="101"/>
      <c r="BP683" s="101"/>
      <c r="BQ683" s="101"/>
      <c r="BR683" s="101"/>
      <c r="BS683" s="101"/>
      <c r="BT683" s="101"/>
      <c r="BU683" s="101"/>
      <c r="BV683" s="101"/>
      <c r="BW683" s="101"/>
      <c r="BX683" s="101"/>
      <c r="BY683" s="101"/>
      <c r="BZ683" s="101"/>
      <c r="CA683" s="101"/>
      <c r="CB683" s="101"/>
      <c r="CC683" s="101"/>
      <c r="CD683" s="101"/>
      <c r="CE683" s="101"/>
      <c r="CF683" s="101"/>
      <c r="CG683" s="101"/>
      <c r="CH683" s="101"/>
      <c r="CI683" s="101"/>
      <c r="CJ683" s="101"/>
      <c r="CK683" s="101"/>
      <c r="CL683" s="101"/>
      <c r="CM683" s="101"/>
      <c r="CN683" s="101"/>
      <c r="CO683" s="101"/>
      <c r="CP683" s="101"/>
      <c r="CQ683" s="101"/>
      <c r="CR683" s="101"/>
      <c r="CS683" s="101"/>
      <c r="CT683" s="101"/>
      <c r="CU683" s="101"/>
      <c r="CV683" s="101"/>
      <c r="CW683" s="101"/>
      <c r="CX683" s="101"/>
      <c r="CY683" s="101"/>
      <c r="CZ683" s="101"/>
      <c r="DA683" s="101"/>
      <c r="DB683" s="101"/>
      <c r="DC683" s="101"/>
      <c r="DD683" s="101"/>
      <c r="DE683" s="101"/>
      <c r="DF683" s="101"/>
    </row>
    <row r="684">
      <c r="A684" s="29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3"/>
      <c r="U684" s="103"/>
      <c r="V684" s="103"/>
      <c r="W684" s="104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  <c r="AL684" s="101"/>
      <c r="AM684" s="29"/>
      <c r="AN684" s="101"/>
      <c r="AO684" s="101"/>
      <c r="AP684" s="101"/>
      <c r="AQ684" s="101"/>
      <c r="AR684" s="101"/>
      <c r="AS684" s="101"/>
      <c r="AT684" s="101"/>
      <c r="AU684" s="101"/>
      <c r="AV684" s="101"/>
      <c r="AW684" s="101"/>
      <c r="AX684" s="101"/>
      <c r="AY684" s="101"/>
      <c r="AZ684" s="101"/>
      <c r="BA684" s="101"/>
      <c r="BB684" s="101"/>
      <c r="BC684" s="101"/>
      <c r="BD684" s="101"/>
      <c r="BE684" s="101"/>
      <c r="BF684" s="101"/>
      <c r="BG684" s="101"/>
      <c r="BH684" s="101"/>
      <c r="BI684" s="101"/>
      <c r="BJ684" s="101"/>
      <c r="BK684" s="101"/>
      <c r="BL684" s="101"/>
      <c r="BM684" s="101"/>
      <c r="BN684" s="101"/>
      <c r="BO684" s="101"/>
      <c r="BP684" s="101"/>
      <c r="BQ684" s="101"/>
      <c r="BR684" s="101"/>
      <c r="BS684" s="101"/>
      <c r="BT684" s="101"/>
      <c r="BU684" s="101"/>
      <c r="BV684" s="101"/>
      <c r="BW684" s="101"/>
      <c r="BX684" s="101"/>
      <c r="BY684" s="101"/>
      <c r="BZ684" s="101"/>
      <c r="CA684" s="101"/>
      <c r="CB684" s="101"/>
      <c r="CC684" s="101"/>
      <c r="CD684" s="101"/>
      <c r="CE684" s="101"/>
      <c r="CF684" s="101"/>
      <c r="CG684" s="101"/>
      <c r="CH684" s="101"/>
      <c r="CI684" s="101"/>
      <c r="CJ684" s="101"/>
      <c r="CK684" s="101"/>
      <c r="CL684" s="101"/>
      <c r="CM684" s="101"/>
      <c r="CN684" s="101"/>
      <c r="CO684" s="101"/>
      <c r="CP684" s="101"/>
      <c r="CQ684" s="101"/>
      <c r="CR684" s="101"/>
      <c r="CS684" s="101"/>
      <c r="CT684" s="101"/>
      <c r="CU684" s="101"/>
      <c r="CV684" s="101"/>
      <c r="CW684" s="101"/>
      <c r="CX684" s="101"/>
      <c r="CY684" s="101"/>
      <c r="CZ684" s="101"/>
      <c r="DA684" s="101"/>
      <c r="DB684" s="101"/>
      <c r="DC684" s="101"/>
      <c r="DD684" s="101"/>
      <c r="DE684" s="101"/>
      <c r="DF684" s="101"/>
    </row>
    <row r="685">
      <c r="A685" s="29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3"/>
      <c r="U685" s="103"/>
      <c r="V685" s="103"/>
      <c r="W685" s="104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  <c r="AL685" s="101"/>
      <c r="AM685" s="29"/>
      <c r="AN685" s="101"/>
      <c r="AO685" s="101"/>
      <c r="AP685" s="101"/>
      <c r="AQ685" s="101"/>
      <c r="AR685" s="101"/>
      <c r="AS685" s="101"/>
      <c r="AT685" s="101"/>
      <c r="AU685" s="101"/>
      <c r="AV685" s="101"/>
      <c r="AW685" s="101"/>
      <c r="AX685" s="101"/>
      <c r="AY685" s="101"/>
      <c r="AZ685" s="101"/>
      <c r="BA685" s="101"/>
      <c r="BB685" s="101"/>
      <c r="BC685" s="101"/>
      <c r="BD685" s="101"/>
      <c r="BE685" s="101"/>
      <c r="BF685" s="101"/>
      <c r="BG685" s="101"/>
      <c r="BH685" s="101"/>
      <c r="BI685" s="101"/>
      <c r="BJ685" s="101"/>
      <c r="BK685" s="101"/>
      <c r="BL685" s="101"/>
      <c r="BM685" s="101"/>
      <c r="BN685" s="101"/>
      <c r="BO685" s="101"/>
      <c r="BP685" s="101"/>
      <c r="BQ685" s="101"/>
      <c r="BR685" s="101"/>
      <c r="BS685" s="101"/>
      <c r="BT685" s="101"/>
      <c r="BU685" s="101"/>
      <c r="BV685" s="101"/>
      <c r="BW685" s="101"/>
      <c r="BX685" s="101"/>
      <c r="BY685" s="101"/>
      <c r="BZ685" s="101"/>
      <c r="CA685" s="101"/>
      <c r="CB685" s="101"/>
      <c r="CC685" s="101"/>
      <c r="CD685" s="101"/>
      <c r="CE685" s="101"/>
      <c r="CF685" s="101"/>
      <c r="CG685" s="101"/>
      <c r="CH685" s="101"/>
      <c r="CI685" s="101"/>
      <c r="CJ685" s="101"/>
      <c r="CK685" s="101"/>
      <c r="CL685" s="101"/>
      <c r="CM685" s="101"/>
      <c r="CN685" s="101"/>
      <c r="CO685" s="101"/>
      <c r="CP685" s="101"/>
      <c r="CQ685" s="101"/>
      <c r="CR685" s="101"/>
      <c r="CS685" s="101"/>
      <c r="CT685" s="101"/>
      <c r="CU685" s="101"/>
      <c r="CV685" s="101"/>
      <c r="CW685" s="101"/>
      <c r="CX685" s="101"/>
      <c r="CY685" s="101"/>
      <c r="CZ685" s="101"/>
      <c r="DA685" s="101"/>
      <c r="DB685" s="101"/>
      <c r="DC685" s="101"/>
      <c r="DD685" s="101"/>
      <c r="DE685" s="101"/>
      <c r="DF685" s="101"/>
    </row>
    <row r="686">
      <c r="A686" s="29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3"/>
      <c r="U686" s="103"/>
      <c r="V686" s="103"/>
      <c r="W686" s="104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  <c r="AL686" s="101"/>
      <c r="AM686" s="29"/>
      <c r="AN686" s="101"/>
      <c r="AO686" s="101"/>
      <c r="AP686" s="101"/>
      <c r="AQ686" s="101"/>
      <c r="AR686" s="101"/>
      <c r="AS686" s="101"/>
      <c r="AT686" s="101"/>
      <c r="AU686" s="101"/>
      <c r="AV686" s="101"/>
      <c r="AW686" s="101"/>
      <c r="AX686" s="101"/>
      <c r="AY686" s="101"/>
      <c r="AZ686" s="101"/>
      <c r="BA686" s="101"/>
      <c r="BB686" s="101"/>
      <c r="BC686" s="101"/>
      <c r="BD686" s="101"/>
      <c r="BE686" s="101"/>
      <c r="BF686" s="101"/>
      <c r="BG686" s="101"/>
      <c r="BH686" s="101"/>
      <c r="BI686" s="101"/>
      <c r="BJ686" s="101"/>
      <c r="BK686" s="101"/>
      <c r="BL686" s="101"/>
      <c r="BM686" s="101"/>
      <c r="BN686" s="101"/>
      <c r="BO686" s="101"/>
      <c r="BP686" s="101"/>
      <c r="BQ686" s="101"/>
      <c r="BR686" s="101"/>
      <c r="BS686" s="101"/>
      <c r="BT686" s="101"/>
      <c r="BU686" s="101"/>
      <c r="BV686" s="101"/>
      <c r="BW686" s="101"/>
      <c r="BX686" s="101"/>
      <c r="BY686" s="101"/>
      <c r="BZ686" s="101"/>
      <c r="CA686" s="101"/>
      <c r="CB686" s="101"/>
      <c r="CC686" s="101"/>
      <c r="CD686" s="101"/>
      <c r="CE686" s="101"/>
      <c r="CF686" s="101"/>
      <c r="CG686" s="101"/>
      <c r="CH686" s="101"/>
      <c r="CI686" s="101"/>
      <c r="CJ686" s="101"/>
      <c r="CK686" s="101"/>
      <c r="CL686" s="101"/>
      <c r="CM686" s="101"/>
      <c r="CN686" s="101"/>
      <c r="CO686" s="101"/>
      <c r="CP686" s="101"/>
      <c r="CQ686" s="101"/>
      <c r="CR686" s="101"/>
      <c r="CS686" s="101"/>
      <c r="CT686" s="101"/>
      <c r="CU686" s="101"/>
      <c r="CV686" s="101"/>
      <c r="CW686" s="101"/>
      <c r="CX686" s="101"/>
      <c r="CY686" s="101"/>
      <c r="CZ686" s="101"/>
      <c r="DA686" s="101"/>
      <c r="DB686" s="101"/>
      <c r="DC686" s="101"/>
      <c r="DD686" s="101"/>
      <c r="DE686" s="101"/>
      <c r="DF686" s="101"/>
    </row>
    <row r="687">
      <c r="A687" s="29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3"/>
      <c r="U687" s="103"/>
      <c r="V687" s="103"/>
      <c r="W687" s="104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  <c r="AL687" s="101"/>
      <c r="AM687" s="29"/>
      <c r="AN687" s="101"/>
      <c r="AO687" s="101"/>
      <c r="AP687" s="101"/>
      <c r="AQ687" s="101"/>
      <c r="AR687" s="101"/>
      <c r="AS687" s="101"/>
      <c r="AT687" s="101"/>
      <c r="AU687" s="101"/>
      <c r="AV687" s="101"/>
      <c r="AW687" s="101"/>
      <c r="AX687" s="101"/>
      <c r="AY687" s="101"/>
      <c r="AZ687" s="101"/>
      <c r="BA687" s="101"/>
      <c r="BB687" s="101"/>
      <c r="BC687" s="101"/>
      <c r="BD687" s="101"/>
      <c r="BE687" s="101"/>
      <c r="BF687" s="101"/>
      <c r="BG687" s="101"/>
      <c r="BH687" s="101"/>
      <c r="BI687" s="101"/>
      <c r="BJ687" s="101"/>
      <c r="BK687" s="101"/>
      <c r="BL687" s="101"/>
      <c r="BM687" s="101"/>
      <c r="BN687" s="101"/>
      <c r="BO687" s="101"/>
      <c r="BP687" s="101"/>
      <c r="BQ687" s="101"/>
      <c r="BR687" s="101"/>
      <c r="BS687" s="101"/>
      <c r="BT687" s="101"/>
      <c r="BU687" s="101"/>
      <c r="BV687" s="101"/>
      <c r="BW687" s="101"/>
      <c r="BX687" s="101"/>
      <c r="BY687" s="101"/>
      <c r="BZ687" s="101"/>
      <c r="CA687" s="101"/>
      <c r="CB687" s="101"/>
      <c r="CC687" s="101"/>
      <c r="CD687" s="101"/>
      <c r="CE687" s="101"/>
      <c r="CF687" s="101"/>
      <c r="CG687" s="101"/>
      <c r="CH687" s="101"/>
      <c r="CI687" s="101"/>
      <c r="CJ687" s="101"/>
      <c r="CK687" s="101"/>
      <c r="CL687" s="101"/>
      <c r="CM687" s="101"/>
      <c r="CN687" s="101"/>
      <c r="CO687" s="101"/>
      <c r="CP687" s="101"/>
      <c r="CQ687" s="101"/>
      <c r="CR687" s="101"/>
      <c r="CS687" s="101"/>
      <c r="CT687" s="101"/>
      <c r="CU687" s="101"/>
      <c r="CV687" s="101"/>
      <c r="CW687" s="101"/>
      <c r="CX687" s="101"/>
      <c r="CY687" s="101"/>
      <c r="CZ687" s="101"/>
      <c r="DA687" s="101"/>
      <c r="DB687" s="101"/>
      <c r="DC687" s="101"/>
      <c r="DD687" s="101"/>
      <c r="DE687" s="101"/>
      <c r="DF687" s="101"/>
    </row>
    <row r="688">
      <c r="A688" s="29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3"/>
      <c r="U688" s="103"/>
      <c r="V688" s="103"/>
      <c r="W688" s="104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  <c r="AL688" s="101"/>
      <c r="AM688" s="29"/>
      <c r="AN688" s="101"/>
      <c r="AO688" s="101"/>
      <c r="AP688" s="101"/>
      <c r="AQ688" s="101"/>
      <c r="AR688" s="101"/>
      <c r="AS688" s="101"/>
      <c r="AT688" s="101"/>
      <c r="AU688" s="101"/>
      <c r="AV688" s="101"/>
      <c r="AW688" s="101"/>
      <c r="AX688" s="101"/>
      <c r="AY688" s="101"/>
      <c r="AZ688" s="101"/>
      <c r="BA688" s="101"/>
      <c r="BB688" s="101"/>
      <c r="BC688" s="101"/>
      <c r="BD688" s="101"/>
      <c r="BE688" s="101"/>
      <c r="BF688" s="101"/>
      <c r="BG688" s="101"/>
      <c r="BH688" s="101"/>
      <c r="BI688" s="101"/>
      <c r="BJ688" s="101"/>
      <c r="BK688" s="101"/>
      <c r="BL688" s="101"/>
      <c r="BM688" s="101"/>
      <c r="BN688" s="101"/>
      <c r="BO688" s="101"/>
      <c r="BP688" s="101"/>
      <c r="BQ688" s="101"/>
      <c r="BR688" s="101"/>
      <c r="BS688" s="101"/>
      <c r="BT688" s="101"/>
      <c r="BU688" s="101"/>
      <c r="BV688" s="101"/>
      <c r="BW688" s="101"/>
      <c r="BX688" s="101"/>
      <c r="BY688" s="101"/>
      <c r="BZ688" s="101"/>
      <c r="CA688" s="101"/>
      <c r="CB688" s="101"/>
      <c r="CC688" s="101"/>
      <c r="CD688" s="101"/>
      <c r="CE688" s="101"/>
      <c r="CF688" s="101"/>
      <c r="CG688" s="101"/>
      <c r="CH688" s="101"/>
      <c r="CI688" s="101"/>
      <c r="CJ688" s="101"/>
      <c r="CK688" s="101"/>
      <c r="CL688" s="101"/>
      <c r="CM688" s="101"/>
      <c r="CN688" s="101"/>
      <c r="CO688" s="101"/>
      <c r="CP688" s="101"/>
      <c r="CQ688" s="101"/>
      <c r="CR688" s="101"/>
      <c r="CS688" s="101"/>
      <c r="CT688" s="101"/>
      <c r="CU688" s="101"/>
      <c r="CV688" s="101"/>
      <c r="CW688" s="101"/>
      <c r="CX688" s="101"/>
      <c r="CY688" s="101"/>
      <c r="CZ688" s="101"/>
      <c r="DA688" s="101"/>
      <c r="DB688" s="101"/>
      <c r="DC688" s="101"/>
      <c r="DD688" s="101"/>
      <c r="DE688" s="101"/>
      <c r="DF688" s="101"/>
    </row>
    <row r="689">
      <c r="A689" s="29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3"/>
      <c r="U689" s="103"/>
      <c r="V689" s="103"/>
      <c r="W689" s="104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  <c r="AL689" s="101"/>
      <c r="AM689" s="29"/>
      <c r="AN689" s="101"/>
      <c r="AO689" s="101"/>
      <c r="AP689" s="101"/>
      <c r="AQ689" s="101"/>
      <c r="AR689" s="101"/>
      <c r="AS689" s="101"/>
      <c r="AT689" s="101"/>
      <c r="AU689" s="101"/>
      <c r="AV689" s="101"/>
      <c r="AW689" s="101"/>
      <c r="AX689" s="101"/>
      <c r="AY689" s="101"/>
      <c r="AZ689" s="101"/>
      <c r="BA689" s="101"/>
      <c r="BB689" s="101"/>
      <c r="BC689" s="101"/>
      <c r="BD689" s="101"/>
      <c r="BE689" s="101"/>
      <c r="BF689" s="101"/>
      <c r="BG689" s="101"/>
      <c r="BH689" s="101"/>
      <c r="BI689" s="101"/>
      <c r="BJ689" s="101"/>
      <c r="BK689" s="101"/>
      <c r="BL689" s="101"/>
      <c r="BM689" s="101"/>
      <c r="BN689" s="101"/>
      <c r="BO689" s="101"/>
      <c r="BP689" s="101"/>
      <c r="BQ689" s="101"/>
      <c r="BR689" s="101"/>
      <c r="BS689" s="101"/>
      <c r="BT689" s="101"/>
      <c r="BU689" s="101"/>
      <c r="BV689" s="101"/>
      <c r="BW689" s="101"/>
      <c r="BX689" s="101"/>
      <c r="BY689" s="101"/>
      <c r="BZ689" s="101"/>
      <c r="CA689" s="101"/>
      <c r="CB689" s="101"/>
      <c r="CC689" s="101"/>
      <c r="CD689" s="101"/>
      <c r="CE689" s="101"/>
      <c r="CF689" s="101"/>
      <c r="CG689" s="101"/>
      <c r="CH689" s="101"/>
      <c r="CI689" s="101"/>
      <c r="CJ689" s="101"/>
      <c r="CK689" s="101"/>
      <c r="CL689" s="101"/>
      <c r="CM689" s="101"/>
      <c r="CN689" s="101"/>
      <c r="CO689" s="101"/>
      <c r="CP689" s="101"/>
      <c r="CQ689" s="101"/>
      <c r="CR689" s="101"/>
      <c r="CS689" s="101"/>
      <c r="CT689" s="101"/>
      <c r="CU689" s="101"/>
      <c r="CV689" s="101"/>
      <c r="CW689" s="101"/>
      <c r="CX689" s="101"/>
      <c r="CY689" s="101"/>
      <c r="CZ689" s="101"/>
      <c r="DA689" s="101"/>
      <c r="DB689" s="101"/>
      <c r="DC689" s="101"/>
      <c r="DD689" s="101"/>
      <c r="DE689" s="101"/>
      <c r="DF689" s="101"/>
    </row>
    <row r="690">
      <c r="A690" s="29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3"/>
      <c r="U690" s="103"/>
      <c r="V690" s="103"/>
      <c r="W690" s="104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  <c r="AL690" s="101"/>
      <c r="AM690" s="29"/>
      <c r="AN690" s="101"/>
      <c r="AO690" s="101"/>
      <c r="AP690" s="101"/>
      <c r="AQ690" s="101"/>
      <c r="AR690" s="101"/>
      <c r="AS690" s="101"/>
      <c r="AT690" s="101"/>
      <c r="AU690" s="101"/>
      <c r="AV690" s="101"/>
      <c r="AW690" s="101"/>
      <c r="AX690" s="101"/>
      <c r="AY690" s="101"/>
      <c r="AZ690" s="101"/>
      <c r="BA690" s="101"/>
      <c r="BB690" s="101"/>
      <c r="BC690" s="101"/>
      <c r="BD690" s="101"/>
      <c r="BE690" s="101"/>
      <c r="BF690" s="101"/>
      <c r="BG690" s="101"/>
      <c r="BH690" s="101"/>
      <c r="BI690" s="101"/>
      <c r="BJ690" s="101"/>
      <c r="BK690" s="101"/>
      <c r="BL690" s="101"/>
      <c r="BM690" s="101"/>
      <c r="BN690" s="101"/>
      <c r="BO690" s="101"/>
      <c r="BP690" s="101"/>
      <c r="BQ690" s="101"/>
      <c r="BR690" s="101"/>
      <c r="BS690" s="101"/>
      <c r="BT690" s="101"/>
      <c r="BU690" s="101"/>
      <c r="BV690" s="101"/>
      <c r="BW690" s="101"/>
      <c r="BX690" s="101"/>
      <c r="BY690" s="101"/>
      <c r="BZ690" s="101"/>
      <c r="CA690" s="101"/>
      <c r="CB690" s="101"/>
      <c r="CC690" s="101"/>
      <c r="CD690" s="101"/>
      <c r="CE690" s="101"/>
      <c r="CF690" s="101"/>
      <c r="CG690" s="101"/>
      <c r="CH690" s="101"/>
      <c r="CI690" s="101"/>
      <c r="CJ690" s="101"/>
      <c r="CK690" s="101"/>
      <c r="CL690" s="101"/>
      <c r="CM690" s="101"/>
      <c r="CN690" s="101"/>
      <c r="CO690" s="101"/>
      <c r="CP690" s="101"/>
      <c r="CQ690" s="101"/>
      <c r="CR690" s="101"/>
      <c r="CS690" s="101"/>
      <c r="CT690" s="101"/>
      <c r="CU690" s="101"/>
      <c r="CV690" s="101"/>
      <c r="CW690" s="101"/>
      <c r="CX690" s="101"/>
      <c r="CY690" s="101"/>
      <c r="CZ690" s="101"/>
      <c r="DA690" s="101"/>
      <c r="DB690" s="101"/>
      <c r="DC690" s="101"/>
      <c r="DD690" s="101"/>
      <c r="DE690" s="101"/>
      <c r="DF690" s="101"/>
    </row>
    <row r="691">
      <c r="A691" s="29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3"/>
      <c r="U691" s="103"/>
      <c r="V691" s="103"/>
      <c r="W691" s="104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  <c r="AL691" s="101"/>
      <c r="AM691" s="29"/>
      <c r="AN691" s="101"/>
      <c r="AO691" s="101"/>
      <c r="AP691" s="101"/>
      <c r="AQ691" s="101"/>
      <c r="AR691" s="101"/>
      <c r="AS691" s="101"/>
      <c r="AT691" s="101"/>
      <c r="AU691" s="101"/>
      <c r="AV691" s="101"/>
      <c r="AW691" s="101"/>
      <c r="AX691" s="101"/>
      <c r="AY691" s="101"/>
      <c r="AZ691" s="101"/>
      <c r="BA691" s="101"/>
      <c r="BB691" s="101"/>
      <c r="BC691" s="101"/>
      <c r="BD691" s="101"/>
      <c r="BE691" s="101"/>
      <c r="BF691" s="101"/>
      <c r="BG691" s="101"/>
      <c r="BH691" s="101"/>
      <c r="BI691" s="101"/>
      <c r="BJ691" s="101"/>
      <c r="BK691" s="101"/>
      <c r="BL691" s="101"/>
      <c r="BM691" s="101"/>
      <c r="BN691" s="101"/>
      <c r="BO691" s="101"/>
      <c r="BP691" s="101"/>
      <c r="BQ691" s="101"/>
      <c r="BR691" s="101"/>
      <c r="BS691" s="101"/>
      <c r="BT691" s="101"/>
      <c r="BU691" s="101"/>
      <c r="BV691" s="101"/>
      <c r="BW691" s="101"/>
      <c r="BX691" s="101"/>
      <c r="BY691" s="101"/>
      <c r="BZ691" s="101"/>
      <c r="CA691" s="101"/>
      <c r="CB691" s="101"/>
      <c r="CC691" s="101"/>
      <c r="CD691" s="101"/>
      <c r="CE691" s="101"/>
      <c r="CF691" s="101"/>
      <c r="CG691" s="101"/>
      <c r="CH691" s="101"/>
      <c r="CI691" s="101"/>
      <c r="CJ691" s="101"/>
      <c r="CK691" s="101"/>
      <c r="CL691" s="101"/>
      <c r="CM691" s="101"/>
      <c r="CN691" s="101"/>
      <c r="CO691" s="101"/>
      <c r="CP691" s="101"/>
      <c r="CQ691" s="101"/>
      <c r="CR691" s="101"/>
      <c r="CS691" s="101"/>
      <c r="CT691" s="101"/>
      <c r="CU691" s="101"/>
      <c r="CV691" s="101"/>
      <c r="CW691" s="101"/>
      <c r="CX691" s="101"/>
      <c r="CY691" s="101"/>
      <c r="CZ691" s="101"/>
      <c r="DA691" s="101"/>
      <c r="DB691" s="101"/>
      <c r="DC691" s="101"/>
      <c r="DD691" s="101"/>
      <c r="DE691" s="101"/>
      <c r="DF691" s="101"/>
    </row>
    <row r="692">
      <c r="A692" s="29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3"/>
      <c r="U692" s="103"/>
      <c r="V692" s="103"/>
      <c r="W692" s="104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  <c r="AM692" s="29"/>
      <c r="AN692" s="101"/>
      <c r="AO692" s="101"/>
      <c r="AP692" s="101"/>
      <c r="AQ692" s="101"/>
      <c r="AR692" s="101"/>
      <c r="AS692" s="101"/>
      <c r="AT692" s="101"/>
      <c r="AU692" s="101"/>
      <c r="AV692" s="101"/>
      <c r="AW692" s="101"/>
      <c r="AX692" s="101"/>
      <c r="AY692" s="101"/>
      <c r="AZ692" s="101"/>
      <c r="BA692" s="101"/>
      <c r="BB692" s="101"/>
      <c r="BC692" s="101"/>
      <c r="BD692" s="101"/>
      <c r="BE692" s="101"/>
      <c r="BF692" s="101"/>
      <c r="BG692" s="101"/>
      <c r="BH692" s="101"/>
      <c r="BI692" s="101"/>
      <c r="BJ692" s="101"/>
      <c r="BK692" s="101"/>
      <c r="BL692" s="101"/>
      <c r="BM692" s="101"/>
      <c r="BN692" s="101"/>
      <c r="BO692" s="101"/>
      <c r="BP692" s="101"/>
      <c r="BQ692" s="101"/>
      <c r="BR692" s="101"/>
      <c r="BS692" s="101"/>
      <c r="BT692" s="101"/>
      <c r="BU692" s="101"/>
      <c r="BV692" s="101"/>
      <c r="BW692" s="101"/>
      <c r="BX692" s="101"/>
      <c r="BY692" s="101"/>
      <c r="BZ692" s="101"/>
      <c r="CA692" s="101"/>
      <c r="CB692" s="101"/>
      <c r="CC692" s="101"/>
      <c r="CD692" s="101"/>
      <c r="CE692" s="101"/>
      <c r="CF692" s="101"/>
      <c r="CG692" s="101"/>
      <c r="CH692" s="101"/>
      <c r="CI692" s="101"/>
      <c r="CJ692" s="101"/>
      <c r="CK692" s="101"/>
      <c r="CL692" s="101"/>
      <c r="CM692" s="101"/>
      <c r="CN692" s="101"/>
      <c r="CO692" s="101"/>
      <c r="CP692" s="101"/>
      <c r="CQ692" s="101"/>
      <c r="CR692" s="101"/>
      <c r="CS692" s="101"/>
      <c r="CT692" s="101"/>
      <c r="CU692" s="101"/>
      <c r="CV692" s="101"/>
      <c r="CW692" s="101"/>
      <c r="CX692" s="101"/>
      <c r="CY692" s="101"/>
      <c r="CZ692" s="101"/>
      <c r="DA692" s="101"/>
      <c r="DB692" s="101"/>
      <c r="DC692" s="101"/>
      <c r="DD692" s="101"/>
      <c r="DE692" s="101"/>
      <c r="DF692" s="101"/>
    </row>
    <row r="693">
      <c r="A693" s="29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3"/>
      <c r="U693" s="103"/>
      <c r="V693" s="103"/>
      <c r="W693" s="104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  <c r="AL693" s="101"/>
      <c r="AM693" s="29"/>
      <c r="AN693" s="101"/>
      <c r="AO693" s="101"/>
      <c r="AP693" s="101"/>
      <c r="AQ693" s="101"/>
      <c r="AR693" s="101"/>
      <c r="AS693" s="101"/>
      <c r="AT693" s="101"/>
      <c r="AU693" s="101"/>
      <c r="AV693" s="101"/>
      <c r="AW693" s="101"/>
      <c r="AX693" s="101"/>
      <c r="AY693" s="101"/>
      <c r="AZ693" s="101"/>
      <c r="BA693" s="101"/>
      <c r="BB693" s="101"/>
      <c r="BC693" s="101"/>
      <c r="BD693" s="101"/>
      <c r="BE693" s="101"/>
      <c r="BF693" s="101"/>
      <c r="BG693" s="101"/>
      <c r="BH693" s="101"/>
      <c r="BI693" s="101"/>
      <c r="BJ693" s="101"/>
      <c r="BK693" s="101"/>
      <c r="BL693" s="101"/>
      <c r="BM693" s="101"/>
      <c r="BN693" s="101"/>
      <c r="BO693" s="101"/>
      <c r="BP693" s="101"/>
      <c r="BQ693" s="101"/>
      <c r="BR693" s="101"/>
      <c r="BS693" s="101"/>
      <c r="BT693" s="101"/>
      <c r="BU693" s="101"/>
      <c r="BV693" s="101"/>
      <c r="BW693" s="101"/>
      <c r="BX693" s="101"/>
      <c r="BY693" s="101"/>
      <c r="BZ693" s="101"/>
      <c r="CA693" s="101"/>
      <c r="CB693" s="101"/>
      <c r="CC693" s="101"/>
      <c r="CD693" s="101"/>
      <c r="CE693" s="101"/>
      <c r="CF693" s="101"/>
      <c r="CG693" s="101"/>
      <c r="CH693" s="101"/>
      <c r="CI693" s="101"/>
      <c r="CJ693" s="101"/>
      <c r="CK693" s="101"/>
      <c r="CL693" s="101"/>
      <c r="CM693" s="101"/>
      <c r="CN693" s="101"/>
      <c r="CO693" s="101"/>
      <c r="CP693" s="101"/>
      <c r="CQ693" s="101"/>
      <c r="CR693" s="101"/>
      <c r="CS693" s="101"/>
      <c r="CT693" s="101"/>
      <c r="CU693" s="101"/>
      <c r="CV693" s="101"/>
      <c r="CW693" s="101"/>
      <c r="CX693" s="101"/>
      <c r="CY693" s="101"/>
      <c r="CZ693" s="101"/>
      <c r="DA693" s="101"/>
      <c r="DB693" s="101"/>
      <c r="DC693" s="101"/>
      <c r="DD693" s="101"/>
      <c r="DE693" s="101"/>
      <c r="DF693" s="101"/>
    </row>
    <row r="694">
      <c r="A694" s="29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3"/>
      <c r="U694" s="103"/>
      <c r="V694" s="103"/>
      <c r="W694" s="104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  <c r="AL694" s="101"/>
      <c r="AM694" s="29"/>
      <c r="AN694" s="101"/>
      <c r="AO694" s="101"/>
      <c r="AP694" s="101"/>
      <c r="AQ694" s="101"/>
      <c r="AR694" s="101"/>
      <c r="AS694" s="101"/>
      <c r="AT694" s="101"/>
      <c r="AU694" s="101"/>
      <c r="AV694" s="101"/>
      <c r="AW694" s="101"/>
      <c r="AX694" s="101"/>
      <c r="AY694" s="101"/>
      <c r="AZ694" s="101"/>
      <c r="BA694" s="101"/>
      <c r="BB694" s="101"/>
      <c r="BC694" s="101"/>
      <c r="BD694" s="101"/>
      <c r="BE694" s="101"/>
      <c r="BF694" s="101"/>
      <c r="BG694" s="101"/>
      <c r="BH694" s="101"/>
      <c r="BI694" s="101"/>
      <c r="BJ694" s="101"/>
      <c r="BK694" s="101"/>
      <c r="BL694" s="101"/>
      <c r="BM694" s="101"/>
      <c r="BN694" s="101"/>
      <c r="BO694" s="101"/>
      <c r="BP694" s="101"/>
      <c r="BQ694" s="101"/>
      <c r="BR694" s="101"/>
      <c r="BS694" s="101"/>
      <c r="BT694" s="101"/>
      <c r="BU694" s="101"/>
      <c r="BV694" s="101"/>
      <c r="BW694" s="101"/>
      <c r="BX694" s="101"/>
      <c r="BY694" s="101"/>
      <c r="BZ694" s="101"/>
      <c r="CA694" s="101"/>
      <c r="CB694" s="101"/>
      <c r="CC694" s="101"/>
      <c r="CD694" s="101"/>
      <c r="CE694" s="101"/>
      <c r="CF694" s="101"/>
      <c r="CG694" s="101"/>
      <c r="CH694" s="101"/>
      <c r="CI694" s="101"/>
      <c r="CJ694" s="101"/>
      <c r="CK694" s="101"/>
      <c r="CL694" s="101"/>
      <c r="CM694" s="101"/>
      <c r="CN694" s="101"/>
      <c r="CO694" s="101"/>
      <c r="CP694" s="101"/>
      <c r="CQ694" s="101"/>
      <c r="CR694" s="101"/>
      <c r="CS694" s="101"/>
      <c r="CT694" s="101"/>
      <c r="CU694" s="101"/>
      <c r="CV694" s="101"/>
      <c r="CW694" s="101"/>
      <c r="CX694" s="101"/>
      <c r="CY694" s="101"/>
      <c r="CZ694" s="101"/>
      <c r="DA694" s="101"/>
      <c r="DB694" s="101"/>
      <c r="DC694" s="101"/>
      <c r="DD694" s="101"/>
      <c r="DE694" s="101"/>
      <c r="DF694" s="101"/>
    </row>
    <row r="695">
      <c r="A695" s="29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3"/>
      <c r="U695" s="103"/>
      <c r="V695" s="103"/>
      <c r="W695" s="104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  <c r="AL695" s="101"/>
      <c r="AM695" s="29"/>
      <c r="AN695" s="101"/>
      <c r="AO695" s="101"/>
      <c r="AP695" s="101"/>
      <c r="AQ695" s="101"/>
      <c r="AR695" s="101"/>
      <c r="AS695" s="101"/>
      <c r="AT695" s="101"/>
      <c r="AU695" s="101"/>
      <c r="AV695" s="101"/>
      <c r="AW695" s="101"/>
      <c r="AX695" s="101"/>
      <c r="AY695" s="101"/>
      <c r="AZ695" s="101"/>
      <c r="BA695" s="101"/>
      <c r="BB695" s="101"/>
      <c r="BC695" s="101"/>
      <c r="BD695" s="101"/>
      <c r="BE695" s="101"/>
      <c r="BF695" s="101"/>
      <c r="BG695" s="101"/>
      <c r="BH695" s="101"/>
      <c r="BI695" s="101"/>
      <c r="BJ695" s="101"/>
      <c r="BK695" s="101"/>
      <c r="BL695" s="101"/>
      <c r="BM695" s="101"/>
      <c r="BN695" s="101"/>
      <c r="BO695" s="101"/>
      <c r="BP695" s="101"/>
      <c r="BQ695" s="101"/>
      <c r="BR695" s="101"/>
      <c r="BS695" s="101"/>
      <c r="BT695" s="101"/>
      <c r="BU695" s="101"/>
      <c r="BV695" s="101"/>
      <c r="BW695" s="101"/>
      <c r="BX695" s="101"/>
      <c r="BY695" s="101"/>
      <c r="BZ695" s="101"/>
      <c r="CA695" s="101"/>
      <c r="CB695" s="101"/>
      <c r="CC695" s="101"/>
      <c r="CD695" s="101"/>
      <c r="CE695" s="101"/>
      <c r="CF695" s="101"/>
      <c r="CG695" s="101"/>
      <c r="CH695" s="101"/>
      <c r="CI695" s="101"/>
      <c r="CJ695" s="101"/>
      <c r="CK695" s="101"/>
      <c r="CL695" s="101"/>
      <c r="CM695" s="101"/>
      <c r="CN695" s="101"/>
      <c r="CO695" s="101"/>
      <c r="CP695" s="101"/>
      <c r="CQ695" s="101"/>
      <c r="CR695" s="101"/>
      <c r="CS695" s="101"/>
      <c r="CT695" s="101"/>
      <c r="CU695" s="101"/>
      <c r="CV695" s="101"/>
      <c r="CW695" s="101"/>
      <c r="CX695" s="101"/>
      <c r="CY695" s="101"/>
      <c r="CZ695" s="101"/>
      <c r="DA695" s="101"/>
      <c r="DB695" s="101"/>
      <c r="DC695" s="101"/>
      <c r="DD695" s="101"/>
      <c r="DE695" s="101"/>
      <c r="DF695" s="101"/>
    </row>
    <row r="696">
      <c r="A696" s="29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3"/>
      <c r="U696" s="103"/>
      <c r="V696" s="103"/>
      <c r="W696" s="104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  <c r="AL696" s="101"/>
      <c r="AM696" s="29"/>
      <c r="AN696" s="101"/>
      <c r="AO696" s="101"/>
      <c r="AP696" s="101"/>
      <c r="AQ696" s="101"/>
      <c r="AR696" s="101"/>
      <c r="AS696" s="101"/>
      <c r="AT696" s="101"/>
      <c r="AU696" s="101"/>
      <c r="AV696" s="101"/>
      <c r="AW696" s="101"/>
      <c r="AX696" s="101"/>
      <c r="AY696" s="101"/>
      <c r="AZ696" s="101"/>
      <c r="BA696" s="101"/>
      <c r="BB696" s="101"/>
      <c r="BC696" s="101"/>
      <c r="BD696" s="101"/>
      <c r="BE696" s="101"/>
      <c r="BF696" s="101"/>
      <c r="BG696" s="101"/>
      <c r="BH696" s="101"/>
      <c r="BI696" s="101"/>
      <c r="BJ696" s="101"/>
      <c r="BK696" s="101"/>
      <c r="BL696" s="101"/>
      <c r="BM696" s="101"/>
      <c r="BN696" s="101"/>
      <c r="BO696" s="101"/>
      <c r="BP696" s="101"/>
      <c r="BQ696" s="101"/>
      <c r="BR696" s="101"/>
      <c r="BS696" s="101"/>
      <c r="BT696" s="101"/>
      <c r="BU696" s="101"/>
      <c r="BV696" s="101"/>
      <c r="BW696" s="101"/>
      <c r="BX696" s="101"/>
      <c r="BY696" s="101"/>
      <c r="BZ696" s="101"/>
      <c r="CA696" s="101"/>
      <c r="CB696" s="101"/>
      <c r="CC696" s="101"/>
      <c r="CD696" s="101"/>
      <c r="CE696" s="101"/>
      <c r="CF696" s="101"/>
      <c r="CG696" s="101"/>
      <c r="CH696" s="101"/>
      <c r="CI696" s="101"/>
      <c r="CJ696" s="101"/>
      <c r="CK696" s="101"/>
      <c r="CL696" s="101"/>
      <c r="CM696" s="101"/>
      <c r="CN696" s="101"/>
      <c r="CO696" s="101"/>
      <c r="CP696" s="101"/>
      <c r="CQ696" s="101"/>
      <c r="CR696" s="101"/>
      <c r="CS696" s="101"/>
      <c r="CT696" s="101"/>
      <c r="CU696" s="101"/>
      <c r="CV696" s="101"/>
      <c r="CW696" s="101"/>
      <c r="CX696" s="101"/>
      <c r="CY696" s="101"/>
      <c r="CZ696" s="101"/>
      <c r="DA696" s="101"/>
      <c r="DB696" s="101"/>
      <c r="DC696" s="101"/>
      <c r="DD696" s="101"/>
      <c r="DE696" s="101"/>
      <c r="DF696" s="101"/>
    </row>
    <row r="697">
      <c r="A697" s="29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3"/>
      <c r="U697" s="103"/>
      <c r="V697" s="103"/>
      <c r="W697" s="104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  <c r="AL697" s="101"/>
      <c r="AM697" s="29"/>
      <c r="AN697" s="101"/>
      <c r="AO697" s="101"/>
      <c r="AP697" s="101"/>
      <c r="AQ697" s="101"/>
      <c r="AR697" s="101"/>
      <c r="AS697" s="101"/>
      <c r="AT697" s="101"/>
      <c r="AU697" s="101"/>
      <c r="AV697" s="101"/>
      <c r="AW697" s="101"/>
      <c r="AX697" s="101"/>
      <c r="AY697" s="101"/>
      <c r="AZ697" s="101"/>
      <c r="BA697" s="101"/>
      <c r="BB697" s="101"/>
      <c r="BC697" s="101"/>
      <c r="BD697" s="101"/>
      <c r="BE697" s="101"/>
      <c r="BF697" s="101"/>
      <c r="BG697" s="101"/>
      <c r="BH697" s="101"/>
      <c r="BI697" s="101"/>
      <c r="BJ697" s="101"/>
      <c r="BK697" s="101"/>
      <c r="BL697" s="101"/>
      <c r="BM697" s="101"/>
      <c r="BN697" s="101"/>
      <c r="BO697" s="101"/>
      <c r="BP697" s="101"/>
      <c r="BQ697" s="101"/>
      <c r="BR697" s="101"/>
      <c r="BS697" s="101"/>
      <c r="BT697" s="101"/>
      <c r="BU697" s="101"/>
      <c r="BV697" s="101"/>
      <c r="BW697" s="101"/>
      <c r="BX697" s="101"/>
      <c r="BY697" s="101"/>
      <c r="BZ697" s="101"/>
      <c r="CA697" s="101"/>
      <c r="CB697" s="101"/>
      <c r="CC697" s="101"/>
      <c r="CD697" s="101"/>
      <c r="CE697" s="101"/>
      <c r="CF697" s="101"/>
      <c r="CG697" s="101"/>
      <c r="CH697" s="101"/>
      <c r="CI697" s="101"/>
      <c r="CJ697" s="101"/>
      <c r="CK697" s="101"/>
      <c r="CL697" s="101"/>
      <c r="CM697" s="101"/>
      <c r="CN697" s="101"/>
      <c r="CO697" s="101"/>
      <c r="CP697" s="101"/>
      <c r="CQ697" s="101"/>
      <c r="CR697" s="101"/>
      <c r="CS697" s="101"/>
      <c r="CT697" s="101"/>
      <c r="CU697" s="101"/>
      <c r="CV697" s="101"/>
      <c r="CW697" s="101"/>
      <c r="CX697" s="101"/>
      <c r="CY697" s="101"/>
      <c r="CZ697" s="101"/>
      <c r="DA697" s="101"/>
      <c r="DB697" s="101"/>
      <c r="DC697" s="101"/>
      <c r="DD697" s="101"/>
      <c r="DE697" s="101"/>
      <c r="DF697" s="101"/>
    </row>
    <row r="698">
      <c r="A698" s="29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3"/>
      <c r="U698" s="103"/>
      <c r="V698" s="103"/>
      <c r="W698" s="104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  <c r="AL698" s="101"/>
      <c r="AM698" s="29"/>
      <c r="AN698" s="101"/>
      <c r="AO698" s="101"/>
      <c r="AP698" s="101"/>
      <c r="AQ698" s="101"/>
      <c r="AR698" s="101"/>
      <c r="AS698" s="101"/>
      <c r="AT698" s="101"/>
      <c r="AU698" s="101"/>
      <c r="AV698" s="101"/>
      <c r="AW698" s="101"/>
      <c r="AX698" s="101"/>
      <c r="AY698" s="101"/>
      <c r="AZ698" s="101"/>
      <c r="BA698" s="101"/>
      <c r="BB698" s="101"/>
      <c r="BC698" s="101"/>
      <c r="BD698" s="101"/>
      <c r="BE698" s="101"/>
      <c r="BF698" s="101"/>
      <c r="BG698" s="101"/>
      <c r="BH698" s="101"/>
      <c r="BI698" s="101"/>
      <c r="BJ698" s="101"/>
      <c r="BK698" s="101"/>
      <c r="BL698" s="101"/>
      <c r="BM698" s="101"/>
      <c r="BN698" s="101"/>
      <c r="BO698" s="101"/>
      <c r="BP698" s="101"/>
      <c r="BQ698" s="101"/>
      <c r="BR698" s="101"/>
      <c r="BS698" s="101"/>
      <c r="BT698" s="101"/>
      <c r="BU698" s="101"/>
      <c r="BV698" s="101"/>
      <c r="BW698" s="101"/>
      <c r="BX698" s="101"/>
      <c r="BY698" s="101"/>
      <c r="BZ698" s="101"/>
      <c r="CA698" s="101"/>
      <c r="CB698" s="101"/>
      <c r="CC698" s="101"/>
      <c r="CD698" s="101"/>
      <c r="CE698" s="101"/>
      <c r="CF698" s="101"/>
      <c r="CG698" s="101"/>
      <c r="CH698" s="101"/>
      <c r="CI698" s="101"/>
      <c r="CJ698" s="101"/>
      <c r="CK698" s="101"/>
      <c r="CL698" s="101"/>
      <c r="CM698" s="101"/>
      <c r="CN698" s="101"/>
      <c r="CO698" s="101"/>
      <c r="CP698" s="101"/>
      <c r="CQ698" s="101"/>
      <c r="CR698" s="101"/>
      <c r="CS698" s="101"/>
      <c r="CT698" s="101"/>
      <c r="CU698" s="101"/>
      <c r="CV698" s="101"/>
      <c r="CW698" s="101"/>
      <c r="CX698" s="101"/>
      <c r="CY698" s="101"/>
      <c r="CZ698" s="101"/>
      <c r="DA698" s="101"/>
      <c r="DB698" s="101"/>
      <c r="DC698" s="101"/>
      <c r="DD698" s="101"/>
      <c r="DE698" s="101"/>
      <c r="DF698" s="101"/>
    </row>
    <row r="699">
      <c r="A699" s="29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3"/>
      <c r="U699" s="103"/>
      <c r="V699" s="103"/>
      <c r="W699" s="104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  <c r="AL699" s="101"/>
      <c r="AM699" s="29"/>
      <c r="AN699" s="101"/>
      <c r="AO699" s="101"/>
      <c r="AP699" s="101"/>
      <c r="AQ699" s="101"/>
      <c r="AR699" s="101"/>
      <c r="AS699" s="101"/>
      <c r="AT699" s="101"/>
      <c r="AU699" s="101"/>
      <c r="AV699" s="101"/>
      <c r="AW699" s="101"/>
      <c r="AX699" s="101"/>
      <c r="AY699" s="101"/>
      <c r="AZ699" s="101"/>
      <c r="BA699" s="101"/>
      <c r="BB699" s="101"/>
      <c r="BC699" s="101"/>
      <c r="BD699" s="101"/>
      <c r="BE699" s="101"/>
      <c r="BF699" s="101"/>
      <c r="BG699" s="101"/>
      <c r="BH699" s="101"/>
      <c r="BI699" s="101"/>
      <c r="BJ699" s="101"/>
      <c r="BK699" s="101"/>
      <c r="BL699" s="101"/>
      <c r="BM699" s="101"/>
      <c r="BN699" s="101"/>
      <c r="BO699" s="101"/>
      <c r="BP699" s="101"/>
      <c r="BQ699" s="101"/>
      <c r="BR699" s="101"/>
      <c r="BS699" s="101"/>
      <c r="BT699" s="101"/>
      <c r="BU699" s="101"/>
      <c r="BV699" s="101"/>
      <c r="BW699" s="101"/>
      <c r="BX699" s="101"/>
      <c r="BY699" s="101"/>
      <c r="BZ699" s="101"/>
      <c r="CA699" s="101"/>
      <c r="CB699" s="101"/>
      <c r="CC699" s="101"/>
      <c r="CD699" s="101"/>
      <c r="CE699" s="101"/>
      <c r="CF699" s="101"/>
      <c r="CG699" s="101"/>
      <c r="CH699" s="101"/>
      <c r="CI699" s="101"/>
      <c r="CJ699" s="101"/>
      <c r="CK699" s="101"/>
      <c r="CL699" s="101"/>
      <c r="CM699" s="101"/>
      <c r="CN699" s="101"/>
      <c r="CO699" s="101"/>
      <c r="CP699" s="101"/>
      <c r="CQ699" s="101"/>
      <c r="CR699" s="101"/>
      <c r="CS699" s="101"/>
      <c r="CT699" s="101"/>
      <c r="CU699" s="101"/>
      <c r="CV699" s="101"/>
      <c r="CW699" s="101"/>
      <c r="CX699" s="101"/>
      <c r="CY699" s="101"/>
      <c r="CZ699" s="101"/>
      <c r="DA699" s="101"/>
      <c r="DB699" s="101"/>
      <c r="DC699" s="101"/>
      <c r="DD699" s="101"/>
      <c r="DE699" s="101"/>
      <c r="DF699" s="101"/>
    </row>
    <row r="700">
      <c r="A700" s="29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3"/>
      <c r="U700" s="103"/>
      <c r="V700" s="103"/>
      <c r="W700" s="104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  <c r="AL700" s="101"/>
      <c r="AM700" s="29"/>
      <c r="AN700" s="101"/>
      <c r="AO700" s="101"/>
      <c r="AP700" s="101"/>
      <c r="AQ700" s="101"/>
      <c r="AR700" s="101"/>
      <c r="AS700" s="101"/>
      <c r="AT700" s="101"/>
      <c r="AU700" s="101"/>
      <c r="AV700" s="101"/>
      <c r="AW700" s="101"/>
      <c r="AX700" s="101"/>
      <c r="AY700" s="101"/>
      <c r="AZ700" s="101"/>
      <c r="BA700" s="101"/>
      <c r="BB700" s="101"/>
      <c r="BC700" s="101"/>
      <c r="BD700" s="101"/>
      <c r="BE700" s="101"/>
      <c r="BF700" s="101"/>
      <c r="BG700" s="101"/>
      <c r="BH700" s="101"/>
      <c r="BI700" s="101"/>
      <c r="BJ700" s="101"/>
      <c r="BK700" s="101"/>
      <c r="BL700" s="101"/>
      <c r="BM700" s="101"/>
      <c r="BN700" s="101"/>
      <c r="BO700" s="101"/>
      <c r="BP700" s="101"/>
      <c r="BQ700" s="101"/>
      <c r="BR700" s="101"/>
      <c r="BS700" s="101"/>
      <c r="BT700" s="101"/>
      <c r="BU700" s="101"/>
      <c r="BV700" s="101"/>
      <c r="BW700" s="101"/>
      <c r="BX700" s="101"/>
      <c r="BY700" s="101"/>
      <c r="BZ700" s="101"/>
      <c r="CA700" s="101"/>
      <c r="CB700" s="101"/>
      <c r="CC700" s="101"/>
      <c r="CD700" s="101"/>
      <c r="CE700" s="101"/>
      <c r="CF700" s="101"/>
      <c r="CG700" s="101"/>
      <c r="CH700" s="101"/>
      <c r="CI700" s="101"/>
      <c r="CJ700" s="101"/>
      <c r="CK700" s="101"/>
      <c r="CL700" s="101"/>
      <c r="CM700" s="101"/>
      <c r="CN700" s="101"/>
      <c r="CO700" s="101"/>
      <c r="CP700" s="101"/>
      <c r="CQ700" s="101"/>
      <c r="CR700" s="101"/>
      <c r="CS700" s="101"/>
      <c r="CT700" s="101"/>
      <c r="CU700" s="101"/>
      <c r="CV700" s="101"/>
      <c r="CW700" s="101"/>
      <c r="CX700" s="101"/>
      <c r="CY700" s="101"/>
      <c r="CZ700" s="101"/>
      <c r="DA700" s="101"/>
      <c r="DB700" s="101"/>
      <c r="DC700" s="101"/>
      <c r="DD700" s="101"/>
      <c r="DE700" s="101"/>
      <c r="DF700" s="101"/>
    </row>
    <row r="701">
      <c r="A701" s="29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3"/>
      <c r="U701" s="103"/>
      <c r="V701" s="103"/>
      <c r="W701" s="104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  <c r="AM701" s="29"/>
      <c r="AN701" s="101"/>
      <c r="AO701" s="101"/>
      <c r="AP701" s="101"/>
      <c r="AQ701" s="101"/>
      <c r="AR701" s="101"/>
      <c r="AS701" s="101"/>
      <c r="AT701" s="101"/>
      <c r="AU701" s="101"/>
      <c r="AV701" s="101"/>
      <c r="AW701" s="101"/>
      <c r="AX701" s="101"/>
      <c r="AY701" s="101"/>
      <c r="AZ701" s="101"/>
      <c r="BA701" s="101"/>
      <c r="BB701" s="101"/>
      <c r="BC701" s="101"/>
      <c r="BD701" s="101"/>
      <c r="BE701" s="101"/>
      <c r="BF701" s="101"/>
      <c r="BG701" s="101"/>
      <c r="BH701" s="101"/>
      <c r="BI701" s="101"/>
      <c r="BJ701" s="101"/>
      <c r="BK701" s="101"/>
      <c r="BL701" s="101"/>
      <c r="BM701" s="101"/>
      <c r="BN701" s="101"/>
      <c r="BO701" s="101"/>
      <c r="BP701" s="101"/>
      <c r="BQ701" s="101"/>
      <c r="BR701" s="101"/>
      <c r="BS701" s="101"/>
      <c r="BT701" s="101"/>
      <c r="BU701" s="101"/>
      <c r="BV701" s="101"/>
      <c r="BW701" s="101"/>
      <c r="BX701" s="101"/>
      <c r="BY701" s="101"/>
      <c r="BZ701" s="101"/>
      <c r="CA701" s="101"/>
      <c r="CB701" s="101"/>
      <c r="CC701" s="101"/>
      <c r="CD701" s="101"/>
      <c r="CE701" s="101"/>
      <c r="CF701" s="101"/>
      <c r="CG701" s="101"/>
      <c r="CH701" s="101"/>
      <c r="CI701" s="101"/>
      <c r="CJ701" s="101"/>
      <c r="CK701" s="101"/>
      <c r="CL701" s="101"/>
      <c r="CM701" s="101"/>
      <c r="CN701" s="101"/>
      <c r="CO701" s="101"/>
      <c r="CP701" s="101"/>
      <c r="CQ701" s="101"/>
      <c r="CR701" s="101"/>
      <c r="CS701" s="101"/>
      <c r="CT701" s="101"/>
      <c r="CU701" s="101"/>
      <c r="CV701" s="101"/>
      <c r="CW701" s="101"/>
      <c r="CX701" s="101"/>
      <c r="CY701" s="101"/>
      <c r="CZ701" s="101"/>
      <c r="DA701" s="101"/>
      <c r="DB701" s="101"/>
      <c r="DC701" s="101"/>
      <c r="DD701" s="101"/>
      <c r="DE701" s="101"/>
      <c r="DF701" s="101"/>
    </row>
    <row r="702">
      <c r="A702" s="29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3"/>
      <c r="U702" s="103"/>
      <c r="V702" s="103"/>
      <c r="W702" s="104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  <c r="AL702" s="101"/>
      <c r="AM702" s="29"/>
      <c r="AN702" s="101"/>
      <c r="AO702" s="101"/>
      <c r="AP702" s="101"/>
      <c r="AQ702" s="101"/>
      <c r="AR702" s="101"/>
      <c r="AS702" s="101"/>
      <c r="AT702" s="101"/>
      <c r="AU702" s="101"/>
      <c r="AV702" s="101"/>
      <c r="AW702" s="101"/>
      <c r="AX702" s="101"/>
      <c r="AY702" s="101"/>
      <c r="AZ702" s="101"/>
      <c r="BA702" s="101"/>
      <c r="BB702" s="101"/>
      <c r="BC702" s="101"/>
      <c r="BD702" s="101"/>
      <c r="BE702" s="101"/>
      <c r="BF702" s="101"/>
      <c r="BG702" s="101"/>
      <c r="BH702" s="101"/>
      <c r="BI702" s="101"/>
      <c r="BJ702" s="101"/>
      <c r="BK702" s="101"/>
      <c r="BL702" s="101"/>
      <c r="BM702" s="101"/>
      <c r="BN702" s="101"/>
      <c r="BO702" s="101"/>
      <c r="BP702" s="101"/>
      <c r="BQ702" s="101"/>
      <c r="BR702" s="101"/>
      <c r="BS702" s="101"/>
      <c r="BT702" s="101"/>
      <c r="BU702" s="101"/>
      <c r="BV702" s="101"/>
      <c r="BW702" s="101"/>
      <c r="BX702" s="101"/>
      <c r="BY702" s="101"/>
      <c r="BZ702" s="101"/>
      <c r="CA702" s="101"/>
      <c r="CB702" s="101"/>
      <c r="CC702" s="101"/>
      <c r="CD702" s="101"/>
      <c r="CE702" s="101"/>
      <c r="CF702" s="101"/>
      <c r="CG702" s="101"/>
      <c r="CH702" s="101"/>
      <c r="CI702" s="101"/>
      <c r="CJ702" s="101"/>
      <c r="CK702" s="101"/>
      <c r="CL702" s="101"/>
      <c r="CM702" s="101"/>
      <c r="CN702" s="101"/>
      <c r="CO702" s="101"/>
      <c r="CP702" s="101"/>
      <c r="CQ702" s="101"/>
      <c r="CR702" s="101"/>
      <c r="CS702" s="101"/>
      <c r="CT702" s="101"/>
      <c r="CU702" s="101"/>
      <c r="CV702" s="101"/>
      <c r="CW702" s="101"/>
      <c r="CX702" s="101"/>
      <c r="CY702" s="101"/>
      <c r="CZ702" s="101"/>
      <c r="DA702" s="101"/>
      <c r="DB702" s="101"/>
      <c r="DC702" s="101"/>
      <c r="DD702" s="101"/>
      <c r="DE702" s="101"/>
      <c r="DF702" s="101"/>
    </row>
    <row r="703">
      <c r="A703" s="29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3"/>
      <c r="U703" s="103"/>
      <c r="V703" s="103"/>
      <c r="W703" s="104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  <c r="AM703" s="29"/>
      <c r="AN703" s="101"/>
      <c r="AO703" s="101"/>
      <c r="AP703" s="101"/>
      <c r="AQ703" s="101"/>
      <c r="AR703" s="101"/>
      <c r="AS703" s="101"/>
      <c r="AT703" s="101"/>
      <c r="AU703" s="101"/>
      <c r="AV703" s="101"/>
      <c r="AW703" s="101"/>
      <c r="AX703" s="101"/>
      <c r="AY703" s="101"/>
      <c r="AZ703" s="101"/>
      <c r="BA703" s="101"/>
      <c r="BB703" s="101"/>
      <c r="BC703" s="101"/>
      <c r="BD703" s="101"/>
      <c r="BE703" s="101"/>
      <c r="BF703" s="101"/>
      <c r="BG703" s="101"/>
      <c r="BH703" s="101"/>
      <c r="BI703" s="101"/>
      <c r="BJ703" s="101"/>
      <c r="BK703" s="101"/>
      <c r="BL703" s="101"/>
      <c r="BM703" s="101"/>
      <c r="BN703" s="101"/>
      <c r="BO703" s="101"/>
      <c r="BP703" s="101"/>
      <c r="BQ703" s="101"/>
      <c r="BR703" s="101"/>
      <c r="BS703" s="101"/>
      <c r="BT703" s="101"/>
      <c r="BU703" s="101"/>
      <c r="BV703" s="101"/>
      <c r="BW703" s="101"/>
      <c r="BX703" s="101"/>
      <c r="BY703" s="101"/>
      <c r="BZ703" s="101"/>
      <c r="CA703" s="101"/>
      <c r="CB703" s="101"/>
      <c r="CC703" s="101"/>
      <c r="CD703" s="101"/>
      <c r="CE703" s="101"/>
      <c r="CF703" s="101"/>
      <c r="CG703" s="101"/>
      <c r="CH703" s="101"/>
      <c r="CI703" s="101"/>
      <c r="CJ703" s="101"/>
      <c r="CK703" s="101"/>
      <c r="CL703" s="101"/>
      <c r="CM703" s="101"/>
      <c r="CN703" s="101"/>
      <c r="CO703" s="101"/>
      <c r="CP703" s="101"/>
      <c r="CQ703" s="101"/>
      <c r="CR703" s="101"/>
      <c r="CS703" s="101"/>
      <c r="CT703" s="101"/>
      <c r="CU703" s="101"/>
      <c r="CV703" s="101"/>
      <c r="CW703" s="101"/>
      <c r="CX703" s="101"/>
      <c r="CY703" s="101"/>
      <c r="CZ703" s="101"/>
      <c r="DA703" s="101"/>
      <c r="DB703" s="101"/>
      <c r="DC703" s="101"/>
      <c r="DD703" s="101"/>
      <c r="DE703" s="101"/>
      <c r="DF703" s="101"/>
    </row>
    <row r="704">
      <c r="A704" s="29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3"/>
      <c r="U704" s="103"/>
      <c r="V704" s="103"/>
      <c r="W704" s="104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  <c r="AM704" s="29"/>
      <c r="AN704" s="101"/>
      <c r="AO704" s="101"/>
      <c r="AP704" s="101"/>
      <c r="AQ704" s="101"/>
      <c r="AR704" s="101"/>
      <c r="AS704" s="101"/>
      <c r="AT704" s="101"/>
      <c r="AU704" s="101"/>
      <c r="AV704" s="101"/>
      <c r="AW704" s="101"/>
      <c r="AX704" s="101"/>
      <c r="AY704" s="101"/>
      <c r="AZ704" s="101"/>
      <c r="BA704" s="101"/>
      <c r="BB704" s="101"/>
      <c r="BC704" s="101"/>
      <c r="BD704" s="101"/>
      <c r="BE704" s="101"/>
      <c r="BF704" s="101"/>
      <c r="BG704" s="101"/>
      <c r="BH704" s="101"/>
      <c r="BI704" s="101"/>
      <c r="BJ704" s="101"/>
      <c r="BK704" s="101"/>
      <c r="BL704" s="101"/>
      <c r="BM704" s="101"/>
      <c r="BN704" s="101"/>
      <c r="BO704" s="101"/>
      <c r="BP704" s="101"/>
      <c r="BQ704" s="101"/>
      <c r="BR704" s="101"/>
      <c r="BS704" s="101"/>
      <c r="BT704" s="101"/>
      <c r="BU704" s="101"/>
      <c r="BV704" s="101"/>
      <c r="BW704" s="101"/>
      <c r="BX704" s="101"/>
      <c r="BY704" s="101"/>
      <c r="BZ704" s="101"/>
      <c r="CA704" s="101"/>
      <c r="CB704" s="101"/>
      <c r="CC704" s="101"/>
      <c r="CD704" s="101"/>
      <c r="CE704" s="101"/>
      <c r="CF704" s="101"/>
      <c r="CG704" s="101"/>
      <c r="CH704" s="101"/>
      <c r="CI704" s="101"/>
      <c r="CJ704" s="101"/>
      <c r="CK704" s="101"/>
      <c r="CL704" s="101"/>
      <c r="CM704" s="101"/>
      <c r="CN704" s="101"/>
      <c r="CO704" s="101"/>
      <c r="CP704" s="101"/>
      <c r="CQ704" s="101"/>
      <c r="CR704" s="101"/>
      <c r="CS704" s="101"/>
      <c r="CT704" s="101"/>
      <c r="CU704" s="101"/>
      <c r="CV704" s="101"/>
      <c r="CW704" s="101"/>
      <c r="CX704" s="101"/>
      <c r="CY704" s="101"/>
      <c r="CZ704" s="101"/>
      <c r="DA704" s="101"/>
      <c r="DB704" s="101"/>
      <c r="DC704" s="101"/>
      <c r="DD704" s="101"/>
      <c r="DE704" s="101"/>
      <c r="DF704" s="101"/>
    </row>
    <row r="705">
      <c r="A705" s="29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3"/>
      <c r="U705" s="103"/>
      <c r="V705" s="103"/>
      <c r="W705" s="104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  <c r="AM705" s="29"/>
      <c r="AN705" s="101"/>
      <c r="AO705" s="101"/>
      <c r="AP705" s="101"/>
      <c r="AQ705" s="101"/>
      <c r="AR705" s="101"/>
      <c r="AS705" s="101"/>
      <c r="AT705" s="101"/>
      <c r="AU705" s="101"/>
      <c r="AV705" s="101"/>
      <c r="AW705" s="101"/>
      <c r="AX705" s="101"/>
      <c r="AY705" s="101"/>
      <c r="AZ705" s="101"/>
      <c r="BA705" s="101"/>
      <c r="BB705" s="101"/>
      <c r="BC705" s="101"/>
      <c r="BD705" s="101"/>
      <c r="BE705" s="101"/>
      <c r="BF705" s="101"/>
      <c r="BG705" s="101"/>
      <c r="BH705" s="101"/>
      <c r="BI705" s="101"/>
      <c r="BJ705" s="101"/>
      <c r="BK705" s="101"/>
      <c r="BL705" s="101"/>
      <c r="BM705" s="101"/>
      <c r="BN705" s="101"/>
      <c r="BO705" s="101"/>
      <c r="BP705" s="101"/>
      <c r="BQ705" s="101"/>
      <c r="BR705" s="101"/>
      <c r="BS705" s="101"/>
      <c r="BT705" s="101"/>
      <c r="BU705" s="101"/>
      <c r="BV705" s="101"/>
      <c r="BW705" s="101"/>
      <c r="BX705" s="101"/>
      <c r="BY705" s="101"/>
      <c r="BZ705" s="101"/>
      <c r="CA705" s="101"/>
      <c r="CB705" s="101"/>
      <c r="CC705" s="101"/>
      <c r="CD705" s="101"/>
      <c r="CE705" s="101"/>
      <c r="CF705" s="101"/>
      <c r="CG705" s="101"/>
      <c r="CH705" s="101"/>
      <c r="CI705" s="101"/>
      <c r="CJ705" s="101"/>
      <c r="CK705" s="101"/>
      <c r="CL705" s="101"/>
      <c r="CM705" s="101"/>
      <c r="CN705" s="101"/>
      <c r="CO705" s="101"/>
      <c r="CP705" s="101"/>
      <c r="CQ705" s="101"/>
      <c r="CR705" s="101"/>
      <c r="CS705" s="101"/>
      <c r="CT705" s="101"/>
      <c r="CU705" s="101"/>
      <c r="CV705" s="101"/>
      <c r="CW705" s="101"/>
      <c r="CX705" s="101"/>
      <c r="CY705" s="101"/>
      <c r="CZ705" s="101"/>
      <c r="DA705" s="101"/>
      <c r="DB705" s="101"/>
      <c r="DC705" s="101"/>
      <c r="DD705" s="101"/>
      <c r="DE705" s="101"/>
      <c r="DF705" s="101"/>
    </row>
    <row r="706">
      <c r="A706" s="29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3"/>
      <c r="U706" s="103"/>
      <c r="V706" s="103"/>
      <c r="W706" s="104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  <c r="AL706" s="101"/>
      <c r="AM706" s="29"/>
      <c r="AN706" s="101"/>
      <c r="AO706" s="101"/>
      <c r="AP706" s="101"/>
      <c r="AQ706" s="101"/>
      <c r="AR706" s="101"/>
      <c r="AS706" s="101"/>
      <c r="AT706" s="101"/>
      <c r="AU706" s="101"/>
      <c r="AV706" s="101"/>
      <c r="AW706" s="101"/>
      <c r="AX706" s="101"/>
      <c r="AY706" s="101"/>
      <c r="AZ706" s="101"/>
      <c r="BA706" s="101"/>
      <c r="BB706" s="101"/>
      <c r="BC706" s="101"/>
      <c r="BD706" s="101"/>
      <c r="BE706" s="101"/>
      <c r="BF706" s="101"/>
      <c r="BG706" s="101"/>
      <c r="BH706" s="101"/>
      <c r="BI706" s="101"/>
      <c r="BJ706" s="101"/>
      <c r="BK706" s="101"/>
      <c r="BL706" s="101"/>
      <c r="BM706" s="101"/>
      <c r="BN706" s="101"/>
      <c r="BO706" s="101"/>
      <c r="BP706" s="101"/>
      <c r="BQ706" s="101"/>
      <c r="BR706" s="101"/>
      <c r="BS706" s="101"/>
      <c r="BT706" s="101"/>
      <c r="BU706" s="101"/>
      <c r="BV706" s="101"/>
      <c r="BW706" s="101"/>
      <c r="BX706" s="101"/>
      <c r="BY706" s="101"/>
      <c r="BZ706" s="101"/>
      <c r="CA706" s="101"/>
      <c r="CB706" s="101"/>
      <c r="CC706" s="101"/>
      <c r="CD706" s="101"/>
      <c r="CE706" s="101"/>
      <c r="CF706" s="101"/>
      <c r="CG706" s="101"/>
      <c r="CH706" s="101"/>
      <c r="CI706" s="101"/>
      <c r="CJ706" s="101"/>
      <c r="CK706" s="101"/>
      <c r="CL706" s="101"/>
      <c r="CM706" s="101"/>
      <c r="CN706" s="101"/>
      <c r="CO706" s="101"/>
      <c r="CP706" s="101"/>
      <c r="CQ706" s="101"/>
      <c r="CR706" s="101"/>
      <c r="CS706" s="101"/>
      <c r="CT706" s="101"/>
      <c r="CU706" s="101"/>
      <c r="CV706" s="101"/>
      <c r="CW706" s="101"/>
      <c r="CX706" s="101"/>
      <c r="CY706" s="101"/>
      <c r="CZ706" s="101"/>
      <c r="DA706" s="101"/>
      <c r="DB706" s="101"/>
      <c r="DC706" s="101"/>
      <c r="DD706" s="101"/>
      <c r="DE706" s="101"/>
      <c r="DF706" s="101"/>
    </row>
    <row r="707">
      <c r="A707" s="29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3"/>
      <c r="U707" s="103"/>
      <c r="V707" s="103"/>
      <c r="W707" s="104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  <c r="AL707" s="101"/>
      <c r="AM707" s="29"/>
      <c r="AN707" s="101"/>
      <c r="AO707" s="101"/>
      <c r="AP707" s="101"/>
      <c r="AQ707" s="101"/>
      <c r="AR707" s="101"/>
      <c r="AS707" s="101"/>
      <c r="AT707" s="101"/>
      <c r="AU707" s="101"/>
      <c r="AV707" s="101"/>
      <c r="AW707" s="101"/>
      <c r="AX707" s="101"/>
      <c r="AY707" s="101"/>
      <c r="AZ707" s="101"/>
      <c r="BA707" s="101"/>
      <c r="BB707" s="101"/>
      <c r="BC707" s="101"/>
      <c r="BD707" s="101"/>
      <c r="BE707" s="101"/>
      <c r="BF707" s="101"/>
      <c r="BG707" s="101"/>
      <c r="BH707" s="101"/>
      <c r="BI707" s="101"/>
      <c r="BJ707" s="101"/>
      <c r="BK707" s="101"/>
      <c r="BL707" s="101"/>
      <c r="BM707" s="101"/>
      <c r="BN707" s="101"/>
      <c r="BO707" s="101"/>
      <c r="BP707" s="101"/>
      <c r="BQ707" s="101"/>
      <c r="BR707" s="101"/>
      <c r="BS707" s="101"/>
      <c r="BT707" s="101"/>
      <c r="BU707" s="101"/>
      <c r="BV707" s="101"/>
      <c r="BW707" s="101"/>
      <c r="BX707" s="101"/>
      <c r="BY707" s="101"/>
      <c r="BZ707" s="101"/>
      <c r="CA707" s="101"/>
      <c r="CB707" s="101"/>
      <c r="CC707" s="101"/>
      <c r="CD707" s="101"/>
      <c r="CE707" s="101"/>
      <c r="CF707" s="101"/>
      <c r="CG707" s="101"/>
      <c r="CH707" s="101"/>
      <c r="CI707" s="101"/>
      <c r="CJ707" s="101"/>
      <c r="CK707" s="101"/>
      <c r="CL707" s="101"/>
      <c r="CM707" s="101"/>
      <c r="CN707" s="101"/>
      <c r="CO707" s="101"/>
      <c r="CP707" s="101"/>
      <c r="CQ707" s="101"/>
      <c r="CR707" s="101"/>
      <c r="CS707" s="101"/>
      <c r="CT707" s="101"/>
      <c r="CU707" s="101"/>
      <c r="CV707" s="101"/>
      <c r="CW707" s="101"/>
      <c r="CX707" s="101"/>
      <c r="CY707" s="101"/>
      <c r="CZ707" s="101"/>
      <c r="DA707" s="101"/>
      <c r="DB707" s="101"/>
      <c r="DC707" s="101"/>
      <c r="DD707" s="101"/>
      <c r="DE707" s="101"/>
      <c r="DF707" s="101"/>
    </row>
    <row r="708">
      <c r="A708" s="29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3"/>
      <c r="U708" s="103"/>
      <c r="V708" s="103"/>
      <c r="W708" s="104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  <c r="AL708" s="101"/>
      <c r="AM708" s="29"/>
      <c r="AN708" s="101"/>
      <c r="AO708" s="101"/>
      <c r="AP708" s="101"/>
      <c r="AQ708" s="101"/>
      <c r="AR708" s="101"/>
      <c r="AS708" s="101"/>
      <c r="AT708" s="101"/>
      <c r="AU708" s="101"/>
      <c r="AV708" s="101"/>
      <c r="AW708" s="101"/>
      <c r="AX708" s="101"/>
      <c r="AY708" s="101"/>
      <c r="AZ708" s="101"/>
      <c r="BA708" s="101"/>
      <c r="BB708" s="101"/>
      <c r="BC708" s="101"/>
      <c r="BD708" s="101"/>
      <c r="BE708" s="101"/>
      <c r="BF708" s="101"/>
      <c r="BG708" s="101"/>
      <c r="BH708" s="101"/>
      <c r="BI708" s="101"/>
      <c r="BJ708" s="101"/>
      <c r="BK708" s="101"/>
      <c r="BL708" s="101"/>
      <c r="BM708" s="101"/>
      <c r="BN708" s="101"/>
      <c r="BO708" s="101"/>
      <c r="BP708" s="101"/>
      <c r="BQ708" s="101"/>
      <c r="BR708" s="101"/>
      <c r="BS708" s="101"/>
      <c r="BT708" s="101"/>
      <c r="BU708" s="101"/>
      <c r="BV708" s="101"/>
      <c r="BW708" s="101"/>
      <c r="BX708" s="101"/>
      <c r="BY708" s="101"/>
      <c r="BZ708" s="101"/>
      <c r="CA708" s="101"/>
      <c r="CB708" s="101"/>
      <c r="CC708" s="101"/>
      <c r="CD708" s="101"/>
      <c r="CE708" s="101"/>
      <c r="CF708" s="101"/>
      <c r="CG708" s="101"/>
      <c r="CH708" s="101"/>
      <c r="CI708" s="101"/>
      <c r="CJ708" s="101"/>
      <c r="CK708" s="101"/>
      <c r="CL708" s="101"/>
      <c r="CM708" s="101"/>
      <c r="CN708" s="101"/>
      <c r="CO708" s="101"/>
      <c r="CP708" s="101"/>
      <c r="CQ708" s="101"/>
      <c r="CR708" s="101"/>
      <c r="CS708" s="101"/>
      <c r="CT708" s="101"/>
      <c r="CU708" s="101"/>
      <c r="CV708" s="101"/>
      <c r="CW708" s="101"/>
      <c r="CX708" s="101"/>
      <c r="CY708" s="101"/>
      <c r="CZ708" s="101"/>
      <c r="DA708" s="101"/>
      <c r="DB708" s="101"/>
      <c r="DC708" s="101"/>
      <c r="DD708" s="101"/>
      <c r="DE708" s="101"/>
      <c r="DF708" s="101"/>
    </row>
    <row r="709">
      <c r="A709" s="29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3"/>
      <c r="U709" s="103"/>
      <c r="V709" s="103"/>
      <c r="W709" s="104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  <c r="AL709" s="101"/>
      <c r="AM709" s="29"/>
      <c r="AN709" s="101"/>
      <c r="AO709" s="101"/>
      <c r="AP709" s="101"/>
      <c r="AQ709" s="101"/>
      <c r="AR709" s="101"/>
      <c r="AS709" s="101"/>
      <c r="AT709" s="101"/>
      <c r="AU709" s="101"/>
      <c r="AV709" s="101"/>
      <c r="AW709" s="101"/>
      <c r="AX709" s="101"/>
      <c r="AY709" s="101"/>
      <c r="AZ709" s="101"/>
      <c r="BA709" s="101"/>
      <c r="BB709" s="101"/>
      <c r="BC709" s="101"/>
      <c r="BD709" s="101"/>
      <c r="BE709" s="101"/>
      <c r="BF709" s="101"/>
      <c r="BG709" s="101"/>
      <c r="BH709" s="101"/>
      <c r="BI709" s="101"/>
      <c r="BJ709" s="101"/>
      <c r="BK709" s="101"/>
      <c r="BL709" s="101"/>
      <c r="BM709" s="101"/>
      <c r="BN709" s="101"/>
      <c r="BO709" s="101"/>
      <c r="BP709" s="101"/>
      <c r="BQ709" s="101"/>
      <c r="BR709" s="101"/>
      <c r="BS709" s="101"/>
      <c r="BT709" s="101"/>
      <c r="BU709" s="101"/>
      <c r="BV709" s="101"/>
      <c r="BW709" s="101"/>
      <c r="BX709" s="101"/>
      <c r="BY709" s="101"/>
      <c r="BZ709" s="101"/>
      <c r="CA709" s="101"/>
      <c r="CB709" s="101"/>
      <c r="CC709" s="101"/>
      <c r="CD709" s="101"/>
      <c r="CE709" s="101"/>
      <c r="CF709" s="101"/>
      <c r="CG709" s="101"/>
      <c r="CH709" s="101"/>
      <c r="CI709" s="101"/>
      <c r="CJ709" s="101"/>
      <c r="CK709" s="101"/>
      <c r="CL709" s="101"/>
      <c r="CM709" s="101"/>
      <c r="CN709" s="101"/>
      <c r="CO709" s="101"/>
      <c r="CP709" s="101"/>
      <c r="CQ709" s="101"/>
      <c r="CR709" s="101"/>
      <c r="CS709" s="101"/>
      <c r="CT709" s="101"/>
      <c r="CU709" s="101"/>
      <c r="CV709" s="101"/>
      <c r="CW709" s="101"/>
      <c r="CX709" s="101"/>
      <c r="CY709" s="101"/>
      <c r="CZ709" s="101"/>
      <c r="DA709" s="101"/>
      <c r="DB709" s="101"/>
      <c r="DC709" s="101"/>
      <c r="DD709" s="101"/>
      <c r="DE709" s="101"/>
      <c r="DF709" s="101"/>
    </row>
    <row r="710">
      <c r="A710" s="29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3"/>
      <c r="U710" s="103"/>
      <c r="V710" s="103"/>
      <c r="W710" s="104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  <c r="AM710" s="29"/>
      <c r="AN710" s="101"/>
      <c r="AO710" s="101"/>
      <c r="AP710" s="101"/>
      <c r="AQ710" s="101"/>
      <c r="AR710" s="101"/>
      <c r="AS710" s="101"/>
      <c r="AT710" s="101"/>
      <c r="AU710" s="101"/>
      <c r="AV710" s="101"/>
      <c r="AW710" s="101"/>
      <c r="AX710" s="101"/>
      <c r="AY710" s="101"/>
      <c r="AZ710" s="101"/>
      <c r="BA710" s="101"/>
      <c r="BB710" s="101"/>
      <c r="BC710" s="101"/>
      <c r="BD710" s="101"/>
      <c r="BE710" s="101"/>
      <c r="BF710" s="101"/>
      <c r="BG710" s="101"/>
      <c r="BH710" s="101"/>
      <c r="BI710" s="101"/>
      <c r="BJ710" s="101"/>
      <c r="BK710" s="101"/>
      <c r="BL710" s="101"/>
      <c r="BM710" s="101"/>
      <c r="BN710" s="101"/>
      <c r="BO710" s="101"/>
      <c r="BP710" s="101"/>
      <c r="BQ710" s="101"/>
      <c r="BR710" s="101"/>
      <c r="BS710" s="101"/>
      <c r="BT710" s="101"/>
      <c r="BU710" s="101"/>
      <c r="BV710" s="101"/>
      <c r="BW710" s="101"/>
      <c r="BX710" s="101"/>
      <c r="BY710" s="101"/>
      <c r="BZ710" s="101"/>
      <c r="CA710" s="101"/>
      <c r="CB710" s="101"/>
      <c r="CC710" s="101"/>
      <c r="CD710" s="101"/>
      <c r="CE710" s="101"/>
      <c r="CF710" s="101"/>
      <c r="CG710" s="101"/>
      <c r="CH710" s="101"/>
      <c r="CI710" s="101"/>
      <c r="CJ710" s="101"/>
      <c r="CK710" s="101"/>
      <c r="CL710" s="101"/>
      <c r="CM710" s="101"/>
      <c r="CN710" s="101"/>
      <c r="CO710" s="101"/>
      <c r="CP710" s="101"/>
      <c r="CQ710" s="101"/>
      <c r="CR710" s="101"/>
      <c r="CS710" s="101"/>
      <c r="CT710" s="101"/>
      <c r="CU710" s="101"/>
      <c r="CV710" s="101"/>
      <c r="CW710" s="101"/>
      <c r="CX710" s="101"/>
      <c r="CY710" s="101"/>
      <c r="CZ710" s="101"/>
      <c r="DA710" s="101"/>
      <c r="DB710" s="101"/>
      <c r="DC710" s="101"/>
      <c r="DD710" s="101"/>
      <c r="DE710" s="101"/>
      <c r="DF710" s="101"/>
    </row>
    <row r="711">
      <c r="A711" s="29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3"/>
      <c r="U711" s="103"/>
      <c r="V711" s="103"/>
      <c r="W711" s="104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  <c r="AM711" s="29"/>
      <c r="AN711" s="101"/>
      <c r="AO711" s="101"/>
      <c r="AP711" s="101"/>
      <c r="AQ711" s="101"/>
      <c r="AR711" s="101"/>
      <c r="AS711" s="101"/>
      <c r="AT711" s="101"/>
      <c r="AU711" s="101"/>
      <c r="AV711" s="101"/>
      <c r="AW711" s="101"/>
      <c r="AX711" s="101"/>
      <c r="AY711" s="101"/>
      <c r="AZ711" s="101"/>
      <c r="BA711" s="101"/>
      <c r="BB711" s="101"/>
      <c r="BC711" s="101"/>
      <c r="BD711" s="101"/>
      <c r="BE711" s="101"/>
      <c r="BF711" s="101"/>
      <c r="BG711" s="101"/>
      <c r="BH711" s="101"/>
      <c r="BI711" s="101"/>
      <c r="BJ711" s="101"/>
      <c r="BK711" s="101"/>
      <c r="BL711" s="101"/>
      <c r="BM711" s="101"/>
      <c r="BN711" s="101"/>
      <c r="BO711" s="101"/>
      <c r="BP711" s="101"/>
      <c r="BQ711" s="101"/>
      <c r="BR711" s="101"/>
      <c r="BS711" s="101"/>
      <c r="BT711" s="101"/>
      <c r="BU711" s="101"/>
      <c r="BV711" s="101"/>
      <c r="BW711" s="101"/>
      <c r="BX711" s="101"/>
      <c r="BY711" s="101"/>
      <c r="BZ711" s="101"/>
      <c r="CA711" s="101"/>
      <c r="CB711" s="101"/>
      <c r="CC711" s="101"/>
      <c r="CD711" s="101"/>
      <c r="CE711" s="101"/>
      <c r="CF711" s="101"/>
      <c r="CG711" s="101"/>
      <c r="CH711" s="101"/>
      <c r="CI711" s="101"/>
      <c r="CJ711" s="101"/>
      <c r="CK711" s="101"/>
      <c r="CL711" s="101"/>
      <c r="CM711" s="101"/>
      <c r="CN711" s="101"/>
      <c r="CO711" s="101"/>
      <c r="CP711" s="101"/>
      <c r="CQ711" s="101"/>
      <c r="CR711" s="101"/>
      <c r="CS711" s="101"/>
      <c r="CT711" s="101"/>
      <c r="CU711" s="101"/>
      <c r="CV711" s="101"/>
      <c r="CW711" s="101"/>
      <c r="CX711" s="101"/>
      <c r="CY711" s="101"/>
      <c r="CZ711" s="101"/>
      <c r="DA711" s="101"/>
      <c r="DB711" s="101"/>
      <c r="DC711" s="101"/>
      <c r="DD711" s="101"/>
      <c r="DE711" s="101"/>
      <c r="DF711" s="101"/>
    </row>
    <row r="712">
      <c r="A712" s="29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3"/>
      <c r="U712" s="103"/>
      <c r="V712" s="103"/>
      <c r="W712" s="104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  <c r="AL712" s="101"/>
      <c r="AM712" s="29"/>
      <c r="AN712" s="101"/>
      <c r="AO712" s="101"/>
      <c r="AP712" s="101"/>
      <c r="AQ712" s="101"/>
      <c r="AR712" s="101"/>
      <c r="AS712" s="101"/>
      <c r="AT712" s="101"/>
      <c r="AU712" s="101"/>
      <c r="AV712" s="101"/>
      <c r="AW712" s="101"/>
      <c r="AX712" s="101"/>
      <c r="AY712" s="101"/>
      <c r="AZ712" s="101"/>
      <c r="BA712" s="101"/>
      <c r="BB712" s="101"/>
      <c r="BC712" s="101"/>
      <c r="BD712" s="101"/>
      <c r="BE712" s="101"/>
      <c r="BF712" s="101"/>
      <c r="BG712" s="101"/>
      <c r="BH712" s="101"/>
      <c r="BI712" s="101"/>
      <c r="BJ712" s="101"/>
      <c r="BK712" s="101"/>
      <c r="BL712" s="101"/>
      <c r="BM712" s="101"/>
      <c r="BN712" s="101"/>
      <c r="BO712" s="101"/>
      <c r="BP712" s="101"/>
      <c r="BQ712" s="101"/>
      <c r="BR712" s="101"/>
      <c r="BS712" s="101"/>
      <c r="BT712" s="101"/>
      <c r="BU712" s="101"/>
      <c r="BV712" s="101"/>
      <c r="BW712" s="101"/>
      <c r="BX712" s="101"/>
      <c r="BY712" s="101"/>
      <c r="BZ712" s="101"/>
      <c r="CA712" s="101"/>
      <c r="CB712" s="101"/>
      <c r="CC712" s="101"/>
      <c r="CD712" s="101"/>
      <c r="CE712" s="101"/>
      <c r="CF712" s="101"/>
      <c r="CG712" s="101"/>
      <c r="CH712" s="101"/>
      <c r="CI712" s="101"/>
      <c r="CJ712" s="101"/>
      <c r="CK712" s="101"/>
      <c r="CL712" s="101"/>
      <c r="CM712" s="101"/>
      <c r="CN712" s="101"/>
      <c r="CO712" s="101"/>
      <c r="CP712" s="101"/>
      <c r="CQ712" s="101"/>
      <c r="CR712" s="101"/>
      <c r="CS712" s="101"/>
      <c r="CT712" s="101"/>
      <c r="CU712" s="101"/>
      <c r="CV712" s="101"/>
      <c r="CW712" s="101"/>
      <c r="CX712" s="101"/>
      <c r="CY712" s="101"/>
      <c r="CZ712" s="101"/>
      <c r="DA712" s="101"/>
      <c r="DB712" s="101"/>
      <c r="DC712" s="101"/>
      <c r="DD712" s="101"/>
      <c r="DE712" s="101"/>
      <c r="DF712" s="101"/>
    </row>
    <row r="713">
      <c r="A713" s="29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3"/>
      <c r="U713" s="103"/>
      <c r="V713" s="103"/>
      <c r="W713" s="104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  <c r="AL713" s="101"/>
      <c r="AM713" s="29"/>
      <c r="AN713" s="101"/>
      <c r="AO713" s="101"/>
      <c r="AP713" s="101"/>
      <c r="AQ713" s="101"/>
      <c r="AR713" s="101"/>
      <c r="AS713" s="101"/>
      <c r="AT713" s="101"/>
      <c r="AU713" s="101"/>
      <c r="AV713" s="101"/>
      <c r="AW713" s="101"/>
      <c r="AX713" s="101"/>
      <c r="AY713" s="101"/>
      <c r="AZ713" s="101"/>
      <c r="BA713" s="101"/>
      <c r="BB713" s="101"/>
      <c r="BC713" s="101"/>
      <c r="BD713" s="101"/>
      <c r="BE713" s="101"/>
      <c r="BF713" s="101"/>
      <c r="BG713" s="101"/>
      <c r="BH713" s="101"/>
      <c r="BI713" s="101"/>
      <c r="BJ713" s="101"/>
      <c r="BK713" s="101"/>
      <c r="BL713" s="101"/>
      <c r="BM713" s="101"/>
      <c r="BN713" s="101"/>
      <c r="BO713" s="101"/>
      <c r="BP713" s="101"/>
      <c r="BQ713" s="101"/>
      <c r="BR713" s="101"/>
      <c r="BS713" s="101"/>
      <c r="BT713" s="101"/>
      <c r="BU713" s="101"/>
      <c r="BV713" s="101"/>
      <c r="BW713" s="101"/>
      <c r="BX713" s="101"/>
      <c r="BY713" s="101"/>
      <c r="BZ713" s="101"/>
      <c r="CA713" s="101"/>
      <c r="CB713" s="101"/>
      <c r="CC713" s="101"/>
      <c r="CD713" s="101"/>
      <c r="CE713" s="101"/>
      <c r="CF713" s="101"/>
      <c r="CG713" s="101"/>
      <c r="CH713" s="101"/>
      <c r="CI713" s="101"/>
      <c r="CJ713" s="101"/>
      <c r="CK713" s="101"/>
      <c r="CL713" s="101"/>
      <c r="CM713" s="101"/>
      <c r="CN713" s="101"/>
      <c r="CO713" s="101"/>
      <c r="CP713" s="101"/>
      <c r="CQ713" s="101"/>
      <c r="CR713" s="101"/>
      <c r="CS713" s="101"/>
      <c r="CT713" s="101"/>
      <c r="CU713" s="101"/>
      <c r="CV713" s="101"/>
      <c r="CW713" s="101"/>
      <c r="CX713" s="101"/>
      <c r="CY713" s="101"/>
      <c r="CZ713" s="101"/>
      <c r="DA713" s="101"/>
      <c r="DB713" s="101"/>
      <c r="DC713" s="101"/>
      <c r="DD713" s="101"/>
      <c r="DE713" s="101"/>
      <c r="DF713" s="101"/>
    </row>
    <row r="714">
      <c r="A714" s="29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3"/>
      <c r="U714" s="103"/>
      <c r="V714" s="103"/>
      <c r="W714" s="104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  <c r="AL714" s="101"/>
      <c r="AM714" s="29"/>
      <c r="AN714" s="101"/>
      <c r="AO714" s="101"/>
      <c r="AP714" s="101"/>
      <c r="AQ714" s="101"/>
      <c r="AR714" s="101"/>
      <c r="AS714" s="101"/>
      <c r="AT714" s="101"/>
      <c r="AU714" s="101"/>
      <c r="AV714" s="101"/>
      <c r="AW714" s="101"/>
      <c r="AX714" s="101"/>
      <c r="AY714" s="101"/>
      <c r="AZ714" s="101"/>
      <c r="BA714" s="101"/>
      <c r="BB714" s="101"/>
      <c r="BC714" s="101"/>
      <c r="BD714" s="101"/>
      <c r="BE714" s="101"/>
      <c r="BF714" s="101"/>
      <c r="BG714" s="101"/>
      <c r="BH714" s="101"/>
      <c r="BI714" s="101"/>
      <c r="BJ714" s="101"/>
      <c r="BK714" s="101"/>
      <c r="BL714" s="101"/>
      <c r="BM714" s="101"/>
      <c r="BN714" s="101"/>
      <c r="BO714" s="101"/>
      <c r="BP714" s="101"/>
      <c r="BQ714" s="101"/>
      <c r="BR714" s="101"/>
      <c r="BS714" s="101"/>
      <c r="BT714" s="101"/>
      <c r="BU714" s="101"/>
      <c r="BV714" s="101"/>
      <c r="BW714" s="101"/>
      <c r="BX714" s="101"/>
      <c r="BY714" s="101"/>
      <c r="BZ714" s="101"/>
      <c r="CA714" s="101"/>
      <c r="CB714" s="101"/>
      <c r="CC714" s="101"/>
      <c r="CD714" s="101"/>
      <c r="CE714" s="101"/>
      <c r="CF714" s="101"/>
      <c r="CG714" s="101"/>
      <c r="CH714" s="101"/>
      <c r="CI714" s="101"/>
      <c r="CJ714" s="101"/>
      <c r="CK714" s="101"/>
      <c r="CL714" s="101"/>
      <c r="CM714" s="101"/>
      <c r="CN714" s="101"/>
      <c r="CO714" s="101"/>
      <c r="CP714" s="101"/>
      <c r="CQ714" s="101"/>
      <c r="CR714" s="101"/>
      <c r="CS714" s="101"/>
      <c r="CT714" s="101"/>
      <c r="CU714" s="101"/>
      <c r="CV714" s="101"/>
      <c r="CW714" s="101"/>
      <c r="CX714" s="101"/>
      <c r="CY714" s="101"/>
      <c r="CZ714" s="101"/>
      <c r="DA714" s="101"/>
      <c r="DB714" s="101"/>
      <c r="DC714" s="101"/>
      <c r="DD714" s="101"/>
      <c r="DE714" s="101"/>
      <c r="DF714" s="101"/>
    </row>
    <row r="715">
      <c r="A715" s="29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3"/>
      <c r="U715" s="103"/>
      <c r="V715" s="103"/>
      <c r="W715" s="104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  <c r="AL715" s="101"/>
      <c r="AM715" s="29"/>
      <c r="AN715" s="101"/>
      <c r="AO715" s="101"/>
      <c r="AP715" s="101"/>
      <c r="AQ715" s="101"/>
      <c r="AR715" s="101"/>
      <c r="AS715" s="101"/>
      <c r="AT715" s="101"/>
      <c r="AU715" s="101"/>
      <c r="AV715" s="101"/>
      <c r="AW715" s="101"/>
      <c r="AX715" s="101"/>
      <c r="AY715" s="101"/>
      <c r="AZ715" s="101"/>
      <c r="BA715" s="101"/>
      <c r="BB715" s="101"/>
      <c r="BC715" s="101"/>
      <c r="BD715" s="101"/>
      <c r="BE715" s="101"/>
      <c r="BF715" s="101"/>
      <c r="BG715" s="101"/>
      <c r="BH715" s="101"/>
      <c r="BI715" s="101"/>
      <c r="BJ715" s="101"/>
      <c r="BK715" s="101"/>
      <c r="BL715" s="101"/>
      <c r="BM715" s="101"/>
      <c r="BN715" s="101"/>
      <c r="BO715" s="101"/>
      <c r="BP715" s="101"/>
      <c r="BQ715" s="101"/>
      <c r="BR715" s="101"/>
      <c r="BS715" s="101"/>
      <c r="BT715" s="101"/>
      <c r="BU715" s="101"/>
      <c r="BV715" s="101"/>
      <c r="BW715" s="101"/>
      <c r="BX715" s="101"/>
      <c r="BY715" s="101"/>
      <c r="BZ715" s="101"/>
      <c r="CA715" s="101"/>
      <c r="CB715" s="101"/>
      <c r="CC715" s="101"/>
      <c r="CD715" s="101"/>
      <c r="CE715" s="101"/>
      <c r="CF715" s="101"/>
      <c r="CG715" s="101"/>
      <c r="CH715" s="101"/>
      <c r="CI715" s="101"/>
      <c r="CJ715" s="101"/>
      <c r="CK715" s="101"/>
      <c r="CL715" s="101"/>
      <c r="CM715" s="101"/>
      <c r="CN715" s="101"/>
      <c r="CO715" s="101"/>
      <c r="CP715" s="101"/>
      <c r="CQ715" s="101"/>
      <c r="CR715" s="101"/>
      <c r="CS715" s="101"/>
      <c r="CT715" s="101"/>
      <c r="CU715" s="101"/>
      <c r="CV715" s="101"/>
      <c r="CW715" s="101"/>
      <c r="CX715" s="101"/>
      <c r="CY715" s="101"/>
      <c r="CZ715" s="101"/>
      <c r="DA715" s="101"/>
      <c r="DB715" s="101"/>
      <c r="DC715" s="101"/>
      <c r="DD715" s="101"/>
      <c r="DE715" s="101"/>
      <c r="DF715" s="101"/>
    </row>
    <row r="716">
      <c r="A716" s="29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3"/>
      <c r="U716" s="103"/>
      <c r="V716" s="103"/>
      <c r="W716" s="104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  <c r="AL716" s="101"/>
      <c r="AM716" s="29"/>
      <c r="AN716" s="101"/>
      <c r="AO716" s="101"/>
      <c r="AP716" s="101"/>
      <c r="AQ716" s="101"/>
      <c r="AR716" s="101"/>
      <c r="AS716" s="101"/>
      <c r="AT716" s="101"/>
      <c r="AU716" s="101"/>
      <c r="AV716" s="101"/>
      <c r="AW716" s="101"/>
      <c r="AX716" s="101"/>
      <c r="AY716" s="101"/>
      <c r="AZ716" s="101"/>
      <c r="BA716" s="101"/>
      <c r="BB716" s="101"/>
      <c r="BC716" s="101"/>
      <c r="BD716" s="101"/>
      <c r="BE716" s="101"/>
      <c r="BF716" s="101"/>
      <c r="BG716" s="101"/>
      <c r="BH716" s="101"/>
      <c r="BI716" s="101"/>
      <c r="BJ716" s="101"/>
      <c r="BK716" s="101"/>
      <c r="BL716" s="101"/>
      <c r="BM716" s="101"/>
      <c r="BN716" s="101"/>
      <c r="BO716" s="101"/>
      <c r="BP716" s="101"/>
      <c r="BQ716" s="101"/>
      <c r="BR716" s="101"/>
      <c r="BS716" s="101"/>
      <c r="BT716" s="101"/>
      <c r="BU716" s="101"/>
      <c r="BV716" s="101"/>
      <c r="BW716" s="101"/>
      <c r="BX716" s="101"/>
      <c r="BY716" s="101"/>
      <c r="BZ716" s="101"/>
      <c r="CA716" s="101"/>
      <c r="CB716" s="101"/>
      <c r="CC716" s="101"/>
      <c r="CD716" s="101"/>
      <c r="CE716" s="101"/>
      <c r="CF716" s="101"/>
      <c r="CG716" s="101"/>
      <c r="CH716" s="101"/>
      <c r="CI716" s="101"/>
      <c r="CJ716" s="101"/>
      <c r="CK716" s="101"/>
      <c r="CL716" s="101"/>
      <c r="CM716" s="101"/>
      <c r="CN716" s="101"/>
      <c r="CO716" s="101"/>
      <c r="CP716" s="101"/>
      <c r="CQ716" s="101"/>
      <c r="CR716" s="101"/>
      <c r="CS716" s="101"/>
      <c r="CT716" s="101"/>
      <c r="CU716" s="101"/>
      <c r="CV716" s="101"/>
      <c r="CW716" s="101"/>
      <c r="CX716" s="101"/>
      <c r="CY716" s="101"/>
      <c r="CZ716" s="101"/>
      <c r="DA716" s="101"/>
      <c r="DB716" s="101"/>
      <c r="DC716" s="101"/>
      <c r="DD716" s="101"/>
      <c r="DE716" s="101"/>
      <c r="DF716" s="101"/>
    </row>
    <row r="717">
      <c r="A717" s="29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3"/>
      <c r="U717" s="103"/>
      <c r="V717" s="103"/>
      <c r="W717" s="104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  <c r="AL717" s="101"/>
      <c r="AM717" s="29"/>
      <c r="AN717" s="101"/>
      <c r="AO717" s="101"/>
      <c r="AP717" s="101"/>
      <c r="AQ717" s="101"/>
      <c r="AR717" s="101"/>
      <c r="AS717" s="101"/>
      <c r="AT717" s="101"/>
      <c r="AU717" s="101"/>
      <c r="AV717" s="101"/>
      <c r="AW717" s="101"/>
      <c r="AX717" s="101"/>
      <c r="AY717" s="101"/>
      <c r="AZ717" s="101"/>
      <c r="BA717" s="101"/>
      <c r="BB717" s="101"/>
      <c r="BC717" s="101"/>
      <c r="BD717" s="101"/>
      <c r="BE717" s="101"/>
      <c r="BF717" s="101"/>
      <c r="BG717" s="101"/>
      <c r="BH717" s="101"/>
      <c r="BI717" s="101"/>
      <c r="BJ717" s="101"/>
      <c r="BK717" s="101"/>
      <c r="BL717" s="101"/>
      <c r="BM717" s="101"/>
      <c r="BN717" s="101"/>
      <c r="BO717" s="101"/>
      <c r="BP717" s="101"/>
      <c r="BQ717" s="101"/>
      <c r="BR717" s="101"/>
      <c r="BS717" s="101"/>
      <c r="BT717" s="101"/>
      <c r="BU717" s="101"/>
      <c r="BV717" s="101"/>
      <c r="BW717" s="101"/>
      <c r="BX717" s="101"/>
      <c r="BY717" s="101"/>
      <c r="BZ717" s="101"/>
      <c r="CA717" s="101"/>
      <c r="CB717" s="101"/>
      <c r="CC717" s="101"/>
      <c r="CD717" s="101"/>
      <c r="CE717" s="101"/>
      <c r="CF717" s="101"/>
      <c r="CG717" s="101"/>
      <c r="CH717" s="101"/>
      <c r="CI717" s="101"/>
      <c r="CJ717" s="101"/>
      <c r="CK717" s="101"/>
      <c r="CL717" s="101"/>
      <c r="CM717" s="101"/>
      <c r="CN717" s="101"/>
      <c r="CO717" s="101"/>
      <c r="CP717" s="101"/>
      <c r="CQ717" s="101"/>
      <c r="CR717" s="101"/>
      <c r="CS717" s="101"/>
      <c r="CT717" s="101"/>
      <c r="CU717" s="101"/>
      <c r="CV717" s="101"/>
      <c r="CW717" s="101"/>
      <c r="CX717" s="101"/>
      <c r="CY717" s="101"/>
      <c r="CZ717" s="101"/>
      <c r="DA717" s="101"/>
      <c r="DB717" s="101"/>
      <c r="DC717" s="101"/>
      <c r="DD717" s="101"/>
      <c r="DE717" s="101"/>
      <c r="DF717" s="101"/>
    </row>
    <row r="718">
      <c r="A718" s="29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3"/>
      <c r="U718" s="103"/>
      <c r="V718" s="103"/>
      <c r="W718" s="104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  <c r="AL718" s="101"/>
      <c r="AM718" s="29"/>
      <c r="AN718" s="101"/>
      <c r="AO718" s="101"/>
      <c r="AP718" s="101"/>
      <c r="AQ718" s="101"/>
      <c r="AR718" s="101"/>
      <c r="AS718" s="101"/>
      <c r="AT718" s="101"/>
      <c r="AU718" s="101"/>
      <c r="AV718" s="101"/>
      <c r="AW718" s="101"/>
      <c r="AX718" s="101"/>
      <c r="AY718" s="101"/>
      <c r="AZ718" s="101"/>
      <c r="BA718" s="101"/>
      <c r="BB718" s="101"/>
      <c r="BC718" s="101"/>
      <c r="BD718" s="101"/>
      <c r="BE718" s="101"/>
      <c r="BF718" s="101"/>
      <c r="BG718" s="101"/>
      <c r="BH718" s="101"/>
      <c r="BI718" s="101"/>
      <c r="BJ718" s="101"/>
      <c r="BK718" s="101"/>
      <c r="BL718" s="101"/>
      <c r="BM718" s="101"/>
      <c r="BN718" s="101"/>
      <c r="BO718" s="101"/>
      <c r="BP718" s="101"/>
      <c r="BQ718" s="101"/>
      <c r="BR718" s="101"/>
      <c r="BS718" s="101"/>
      <c r="BT718" s="101"/>
      <c r="BU718" s="101"/>
      <c r="BV718" s="101"/>
      <c r="BW718" s="101"/>
      <c r="BX718" s="101"/>
      <c r="BY718" s="101"/>
      <c r="BZ718" s="101"/>
      <c r="CA718" s="101"/>
      <c r="CB718" s="101"/>
      <c r="CC718" s="101"/>
      <c r="CD718" s="101"/>
      <c r="CE718" s="101"/>
      <c r="CF718" s="101"/>
      <c r="CG718" s="101"/>
      <c r="CH718" s="101"/>
      <c r="CI718" s="101"/>
      <c r="CJ718" s="101"/>
      <c r="CK718" s="101"/>
      <c r="CL718" s="101"/>
      <c r="CM718" s="101"/>
      <c r="CN718" s="101"/>
      <c r="CO718" s="101"/>
      <c r="CP718" s="101"/>
      <c r="CQ718" s="101"/>
      <c r="CR718" s="101"/>
      <c r="CS718" s="101"/>
      <c r="CT718" s="101"/>
      <c r="CU718" s="101"/>
      <c r="CV718" s="101"/>
      <c r="CW718" s="101"/>
      <c r="CX718" s="101"/>
      <c r="CY718" s="101"/>
      <c r="CZ718" s="101"/>
      <c r="DA718" s="101"/>
      <c r="DB718" s="101"/>
      <c r="DC718" s="101"/>
      <c r="DD718" s="101"/>
      <c r="DE718" s="101"/>
      <c r="DF718" s="101"/>
    </row>
    <row r="719">
      <c r="A719" s="29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3"/>
      <c r="U719" s="103"/>
      <c r="V719" s="103"/>
      <c r="W719" s="104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  <c r="AM719" s="29"/>
      <c r="AN719" s="101"/>
      <c r="AO719" s="101"/>
      <c r="AP719" s="101"/>
      <c r="AQ719" s="101"/>
      <c r="AR719" s="101"/>
      <c r="AS719" s="101"/>
      <c r="AT719" s="101"/>
      <c r="AU719" s="101"/>
      <c r="AV719" s="101"/>
      <c r="AW719" s="101"/>
      <c r="AX719" s="101"/>
      <c r="AY719" s="101"/>
      <c r="AZ719" s="101"/>
      <c r="BA719" s="101"/>
      <c r="BB719" s="101"/>
      <c r="BC719" s="101"/>
      <c r="BD719" s="101"/>
      <c r="BE719" s="101"/>
      <c r="BF719" s="101"/>
      <c r="BG719" s="101"/>
      <c r="BH719" s="101"/>
      <c r="BI719" s="101"/>
      <c r="BJ719" s="101"/>
      <c r="BK719" s="101"/>
      <c r="BL719" s="101"/>
      <c r="BM719" s="101"/>
      <c r="BN719" s="101"/>
      <c r="BO719" s="101"/>
      <c r="BP719" s="101"/>
      <c r="BQ719" s="101"/>
      <c r="BR719" s="101"/>
      <c r="BS719" s="101"/>
      <c r="BT719" s="101"/>
      <c r="BU719" s="101"/>
      <c r="BV719" s="101"/>
      <c r="BW719" s="101"/>
      <c r="BX719" s="101"/>
      <c r="BY719" s="101"/>
      <c r="BZ719" s="101"/>
      <c r="CA719" s="101"/>
      <c r="CB719" s="101"/>
      <c r="CC719" s="101"/>
      <c r="CD719" s="101"/>
      <c r="CE719" s="101"/>
      <c r="CF719" s="101"/>
      <c r="CG719" s="101"/>
      <c r="CH719" s="101"/>
      <c r="CI719" s="101"/>
      <c r="CJ719" s="101"/>
      <c r="CK719" s="101"/>
      <c r="CL719" s="101"/>
      <c r="CM719" s="101"/>
      <c r="CN719" s="101"/>
      <c r="CO719" s="101"/>
      <c r="CP719" s="101"/>
      <c r="CQ719" s="101"/>
      <c r="CR719" s="101"/>
      <c r="CS719" s="101"/>
      <c r="CT719" s="101"/>
      <c r="CU719" s="101"/>
      <c r="CV719" s="101"/>
      <c r="CW719" s="101"/>
      <c r="CX719" s="101"/>
      <c r="CY719" s="101"/>
      <c r="CZ719" s="101"/>
      <c r="DA719" s="101"/>
      <c r="DB719" s="101"/>
      <c r="DC719" s="101"/>
      <c r="DD719" s="101"/>
      <c r="DE719" s="101"/>
      <c r="DF719" s="101"/>
    </row>
    <row r="720">
      <c r="A720" s="29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3"/>
      <c r="U720" s="103"/>
      <c r="V720" s="103"/>
      <c r="W720" s="104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  <c r="AL720" s="101"/>
      <c r="AM720" s="29"/>
      <c r="AN720" s="101"/>
      <c r="AO720" s="101"/>
      <c r="AP720" s="101"/>
      <c r="AQ720" s="101"/>
      <c r="AR720" s="101"/>
      <c r="AS720" s="101"/>
      <c r="AT720" s="101"/>
      <c r="AU720" s="101"/>
      <c r="AV720" s="101"/>
      <c r="AW720" s="101"/>
      <c r="AX720" s="101"/>
      <c r="AY720" s="101"/>
      <c r="AZ720" s="101"/>
      <c r="BA720" s="101"/>
      <c r="BB720" s="101"/>
      <c r="BC720" s="101"/>
      <c r="BD720" s="101"/>
      <c r="BE720" s="101"/>
      <c r="BF720" s="101"/>
      <c r="BG720" s="101"/>
      <c r="BH720" s="101"/>
      <c r="BI720" s="101"/>
      <c r="BJ720" s="101"/>
      <c r="BK720" s="101"/>
      <c r="BL720" s="101"/>
      <c r="BM720" s="101"/>
      <c r="BN720" s="101"/>
      <c r="BO720" s="101"/>
      <c r="BP720" s="101"/>
      <c r="BQ720" s="101"/>
      <c r="BR720" s="101"/>
      <c r="BS720" s="101"/>
      <c r="BT720" s="101"/>
      <c r="BU720" s="101"/>
      <c r="BV720" s="101"/>
      <c r="BW720" s="101"/>
      <c r="BX720" s="101"/>
      <c r="BY720" s="101"/>
      <c r="BZ720" s="101"/>
      <c r="CA720" s="101"/>
      <c r="CB720" s="101"/>
      <c r="CC720" s="101"/>
      <c r="CD720" s="101"/>
      <c r="CE720" s="101"/>
      <c r="CF720" s="101"/>
      <c r="CG720" s="101"/>
      <c r="CH720" s="101"/>
      <c r="CI720" s="101"/>
      <c r="CJ720" s="101"/>
      <c r="CK720" s="101"/>
      <c r="CL720" s="101"/>
      <c r="CM720" s="101"/>
      <c r="CN720" s="101"/>
      <c r="CO720" s="101"/>
      <c r="CP720" s="101"/>
      <c r="CQ720" s="101"/>
      <c r="CR720" s="101"/>
      <c r="CS720" s="101"/>
      <c r="CT720" s="101"/>
      <c r="CU720" s="101"/>
      <c r="CV720" s="101"/>
      <c r="CW720" s="101"/>
      <c r="CX720" s="101"/>
      <c r="CY720" s="101"/>
      <c r="CZ720" s="101"/>
      <c r="DA720" s="101"/>
      <c r="DB720" s="101"/>
      <c r="DC720" s="101"/>
      <c r="DD720" s="101"/>
      <c r="DE720" s="101"/>
      <c r="DF720" s="101"/>
    </row>
    <row r="721">
      <c r="A721" s="29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3"/>
      <c r="U721" s="103"/>
      <c r="V721" s="103"/>
      <c r="W721" s="104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  <c r="AL721" s="101"/>
      <c r="AM721" s="29"/>
      <c r="AN721" s="101"/>
      <c r="AO721" s="101"/>
      <c r="AP721" s="101"/>
      <c r="AQ721" s="101"/>
      <c r="AR721" s="101"/>
      <c r="AS721" s="101"/>
      <c r="AT721" s="101"/>
      <c r="AU721" s="101"/>
      <c r="AV721" s="101"/>
      <c r="AW721" s="101"/>
      <c r="AX721" s="101"/>
      <c r="AY721" s="101"/>
      <c r="AZ721" s="101"/>
      <c r="BA721" s="101"/>
      <c r="BB721" s="101"/>
      <c r="BC721" s="101"/>
      <c r="BD721" s="101"/>
      <c r="BE721" s="101"/>
      <c r="BF721" s="101"/>
      <c r="BG721" s="101"/>
      <c r="BH721" s="101"/>
      <c r="BI721" s="101"/>
      <c r="BJ721" s="101"/>
      <c r="BK721" s="101"/>
      <c r="BL721" s="101"/>
      <c r="BM721" s="101"/>
      <c r="BN721" s="101"/>
      <c r="BO721" s="101"/>
      <c r="BP721" s="101"/>
      <c r="BQ721" s="101"/>
      <c r="BR721" s="101"/>
      <c r="BS721" s="101"/>
      <c r="BT721" s="101"/>
      <c r="BU721" s="101"/>
      <c r="BV721" s="101"/>
      <c r="BW721" s="101"/>
      <c r="BX721" s="101"/>
      <c r="BY721" s="101"/>
      <c r="BZ721" s="101"/>
      <c r="CA721" s="101"/>
      <c r="CB721" s="101"/>
      <c r="CC721" s="101"/>
      <c r="CD721" s="101"/>
      <c r="CE721" s="101"/>
      <c r="CF721" s="101"/>
      <c r="CG721" s="101"/>
      <c r="CH721" s="101"/>
      <c r="CI721" s="101"/>
      <c r="CJ721" s="101"/>
      <c r="CK721" s="101"/>
      <c r="CL721" s="101"/>
      <c r="CM721" s="101"/>
      <c r="CN721" s="101"/>
      <c r="CO721" s="101"/>
      <c r="CP721" s="101"/>
      <c r="CQ721" s="101"/>
      <c r="CR721" s="101"/>
      <c r="CS721" s="101"/>
      <c r="CT721" s="101"/>
      <c r="CU721" s="101"/>
      <c r="CV721" s="101"/>
      <c r="CW721" s="101"/>
      <c r="CX721" s="101"/>
      <c r="CY721" s="101"/>
      <c r="CZ721" s="101"/>
      <c r="DA721" s="101"/>
      <c r="DB721" s="101"/>
      <c r="DC721" s="101"/>
      <c r="DD721" s="101"/>
      <c r="DE721" s="101"/>
      <c r="DF721" s="101"/>
    </row>
    <row r="722">
      <c r="A722" s="29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3"/>
      <c r="U722" s="103"/>
      <c r="V722" s="103"/>
      <c r="W722" s="104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  <c r="AL722" s="101"/>
      <c r="AM722" s="29"/>
      <c r="AN722" s="101"/>
      <c r="AO722" s="101"/>
      <c r="AP722" s="101"/>
      <c r="AQ722" s="101"/>
      <c r="AR722" s="101"/>
      <c r="AS722" s="101"/>
      <c r="AT722" s="101"/>
      <c r="AU722" s="101"/>
      <c r="AV722" s="101"/>
      <c r="AW722" s="101"/>
      <c r="AX722" s="101"/>
      <c r="AY722" s="101"/>
      <c r="AZ722" s="101"/>
      <c r="BA722" s="101"/>
      <c r="BB722" s="101"/>
      <c r="BC722" s="101"/>
      <c r="BD722" s="101"/>
      <c r="BE722" s="101"/>
      <c r="BF722" s="101"/>
      <c r="BG722" s="101"/>
      <c r="BH722" s="101"/>
      <c r="BI722" s="101"/>
      <c r="BJ722" s="101"/>
      <c r="BK722" s="101"/>
      <c r="BL722" s="101"/>
      <c r="BM722" s="101"/>
      <c r="BN722" s="101"/>
      <c r="BO722" s="101"/>
      <c r="BP722" s="101"/>
      <c r="BQ722" s="101"/>
      <c r="BR722" s="101"/>
      <c r="BS722" s="101"/>
      <c r="BT722" s="101"/>
      <c r="BU722" s="101"/>
      <c r="BV722" s="101"/>
      <c r="BW722" s="101"/>
      <c r="BX722" s="101"/>
      <c r="BY722" s="101"/>
      <c r="BZ722" s="101"/>
      <c r="CA722" s="101"/>
      <c r="CB722" s="101"/>
      <c r="CC722" s="101"/>
      <c r="CD722" s="101"/>
      <c r="CE722" s="101"/>
      <c r="CF722" s="101"/>
      <c r="CG722" s="101"/>
      <c r="CH722" s="101"/>
      <c r="CI722" s="101"/>
      <c r="CJ722" s="101"/>
      <c r="CK722" s="101"/>
      <c r="CL722" s="101"/>
      <c r="CM722" s="101"/>
      <c r="CN722" s="101"/>
      <c r="CO722" s="101"/>
      <c r="CP722" s="101"/>
      <c r="CQ722" s="101"/>
      <c r="CR722" s="101"/>
      <c r="CS722" s="101"/>
      <c r="CT722" s="101"/>
      <c r="CU722" s="101"/>
      <c r="CV722" s="101"/>
      <c r="CW722" s="101"/>
      <c r="CX722" s="101"/>
      <c r="CY722" s="101"/>
      <c r="CZ722" s="101"/>
      <c r="DA722" s="101"/>
      <c r="DB722" s="101"/>
      <c r="DC722" s="101"/>
      <c r="DD722" s="101"/>
      <c r="DE722" s="101"/>
      <c r="DF722" s="101"/>
    </row>
    <row r="723">
      <c r="A723" s="29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3"/>
      <c r="U723" s="103"/>
      <c r="V723" s="103"/>
      <c r="W723" s="104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  <c r="AL723" s="101"/>
      <c r="AM723" s="29"/>
      <c r="AN723" s="101"/>
      <c r="AO723" s="101"/>
      <c r="AP723" s="101"/>
      <c r="AQ723" s="101"/>
      <c r="AR723" s="101"/>
      <c r="AS723" s="101"/>
      <c r="AT723" s="101"/>
      <c r="AU723" s="101"/>
      <c r="AV723" s="101"/>
      <c r="AW723" s="101"/>
      <c r="AX723" s="101"/>
      <c r="AY723" s="101"/>
      <c r="AZ723" s="101"/>
      <c r="BA723" s="101"/>
      <c r="BB723" s="101"/>
      <c r="BC723" s="101"/>
      <c r="BD723" s="101"/>
      <c r="BE723" s="101"/>
      <c r="BF723" s="101"/>
      <c r="BG723" s="101"/>
      <c r="BH723" s="101"/>
      <c r="BI723" s="101"/>
      <c r="BJ723" s="101"/>
      <c r="BK723" s="101"/>
      <c r="BL723" s="101"/>
      <c r="BM723" s="101"/>
      <c r="BN723" s="101"/>
      <c r="BO723" s="101"/>
      <c r="BP723" s="101"/>
      <c r="BQ723" s="101"/>
      <c r="BR723" s="101"/>
      <c r="BS723" s="101"/>
      <c r="BT723" s="101"/>
      <c r="BU723" s="101"/>
      <c r="BV723" s="101"/>
      <c r="BW723" s="101"/>
      <c r="BX723" s="101"/>
      <c r="BY723" s="101"/>
      <c r="BZ723" s="101"/>
      <c r="CA723" s="101"/>
      <c r="CB723" s="101"/>
      <c r="CC723" s="101"/>
      <c r="CD723" s="101"/>
      <c r="CE723" s="101"/>
      <c r="CF723" s="101"/>
      <c r="CG723" s="101"/>
      <c r="CH723" s="101"/>
      <c r="CI723" s="101"/>
      <c r="CJ723" s="101"/>
      <c r="CK723" s="101"/>
      <c r="CL723" s="101"/>
      <c r="CM723" s="101"/>
      <c r="CN723" s="101"/>
      <c r="CO723" s="101"/>
      <c r="CP723" s="101"/>
      <c r="CQ723" s="101"/>
      <c r="CR723" s="101"/>
      <c r="CS723" s="101"/>
      <c r="CT723" s="101"/>
      <c r="CU723" s="101"/>
      <c r="CV723" s="101"/>
      <c r="CW723" s="101"/>
      <c r="CX723" s="101"/>
      <c r="CY723" s="101"/>
      <c r="CZ723" s="101"/>
      <c r="DA723" s="101"/>
      <c r="DB723" s="101"/>
      <c r="DC723" s="101"/>
      <c r="DD723" s="101"/>
      <c r="DE723" s="101"/>
      <c r="DF723" s="101"/>
    </row>
    <row r="724">
      <c r="A724" s="29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3"/>
      <c r="U724" s="103"/>
      <c r="V724" s="103"/>
      <c r="W724" s="104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  <c r="AL724" s="101"/>
      <c r="AM724" s="29"/>
      <c r="AN724" s="101"/>
      <c r="AO724" s="101"/>
      <c r="AP724" s="101"/>
      <c r="AQ724" s="101"/>
      <c r="AR724" s="101"/>
      <c r="AS724" s="101"/>
      <c r="AT724" s="101"/>
      <c r="AU724" s="101"/>
      <c r="AV724" s="101"/>
      <c r="AW724" s="101"/>
      <c r="AX724" s="101"/>
      <c r="AY724" s="101"/>
      <c r="AZ724" s="101"/>
      <c r="BA724" s="101"/>
      <c r="BB724" s="101"/>
      <c r="BC724" s="101"/>
      <c r="BD724" s="101"/>
      <c r="BE724" s="101"/>
      <c r="BF724" s="101"/>
      <c r="BG724" s="101"/>
      <c r="BH724" s="101"/>
      <c r="BI724" s="101"/>
      <c r="BJ724" s="101"/>
      <c r="BK724" s="101"/>
      <c r="BL724" s="101"/>
      <c r="BM724" s="101"/>
      <c r="BN724" s="101"/>
      <c r="BO724" s="101"/>
      <c r="BP724" s="101"/>
      <c r="BQ724" s="101"/>
      <c r="BR724" s="101"/>
      <c r="BS724" s="101"/>
      <c r="BT724" s="101"/>
      <c r="BU724" s="101"/>
      <c r="BV724" s="101"/>
      <c r="BW724" s="101"/>
      <c r="BX724" s="101"/>
      <c r="BY724" s="101"/>
      <c r="BZ724" s="101"/>
      <c r="CA724" s="101"/>
      <c r="CB724" s="101"/>
      <c r="CC724" s="101"/>
      <c r="CD724" s="101"/>
      <c r="CE724" s="101"/>
      <c r="CF724" s="101"/>
      <c r="CG724" s="101"/>
      <c r="CH724" s="101"/>
      <c r="CI724" s="101"/>
      <c r="CJ724" s="101"/>
      <c r="CK724" s="101"/>
      <c r="CL724" s="101"/>
      <c r="CM724" s="101"/>
      <c r="CN724" s="101"/>
      <c r="CO724" s="101"/>
      <c r="CP724" s="101"/>
      <c r="CQ724" s="101"/>
      <c r="CR724" s="101"/>
      <c r="CS724" s="101"/>
      <c r="CT724" s="101"/>
      <c r="CU724" s="101"/>
      <c r="CV724" s="101"/>
      <c r="CW724" s="101"/>
      <c r="CX724" s="101"/>
      <c r="CY724" s="101"/>
      <c r="CZ724" s="101"/>
      <c r="DA724" s="101"/>
      <c r="DB724" s="101"/>
      <c r="DC724" s="101"/>
      <c r="DD724" s="101"/>
      <c r="DE724" s="101"/>
      <c r="DF724" s="101"/>
    </row>
    <row r="725">
      <c r="A725" s="29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3"/>
      <c r="U725" s="103"/>
      <c r="V725" s="103"/>
      <c r="W725" s="104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  <c r="AL725" s="101"/>
      <c r="AM725" s="29"/>
      <c r="AN725" s="101"/>
      <c r="AO725" s="101"/>
      <c r="AP725" s="101"/>
      <c r="AQ725" s="101"/>
      <c r="AR725" s="101"/>
      <c r="AS725" s="101"/>
      <c r="AT725" s="101"/>
      <c r="AU725" s="101"/>
      <c r="AV725" s="101"/>
      <c r="AW725" s="101"/>
      <c r="AX725" s="101"/>
      <c r="AY725" s="101"/>
      <c r="AZ725" s="101"/>
      <c r="BA725" s="101"/>
      <c r="BB725" s="101"/>
      <c r="BC725" s="101"/>
      <c r="BD725" s="101"/>
      <c r="BE725" s="101"/>
      <c r="BF725" s="101"/>
      <c r="BG725" s="101"/>
      <c r="BH725" s="101"/>
      <c r="BI725" s="101"/>
      <c r="BJ725" s="101"/>
      <c r="BK725" s="101"/>
      <c r="BL725" s="101"/>
      <c r="BM725" s="101"/>
      <c r="BN725" s="101"/>
      <c r="BO725" s="101"/>
      <c r="BP725" s="101"/>
      <c r="BQ725" s="101"/>
      <c r="BR725" s="101"/>
      <c r="BS725" s="101"/>
      <c r="BT725" s="101"/>
      <c r="BU725" s="101"/>
      <c r="BV725" s="101"/>
      <c r="BW725" s="101"/>
      <c r="BX725" s="101"/>
      <c r="BY725" s="101"/>
      <c r="BZ725" s="101"/>
      <c r="CA725" s="101"/>
      <c r="CB725" s="101"/>
      <c r="CC725" s="101"/>
      <c r="CD725" s="101"/>
      <c r="CE725" s="101"/>
      <c r="CF725" s="101"/>
      <c r="CG725" s="101"/>
      <c r="CH725" s="101"/>
      <c r="CI725" s="101"/>
      <c r="CJ725" s="101"/>
      <c r="CK725" s="101"/>
      <c r="CL725" s="101"/>
      <c r="CM725" s="101"/>
      <c r="CN725" s="101"/>
      <c r="CO725" s="101"/>
      <c r="CP725" s="101"/>
      <c r="CQ725" s="101"/>
      <c r="CR725" s="101"/>
      <c r="CS725" s="101"/>
      <c r="CT725" s="101"/>
      <c r="CU725" s="101"/>
      <c r="CV725" s="101"/>
      <c r="CW725" s="101"/>
      <c r="CX725" s="101"/>
      <c r="CY725" s="101"/>
      <c r="CZ725" s="101"/>
      <c r="DA725" s="101"/>
      <c r="DB725" s="101"/>
      <c r="DC725" s="101"/>
      <c r="DD725" s="101"/>
      <c r="DE725" s="101"/>
      <c r="DF725" s="101"/>
    </row>
    <row r="726">
      <c r="A726" s="29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3"/>
      <c r="U726" s="103"/>
      <c r="V726" s="103"/>
      <c r="W726" s="104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  <c r="AL726" s="101"/>
      <c r="AM726" s="29"/>
      <c r="AN726" s="101"/>
      <c r="AO726" s="101"/>
      <c r="AP726" s="101"/>
      <c r="AQ726" s="101"/>
      <c r="AR726" s="101"/>
      <c r="AS726" s="101"/>
      <c r="AT726" s="101"/>
      <c r="AU726" s="101"/>
      <c r="AV726" s="101"/>
      <c r="AW726" s="101"/>
      <c r="AX726" s="101"/>
      <c r="AY726" s="101"/>
      <c r="AZ726" s="101"/>
      <c r="BA726" s="101"/>
      <c r="BB726" s="101"/>
      <c r="BC726" s="101"/>
      <c r="BD726" s="101"/>
      <c r="BE726" s="101"/>
      <c r="BF726" s="101"/>
      <c r="BG726" s="101"/>
      <c r="BH726" s="101"/>
      <c r="BI726" s="101"/>
      <c r="BJ726" s="101"/>
      <c r="BK726" s="101"/>
      <c r="BL726" s="101"/>
      <c r="BM726" s="101"/>
      <c r="BN726" s="101"/>
      <c r="BO726" s="101"/>
      <c r="BP726" s="101"/>
      <c r="BQ726" s="101"/>
      <c r="BR726" s="101"/>
      <c r="BS726" s="101"/>
      <c r="BT726" s="101"/>
      <c r="BU726" s="101"/>
      <c r="BV726" s="101"/>
      <c r="BW726" s="101"/>
      <c r="BX726" s="101"/>
      <c r="BY726" s="101"/>
      <c r="BZ726" s="101"/>
      <c r="CA726" s="101"/>
      <c r="CB726" s="101"/>
      <c r="CC726" s="101"/>
      <c r="CD726" s="101"/>
      <c r="CE726" s="101"/>
      <c r="CF726" s="101"/>
      <c r="CG726" s="101"/>
      <c r="CH726" s="101"/>
      <c r="CI726" s="101"/>
      <c r="CJ726" s="101"/>
      <c r="CK726" s="101"/>
      <c r="CL726" s="101"/>
      <c r="CM726" s="101"/>
      <c r="CN726" s="101"/>
      <c r="CO726" s="101"/>
      <c r="CP726" s="101"/>
      <c r="CQ726" s="101"/>
      <c r="CR726" s="101"/>
      <c r="CS726" s="101"/>
      <c r="CT726" s="101"/>
      <c r="CU726" s="101"/>
      <c r="CV726" s="101"/>
      <c r="CW726" s="101"/>
      <c r="CX726" s="101"/>
      <c r="CY726" s="101"/>
      <c r="CZ726" s="101"/>
      <c r="DA726" s="101"/>
      <c r="DB726" s="101"/>
      <c r="DC726" s="101"/>
      <c r="DD726" s="101"/>
      <c r="DE726" s="101"/>
      <c r="DF726" s="101"/>
    </row>
    <row r="727">
      <c r="A727" s="29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3"/>
      <c r="U727" s="103"/>
      <c r="V727" s="103"/>
      <c r="W727" s="104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  <c r="AL727" s="101"/>
      <c r="AM727" s="29"/>
      <c r="AN727" s="101"/>
      <c r="AO727" s="101"/>
      <c r="AP727" s="101"/>
      <c r="AQ727" s="101"/>
      <c r="AR727" s="101"/>
      <c r="AS727" s="101"/>
      <c r="AT727" s="101"/>
      <c r="AU727" s="101"/>
      <c r="AV727" s="101"/>
      <c r="AW727" s="101"/>
      <c r="AX727" s="101"/>
      <c r="AY727" s="101"/>
      <c r="AZ727" s="101"/>
      <c r="BA727" s="101"/>
      <c r="BB727" s="101"/>
      <c r="BC727" s="101"/>
      <c r="BD727" s="101"/>
      <c r="BE727" s="101"/>
      <c r="BF727" s="101"/>
      <c r="BG727" s="101"/>
      <c r="BH727" s="101"/>
      <c r="BI727" s="101"/>
      <c r="BJ727" s="101"/>
      <c r="BK727" s="101"/>
      <c r="BL727" s="101"/>
      <c r="BM727" s="101"/>
      <c r="BN727" s="101"/>
      <c r="BO727" s="101"/>
      <c r="BP727" s="101"/>
      <c r="BQ727" s="101"/>
      <c r="BR727" s="101"/>
      <c r="BS727" s="101"/>
      <c r="BT727" s="101"/>
      <c r="BU727" s="101"/>
      <c r="BV727" s="101"/>
      <c r="BW727" s="101"/>
      <c r="BX727" s="101"/>
      <c r="BY727" s="101"/>
      <c r="BZ727" s="101"/>
      <c r="CA727" s="101"/>
      <c r="CB727" s="101"/>
      <c r="CC727" s="101"/>
      <c r="CD727" s="101"/>
      <c r="CE727" s="101"/>
      <c r="CF727" s="101"/>
      <c r="CG727" s="101"/>
      <c r="CH727" s="101"/>
      <c r="CI727" s="101"/>
      <c r="CJ727" s="101"/>
      <c r="CK727" s="101"/>
      <c r="CL727" s="101"/>
      <c r="CM727" s="101"/>
      <c r="CN727" s="101"/>
      <c r="CO727" s="101"/>
      <c r="CP727" s="101"/>
      <c r="CQ727" s="101"/>
      <c r="CR727" s="101"/>
      <c r="CS727" s="101"/>
      <c r="CT727" s="101"/>
      <c r="CU727" s="101"/>
      <c r="CV727" s="101"/>
      <c r="CW727" s="101"/>
      <c r="CX727" s="101"/>
      <c r="CY727" s="101"/>
      <c r="CZ727" s="101"/>
      <c r="DA727" s="101"/>
      <c r="DB727" s="101"/>
      <c r="DC727" s="101"/>
      <c r="DD727" s="101"/>
      <c r="DE727" s="101"/>
      <c r="DF727" s="101"/>
    </row>
    <row r="728">
      <c r="A728" s="29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3"/>
      <c r="U728" s="103"/>
      <c r="V728" s="103"/>
      <c r="W728" s="104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  <c r="AM728" s="29"/>
      <c r="AN728" s="101"/>
      <c r="AO728" s="101"/>
      <c r="AP728" s="101"/>
      <c r="AQ728" s="101"/>
      <c r="AR728" s="101"/>
      <c r="AS728" s="101"/>
      <c r="AT728" s="101"/>
      <c r="AU728" s="101"/>
      <c r="AV728" s="101"/>
      <c r="AW728" s="101"/>
      <c r="AX728" s="101"/>
      <c r="AY728" s="101"/>
      <c r="AZ728" s="101"/>
      <c r="BA728" s="101"/>
      <c r="BB728" s="101"/>
      <c r="BC728" s="101"/>
      <c r="BD728" s="101"/>
      <c r="BE728" s="101"/>
      <c r="BF728" s="101"/>
      <c r="BG728" s="101"/>
      <c r="BH728" s="101"/>
      <c r="BI728" s="101"/>
      <c r="BJ728" s="101"/>
      <c r="BK728" s="101"/>
      <c r="BL728" s="101"/>
      <c r="BM728" s="101"/>
      <c r="BN728" s="101"/>
      <c r="BO728" s="101"/>
      <c r="BP728" s="101"/>
      <c r="BQ728" s="101"/>
      <c r="BR728" s="101"/>
      <c r="BS728" s="101"/>
      <c r="BT728" s="101"/>
      <c r="BU728" s="101"/>
      <c r="BV728" s="101"/>
      <c r="BW728" s="101"/>
      <c r="BX728" s="101"/>
      <c r="BY728" s="101"/>
      <c r="BZ728" s="101"/>
      <c r="CA728" s="101"/>
      <c r="CB728" s="101"/>
      <c r="CC728" s="101"/>
      <c r="CD728" s="101"/>
      <c r="CE728" s="101"/>
      <c r="CF728" s="101"/>
      <c r="CG728" s="101"/>
      <c r="CH728" s="101"/>
      <c r="CI728" s="101"/>
      <c r="CJ728" s="101"/>
      <c r="CK728" s="101"/>
      <c r="CL728" s="101"/>
      <c r="CM728" s="101"/>
      <c r="CN728" s="101"/>
      <c r="CO728" s="101"/>
      <c r="CP728" s="101"/>
      <c r="CQ728" s="101"/>
      <c r="CR728" s="101"/>
      <c r="CS728" s="101"/>
      <c r="CT728" s="101"/>
      <c r="CU728" s="101"/>
      <c r="CV728" s="101"/>
      <c r="CW728" s="101"/>
      <c r="CX728" s="101"/>
      <c r="CY728" s="101"/>
      <c r="CZ728" s="101"/>
      <c r="DA728" s="101"/>
      <c r="DB728" s="101"/>
      <c r="DC728" s="101"/>
      <c r="DD728" s="101"/>
      <c r="DE728" s="101"/>
      <c r="DF728" s="101"/>
    </row>
    <row r="729">
      <c r="A729" s="29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3"/>
      <c r="U729" s="103"/>
      <c r="V729" s="103"/>
      <c r="W729" s="104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  <c r="AL729" s="101"/>
      <c r="AM729" s="29"/>
      <c r="AN729" s="101"/>
      <c r="AO729" s="101"/>
      <c r="AP729" s="101"/>
      <c r="AQ729" s="101"/>
      <c r="AR729" s="101"/>
      <c r="AS729" s="101"/>
      <c r="AT729" s="101"/>
      <c r="AU729" s="101"/>
      <c r="AV729" s="101"/>
      <c r="AW729" s="101"/>
      <c r="AX729" s="101"/>
      <c r="AY729" s="101"/>
      <c r="AZ729" s="101"/>
      <c r="BA729" s="101"/>
      <c r="BB729" s="101"/>
      <c r="BC729" s="101"/>
      <c r="BD729" s="101"/>
      <c r="BE729" s="101"/>
      <c r="BF729" s="101"/>
      <c r="BG729" s="101"/>
      <c r="BH729" s="101"/>
      <c r="BI729" s="101"/>
      <c r="BJ729" s="101"/>
      <c r="BK729" s="101"/>
      <c r="BL729" s="101"/>
      <c r="BM729" s="101"/>
      <c r="BN729" s="101"/>
      <c r="BO729" s="101"/>
      <c r="BP729" s="101"/>
      <c r="BQ729" s="101"/>
      <c r="BR729" s="101"/>
      <c r="BS729" s="101"/>
      <c r="BT729" s="101"/>
      <c r="BU729" s="101"/>
      <c r="BV729" s="101"/>
      <c r="BW729" s="101"/>
      <c r="BX729" s="101"/>
      <c r="BY729" s="101"/>
      <c r="BZ729" s="101"/>
      <c r="CA729" s="101"/>
      <c r="CB729" s="101"/>
      <c r="CC729" s="101"/>
      <c r="CD729" s="101"/>
      <c r="CE729" s="101"/>
      <c r="CF729" s="101"/>
      <c r="CG729" s="101"/>
      <c r="CH729" s="101"/>
      <c r="CI729" s="101"/>
      <c r="CJ729" s="101"/>
      <c r="CK729" s="101"/>
      <c r="CL729" s="101"/>
      <c r="CM729" s="101"/>
      <c r="CN729" s="101"/>
      <c r="CO729" s="101"/>
      <c r="CP729" s="101"/>
      <c r="CQ729" s="101"/>
      <c r="CR729" s="101"/>
      <c r="CS729" s="101"/>
      <c r="CT729" s="101"/>
      <c r="CU729" s="101"/>
      <c r="CV729" s="101"/>
      <c r="CW729" s="101"/>
      <c r="CX729" s="101"/>
      <c r="CY729" s="101"/>
      <c r="CZ729" s="101"/>
      <c r="DA729" s="101"/>
      <c r="DB729" s="101"/>
      <c r="DC729" s="101"/>
      <c r="DD729" s="101"/>
      <c r="DE729" s="101"/>
      <c r="DF729" s="101"/>
    </row>
    <row r="730">
      <c r="A730" s="29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3"/>
      <c r="U730" s="103"/>
      <c r="V730" s="103"/>
      <c r="W730" s="104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  <c r="AL730" s="101"/>
      <c r="AM730" s="29"/>
      <c r="AN730" s="101"/>
      <c r="AO730" s="101"/>
      <c r="AP730" s="101"/>
      <c r="AQ730" s="101"/>
      <c r="AR730" s="101"/>
      <c r="AS730" s="101"/>
      <c r="AT730" s="101"/>
      <c r="AU730" s="101"/>
      <c r="AV730" s="101"/>
      <c r="AW730" s="101"/>
      <c r="AX730" s="101"/>
      <c r="AY730" s="101"/>
      <c r="AZ730" s="101"/>
      <c r="BA730" s="101"/>
      <c r="BB730" s="101"/>
      <c r="BC730" s="101"/>
      <c r="BD730" s="101"/>
      <c r="BE730" s="101"/>
      <c r="BF730" s="101"/>
      <c r="BG730" s="101"/>
      <c r="BH730" s="101"/>
      <c r="BI730" s="101"/>
      <c r="BJ730" s="101"/>
      <c r="BK730" s="101"/>
      <c r="BL730" s="101"/>
      <c r="BM730" s="101"/>
      <c r="BN730" s="101"/>
      <c r="BO730" s="101"/>
      <c r="BP730" s="101"/>
      <c r="BQ730" s="101"/>
      <c r="BR730" s="101"/>
      <c r="BS730" s="101"/>
      <c r="BT730" s="101"/>
      <c r="BU730" s="101"/>
      <c r="BV730" s="101"/>
      <c r="BW730" s="101"/>
      <c r="BX730" s="101"/>
      <c r="BY730" s="101"/>
      <c r="BZ730" s="101"/>
      <c r="CA730" s="101"/>
      <c r="CB730" s="101"/>
      <c r="CC730" s="101"/>
      <c r="CD730" s="101"/>
      <c r="CE730" s="101"/>
      <c r="CF730" s="101"/>
      <c r="CG730" s="101"/>
      <c r="CH730" s="101"/>
      <c r="CI730" s="101"/>
      <c r="CJ730" s="101"/>
      <c r="CK730" s="101"/>
      <c r="CL730" s="101"/>
      <c r="CM730" s="101"/>
      <c r="CN730" s="101"/>
      <c r="CO730" s="101"/>
      <c r="CP730" s="101"/>
      <c r="CQ730" s="101"/>
      <c r="CR730" s="101"/>
      <c r="CS730" s="101"/>
      <c r="CT730" s="101"/>
      <c r="CU730" s="101"/>
      <c r="CV730" s="101"/>
      <c r="CW730" s="101"/>
      <c r="CX730" s="101"/>
      <c r="CY730" s="101"/>
      <c r="CZ730" s="101"/>
      <c r="DA730" s="101"/>
      <c r="DB730" s="101"/>
      <c r="DC730" s="101"/>
      <c r="DD730" s="101"/>
      <c r="DE730" s="101"/>
      <c r="DF730" s="101"/>
    </row>
    <row r="731">
      <c r="A731" s="29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3"/>
      <c r="U731" s="103"/>
      <c r="V731" s="103"/>
      <c r="W731" s="104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  <c r="AL731" s="101"/>
      <c r="AM731" s="29"/>
      <c r="AN731" s="101"/>
      <c r="AO731" s="101"/>
      <c r="AP731" s="101"/>
      <c r="AQ731" s="101"/>
      <c r="AR731" s="101"/>
      <c r="AS731" s="101"/>
      <c r="AT731" s="101"/>
      <c r="AU731" s="101"/>
      <c r="AV731" s="101"/>
      <c r="AW731" s="101"/>
      <c r="AX731" s="101"/>
      <c r="AY731" s="101"/>
      <c r="AZ731" s="101"/>
      <c r="BA731" s="101"/>
      <c r="BB731" s="101"/>
      <c r="BC731" s="101"/>
      <c r="BD731" s="101"/>
      <c r="BE731" s="101"/>
      <c r="BF731" s="101"/>
      <c r="BG731" s="101"/>
      <c r="BH731" s="101"/>
      <c r="BI731" s="101"/>
      <c r="BJ731" s="101"/>
      <c r="BK731" s="101"/>
      <c r="BL731" s="101"/>
      <c r="BM731" s="101"/>
      <c r="BN731" s="101"/>
      <c r="BO731" s="101"/>
      <c r="BP731" s="101"/>
      <c r="BQ731" s="101"/>
      <c r="BR731" s="101"/>
      <c r="BS731" s="101"/>
      <c r="BT731" s="101"/>
      <c r="BU731" s="101"/>
      <c r="BV731" s="101"/>
      <c r="BW731" s="101"/>
      <c r="BX731" s="101"/>
      <c r="BY731" s="101"/>
      <c r="BZ731" s="101"/>
      <c r="CA731" s="101"/>
      <c r="CB731" s="101"/>
      <c r="CC731" s="101"/>
      <c r="CD731" s="101"/>
      <c r="CE731" s="101"/>
      <c r="CF731" s="101"/>
      <c r="CG731" s="101"/>
      <c r="CH731" s="101"/>
      <c r="CI731" s="101"/>
      <c r="CJ731" s="101"/>
      <c r="CK731" s="101"/>
      <c r="CL731" s="101"/>
      <c r="CM731" s="101"/>
      <c r="CN731" s="101"/>
      <c r="CO731" s="101"/>
      <c r="CP731" s="101"/>
      <c r="CQ731" s="101"/>
      <c r="CR731" s="101"/>
      <c r="CS731" s="101"/>
      <c r="CT731" s="101"/>
      <c r="CU731" s="101"/>
      <c r="CV731" s="101"/>
      <c r="CW731" s="101"/>
      <c r="CX731" s="101"/>
      <c r="CY731" s="101"/>
      <c r="CZ731" s="101"/>
      <c r="DA731" s="101"/>
      <c r="DB731" s="101"/>
      <c r="DC731" s="101"/>
      <c r="DD731" s="101"/>
      <c r="DE731" s="101"/>
      <c r="DF731" s="101"/>
    </row>
    <row r="732">
      <c r="A732" s="29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3"/>
      <c r="U732" s="103"/>
      <c r="V732" s="103"/>
      <c r="W732" s="104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  <c r="AL732" s="101"/>
      <c r="AM732" s="29"/>
      <c r="AN732" s="101"/>
      <c r="AO732" s="101"/>
      <c r="AP732" s="101"/>
      <c r="AQ732" s="101"/>
      <c r="AR732" s="101"/>
      <c r="AS732" s="101"/>
      <c r="AT732" s="101"/>
      <c r="AU732" s="101"/>
      <c r="AV732" s="101"/>
      <c r="AW732" s="101"/>
      <c r="AX732" s="101"/>
      <c r="AY732" s="101"/>
      <c r="AZ732" s="101"/>
      <c r="BA732" s="101"/>
      <c r="BB732" s="101"/>
      <c r="BC732" s="101"/>
      <c r="BD732" s="101"/>
      <c r="BE732" s="101"/>
      <c r="BF732" s="101"/>
      <c r="BG732" s="101"/>
      <c r="BH732" s="101"/>
      <c r="BI732" s="101"/>
      <c r="BJ732" s="101"/>
      <c r="BK732" s="101"/>
      <c r="BL732" s="101"/>
      <c r="BM732" s="101"/>
      <c r="BN732" s="101"/>
      <c r="BO732" s="101"/>
      <c r="BP732" s="101"/>
      <c r="BQ732" s="101"/>
      <c r="BR732" s="101"/>
      <c r="BS732" s="101"/>
      <c r="BT732" s="101"/>
      <c r="BU732" s="101"/>
      <c r="BV732" s="101"/>
      <c r="BW732" s="101"/>
      <c r="BX732" s="101"/>
      <c r="BY732" s="101"/>
      <c r="BZ732" s="101"/>
      <c r="CA732" s="101"/>
      <c r="CB732" s="101"/>
      <c r="CC732" s="101"/>
      <c r="CD732" s="101"/>
      <c r="CE732" s="101"/>
      <c r="CF732" s="101"/>
      <c r="CG732" s="101"/>
      <c r="CH732" s="101"/>
      <c r="CI732" s="101"/>
      <c r="CJ732" s="101"/>
      <c r="CK732" s="101"/>
      <c r="CL732" s="101"/>
      <c r="CM732" s="101"/>
      <c r="CN732" s="101"/>
      <c r="CO732" s="101"/>
      <c r="CP732" s="101"/>
      <c r="CQ732" s="101"/>
      <c r="CR732" s="101"/>
      <c r="CS732" s="101"/>
      <c r="CT732" s="101"/>
      <c r="CU732" s="101"/>
      <c r="CV732" s="101"/>
      <c r="CW732" s="101"/>
      <c r="CX732" s="101"/>
      <c r="CY732" s="101"/>
      <c r="CZ732" s="101"/>
      <c r="DA732" s="101"/>
      <c r="DB732" s="101"/>
      <c r="DC732" s="101"/>
      <c r="DD732" s="101"/>
      <c r="DE732" s="101"/>
      <c r="DF732" s="101"/>
    </row>
    <row r="733">
      <c r="A733" s="29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3"/>
      <c r="U733" s="103"/>
      <c r="V733" s="103"/>
      <c r="W733" s="104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  <c r="AL733" s="101"/>
      <c r="AM733" s="29"/>
      <c r="AN733" s="101"/>
      <c r="AO733" s="101"/>
      <c r="AP733" s="101"/>
      <c r="AQ733" s="101"/>
      <c r="AR733" s="101"/>
      <c r="AS733" s="101"/>
      <c r="AT733" s="101"/>
      <c r="AU733" s="101"/>
      <c r="AV733" s="101"/>
      <c r="AW733" s="101"/>
      <c r="AX733" s="101"/>
      <c r="AY733" s="101"/>
      <c r="AZ733" s="101"/>
      <c r="BA733" s="101"/>
      <c r="BB733" s="101"/>
      <c r="BC733" s="101"/>
      <c r="BD733" s="101"/>
      <c r="BE733" s="101"/>
      <c r="BF733" s="101"/>
      <c r="BG733" s="101"/>
      <c r="BH733" s="101"/>
      <c r="BI733" s="101"/>
      <c r="BJ733" s="101"/>
      <c r="BK733" s="101"/>
      <c r="BL733" s="101"/>
      <c r="BM733" s="101"/>
      <c r="BN733" s="101"/>
      <c r="BO733" s="101"/>
      <c r="BP733" s="101"/>
      <c r="BQ733" s="101"/>
      <c r="BR733" s="101"/>
      <c r="BS733" s="101"/>
      <c r="BT733" s="101"/>
      <c r="BU733" s="101"/>
      <c r="BV733" s="101"/>
      <c r="BW733" s="101"/>
      <c r="BX733" s="101"/>
      <c r="BY733" s="101"/>
      <c r="BZ733" s="101"/>
      <c r="CA733" s="101"/>
      <c r="CB733" s="101"/>
      <c r="CC733" s="101"/>
      <c r="CD733" s="101"/>
      <c r="CE733" s="101"/>
      <c r="CF733" s="101"/>
      <c r="CG733" s="101"/>
      <c r="CH733" s="101"/>
      <c r="CI733" s="101"/>
      <c r="CJ733" s="101"/>
      <c r="CK733" s="101"/>
      <c r="CL733" s="101"/>
      <c r="CM733" s="101"/>
      <c r="CN733" s="101"/>
      <c r="CO733" s="101"/>
      <c r="CP733" s="101"/>
      <c r="CQ733" s="101"/>
      <c r="CR733" s="101"/>
      <c r="CS733" s="101"/>
      <c r="CT733" s="101"/>
      <c r="CU733" s="101"/>
      <c r="CV733" s="101"/>
      <c r="CW733" s="101"/>
      <c r="CX733" s="101"/>
      <c r="CY733" s="101"/>
      <c r="CZ733" s="101"/>
      <c r="DA733" s="101"/>
      <c r="DB733" s="101"/>
      <c r="DC733" s="101"/>
      <c r="DD733" s="101"/>
      <c r="DE733" s="101"/>
      <c r="DF733" s="101"/>
    </row>
    <row r="734">
      <c r="A734" s="29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3"/>
      <c r="U734" s="103"/>
      <c r="V734" s="103"/>
      <c r="W734" s="104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  <c r="AL734" s="101"/>
      <c r="AM734" s="29"/>
      <c r="AN734" s="101"/>
      <c r="AO734" s="101"/>
      <c r="AP734" s="101"/>
      <c r="AQ734" s="101"/>
      <c r="AR734" s="101"/>
      <c r="AS734" s="101"/>
      <c r="AT734" s="101"/>
      <c r="AU734" s="101"/>
      <c r="AV734" s="101"/>
      <c r="AW734" s="101"/>
      <c r="AX734" s="101"/>
      <c r="AY734" s="101"/>
      <c r="AZ734" s="101"/>
      <c r="BA734" s="101"/>
      <c r="BB734" s="101"/>
      <c r="BC734" s="101"/>
      <c r="BD734" s="101"/>
      <c r="BE734" s="101"/>
      <c r="BF734" s="101"/>
      <c r="BG734" s="101"/>
      <c r="BH734" s="101"/>
      <c r="BI734" s="101"/>
      <c r="BJ734" s="101"/>
      <c r="BK734" s="101"/>
      <c r="BL734" s="101"/>
      <c r="BM734" s="101"/>
      <c r="BN734" s="101"/>
      <c r="BO734" s="101"/>
      <c r="BP734" s="101"/>
      <c r="BQ734" s="101"/>
      <c r="BR734" s="101"/>
      <c r="BS734" s="101"/>
      <c r="BT734" s="101"/>
      <c r="BU734" s="101"/>
      <c r="BV734" s="101"/>
      <c r="BW734" s="101"/>
      <c r="BX734" s="101"/>
      <c r="BY734" s="101"/>
      <c r="BZ734" s="101"/>
      <c r="CA734" s="101"/>
      <c r="CB734" s="101"/>
      <c r="CC734" s="101"/>
      <c r="CD734" s="101"/>
      <c r="CE734" s="101"/>
      <c r="CF734" s="101"/>
      <c r="CG734" s="101"/>
      <c r="CH734" s="101"/>
      <c r="CI734" s="101"/>
      <c r="CJ734" s="101"/>
      <c r="CK734" s="101"/>
      <c r="CL734" s="101"/>
      <c r="CM734" s="101"/>
      <c r="CN734" s="101"/>
      <c r="CO734" s="101"/>
      <c r="CP734" s="101"/>
      <c r="CQ734" s="101"/>
      <c r="CR734" s="101"/>
      <c r="CS734" s="101"/>
      <c r="CT734" s="101"/>
      <c r="CU734" s="101"/>
      <c r="CV734" s="101"/>
      <c r="CW734" s="101"/>
      <c r="CX734" s="101"/>
      <c r="CY734" s="101"/>
      <c r="CZ734" s="101"/>
      <c r="DA734" s="101"/>
      <c r="DB734" s="101"/>
      <c r="DC734" s="101"/>
      <c r="DD734" s="101"/>
      <c r="DE734" s="101"/>
      <c r="DF734" s="101"/>
    </row>
    <row r="735">
      <c r="A735" s="29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3"/>
      <c r="U735" s="103"/>
      <c r="V735" s="103"/>
      <c r="W735" s="104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  <c r="AL735" s="101"/>
      <c r="AM735" s="29"/>
      <c r="AN735" s="101"/>
      <c r="AO735" s="101"/>
      <c r="AP735" s="101"/>
      <c r="AQ735" s="101"/>
      <c r="AR735" s="101"/>
      <c r="AS735" s="101"/>
      <c r="AT735" s="101"/>
      <c r="AU735" s="101"/>
      <c r="AV735" s="101"/>
      <c r="AW735" s="101"/>
      <c r="AX735" s="101"/>
      <c r="AY735" s="101"/>
      <c r="AZ735" s="101"/>
      <c r="BA735" s="101"/>
      <c r="BB735" s="101"/>
      <c r="BC735" s="101"/>
      <c r="BD735" s="101"/>
      <c r="BE735" s="101"/>
      <c r="BF735" s="101"/>
      <c r="BG735" s="101"/>
      <c r="BH735" s="101"/>
      <c r="BI735" s="101"/>
      <c r="BJ735" s="101"/>
      <c r="BK735" s="101"/>
      <c r="BL735" s="101"/>
      <c r="BM735" s="101"/>
      <c r="BN735" s="101"/>
      <c r="BO735" s="101"/>
      <c r="BP735" s="101"/>
      <c r="BQ735" s="101"/>
      <c r="BR735" s="101"/>
      <c r="BS735" s="101"/>
      <c r="BT735" s="101"/>
      <c r="BU735" s="101"/>
      <c r="BV735" s="101"/>
      <c r="BW735" s="101"/>
      <c r="BX735" s="101"/>
      <c r="BY735" s="101"/>
      <c r="BZ735" s="101"/>
      <c r="CA735" s="101"/>
      <c r="CB735" s="101"/>
      <c r="CC735" s="101"/>
      <c r="CD735" s="101"/>
      <c r="CE735" s="101"/>
      <c r="CF735" s="101"/>
      <c r="CG735" s="101"/>
      <c r="CH735" s="101"/>
      <c r="CI735" s="101"/>
      <c r="CJ735" s="101"/>
      <c r="CK735" s="101"/>
      <c r="CL735" s="101"/>
      <c r="CM735" s="101"/>
      <c r="CN735" s="101"/>
      <c r="CO735" s="101"/>
      <c r="CP735" s="101"/>
      <c r="CQ735" s="101"/>
      <c r="CR735" s="101"/>
      <c r="CS735" s="101"/>
      <c r="CT735" s="101"/>
      <c r="CU735" s="101"/>
      <c r="CV735" s="101"/>
      <c r="CW735" s="101"/>
      <c r="CX735" s="101"/>
      <c r="CY735" s="101"/>
      <c r="CZ735" s="101"/>
      <c r="DA735" s="101"/>
      <c r="DB735" s="101"/>
      <c r="DC735" s="101"/>
      <c r="DD735" s="101"/>
      <c r="DE735" s="101"/>
      <c r="DF735" s="101"/>
    </row>
    <row r="736">
      <c r="A736" s="29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3"/>
      <c r="U736" s="103"/>
      <c r="V736" s="103"/>
      <c r="W736" s="104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  <c r="AL736" s="101"/>
      <c r="AM736" s="29"/>
      <c r="AN736" s="101"/>
      <c r="AO736" s="101"/>
      <c r="AP736" s="101"/>
      <c r="AQ736" s="101"/>
      <c r="AR736" s="101"/>
      <c r="AS736" s="101"/>
      <c r="AT736" s="101"/>
      <c r="AU736" s="101"/>
      <c r="AV736" s="101"/>
      <c r="AW736" s="101"/>
      <c r="AX736" s="101"/>
      <c r="AY736" s="101"/>
      <c r="AZ736" s="101"/>
      <c r="BA736" s="101"/>
      <c r="BB736" s="101"/>
      <c r="BC736" s="101"/>
      <c r="BD736" s="101"/>
      <c r="BE736" s="101"/>
      <c r="BF736" s="101"/>
      <c r="BG736" s="101"/>
      <c r="BH736" s="101"/>
      <c r="BI736" s="101"/>
      <c r="BJ736" s="101"/>
      <c r="BK736" s="101"/>
      <c r="BL736" s="101"/>
      <c r="BM736" s="101"/>
      <c r="BN736" s="101"/>
      <c r="BO736" s="101"/>
      <c r="BP736" s="101"/>
      <c r="BQ736" s="101"/>
      <c r="BR736" s="101"/>
      <c r="BS736" s="101"/>
      <c r="BT736" s="101"/>
      <c r="BU736" s="101"/>
      <c r="BV736" s="101"/>
      <c r="BW736" s="101"/>
      <c r="BX736" s="101"/>
      <c r="BY736" s="101"/>
      <c r="BZ736" s="101"/>
      <c r="CA736" s="101"/>
      <c r="CB736" s="101"/>
      <c r="CC736" s="101"/>
      <c r="CD736" s="101"/>
      <c r="CE736" s="101"/>
      <c r="CF736" s="101"/>
      <c r="CG736" s="101"/>
      <c r="CH736" s="101"/>
      <c r="CI736" s="101"/>
      <c r="CJ736" s="101"/>
      <c r="CK736" s="101"/>
      <c r="CL736" s="101"/>
      <c r="CM736" s="101"/>
      <c r="CN736" s="101"/>
      <c r="CO736" s="101"/>
      <c r="CP736" s="101"/>
      <c r="CQ736" s="101"/>
      <c r="CR736" s="101"/>
      <c r="CS736" s="101"/>
      <c r="CT736" s="101"/>
      <c r="CU736" s="101"/>
      <c r="CV736" s="101"/>
      <c r="CW736" s="101"/>
      <c r="CX736" s="101"/>
      <c r="CY736" s="101"/>
      <c r="CZ736" s="101"/>
      <c r="DA736" s="101"/>
      <c r="DB736" s="101"/>
      <c r="DC736" s="101"/>
      <c r="DD736" s="101"/>
      <c r="DE736" s="101"/>
      <c r="DF736" s="101"/>
    </row>
    <row r="737">
      <c r="A737" s="29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3"/>
      <c r="U737" s="103"/>
      <c r="V737" s="103"/>
      <c r="W737" s="104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  <c r="AM737" s="29"/>
      <c r="AN737" s="101"/>
      <c r="AO737" s="101"/>
      <c r="AP737" s="101"/>
      <c r="AQ737" s="101"/>
      <c r="AR737" s="101"/>
      <c r="AS737" s="101"/>
      <c r="AT737" s="101"/>
      <c r="AU737" s="101"/>
      <c r="AV737" s="101"/>
      <c r="AW737" s="101"/>
      <c r="AX737" s="101"/>
      <c r="AY737" s="101"/>
      <c r="AZ737" s="101"/>
      <c r="BA737" s="101"/>
      <c r="BB737" s="101"/>
      <c r="BC737" s="101"/>
      <c r="BD737" s="101"/>
      <c r="BE737" s="101"/>
      <c r="BF737" s="101"/>
      <c r="BG737" s="101"/>
      <c r="BH737" s="101"/>
      <c r="BI737" s="101"/>
      <c r="BJ737" s="101"/>
      <c r="BK737" s="101"/>
      <c r="BL737" s="101"/>
      <c r="BM737" s="101"/>
      <c r="BN737" s="101"/>
      <c r="BO737" s="101"/>
      <c r="BP737" s="101"/>
      <c r="BQ737" s="101"/>
      <c r="BR737" s="101"/>
      <c r="BS737" s="101"/>
      <c r="BT737" s="101"/>
      <c r="BU737" s="101"/>
      <c r="BV737" s="101"/>
      <c r="BW737" s="101"/>
      <c r="BX737" s="101"/>
      <c r="BY737" s="101"/>
      <c r="BZ737" s="101"/>
      <c r="CA737" s="101"/>
      <c r="CB737" s="101"/>
      <c r="CC737" s="101"/>
      <c r="CD737" s="101"/>
      <c r="CE737" s="101"/>
      <c r="CF737" s="101"/>
      <c r="CG737" s="101"/>
      <c r="CH737" s="101"/>
      <c r="CI737" s="101"/>
      <c r="CJ737" s="101"/>
      <c r="CK737" s="101"/>
      <c r="CL737" s="101"/>
      <c r="CM737" s="101"/>
      <c r="CN737" s="101"/>
      <c r="CO737" s="101"/>
      <c r="CP737" s="101"/>
      <c r="CQ737" s="101"/>
      <c r="CR737" s="101"/>
      <c r="CS737" s="101"/>
      <c r="CT737" s="101"/>
      <c r="CU737" s="101"/>
      <c r="CV737" s="101"/>
      <c r="CW737" s="101"/>
      <c r="CX737" s="101"/>
      <c r="CY737" s="101"/>
      <c r="CZ737" s="101"/>
      <c r="DA737" s="101"/>
      <c r="DB737" s="101"/>
      <c r="DC737" s="101"/>
      <c r="DD737" s="101"/>
      <c r="DE737" s="101"/>
      <c r="DF737" s="101"/>
    </row>
    <row r="738">
      <c r="A738" s="29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3"/>
      <c r="U738" s="103"/>
      <c r="V738" s="103"/>
      <c r="W738" s="104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  <c r="AL738" s="101"/>
      <c r="AM738" s="29"/>
      <c r="AN738" s="101"/>
      <c r="AO738" s="101"/>
      <c r="AP738" s="101"/>
      <c r="AQ738" s="101"/>
      <c r="AR738" s="101"/>
      <c r="AS738" s="101"/>
      <c r="AT738" s="101"/>
      <c r="AU738" s="101"/>
      <c r="AV738" s="101"/>
      <c r="AW738" s="101"/>
      <c r="AX738" s="101"/>
      <c r="AY738" s="101"/>
      <c r="AZ738" s="101"/>
      <c r="BA738" s="101"/>
      <c r="BB738" s="101"/>
      <c r="BC738" s="101"/>
      <c r="BD738" s="101"/>
      <c r="BE738" s="101"/>
      <c r="BF738" s="101"/>
      <c r="BG738" s="101"/>
      <c r="BH738" s="101"/>
      <c r="BI738" s="101"/>
      <c r="BJ738" s="101"/>
      <c r="BK738" s="101"/>
      <c r="BL738" s="101"/>
      <c r="BM738" s="101"/>
      <c r="BN738" s="101"/>
      <c r="BO738" s="101"/>
      <c r="BP738" s="101"/>
      <c r="BQ738" s="101"/>
      <c r="BR738" s="101"/>
      <c r="BS738" s="101"/>
      <c r="BT738" s="101"/>
      <c r="BU738" s="101"/>
      <c r="BV738" s="101"/>
      <c r="BW738" s="101"/>
      <c r="BX738" s="101"/>
      <c r="BY738" s="101"/>
      <c r="BZ738" s="101"/>
      <c r="CA738" s="101"/>
      <c r="CB738" s="101"/>
      <c r="CC738" s="101"/>
      <c r="CD738" s="101"/>
      <c r="CE738" s="101"/>
      <c r="CF738" s="101"/>
      <c r="CG738" s="101"/>
      <c r="CH738" s="101"/>
      <c r="CI738" s="101"/>
      <c r="CJ738" s="101"/>
      <c r="CK738" s="101"/>
      <c r="CL738" s="101"/>
      <c r="CM738" s="101"/>
      <c r="CN738" s="101"/>
      <c r="CO738" s="101"/>
      <c r="CP738" s="101"/>
      <c r="CQ738" s="101"/>
      <c r="CR738" s="101"/>
      <c r="CS738" s="101"/>
      <c r="CT738" s="101"/>
      <c r="CU738" s="101"/>
      <c r="CV738" s="101"/>
      <c r="CW738" s="101"/>
      <c r="CX738" s="101"/>
      <c r="CY738" s="101"/>
      <c r="CZ738" s="101"/>
      <c r="DA738" s="101"/>
      <c r="DB738" s="101"/>
      <c r="DC738" s="101"/>
      <c r="DD738" s="101"/>
      <c r="DE738" s="101"/>
      <c r="DF738" s="101"/>
    </row>
    <row r="739">
      <c r="A739" s="29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3"/>
      <c r="U739" s="103"/>
      <c r="V739" s="103"/>
      <c r="W739" s="104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  <c r="AL739" s="101"/>
      <c r="AM739" s="29"/>
      <c r="AN739" s="101"/>
      <c r="AO739" s="101"/>
      <c r="AP739" s="101"/>
      <c r="AQ739" s="101"/>
      <c r="AR739" s="101"/>
      <c r="AS739" s="101"/>
      <c r="AT739" s="101"/>
      <c r="AU739" s="101"/>
      <c r="AV739" s="101"/>
      <c r="AW739" s="101"/>
      <c r="AX739" s="101"/>
      <c r="AY739" s="101"/>
      <c r="AZ739" s="101"/>
      <c r="BA739" s="101"/>
      <c r="BB739" s="101"/>
      <c r="BC739" s="101"/>
      <c r="BD739" s="101"/>
      <c r="BE739" s="101"/>
      <c r="BF739" s="101"/>
      <c r="BG739" s="101"/>
      <c r="BH739" s="101"/>
      <c r="BI739" s="101"/>
      <c r="BJ739" s="101"/>
      <c r="BK739" s="101"/>
      <c r="BL739" s="101"/>
      <c r="BM739" s="101"/>
      <c r="BN739" s="101"/>
      <c r="BO739" s="101"/>
      <c r="BP739" s="101"/>
      <c r="BQ739" s="101"/>
      <c r="BR739" s="101"/>
      <c r="BS739" s="101"/>
      <c r="BT739" s="101"/>
      <c r="BU739" s="101"/>
      <c r="BV739" s="101"/>
      <c r="BW739" s="101"/>
      <c r="BX739" s="101"/>
      <c r="BY739" s="101"/>
      <c r="BZ739" s="101"/>
      <c r="CA739" s="101"/>
      <c r="CB739" s="101"/>
      <c r="CC739" s="101"/>
      <c r="CD739" s="101"/>
      <c r="CE739" s="101"/>
      <c r="CF739" s="101"/>
      <c r="CG739" s="101"/>
      <c r="CH739" s="101"/>
      <c r="CI739" s="101"/>
      <c r="CJ739" s="101"/>
      <c r="CK739" s="101"/>
      <c r="CL739" s="101"/>
      <c r="CM739" s="101"/>
      <c r="CN739" s="101"/>
      <c r="CO739" s="101"/>
      <c r="CP739" s="101"/>
      <c r="CQ739" s="101"/>
      <c r="CR739" s="101"/>
      <c r="CS739" s="101"/>
      <c r="CT739" s="101"/>
      <c r="CU739" s="101"/>
      <c r="CV739" s="101"/>
      <c r="CW739" s="101"/>
      <c r="CX739" s="101"/>
      <c r="CY739" s="101"/>
      <c r="CZ739" s="101"/>
      <c r="DA739" s="101"/>
      <c r="DB739" s="101"/>
      <c r="DC739" s="101"/>
      <c r="DD739" s="101"/>
      <c r="DE739" s="101"/>
      <c r="DF739" s="101"/>
    </row>
    <row r="740">
      <c r="A740" s="29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3"/>
      <c r="U740" s="103"/>
      <c r="V740" s="103"/>
      <c r="W740" s="104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  <c r="AL740" s="101"/>
      <c r="AM740" s="29"/>
      <c r="AN740" s="101"/>
      <c r="AO740" s="101"/>
      <c r="AP740" s="101"/>
      <c r="AQ740" s="101"/>
      <c r="AR740" s="101"/>
      <c r="AS740" s="101"/>
      <c r="AT740" s="101"/>
      <c r="AU740" s="101"/>
      <c r="AV740" s="101"/>
      <c r="AW740" s="101"/>
      <c r="AX740" s="101"/>
      <c r="AY740" s="101"/>
      <c r="AZ740" s="101"/>
      <c r="BA740" s="101"/>
      <c r="BB740" s="101"/>
      <c r="BC740" s="101"/>
      <c r="BD740" s="101"/>
      <c r="BE740" s="101"/>
      <c r="BF740" s="101"/>
      <c r="BG740" s="101"/>
      <c r="BH740" s="101"/>
      <c r="BI740" s="101"/>
      <c r="BJ740" s="101"/>
      <c r="BK740" s="101"/>
      <c r="BL740" s="101"/>
      <c r="BM740" s="101"/>
      <c r="BN740" s="101"/>
      <c r="BO740" s="101"/>
      <c r="BP740" s="101"/>
      <c r="BQ740" s="101"/>
      <c r="BR740" s="101"/>
      <c r="BS740" s="101"/>
      <c r="BT740" s="101"/>
      <c r="BU740" s="101"/>
      <c r="BV740" s="101"/>
      <c r="BW740" s="101"/>
      <c r="BX740" s="101"/>
      <c r="BY740" s="101"/>
      <c r="BZ740" s="101"/>
      <c r="CA740" s="101"/>
      <c r="CB740" s="101"/>
      <c r="CC740" s="101"/>
      <c r="CD740" s="101"/>
      <c r="CE740" s="101"/>
      <c r="CF740" s="101"/>
      <c r="CG740" s="101"/>
      <c r="CH740" s="101"/>
      <c r="CI740" s="101"/>
      <c r="CJ740" s="101"/>
      <c r="CK740" s="101"/>
      <c r="CL740" s="101"/>
      <c r="CM740" s="101"/>
      <c r="CN740" s="101"/>
      <c r="CO740" s="101"/>
      <c r="CP740" s="101"/>
      <c r="CQ740" s="101"/>
      <c r="CR740" s="101"/>
      <c r="CS740" s="101"/>
      <c r="CT740" s="101"/>
      <c r="CU740" s="101"/>
      <c r="CV740" s="101"/>
      <c r="CW740" s="101"/>
      <c r="CX740" s="101"/>
      <c r="CY740" s="101"/>
      <c r="CZ740" s="101"/>
      <c r="DA740" s="101"/>
      <c r="DB740" s="101"/>
      <c r="DC740" s="101"/>
      <c r="DD740" s="101"/>
      <c r="DE740" s="101"/>
      <c r="DF740" s="101"/>
    </row>
    <row r="741">
      <c r="A741" s="29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3"/>
      <c r="U741" s="103"/>
      <c r="V741" s="103"/>
      <c r="W741" s="104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  <c r="AL741" s="101"/>
      <c r="AM741" s="29"/>
      <c r="AN741" s="101"/>
      <c r="AO741" s="101"/>
      <c r="AP741" s="101"/>
      <c r="AQ741" s="101"/>
      <c r="AR741" s="101"/>
      <c r="AS741" s="101"/>
      <c r="AT741" s="101"/>
      <c r="AU741" s="101"/>
      <c r="AV741" s="101"/>
      <c r="AW741" s="101"/>
      <c r="AX741" s="101"/>
      <c r="AY741" s="101"/>
      <c r="AZ741" s="101"/>
      <c r="BA741" s="101"/>
      <c r="BB741" s="101"/>
      <c r="BC741" s="101"/>
      <c r="BD741" s="101"/>
      <c r="BE741" s="101"/>
      <c r="BF741" s="101"/>
      <c r="BG741" s="101"/>
      <c r="BH741" s="101"/>
      <c r="BI741" s="101"/>
      <c r="BJ741" s="101"/>
      <c r="BK741" s="101"/>
      <c r="BL741" s="101"/>
      <c r="BM741" s="101"/>
      <c r="BN741" s="101"/>
      <c r="BO741" s="101"/>
      <c r="BP741" s="101"/>
      <c r="BQ741" s="101"/>
      <c r="BR741" s="101"/>
      <c r="BS741" s="101"/>
      <c r="BT741" s="101"/>
      <c r="BU741" s="101"/>
      <c r="BV741" s="101"/>
      <c r="BW741" s="101"/>
      <c r="BX741" s="101"/>
      <c r="BY741" s="101"/>
      <c r="BZ741" s="101"/>
      <c r="CA741" s="101"/>
      <c r="CB741" s="101"/>
      <c r="CC741" s="101"/>
      <c r="CD741" s="101"/>
      <c r="CE741" s="101"/>
      <c r="CF741" s="101"/>
      <c r="CG741" s="101"/>
      <c r="CH741" s="101"/>
      <c r="CI741" s="101"/>
      <c r="CJ741" s="101"/>
      <c r="CK741" s="101"/>
      <c r="CL741" s="101"/>
      <c r="CM741" s="101"/>
      <c r="CN741" s="101"/>
      <c r="CO741" s="101"/>
      <c r="CP741" s="101"/>
      <c r="CQ741" s="101"/>
      <c r="CR741" s="101"/>
      <c r="CS741" s="101"/>
      <c r="CT741" s="101"/>
      <c r="CU741" s="101"/>
      <c r="CV741" s="101"/>
      <c r="CW741" s="101"/>
      <c r="CX741" s="101"/>
      <c r="CY741" s="101"/>
      <c r="CZ741" s="101"/>
      <c r="DA741" s="101"/>
      <c r="DB741" s="101"/>
      <c r="DC741" s="101"/>
      <c r="DD741" s="101"/>
      <c r="DE741" s="101"/>
      <c r="DF741" s="101"/>
    </row>
    <row r="742">
      <c r="A742" s="29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3"/>
      <c r="U742" s="103"/>
      <c r="V742" s="103"/>
      <c r="W742" s="104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  <c r="AL742" s="101"/>
      <c r="AM742" s="29"/>
      <c r="AN742" s="101"/>
      <c r="AO742" s="101"/>
      <c r="AP742" s="101"/>
      <c r="AQ742" s="101"/>
      <c r="AR742" s="101"/>
      <c r="AS742" s="101"/>
      <c r="AT742" s="101"/>
      <c r="AU742" s="101"/>
      <c r="AV742" s="101"/>
      <c r="AW742" s="101"/>
      <c r="AX742" s="101"/>
      <c r="AY742" s="101"/>
      <c r="AZ742" s="101"/>
      <c r="BA742" s="101"/>
      <c r="BB742" s="101"/>
      <c r="BC742" s="101"/>
      <c r="BD742" s="101"/>
      <c r="BE742" s="101"/>
      <c r="BF742" s="101"/>
      <c r="BG742" s="101"/>
      <c r="BH742" s="101"/>
      <c r="BI742" s="101"/>
      <c r="BJ742" s="101"/>
      <c r="BK742" s="101"/>
      <c r="BL742" s="101"/>
      <c r="BM742" s="101"/>
      <c r="BN742" s="101"/>
      <c r="BO742" s="101"/>
      <c r="BP742" s="101"/>
      <c r="BQ742" s="101"/>
      <c r="BR742" s="101"/>
      <c r="BS742" s="101"/>
      <c r="BT742" s="101"/>
      <c r="BU742" s="101"/>
      <c r="BV742" s="101"/>
      <c r="BW742" s="101"/>
      <c r="BX742" s="101"/>
      <c r="BY742" s="101"/>
      <c r="BZ742" s="101"/>
      <c r="CA742" s="101"/>
      <c r="CB742" s="101"/>
      <c r="CC742" s="101"/>
      <c r="CD742" s="101"/>
      <c r="CE742" s="101"/>
      <c r="CF742" s="101"/>
      <c r="CG742" s="101"/>
      <c r="CH742" s="101"/>
      <c r="CI742" s="101"/>
      <c r="CJ742" s="101"/>
      <c r="CK742" s="101"/>
      <c r="CL742" s="101"/>
      <c r="CM742" s="101"/>
      <c r="CN742" s="101"/>
      <c r="CO742" s="101"/>
      <c r="CP742" s="101"/>
      <c r="CQ742" s="101"/>
      <c r="CR742" s="101"/>
      <c r="CS742" s="101"/>
      <c r="CT742" s="101"/>
      <c r="CU742" s="101"/>
      <c r="CV742" s="101"/>
      <c r="CW742" s="101"/>
      <c r="CX742" s="101"/>
      <c r="CY742" s="101"/>
      <c r="CZ742" s="101"/>
      <c r="DA742" s="101"/>
      <c r="DB742" s="101"/>
      <c r="DC742" s="101"/>
      <c r="DD742" s="101"/>
      <c r="DE742" s="101"/>
      <c r="DF742" s="101"/>
    </row>
    <row r="743">
      <c r="A743" s="29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3"/>
      <c r="U743" s="103"/>
      <c r="V743" s="103"/>
      <c r="W743" s="104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  <c r="AL743" s="101"/>
      <c r="AM743" s="29"/>
      <c r="AN743" s="101"/>
      <c r="AO743" s="101"/>
      <c r="AP743" s="101"/>
      <c r="AQ743" s="101"/>
      <c r="AR743" s="101"/>
      <c r="AS743" s="101"/>
      <c r="AT743" s="101"/>
      <c r="AU743" s="101"/>
      <c r="AV743" s="101"/>
      <c r="AW743" s="101"/>
      <c r="AX743" s="101"/>
      <c r="AY743" s="101"/>
      <c r="AZ743" s="101"/>
      <c r="BA743" s="101"/>
      <c r="BB743" s="101"/>
      <c r="BC743" s="101"/>
      <c r="BD743" s="101"/>
      <c r="BE743" s="101"/>
      <c r="BF743" s="101"/>
      <c r="BG743" s="101"/>
      <c r="BH743" s="101"/>
      <c r="BI743" s="101"/>
      <c r="BJ743" s="101"/>
      <c r="BK743" s="101"/>
      <c r="BL743" s="101"/>
      <c r="BM743" s="101"/>
      <c r="BN743" s="101"/>
      <c r="BO743" s="101"/>
      <c r="BP743" s="101"/>
      <c r="BQ743" s="101"/>
      <c r="BR743" s="101"/>
      <c r="BS743" s="101"/>
      <c r="BT743" s="101"/>
      <c r="BU743" s="101"/>
      <c r="BV743" s="101"/>
      <c r="BW743" s="101"/>
      <c r="BX743" s="101"/>
      <c r="BY743" s="101"/>
      <c r="BZ743" s="101"/>
      <c r="CA743" s="101"/>
      <c r="CB743" s="101"/>
      <c r="CC743" s="101"/>
      <c r="CD743" s="101"/>
      <c r="CE743" s="101"/>
      <c r="CF743" s="101"/>
      <c r="CG743" s="101"/>
      <c r="CH743" s="101"/>
      <c r="CI743" s="101"/>
      <c r="CJ743" s="101"/>
      <c r="CK743" s="101"/>
      <c r="CL743" s="101"/>
      <c r="CM743" s="101"/>
      <c r="CN743" s="101"/>
      <c r="CO743" s="101"/>
      <c r="CP743" s="101"/>
      <c r="CQ743" s="101"/>
      <c r="CR743" s="101"/>
      <c r="CS743" s="101"/>
      <c r="CT743" s="101"/>
      <c r="CU743" s="101"/>
      <c r="CV743" s="101"/>
      <c r="CW743" s="101"/>
      <c r="CX743" s="101"/>
      <c r="CY743" s="101"/>
      <c r="CZ743" s="101"/>
      <c r="DA743" s="101"/>
      <c r="DB743" s="101"/>
      <c r="DC743" s="101"/>
      <c r="DD743" s="101"/>
      <c r="DE743" s="101"/>
      <c r="DF743" s="101"/>
    </row>
    <row r="744">
      <c r="A744" s="29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3"/>
      <c r="U744" s="103"/>
      <c r="V744" s="103"/>
      <c r="W744" s="104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  <c r="AL744" s="101"/>
      <c r="AM744" s="29"/>
      <c r="AN744" s="101"/>
      <c r="AO744" s="101"/>
      <c r="AP744" s="101"/>
      <c r="AQ744" s="101"/>
      <c r="AR744" s="101"/>
      <c r="AS744" s="101"/>
      <c r="AT744" s="101"/>
      <c r="AU744" s="101"/>
      <c r="AV744" s="101"/>
      <c r="AW744" s="101"/>
      <c r="AX744" s="101"/>
      <c r="AY744" s="101"/>
      <c r="AZ744" s="101"/>
      <c r="BA744" s="101"/>
      <c r="BB744" s="101"/>
      <c r="BC744" s="101"/>
      <c r="BD744" s="101"/>
      <c r="BE744" s="101"/>
      <c r="BF744" s="101"/>
      <c r="BG744" s="101"/>
      <c r="BH744" s="101"/>
      <c r="BI744" s="101"/>
      <c r="BJ744" s="101"/>
      <c r="BK744" s="101"/>
      <c r="BL744" s="101"/>
      <c r="BM744" s="101"/>
      <c r="BN744" s="101"/>
      <c r="BO744" s="101"/>
      <c r="BP744" s="101"/>
      <c r="BQ744" s="101"/>
      <c r="BR744" s="101"/>
      <c r="BS744" s="101"/>
      <c r="BT744" s="101"/>
      <c r="BU744" s="101"/>
      <c r="BV744" s="101"/>
      <c r="BW744" s="101"/>
      <c r="BX744" s="101"/>
      <c r="BY744" s="101"/>
      <c r="BZ744" s="101"/>
      <c r="CA744" s="101"/>
      <c r="CB744" s="101"/>
      <c r="CC744" s="101"/>
      <c r="CD744" s="101"/>
      <c r="CE744" s="101"/>
      <c r="CF744" s="101"/>
      <c r="CG744" s="101"/>
      <c r="CH744" s="101"/>
      <c r="CI744" s="101"/>
      <c r="CJ744" s="101"/>
      <c r="CK744" s="101"/>
      <c r="CL744" s="101"/>
      <c r="CM744" s="101"/>
      <c r="CN744" s="101"/>
      <c r="CO744" s="101"/>
      <c r="CP744" s="101"/>
      <c r="CQ744" s="101"/>
      <c r="CR744" s="101"/>
      <c r="CS744" s="101"/>
      <c r="CT744" s="101"/>
      <c r="CU744" s="101"/>
      <c r="CV744" s="101"/>
      <c r="CW744" s="101"/>
      <c r="CX744" s="101"/>
      <c r="CY744" s="101"/>
      <c r="CZ744" s="101"/>
      <c r="DA744" s="101"/>
      <c r="DB744" s="101"/>
      <c r="DC744" s="101"/>
      <c r="DD744" s="101"/>
      <c r="DE744" s="101"/>
      <c r="DF744" s="101"/>
    </row>
    <row r="745">
      <c r="A745" s="29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3"/>
      <c r="U745" s="103"/>
      <c r="V745" s="103"/>
      <c r="W745" s="104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  <c r="AL745" s="101"/>
      <c r="AM745" s="29"/>
      <c r="AN745" s="101"/>
      <c r="AO745" s="101"/>
      <c r="AP745" s="101"/>
      <c r="AQ745" s="101"/>
      <c r="AR745" s="101"/>
      <c r="AS745" s="101"/>
      <c r="AT745" s="101"/>
      <c r="AU745" s="101"/>
      <c r="AV745" s="101"/>
      <c r="AW745" s="101"/>
      <c r="AX745" s="101"/>
      <c r="AY745" s="101"/>
      <c r="AZ745" s="101"/>
      <c r="BA745" s="101"/>
      <c r="BB745" s="101"/>
      <c r="BC745" s="101"/>
      <c r="BD745" s="101"/>
      <c r="BE745" s="101"/>
      <c r="BF745" s="101"/>
      <c r="BG745" s="101"/>
      <c r="BH745" s="101"/>
      <c r="BI745" s="101"/>
      <c r="BJ745" s="101"/>
      <c r="BK745" s="101"/>
      <c r="BL745" s="101"/>
      <c r="BM745" s="101"/>
      <c r="BN745" s="101"/>
      <c r="BO745" s="101"/>
      <c r="BP745" s="101"/>
      <c r="BQ745" s="101"/>
      <c r="BR745" s="101"/>
      <c r="BS745" s="101"/>
      <c r="BT745" s="101"/>
      <c r="BU745" s="101"/>
      <c r="BV745" s="101"/>
      <c r="BW745" s="101"/>
      <c r="BX745" s="101"/>
      <c r="BY745" s="101"/>
      <c r="BZ745" s="101"/>
      <c r="CA745" s="101"/>
      <c r="CB745" s="101"/>
      <c r="CC745" s="101"/>
      <c r="CD745" s="101"/>
      <c r="CE745" s="101"/>
      <c r="CF745" s="101"/>
      <c r="CG745" s="101"/>
      <c r="CH745" s="101"/>
      <c r="CI745" s="101"/>
      <c r="CJ745" s="101"/>
      <c r="CK745" s="101"/>
      <c r="CL745" s="101"/>
      <c r="CM745" s="101"/>
      <c r="CN745" s="101"/>
      <c r="CO745" s="101"/>
      <c r="CP745" s="101"/>
      <c r="CQ745" s="101"/>
      <c r="CR745" s="101"/>
      <c r="CS745" s="101"/>
      <c r="CT745" s="101"/>
      <c r="CU745" s="101"/>
      <c r="CV745" s="101"/>
      <c r="CW745" s="101"/>
      <c r="CX745" s="101"/>
      <c r="CY745" s="101"/>
      <c r="CZ745" s="101"/>
      <c r="DA745" s="101"/>
      <c r="DB745" s="101"/>
      <c r="DC745" s="101"/>
      <c r="DD745" s="101"/>
      <c r="DE745" s="101"/>
      <c r="DF745" s="101"/>
    </row>
    <row r="746">
      <c r="A746" s="29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3"/>
      <c r="U746" s="103"/>
      <c r="V746" s="103"/>
      <c r="W746" s="104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  <c r="AM746" s="29"/>
      <c r="AN746" s="101"/>
      <c r="AO746" s="101"/>
      <c r="AP746" s="101"/>
      <c r="AQ746" s="101"/>
      <c r="AR746" s="101"/>
      <c r="AS746" s="101"/>
      <c r="AT746" s="101"/>
      <c r="AU746" s="101"/>
      <c r="AV746" s="101"/>
      <c r="AW746" s="101"/>
      <c r="AX746" s="101"/>
      <c r="AY746" s="101"/>
      <c r="AZ746" s="101"/>
      <c r="BA746" s="101"/>
      <c r="BB746" s="101"/>
      <c r="BC746" s="101"/>
      <c r="BD746" s="101"/>
      <c r="BE746" s="101"/>
      <c r="BF746" s="101"/>
      <c r="BG746" s="101"/>
      <c r="BH746" s="101"/>
      <c r="BI746" s="101"/>
      <c r="BJ746" s="101"/>
      <c r="BK746" s="101"/>
      <c r="BL746" s="101"/>
      <c r="BM746" s="101"/>
      <c r="BN746" s="101"/>
      <c r="BO746" s="101"/>
      <c r="BP746" s="101"/>
      <c r="BQ746" s="101"/>
      <c r="BR746" s="101"/>
      <c r="BS746" s="101"/>
      <c r="BT746" s="101"/>
      <c r="BU746" s="101"/>
      <c r="BV746" s="101"/>
      <c r="BW746" s="101"/>
      <c r="BX746" s="101"/>
      <c r="BY746" s="101"/>
      <c r="BZ746" s="101"/>
      <c r="CA746" s="101"/>
      <c r="CB746" s="101"/>
      <c r="CC746" s="101"/>
      <c r="CD746" s="101"/>
      <c r="CE746" s="101"/>
      <c r="CF746" s="101"/>
      <c r="CG746" s="101"/>
      <c r="CH746" s="101"/>
      <c r="CI746" s="101"/>
      <c r="CJ746" s="101"/>
      <c r="CK746" s="101"/>
      <c r="CL746" s="101"/>
      <c r="CM746" s="101"/>
      <c r="CN746" s="101"/>
      <c r="CO746" s="101"/>
      <c r="CP746" s="101"/>
      <c r="CQ746" s="101"/>
      <c r="CR746" s="101"/>
      <c r="CS746" s="101"/>
      <c r="CT746" s="101"/>
      <c r="CU746" s="101"/>
      <c r="CV746" s="101"/>
      <c r="CW746" s="101"/>
      <c r="CX746" s="101"/>
      <c r="CY746" s="101"/>
      <c r="CZ746" s="101"/>
      <c r="DA746" s="101"/>
      <c r="DB746" s="101"/>
      <c r="DC746" s="101"/>
      <c r="DD746" s="101"/>
      <c r="DE746" s="101"/>
      <c r="DF746" s="101"/>
    </row>
    <row r="747">
      <c r="A747" s="29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3"/>
      <c r="U747" s="103"/>
      <c r="V747" s="103"/>
      <c r="W747" s="104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  <c r="AL747" s="101"/>
      <c r="AM747" s="29"/>
      <c r="AN747" s="101"/>
      <c r="AO747" s="101"/>
      <c r="AP747" s="101"/>
      <c r="AQ747" s="101"/>
      <c r="AR747" s="101"/>
      <c r="AS747" s="101"/>
      <c r="AT747" s="101"/>
      <c r="AU747" s="101"/>
      <c r="AV747" s="101"/>
      <c r="AW747" s="101"/>
      <c r="AX747" s="101"/>
      <c r="AY747" s="101"/>
      <c r="AZ747" s="101"/>
      <c r="BA747" s="101"/>
      <c r="BB747" s="101"/>
      <c r="BC747" s="101"/>
      <c r="BD747" s="101"/>
      <c r="BE747" s="101"/>
      <c r="BF747" s="101"/>
      <c r="BG747" s="101"/>
      <c r="BH747" s="101"/>
      <c r="BI747" s="101"/>
      <c r="BJ747" s="101"/>
      <c r="BK747" s="101"/>
      <c r="BL747" s="101"/>
      <c r="BM747" s="101"/>
      <c r="BN747" s="101"/>
      <c r="BO747" s="101"/>
      <c r="BP747" s="101"/>
      <c r="BQ747" s="101"/>
      <c r="BR747" s="101"/>
      <c r="BS747" s="101"/>
      <c r="BT747" s="101"/>
      <c r="BU747" s="101"/>
      <c r="BV747" s="101"/>
      <c r="BW747" s="101"/>
      <c r="BX747" s="101"/>
      <c r="BY747" s="101"/>
      <c r="BZ747" s="101"/>
      <c r="CA747" s="101"/>
      <c r="CB747" s="101"/>
      <c r="CC747" s="101"/>
      <c r="CD747" s="101"/>
      <c r="CE747" s="101"/>
      <c r="CF747" s="101"/>
      <c r="CG747" s="101"/>
      <c r="CH747" s="101"/>
      <c r="CI747" s="101"/>
      <c r="CJ747" s="101"/>
      <c r="CK747" s="101"/>
      <c r="CL747" s="101"/>
      <c r="CM747" s="101"/>
      <c r="CN747" s="101"/>
      <c r="CO747" s="101"/>
      <c r="CP747" s="101"/>
      <c r="CQ747" s="101"/>
      <c r="CR747" s="101"/>
      <c r="CS747" s="101"/>
      <c r="CT747" s="101"/>
      <c r="CU747" s="101"/>
      <c r="CV747" s="101"/>
      <c r="CW747" s="101"/>
      <c r="CX747" s="101"/>
      <c r="CY747" s="101"/>
      <c r="CZ747" s="101"/>
      <c r="DA747" s="101"/>
      <c r="DB747" s="101"/>
      <c r="DC747" s="101"/>
      <c r="DD747" s="101"/>
      <c r="DE747" s="101"/>
      <c r="DF747" s="101"/>
    </row>
    <row r="748">
      <c r="A748" s="29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3"/>
      <c r="U748" s="103"/>
      <c r="V748" s="103"/>
      <c r="W748" s="104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  <c r="AL748" s="101"/>
      <c r="AM748" s="29"/>
      <c r="AN748" s="101"/>
      <c r="AO748" s="101"/>
      <c r="AP748" s="101"/>
      <c r="AQ748" s="101"/>
      <c r="AR748" s="101"/>
      <c r="AS748" s="101"/>
      <c r="AT748" s="101"/>
      <c r="AU748" s="101"/>
      <c r="AV748" s="101"/>
      <c r="AW748" s="101"/>
      <c r="AX748" s="101"/>
      <c r="AY748" s="101"/>
      <c r="AZ748" s="101"/>
      <c r="BA748" s="101"/>
      <c r="BB748" s="101"/>
      <c r="BC748" s="101"/>
      <c r="BD748" s="101"/>
      <c r="BE748" s="101"/>
      <c r="BF748" s="101"/>
      <c r="BG748" s="101"/>
      <c r="BH748" s="101"/>
      <c r="BI748" s="101"/>
      <c r="BJ748" s="101"/>
      <c r="BK748" s="101"/>
      <c r="BL748" s="101"/>
      <c r="BM748" s="101"/>
      <c r="BN748" s="101"/>
      <c r="BO748" s="101"/>
      <c r="BP748" s="101"/>
      <c r="BQ748" s="101"/>
      <c r="BR748" s="101"/>
      <c r="BS748" s="101"/>
      <c r="BT748" s="101"/>
      <c r="BU748" s="101"/>
      <c r="BV748" s="101"/>
      <c r="BW748" s="101"/>
      <c r="BX748" s="101"/>
      <c r="BY748" s="101"/>
      <c r="BZ748" s="101"/>
      <c r="CA748" s="101"/>
      <c r="CB748" s="101"/>
      <c r="CC748" s="101"/>
      <c r="CD748" s="101"/>
      <c r="CE748" s="101"/>
      <c r="CF748" s="101"/>
      <c r="CG748" s="101"/>
      <c r="CH748" s="101"/>
      <c r="CI748" s="101"/>
      <c r="CJ748" s="101"/>
      <c r="CK748" s="101"/>
      <c r="CL748" s="101"/>
      <c r="CM748" s="101"/>
      <c r="CN748" s="101"/>
      <c r="CO748" s="101"/>
      <c r="CP748" s="101"/>
      <c r="CQ748" s="101"/>
      <c r="CR748" s="101"/>
      <c r="CS748" s="101"/>
      <c r="CT748" s="101"/>
      <c r="CU748" s="101"/>
      <c r="CV748" s="101"/>
      <c r="CW748" s="101"/>
      <c r="CX748" s="101"/>
      <c r="CY748" s="101"/>
      <c r="CZ748" s="101"/>
      <c r="DA748" s="101"/>
      <c r="DB748" s="101"/>
      <c r="DC748" s="101"/>
      <c r="DD748" s="101"/>
      <c r="DE748" s="101"/>
      <c r="DF748" s="101"/>
    </row>
    <row r="749">
      <c r="A749" s="29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3"/>
      <c r="U749" s="103"/>
      <c r="V749" s="103"/>
      <c r="W749" s="104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  <c r="AL749" s="101"/>
      <c r="AM749" s="29"/>
      <c r="AN749" s="101"/>
      <c r="AO749" s="101"/>
      <c r="AP749" s="101"/>
      <c r="AQ749" s="101"/>
      <c r="AR749" s="101"/>
      <c r="AS749" s="101"/>
      <c r="AT749" s="101"/>
      <c r="AU749" s="101"/>
      <c r="AV749" s="101"/>
      <c r="AW749" s="101"/>
      <c r="AX749" s="101"/>
      <c r="AY749" s="101"/>
      <c r="AZ749" s="101"/>
      <c r="BA749" s="101"/>
      <c r="BB749" s="101"/>
      <c r="BC749" s="101"/>
      <c r="BD749" s="101"/>
      <c r="BE749" s="101"/>
      <c r="BF749" s="101"/>
      <c r="BG749" s="101"/>
      <c r="BH749" s="101"/>
      <c r="BI749" s="101"/>
      <c r="BJ749" s="101"/>
      <c r="BK749" s="101"/>
      <c r="BL749" s="101"/>
      <c r="BM749" s="101"/>
      <c r="BN749" s="101"/>
      <c r="BO749" s="101"/>
      <c r="BP749" s="101"/>
      <c r="BQ749" s="101"/>
      <c r="BR749" s="101"/>
      <c r="BS749" s="101"/>
      <c r="BT749" s="101"/>
      <c r="BU749" s="101"/>
      <c r="BV749" s="101"/>
      <c r="BW749" s="101"/>
      <c r="BX749" s="101"/>
      <c r="BY749" s="101"/>
      <c r="BZ749" s="101"/>
      <c r="CA749" s="101"/>
      <c r="CB749" s="101"/>
      <c r="CC749" s="101"/>
      <c r="CD749" s="101"/>
      <c r="CE749" s="101"/>
      <c r="CF749" s="101"/>
      <c r="CG749" s="101"/>
      <c r="CH749" s="101"/>
      <c r="CI749" s="101"/>
      <c r="CJ749" s="101"/>
      <c r="CK749" s="101"/>
      <c r="CL749" s="101"/>
      <c r="CM749" s="101"/>
      <c r="CN749" s="101"/>
      <c r="CO749" s="101"/>
      <c r="CP749" s="101"/>
      <c r="CQ749" s="101"/>
      <c r="CR749" s="101"/>
      <c r="CS749" s="101"/>
      <c r="CT749" s="101"/>
      <c r="CU749" s="101"/>
      <c r="CV749" s="101"/>
      <c r="CW749" s="101"/>
      <c r="CX749" s="101"/>
      <c r="CY749" s="101"/>
      <c r="CZ749" s="101"/>
      <c r="DA749" s="101"/>
      <c r="DB749" s="101"/>
      <c r="DC749" s="101"/>
      <c r="DD749" s="101"/>
      <c r="DE749" s="101"/>
      <c r="DF749" s="101"/>
    </row>
    <row r="750">
      <c r="A750" s="29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3"/>
      <c r="U750" s="103"/>
      <c r="V750" s="103"/>
      <c r="W750" s="104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  <c r="AL750" s="101"/>
      <c r="AM750" s="29"/>
      <c r="AN750" s="101"/>
      <c r="AO750" s="101"/>
      <c r="AP750" s="101"/>
      <c r="AQ750" s="101"/>
      <c r="AR750" s="101"/>
      <c r="AS750" s="101"/>
      <c r="AT750" s="101"/>
      <c r="AU750" s="101"/>
      <c r="AV750" s="101"/>
      <c r="AW750" s="101"/>
      <c r="AX750" s="101"/>
      <c r="AY750" s="101"/>
      <c r="AZ750" s="101"/>
      <c r="BA750" s="101"/>
      <c r="BB750" s="101"/>
      <c r="BC750" s="101"/>
      <c r="BD750" s="101"/>
      <c r="BE750" s="101"/>
      <c r="BF750" s="101"/>
      <c r="BG750" s="101"/>
      <c r="BH750" s="101"/>
      <c r="BI750" s="101"/>
      <c r="BJ750" s="101"/>
      <c r="BK750" s="101"/>
      <c r="BL750" s="101"/>
      <c r="BM750" s="101"/>
      <c r="BN750" s="101"/>
      <c r="BO750" s="101"/>
      <c r="BP750" s="101"/>
      <c r="BQ750" s="101"/>
      <c r="BR750" s="101"/>
      <c r="BS750" s="101"/>
      <c r="BT750" s="101"/>
      <c r="BU750" s="101"/>
      <c r="BV750" s="101"/>
      <c r="BW750" s="101"/>
      <c r="BX750" s="101"/>
      <c r="BY750" s="101"/>
      <c r="BZ750" s="101"/>
      <c r="CA750" s="101"/>
      <c r="CB750" s="101"/>
      <c r="CC750" s="101"/>
      <c r="CD750" s="101"/>
      <c r="CE750" s="101"/>
      <c r="CF750" s="101"/>
      <c r="CG750" s="101"/>
      <c r="CH750" s="101"/>
      <c r="CI750" s="101"/>
      <c r="CJ750" s="101"/>
      <c r="CK750" s="101"/>
      <c r="CL750" s="101"/>
      <c r="CM750" s="101"/>
      <c r="CN750" s="101"/>
      <c r="CO750" s="101"/>
      <c r="CP750" s="101"/>
      <c r="CQ750" s="101"/>
      <c r="CR750" s="101"/>
      <c r="CS750" s="101"/>
      <c r="CT750" s="101"/>
      <c r="CU750" s="101"/>
      <c r="CV750" s="101"/>
      <c r="CW750" s="101"/>
      <c r="CX750" s="101"/>
      <c r="CY750" s="101"/>
      <c r="CZ750" s="101"/>
      <c r="DA750" s="101"/>
      <c r="DB750" s="101"/>
      <c r="DC750" s="101"/>
      <c r="DD750" s="101"/>
      <c r="DE750" s="101"/>
      <c r="DF750" s="101"/>
    </row>
    <row r="751">
      <c r="A751" s="29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3"/>
      <c r="U751" s="103"/>
      <c r="V751" s="103"/>
      <c r="W751" s="104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  <c r="AL751" s="101"/>
      <c r="AM751" s="29"/>
      <c r="AN751" s="101"/>
      <c r="AO751" s="101"/>
      <c r="AP751" s="101"/>
      <c r="AQ751" s="101"/>
      <c r="AR751" s="101"/>
      <c r="AS751" s="101"/>
      <c r="AT751" s="101"/>
      <c r="AU751" s="101"/>
      <c r="AV751" s="101"/>
      <c r="AW751" s="101"/>
      <c r="AX751" s="101"/>
      <c r="AY751" s="101"/>
      <c r="AZ751" s="101"/>
      <c r="BA751" s="101"/>
      <c r="BB751" s="101"/>
      <c r="BC751" s="101"/>
      <c r="BD751" s="101"/>
      <c r="BE751" s="101"/>
      <c r="BF751" s="101"/>
      <c r="BG751" s="101"/>
      <c r="BH751" s="101"/>
      <c r="BI751" s="101"/>
      <c r="BJ751" s="101"/>
      <c r="BK751" s="101"/>
      <c r="BL751" s="101"/>
      <c r="BM751" s="101"/>
      <c r="BN751" s="101"/>
      <c r="BO751" s="101"/>
      <c r="BP751" s="101"/>
      <c r="BQ751" s="101"/>
      <c r="BR751" s="101"/>
      <c r="BS751" s="101"/>
      <c r="BT751" s="101"/>
      <c r="BU751" s="101"/>
      <c r="BV751" s="101"/>
      <c r="BW751" s="101"/>
      <c r="BX751" s="101"/>
      <c r="BY751" s="101"/>
      <c r="BZ751" s="101"/>
      <c r="CA751" s="101"/>
      <c r="CB751" s="101"/>
      <c r="CC751" s="101"/>
      <c r="CD751" s="101"/>
      <c r="CE751" s="101"/>
      <c r="CF751" s="101"/>
      <c r="CG751" s="101"/>
      <c r="CH751" s="101"/>
      <c r="CI751" s="101"/>
      <c r="CJ751" s="101"/>
      <c r="CK751" s="101"/>
      <c r="CL751" s="101"/>
      <c r="CM751" s="101"/>
      <c r="CN751" s="101"/>
      <c r="CO751" s="101"/>
      <c r="CP751" s="101"/>
      <c r="CQ751" s="101"/>
      <c r="CR751" s="101"/>
      <c r="CS751" s="101"/>
      <c r="CT751" s="101"/>
      <c r="CU751" s="101"/>
      <c r="CV751" s="101"/>
      <c r="CW751" s="101"/>
      <c r="CX751" s="101"/>
      <c r="CY751" s="101"/>
      <c r="CZ751" s="101"/>
      <c r="DA751" s="101"/>
      <c r="DB751" s="101"/>
      <c r="DC751" s="101"/>
      <c r="DD751" s="101"/>
      <c r="DE751" s="101"/>
      <c r="DF751" s="101"/>
    </row>
    <row r="752">
      <c r="A752" s="29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3"/>
      <c r="U752" s="103"/>
      <c r="V752" s="103"/>
      <c r="W752" s="104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  <c r="AL752" s="101"/>
      <c r="AM752" s="29"/>
      <c r="AN752" s="101"/>
      <c r="AO752" s="101"/>
      <c r="AP752" s="101"/>
      <c r="AQ752" s="101"/>
      <c r="AR752" s="101"/>
      <c r="AS752" s="101"/>
      <c r="AT752" s="101"/>
      <c r="AU752" s="101"/>
      <c r="AV752" s="101"/>
      <c r="AW752" s="101"/>
      <c r="AX752" s="101"/>
      <c r="AY752" s="101"/>
      <c r="AZ752" s="101"/>
      <c r="BA752" s="101"/>
      <c r="BB752" s="101"/>
      <c r="BC752" s="101"/>
      <c r="BD752" s="101"/>
      <c r="BE752" s="101"/>
      <c r="BF752" s="101"/>
      <c r="BG752" s="101"/>
      <c r="BH752" s="101"/>
      <c r="BI752" s="101"/>
      <c r="BJ752" s="101"/>
      <c r="BK752" s="101"/>
      <c r="BL752" s="101"/>
      <c r="BM752" s="101"/>
      <c r="BN752" s="101"/>
      <c r="BO752" s="101"/>
      <c r="BP752" s="101"/>
      <c r="BQ752" s="101"/>
      <c r="BR752" s="101"/>
      <c r="BS752" s="101"/>
      <c r="BT752" s="101"/>
      <c r="BU752" s="101"/>
      <c r="BV752" s="101"/>
      <c r="BW752" s="101"/>
      <c r="BX752" s="101"/>
      <c r="BY752" s="101"/>
      <c r="BZ752" s="101"/>
      <c r="CA752" s="101"/>
      <c r="CB752" s="101"/>
      <c r="CC752" s="101"/>
      <c r="CD752" s="101"/>
      <c r="CE752" s="101"/>
      <c r="CF752" s="101"/>
      <c r="CG752" s="101"/>
      <c r="CH752" s="101"/>
      <c r="CI752" s="101"/>
      <c r="CJ752" s="101"/>
      <c r="CK752" s="101"/>
      <c r="CL752" s="101"/>
      <c r="CM752" s="101"/>
      <c r="CN752" s="101"/>
      <c r="CO752" s="101"/>
      <c r="CP752" s="101"/>
      <c r="CQ752" s="101"/>
      <c r="CR752" s="101"/>
      <c r="CS752" s="101"/>
      <c r="CT752" s="101"/>
      <c r="CU752" s="101"/>
      <c r="CV752" s="101"/>
      <c r="CW752" s="101"/>
      <c r="CX752" s="101"/>
      <c r="CY752" s="101"/>
      <c r="CZ752" s="101"/>
      <c r="DA752" s="101"/>
      <c r="DB752" s="101"/>
      <c r="DC752" s="101"/>
      <c r="DD752" s="101"/>
      <c r="DE752" s="101"/>
      <c r="DF752" s="101"/>
    </row>
    <row r="753">
      <c r="A753" s="29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3"/>
      <c r="U753" s="103"/>
      <c r="V753" s="103"/>
      <c r="W753" s="104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  <c r="AL753" s="101"/>
      <c r="AM753" s="29"/>
      <c r="AN753" s="101"/>
      <c r="AO753" s="101"/>
      <c r="AP753" s="101"/>
      <c r="AQ753" s="101"/>
      <c r="AR753" s="101"/>
      <c r="AS753" s="101"/>
      <c r="AT753" s="101"/>
      <c r="AU753" s="101"/>
      <c r="AV753" s="101"/>
      <c r="AW753" s="101"/>
      <c r="AX753" s="101"/>
      <c r="AY753" s="101"/>
      <c r="AZ753" s="101"/>
      <c r="BA753" s="101"/>
      <c r="BB753" s="101"/>
      <c r="BC753" s="101"/>
      <c r="BD753" s="101"/>
      <c r="BE753" s="101"/>
      <c r="BF753" s="101"/>
      <c r="BG753" s="101"/>
      <c r="BH753" s="101"/>
      <c r="BI753" s="101"/>
      <c r="BJ753" s="101"/>
      <c r="BK753" s="101"/>
      <c r="BL753" s="101"/>
      <c r="BM753" s="101"/>
      <c r="BN753" s="101"/>
      <c r="BO753" s="101"/>
      <c r="BP753" s="101"/>
      <c r="BQ753" s="101"/>
      <c r="BR753" s="101"/>
      <c r="BS753" s="101"/>
      <c r="BT753" s="101"/>
      <c r="BU753" s="101"/>
      <c r="BV753" s="101"/>
      <c r="BW753" s="101"/>
      <c r="BX753" s="101"/>
      <c r="BY753" s="101"/>
      <c r="BZ753" s="101"/>
      <c r="CA753" s="101"/>
      <c r="CB753" s="101"/>
      <c r="CC753" s="101"/>
      <c r="CD753" s="101"/>
      <c r="CE753" s="101"/>
      <c r="CF753" s="101"/>
      <c r="CG753" s="101"/>
      <c r="CH753" s="101"/>
      <c r="CI753" s="101"/>
      <c r="CJ753" s="101"/>
      <c r="CK753" s="101"/>
      <c r="CL753" s="101"/>
      <c r="CM753" s="101"/>
      <c r="CN753" s="101"/>
      <c r="CO753" s="101"/>
      <c r="CP753" s="101"/>
      <c r="CQ753" s="101"/>
      <c r="CR753" s="101"/>
      <c r="CS753" s="101"/>
      <c r="CT753" s="101"/>
      <c r="CU753" s="101"/>
      <c r="CV753" s="101"/>
      <c r="CW753" s="101"/>
      <c r="CX753" s="101"/>
      <c r="CY753" s="101"/>
      <c r="CZ753" s="101"/>
      <c r="DA753" s="101"/>
      <c r="DB753" s="101"/>
      <c r="DC753" s="101"/>
      <c r="DD753" s="101"/>
      <c r="DE753" s="101"/>
      <c r="DF753" s="101"/>
    </row>
    <row r="754">
      <c r="A754" s="29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3"/>
      <c r="U754" s="103"/>
      <c r="V754" s="103"/>
      <c r="W754" s="104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  <c r="AL754" s="101"/>
      <c r="AM754" s="29"/>
      <c r="AN754" s="101"/>
      <c r="AO754" s="101"/>
      <c r="AP754" s="101"/>
      <c r="AQ754" s="101"/>
      <c r="AR754" s="101"/>
      <c r="AS754" s="101"/>
      <c r="AT754" s="101"/>
      <c r="AU754" s="101"/>
      <c r="AV754" s="101"/>
      <c r="AW754" s="101"/>
      <c r="AX754" s="101"/>
      <c r="AY754" s="101"/>
      <c r="AZ754" s="101"/>
      <c r="BA754" s="101"/>
      <c r="BB754" s="101"/>
      <c r="BC754" s="101"/>
      <c r="BD754" s="101"/>
      <c r="BE754" s="101"/>
      <c r="BF754" s="101"/>
      <c r="BG754" s="101"/>
      <c r="BH754" s="101"/>
      <c r="BI754" s="101"/>
      <c r="BJ754" s="101"/>
      <c r="BK754" s="101"/>
      <c r="BL754" s="101"/>
      <c r="BM754" s="101"/>
      <c r="BN754" s="101"/>
      <c r="BO754" s="101"/>
      <c r="BP754" s="101"/>
      <c r="BQ754" s="101"/>
      <c r="BR754" s="101"/>
      <c r="BS754" s="101"/>
      <c r="BT754" s="101"/>
      <c r="BU754" s="101"/>
      <c r="BV754" s="101"/>
      <c r="BW754" s="101"/>
      <c r="BX754" s="101"/>
      <c r="BY754" s="101"/>
      <c r="BZ754" s="101"/>
      <c r="CA754" s="101"/>
      <c r="CB754" s="101"/>
      <c r="CC754" s="101"/>
      <c r="CD754" s="101"/>
      <c r="CE754" s="101"/>
      <c r="CF754" s="101"/>
      <c r="CG754" s="101"/>
      <c r="CH754" s="101"/>
      <c r="CI754" s="101"/>
      <c r="CJ754" s="101"/>
      <c r="CK754" s="101"/>
      <c r="CL754" s="101"/>
      <c r="CM754" s="101"/>
      <c r="CN754" s="101"/>
      <c r="CO754" s="101"/>
      <c r="CP754" s="101"/>
      <c r="CQ754" s="101"/>
      <c r="CR754" s="101"/>
      <c r="CS754" s="101"/>
      <c r="CT754" s="101"/>
      <c r="CU754" s="101"/>
      <c r="CV754" s="101"/>
      <c r="CW754" s="101"/>
      <c r="CX754" s="101"/>
      <c r="CY754" s="101"/>
      <c r="CZ754" s="101"/>
      <c r="DA754" s="101"/>
      <c r="DB754" s="101"/>
      <c r="DC754" s="101"/>
      <c r="DD754" s="101"/>
      <c r="DE754" s="101"/>
      <c r="DF754" s="101"/>
    </row>
    <row r="755">
      <c r="A755" s="29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3"/>
      <c r="U755" s="103"/>
      <c r="V755" s="103"/>
      <c r="W755" s="104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  <c r="AM755" s="29"/>
      <c r="AN755" s="101"/>
      <c r="AO755" s="101"/>
      <c r="AP755" s="101"/>
      <c r="AQ755" s="101"/>
      <c r="AR755" s="101"/>
      <c r="AS755" s="101"/>
      <c r="AT755" s="101"/>
      <c r="AU755" s="101"/>
      <c r="AV755" s="101"/>
      <c r="AW755" s="101"/>
      <c r="AX755" s="101"/>
      <c r="AY755" s="101"/>
      <c r="AZ755" s="101"/>
      <c r="BA755" s="101"/>
      <c r="BB755" s="101"/>
      <c r="BC755" s="101"/>
      <c r="BD755" s="101"/>
      <c r="BE755" s="101"/>
      <c r="BF755" s="101"/>
      <c r="BG755" s="101"/>
      <c r="BH755" s="101"/>
      <c r="BI755" s="101"/>
      <c r="BJ755" s="101"/>
      <c r="BK755" s="101"/>
      <c r="BL755" s="101"/>
      <c r="BM755" s="101"/>
      <c r="BN755" s="101"/>
      <c r="BO755" s="101"/>
      <c r="BP755" s="101"/>
      <c r="BQ755" s="101"/>
      <c r="BR755" s="101"/>
      <c r="BS755" s="101"/>
      <c r="BT755" s="101"/>
      <c r="BU755" s="101"/>
      <c r="BV755" s="101"/>
      <c r="BW755" s="101"/>
      <c r="BX755" s="101"/>
      <c r="BY755" s="101"/>
      <c r="BZ755" s="101"/>
      <c r="CA755" s="101"/>
      <c r="CB755" s="101"/>
      <c r="CC755" s="101"/>
      <c r="CD755" s="101"/>
      <c r="CE755" s="101"/>
      <c r="CF755" s="101"/>
      <c r="CG755" s="101"/>
      <c r="CH755" s="101"/>
      <c r="CI755" s="101"/>
      <c r="CJ755" s="101"/>
      <c r="CK755" s="101"/>
      <c r="CL755" s="101"/>
      <c r="CM755" s="101"/>
      <c r="CN755" s="101"/>
      <c r="CO755" s="101"/>
      <c r="CP755" s="101"/>
      <c r="CQ755" s="101"/>
      <c r="CR755" s="101"/>
      <c r="CS755" s="101"/>
      <c r="CT755" s="101"/>
      <c r="CU755" s="101"/>
      <c r="CV755" s="101"/>
      <c r="CW755" s="101"/>
      <c r="CX755" s="101"/>
      <c r="CY755" s="101"/>
      <c r="CZ755" s="101"/>
      <c r="DA755" s="101"/>
      <c r="DB755" s="101"/>
      <c r="DC755" s="101"/>
      <c r="DD755" s="101"/>
      <c r="DE755" s="101"/>
      <c r="DF755" s="101"/>
    </row>
    <row r="756">
      <c r="A756" s="29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3"/>
      <c r="U756" s="103"/>
      <c r="V756" s="103"/>
      <c r="W756" s="104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  <c r="AL756" s="101"/>
      <c r="AM756" s="29"/>
      <c r="AN756" s="101"/>
      <c r="AO756" s="101"/>
      <c r="AP756" s="101"/>
      <c r="AQ756" s="101"/>
      <c r="AR756" s="101"/>
      <c r="AS756" s="101"/>
      <c r="AT756" s="101"/>
      <c r="AU756" s="101"/>
      <c r="AV756" s="101"/>
      <c r="AW756" s="101"/>
      <c r="AX756" s="101"/>
      <c r="AY756" s="101"/>
      <c r="AZ756" s="101"/>
      <c r="BA756" s="101"/>
      <c r="BB756" s="101"/>
      <c r="BC756" s="101"/>
      <c r="BD756" s="101"/>
      <c r="BE756" s="101"/>
      <c r="BF756" s="101"/>
      <c r="BG756" s="101"/>
      <c r="BH756" s="101"/>
      <c r="BI756" s="101"/>
      <c r="BJ756" s="101"/>
      <c r="BK756" s="101"/>
      <c r="BL756" s="101"/>
      <c r="BM756" s="101"/>
      <c r="BN756" s="101"/>
      <c r="BO756" s="101"/>
      <c r="BP756" s="101"/>
      <c r="BQ756" s="101"/>
      <c r="BR756" s="101"/>
      <c r="BS756" s="101"/>
      <c r="BT756" s="101"/>
      <c r="BU756" s="101"/>
      <c r="BV756" s="101"/>
      <c r="BW756" s="101"/>
      <c r="BX756" s="101"/>
      <c r="BY756" s="101"/>
      <c r="BZ756" s="101"/>
      <c r="CA756" s="101"/>
      <c r="CB756" s="101"/>
      <c r="CC756" s="101"/>
      <c r="CD756" s="101"/>
      <c r="CE756" s="101"/>
      <c r="CF756" s="101"/>
      <c r="CG756" s="101"/>
      <c r="CH756" s="101"/>
      <c r="CI756" s="101"/>
      <c r="CJ756" s="101"/>
      <c r="CK756" s="101"/>
      <c r="CL756" s="101"/>
      <c r="CM756" s="101"/>
      <c r="CN756" s="101"/>
      <c r="CO756" s="101"/>
      <c r="CP756" s="101"/>
      <c r="CQ756" s="101"/>
      <c r="CR756" s="101"/>
      <c r="CS756" s="101"/>
      <c r="CT756" s="101"/>
      <c r="CU756" s="101"/>
      <c r="CV756" s="101"/>
      <c r="CW756" s="101"/>
      <c r="CX756" s="101"/>
      <c r="CY756" s="101"/>
      <c r="CZ756" s="101"/>
      <c r="DA756" s="101"/>
      <c r="DB756" s="101"/>
      <c r="DC756" s="101"/>
      <c r="DD756" s="101"/>
      <c r="DE756" s="101"/>
      <c r="DF756" s="101"/>
    </row>
    <row r="757">
      <c r="A757" s="29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3"/>
      <c r="U757" s="103"/>
      <c r="V757" s="103"/>
      <c r="W757" s="104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  <c r="AL757" s="101"/>
      <c r="AM757" s="29"/>
      <c r="AN757" s="101"/>
      <c r="AO757" s="101"/>
      <c r="AP757" s="101"/>
      <c r="AQ757" s="101"/>
      <c r="AR757" s="101"/>
      <c r="AS757" s="101"/>
      <c r="AT757" s="101"/>
      <c r="AU757" s="101"/>
      <c r="AV757" s="101"/>
      <c r="AW757" s="101"/>
      <c r="AX757" s="101"/>
      <c r="AY757" s="101"/>
      <c r="AZ757" s="101"/>
      <c r="BA757" s="101"/>
      <c r="BB757" s="101"/>
      <c r="BC757" s="101"/>
      <c r="BD757" s="101"/>
      <c r="BE757" s="101"/>
      <c r="BF757" s="101"/>
      <c r="BG757" s="101"/>
      <c r="BH757" s="101"/>
      <c r="BI757" s="101"/>
      <c r="BJ757" s="101"/>
      <c r="BK757" s="101"/>
      <c r="BL757" s="101"/>
      <c r="BM757" s="101"/>
      <c r="BN757" s="101"/>
      <c r="BO757" s="101"/>
      <c r="BP757" s="101"/>
      <c r="BQ757" s="101"/>
      <c r="BR757" s="101"/>
      <c r="BS757" s="101"/>
      <c r="BT757" s="101"/>
      <c r="BU757" s="101"/>
      <c r="BV757" s="101"/>
      <c r="BW757" s="101"/>
      <c r="BX757" s="101"/>
      <c r="BY757" s="101"/>
      <c r="BZ757" s="101"/>
      <c r="CA757" s="101"/>
      <c r="CB757" s="101"/>
      <c r="CC757" s="101"/>
      <c r="CD757" s="101"/>
      <c r="CE757" s="101"/>
      <c r="CF757" s="101"/>
      <c r="CG757" s="101"/>
      <c r="CH757" s="101"/>
      <c r="CI757" s="101"/>
      <c r="CJ757" s="101"/>
      <c r="CK757" s="101"/>
      <c r="CL757" s="101"/>
      <c r="CM757" s="101"/>
      <c r="CN757" s="101"/>
      <c r="CO757" s="101"/>
      <c r="CP757" s="101"/>
      <c r="CQ757" s="101"/>
      <c r="CR757" s="101"/>
      <c r="CS757" s="101"/>
      <c r="CT757" s="101"/>
      <c r="CU757" s="101"/>
      <c r="CV757" s="101"/>
      <c r="CW757" s="101"/>
      <c r="CX757" s="101"/>
      <c r="CY757" s="101"/>
      <c r="CZ757" s="101"/>
      <c r="DA757" s="101"/>
      <c r="DB757" s="101"/>
      <c r="DC757" s="101"/>
      <c r="DD757" s="101"/>
      <c r="DE757" s="101"/>
      <c r="DF757" s="101"/>
    </row>
    <row r="758">
      <c r="A758" s="29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3"/>
      <c r="U758" s="103"/>
      <c r="V758" s="103"/>
      <c r="W758" s="104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  <c r="AL758" s="101"/>
      <c r="AM758" s="29"/>
      <c r="AN758" s="101"/>
      <c r="AO758" s="101"/>
      <c r="AP758" s="101"/>
      <c r="AQ758" s="101"/>
      <c r="AR758" s="101"/>
      <c r="AS758" s="101"/>
      <c r="AT758" s="101"/>
      <c r="AU758" s="101"/>
      <c r="AV758" s="101"/>
      <c r="AW758" s="101"/>
      <c r="AX758" s="101"/>
      <c r="AY758" s="101"/>
      <c r="AZ758" s="101"/>
      <c r="BA758" s="101"/>
      <c r="BB758" s="101"/>
      <c r="BC758" s="101"/>
      <c r="BD758" s="101"/>
      <c r="BE758" s="101"/>
      <c r="BF758" s="101"/>
      <c r="BG758" s="101"/>
      <c r="BH758" s="101"/>
      <c r="BI758" s="101"/>
      <c r="BJ758" s="101"/>
      <c r="BK758" s="101"/>
      <c r="BL758" s="101"/>
      <c r="BM758" s="101"/>
      <c r="BN758" s="101"/>
      <c r="BO758" s="101"/>
      <c r="BP758" s="101"/>
      <c r="BQ758" s="101"/>
      <c r="BR758" s="101"/>
      <c r="BS758" s="101"/>
      <c r="BT758" s="101"/>
      <c r="BU758" s="101"/>
      <c r="BV758" s="101"/>
      <c r="BW758" s="101"/>
      <c r="BX758" s="101"/>
      <c r="BY758" s="101"/>
      <c r="BZ758" s="101"/>
      <c r="CA758" s="101"/>
      <c r="CB758" s="101"/>
      <c r="CC758" s="101"/>
      <c r="CD758" s="101"/>
      <c r="CE758" s="101"/>
      <c r="CF758" s="101"/>
      <c r="CG758" s="101"/>
      <c r="CH758" s="101"/>
      <c r="CI758" s="101"/>
      <c r="CJ758" s="101"/>
      <c r="CK758" s="101"/>
      <c r="CL758" s="101"/>
      <c r="CM758" s="101"/>
      <c r="CN758" s="101"/>
      <c r="CO758" s="101"/>
      <c r="CP758" s="101"/>
      <c r="CQ758" s="101"/>
      <c r="CR758" s="101"/>
      <c r="CS758" s="101"/>
      <c r="CT758" s="101"/>
      <c r="CU758" s="101"/>
      <c r="CV758" s="101"/>
      <c r="CW758" s="101"/>
      <c r="CX758" s="101"/>
      <c r="CY758" s="101"/>
      <c r="CZ758" s="101"/>
      <c r="DA758" s="101"/>
      <c r="DB758" s="101"/>
      <c r="DC758" s="101"/>
      <c r="DD758" s="101"/>
      <c r="DE758" s="101"/>
      <c r="DF758" s="101"/>
    </row>
    <row r="759">
      <c r="A759" s="29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3"/>
      <c r="U759" s="103"/>
      <c r="V759" s="103"/>
      <c r="W759" s="104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  <c r="AL759" s="101"/>
      <c r="AM759" s="29"/>
      <c r="AN759" s="101"/>
      <c r="AO759" s="101"/>
      <c r="AP759" s="101"/>
      <c r="AQ759" s="101"/>
      <c r="AR759" s="101"/>
      <c r="AS759" s="101"/>
      <c r="AT759" s="101"/>
      <c r="AU759" s="101"/>
      <c r="AV759" s="101"/>
      <c r="AW759" s="101"/>
      <c r="AX759" s="101"/>
      <c r="AY759" s="101"/>
      <c r="AZ759" s="101"/>
      <c r="BA759" s="101"/>
      <c r="BB759" s="101"/>
      <c r="BC759" s="101"/>
      <c r="BD759" s="101"/>
      <c r="BE759" s="101"/>
      <c r="BF759" s="101"/>
      <c r="BG759" s="101"/>
      <c r="BH759" s="101"/>
      <c r="BI759" s="101"/>
      <c r="BJ759" s="101"/>
      <c r="BK759" s="101"/>
      <c r="BL759" s="101"/>
      <c r="BM759" s="101"/>
      <c r="BN759" s="101"/>
      <c r="BO759" s="101"/>
      <c r="BP759" s="101"/>
      <c r="BQ759" s="101"/>
      <c r="BR759" s="101"/>
      <c r="BS759" s="101"/>
      <c r="BT759" s="101"/>
      <c r="BU759" s="101"/>
      <c r="BV759" s="101"/>
      <c r="BW759" s="101"/>
      <c r="BX759" s="101"/>
      <c r="BY759" s="101"/>
      <c r="BZ759" s="101"/>
      <c r="CA759" s="101"/>
      <c r="CB759" s="101"/>
      <c r="CC759" s="101"/>
      <c r="CD759" s="101"/>
      <c r="CE759" s="101"/>
      <c r="CF759" s="101"/>
      <c r="CG759" s="101"/>
      <c r="CH759" s="101"/>
      <c r="CI759" s="101"/>
      <c r="CJ759" s="101"/>
      <c r="CK759" s="101"/>
      <c r="CL759" s="101"/>
      <c r="CM759" s="101"/>
      <c r="CN759" s="101"/>
      <c r="CO759" s="101"/>
      <c r="CP759" s="101"/>
      <c r="CQ759" s="101"/>
      <c r="CR759" s="101"/>
      <c r="CS759" s="101"/>
      <c r="CT759" s="101"/>
      <c r="CU759" s="101"/>
      <c r="CV759" s="101"/>
      <c r="CW759" s="101"/>
      <c r="CX759" s="101"/>
      <c r="CY759" s="101"/>
      <c r="CZ759" s="101"/>
      <c r="DA759" s="101"/>
      <c r="DB759" s="101"/>
      <c r="DC759" s="101"/>
      <c r="DD759" s="101"/>
      <c r="DE759" s="101"/>
      <c r="DF759" s="101"/>
    </row>
    <row r="760">
      <c r="A760" s="29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3"/>
      <c r="U760" s="103"/>
      <c r="V760" s="103"/>
      <c r="W760" s="104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  <c r="AL760" s="101"/>
      <c r="AM760" s="29"/>
      <c r="AN760" s="101"/>
      <c r="AO760" s="101"/>
      <c r="AP760" s="101"/>
      <c r="AQ760" s="101"/>
      <c r="AR760" s="101"/>
      <c r="AS760" s="101"/>
      <c r="AT760" s="101"/>
      <c r="AU760" s="101"/>
      <c r="AV760" s="101"/>
      <c r="AW760" s="101"/>
      <c r="AX760" s="101"/>
      <c r="AY760" s="101"/>
      <c r="AZ760" s="101"/>
      <c r="BA760" s="101"/>
      <c r="BB760" s="101"/>
      <c r="BC760" s="101"/>
      <c r="BD760" s="101"/>
      <c r="BE760" s="101"/>
      <c r="BF760" s="101"/>
      <c r="BG760" s="101"/>
      <c r="BH760" s="101"/>
      <c r="BI760" s="101"/>
      <c r="BJ760" s="101"/>
      <c r="BK760" s="101"/>
      <c r="BL760" s="101"/>
      <c r="BM760" s="101"/>
      <c r="BN760" s="101"/>
      <c r="BO760" s="101"/>
      <c r="BP760" s="101"/>
      <c r="BQ760" s="101"/>
      <c r="BR760" s="101"/>
      <c r="BS760" s="101"/>
      <c r="BT760" s="101"/>
      <c r="BU760" s="101"/>
      <c r="BV760" s="101"/>
      <c r="BW760" s="101"/>
      <c r="BX760" s="101"/>
      <c r="BY760" s="101"/>
      <c r="BZ760" s="101"/>
      <c r="CA760" s="101"/>
      <c r="CB760" s="101"/>
      <c r="CC760" s="101"/>
      <c r="CD760" s="101"/>
      <c r="CE760" s="101"/>
      <c r="CF760" s="101"/>
      <c r="CG760" s="101"/>
      <c r="CH760" s="101"/>
      <c r="CI760" s="101"/>
      <c r="CJ760" s="101"/>
      <c r="CK760" s="101"/>
      <c r="CL760" s="101"/>
      <c r="CM760" s="101"/>
      <c r="CN760" s="101"/>
      <c r="CO760" s="101"/>
      <c r="CP760" s="101"/>
      <c r="CQ760" s="101"/>
      <c r="CR760" s="101"/>
      <c r="CS760" s="101"/>
      <c r="CT760" s="101"/>
      <c r="CU760" s="101"/>
      <c r="CV760" s="101"/>
      <c r="CW760" s="101"/>
      <c r="CX760" s="101"/>
      <c r="CY760" s="101"/>
      <c r="CZ760" s="101"/>
      <c r="DA760" s="101"/>
      <c r="DB760" s="101"/>
      <c r="DC760" s="101"/>
      <c r="DD760" s="101"/>
      <c r="DE760" s="101"/>
      <c r="DF760" s="101"/>
    </row>
    <row r="761">
      <c r="A761" s="29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3"/>
      <c r="U761" s="103"/>
      <c r="V761" s="103"/>
      <c r="W761" s="104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  <c r="AL761" s="101"/>
      <c r="AM761" s="29"/>
      <c r="AN761" s="101"/>
      <c r="AO761" s="101"/>
      <c r="AP761" s="101"/>
      <c r="AQ761" s="101"/>
      <c r="AR761" s="101"/>
      <c r="AS761" s="101"/>
      <c r="AT761" s="101"/>
      <c r="AU761" s="101"/>
      <c r="AV761" s="101"/>
      <c r="AW761" s="101"/>
      <c r="AX761" s="101"/>
      <c r="AY761" s="101"/>
      <c r="AZ761" s="101"/>
      <c r="BA761" s="101"/>
      <c r="BB761" s="101"/>
      <c r="BC761" s="101"/>
      <c r="BD761" s="101"/>
      <c r="BE761" s="101"/>
      <c r="BF761" s="101"/>
      <c r="BG761" s="101"/>
      <c r="BH761" s="101"/>
      <c r="BI761" s="101"/>
      <c r="BJ761" s="101"/>
      <c r="BK761" s="101"/>
      <c r="BL761" s="101"/>
      <c r="BM761" s="101"/>
      <c r="BN761" s="101"/>
      <c r="BO761" s="101"/>
      <c r="BP761" s="101"/>
      <c r="BQ761" s="101"/>
      <c r="BR761" s="101"/>
      <c r="BS761" s="101"/>
      <c r="BT761" s="101"/>
      <c r="BU761" s="101"/>
      <c r="BV761" s="101"/>
      <c r="BW761" s="101"/>
      <c r="BX761" s="101"/>
      <c r="BY761" s="101"/>
      <c r="BZ761" s="101"/>
      <c r="CA761" s="101"/>
      <c r="CB761" s="101"/>
      <c r="CC761" s="101"/>
      <c r="CD761" s="101"/>
      <c r="CE761" s="101"/>
      <c r="CF761" s="101"/>
      <c r="CG761" s="101"/>
      <c r="CH761" s="101"/>
      <c r="CI761" s="101"/>
      <c r="CJ761" s="101"/>
      <c r="CK761" s="101"/>
      <c r="CL761" s="101"/>
      <c r="CM761" s="101"/>
      <c r="CN761" s="101"/>
      <c r="CO761" s="101"/>
      <c r="CP761" s="101"/>
      <c r="CQ761" s="101"/>
      <c r="CR761" s="101"/>
      <c r="CS761" s="101"/>
      <c r="CT761" s="101"/>
      <c r="CU761" s="101"/>
      <c r="CV761" s="101"/>
      <c r="CW761" s="101"/>
      <c r="CX761" s="101"/>
      <c r="CY761" s="101"/>
      <c r="CZ761" s="101"/>
      <c r="DA761" s="101"/>
      <c r="DB761" s="101"/>
      <c r="DC761" s="101"/>
      <c r="DD761" s="101"/>
      <c r="DE761" s="101"/>
      <c r="DF761" s="101"/>
    </row>
    <row r="762">
      <c r="A762" s="29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3"/>
      <c r="U762" s="103"/>
      <c r="V762" s="103"/>
      <c r="W762" s="104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  <c r="AL762" s="101"/>
      <c r="AM762" s="29"/>
      <c r="AN762" s="101"/>
      <c r="AO762" s="101"/>
      <c r="AP762" s="101"/>
      <c r="AQ762" s="101"/>
      <c r="AR762" s="101"/>
      <c r="AS762" s="101"/>
      <c r="AT762" s="101"/>
      <c r="AU762" s="101"/>
      <c r="AV762" s="101"/>
      <c r="AW762" s="101"/>
      <c r="AX762" s="101"/>
      <c r="AY762" s="101"/>
      <c r="AZ762" s="101"/>
      <c r="BA762" s="101"/>
      <c r="BB762" s="101"/>
      <c r="BC762" s="101"/>
      <c r="BD762" s="101"/>
      <c r="BE762" s="101"/>
      <c r="BF762" s="101"/>
      <c r="BG762" s="101"/>
      <c r="BH762" s="101"/>
      <c r="BI762" s="101"/>
      <c r="BJ762" s="101"/>
      <c r="BK762" s="101"/>
      <c r="BL762" s="101"/>
      <c r="BM762" s="101"/>
      <c r="BN762" s="101"/>
      <c r="BO762" s="101"/>
      <c r="BP762" s="101"/>
      <c r="BQ762" s="101"/>
      <c r="BR762" s="101"/>
      <c r="BS762" s="101"/>
      <c r="BT762" s="101"/>
      <c r="BU762" s="101"/>
      <c r="BV762" s="101"/>
      <c r="BW762" s="101"/>
      <c r="BX762" s="101"/>
      <c r="BY762" s="101"/>
      <c r="BZ762" s="101"/>
      <c r="CA762" s="101"/>
      <c r="CB762" s="101"/>
      <c r="CC762" s="101"/>
      <c r="CD762" s="101"/>
      <c r="CE762" s="101"/>
      <c r="CF762" s="101"/>
      <c r="CG762" s="101"/>
      <c r="CH762" s="101"/>
      <c r="CI762" s="101"/>
      <c r="CJ762" s="101"/>
      <c r="CK762" s="101"/>
      <c r="CL762" s="101"/>
      <c r="CM762" s="101"/>
      <c r="CN762" s="101"/>
      <c r="CO762" s="101"/>
      <c r="CP762" s="101"/>
      <c r="CQ762" s="101"/>
      <c r="CR762" s="101"/>
      <c r="CS762" s="101"/>
      <c r="CT762" s="101"/>
      <c r="CU762" s="101"/>
      <c r="CV762" s="101"/>
      <c r="CW762" s="101"/>
      <c r="CX762" s="101"/>
      <c r="CY762" s="101"/>
      <c r="CZ762" s="101"/>
      <c r="DA762" s="101"/>
      <c r="DB762" s="101"/>
      <c r="DC762" s="101"/>
      <c r="DD762" s="101"/>
      <c r="DE762" s="101"/>
      <c r="DF762" s="101"/>
    </row>
    <row r="763">
      <c r="A763" s="29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3"/>
      <c r="U763" s="103"/>
      <c r="V763" s="103"/>
      <c r="W763" s="104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  <c r="AL763" s="101"/>
      <c r="AM763" s="29"/>
      <c r="AN763" s="101"/>
      <c r="AO763" s="101"/>
      <c r="AP763" s="101"/>
      <c r="AQ763" s="101"/>
      <c r="AR763" s="101"/>
      <c r="AS763" s="101"/>
      <c r="AT763" s="101"/>
      <c r="AU763" s="101"/>
      <c r="AV763" s="101"/>
      <c r="AW763" s="101"/>
      <c r="AX763" s="101"/>
      <c r="AY763" s="101"/>
      <c r="AZ763" s="101"/>
      <c r="BA763" s="101"/>
      <c r="BB763" s="101"/>
      <c r="BC763" s="101"/>
      <c r="BD763" s="101"/>
      <c r="BE763" s="101"/>
      <c r="BF763" s="101"/>
      <c r="BG763" s="101"/>
      <c r="BH763" s="101"/>
      <c r="BI763" s="101"/>
      <c r="BJ763" s="101"/>
      <c r="BK763" s="101"/>
      <c r="BL763" s="101"/>
      <c r="BM763" s="101"/>
      <c r="BN763" s="101"/>
      <c r="BO763" s="101"/>
      <c r="BP763" s="101"/>
      <c r="BQ763" s="101"/>
      <c r="BR763" s="101"/>
      <c r="BS763" s="101"/>
      <c r="BT763" s="101"/>
      <c r="BU763" s="101"/>
      <c r="BV763" s="101"/>
      <c r="BW763" s="101"/>
      <c r="BX763" s="101"/>
      <c r="BY763" s="101"/>
      <c r="BZ763" s="101"/>
      <c r="CA763" s="101"/>
      <c r="CB763" s="101"/>
      <c r="CC763" s="101"/>
      <c r="CD763" s="101"/>
      <c r="CE763" s="101"/>
      <c r="CF763" s="101"/>
      <c r="CG763" s="101"/>
      <c r="CH763" s="101"/>
      <c r="CI763" s="101"/>
      <c r="CJ763" s="101"/>
      <c r="CK763" s="101"/>
      <c r="CL763" s="101"/>
      <c r="CM763" s="101"/>
      <c r="CN763" s="101"/>
      <c r="CO763" s="101"/>
      <c r="CP763" s="101"/>
      <c r="CQ763" s="101"/>
      <c r="CR763" s="101"/>
      <c r="CS763" s="101"/>
      <c r="CT763" s="101"/>
      <c r="CU763" s="101"/>
      <c r="CV763" s="101"/>
      <c r="CW763" s="101"/>
      <c r="CX763" s="101"/>
      <c r="CY763" s="101"/>
      <c r="CZ763" s="101"/>
      <c r="DA763" s="101"/>
      <c r="DB763" s="101"/>
      <c r="DC763" s="101"/>
      <c r="DD763" s="101"/>
      <c r="DE763" s="101"/>
      <c r="DF763" s="101"/>
    </row>
    <row r="764">
      <c r="A764" s="29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3"/>
      <c r="U764" s="103"/>
      <c r="V764" s="103"/>
      <c r="W764" s="104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  <c r="AM764" s="29"/>
      <c r="AN764" s="101"/>
      <c r="AO764" s="101"/>
      <c r="AP764" s="101"/>
      <c r="AQ764" s="101"/>
      <c r="AR764" s="101"/>
      <c r="AS764" s="101"/>
      <c r="AT764" s="101"/>
      <c r="AU764" s="101"/>
      <c r="AV764" s="101"/>
      <c r="AW764" s="101"/>
      <c r="AX764" s="101"/>
      <c r="AY764" s="101"/>
      <c r="AZ764" s="101"/>
      <c r="BA764" s="101"/>
      <c r="BB764" s="101"/>
      <c r="BC764" s="101"/>
      <c r="BD764" s="101"/>
      <c r="BE764" s="101"/>
      <c r="BF764" s="101"/>
      <c r="BG764" s="101"/>
      <c r="BH764" s="101"/>
      <c r="BI764" s="101"/>
      <c r="BJ764" s="101"/>
      <c r="BK764" s="101"/>
      <c r="BL764" s="101"/>
      <c r="BM764" s="101"/>
      <c r="BN764" s="101"/>
      <c r="BO764" s="101"/>
      <c r="BP764" s="101"/>
      <c r="BQ764" s="101"/>
      <c r="BR764" s="101"/>
      <c r="BS764" s="101"/>
      <c r="BT764" s="101"/>
      <c r="BU764" s="101"/>
      <c r="BV764" s="101"/>
      <c r="BW764" s="101"/>
      <c r="BX764" s="101"/>
      <c r="BY764" s="101"/>
      <c r="BZ764" s="101"/>
      <c r="CA764" s="101"/>
      <c r="CB764" s="101"/>
      <c r="CC764" s="101"/>
      <c r="CD764" s="101"/>
      <c r="CE764" s="101"/>
      <c r="CF764" s="101"/>
      <c r="CG764" s="101"/>
      <c r="CH764" s="101"/>
      <c r="CI764" s="101"/>
      <c r="CJ764" s="101"/>
      <c r="CK764" s="101"/>
      <c r="CL764" s="101"/>
      <c r="CM764" s="101"/>
      <c r="CN764" s="101"/>
      <c r="CO764" s="101"/>
      <c r="CP764" s="101"/>
      <c r="CQ764" s="101"/>
      <c r="CR764" s="101"/>
      <c r="CS764" s="101"/>
      <c r="CT764" s="101"/>
      <c r="CU764" s="101"/>
      <c r="CV764" s="101"/>
      <c r="CW764" s="101"/>
      <c r="CX764" s="101"/>
      <c r="CY764" s="101"/>
      <c r="CZ764" s="101"/>
      <c r="DA764" s="101"/>
      <c r="DB764" s="101"/>
      <c r="DC764" s="101"/>
      <c r="DD764" s="101"/>
      <c r="DE764" s="101"/>
      <c r="DF764" s="101"/>
    </row>
    <row r="765">
      <c r="A765" s="29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3"/>
      <c r="U765" s="103"/>
      <c r="V765" s="103"/>
      <c r="W765" s="104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  <c r="AL765" s="101"/>
      <c r="AM765" s="29"/>
      <c r="AN765" s="101"/>
      <c r="AO765" s="101"/>
      <c r="AP765" s="101"/>
      <c r="AQ765" s="101"/>
      <c r="AR765" s="101"/>
      <c r="AS765" s="101"/>
      <c r="AT765" s="101"/>
      <c r="AU765" s="101"/>
      <c r="AV765" s="101"/>
      <c r="AW765" s="101"/>
      <c r="AX765" s="101"/>
      <c r="AY765" s="101"/>
      <c r="AZ765" s="101"/>
      <c r="BA765" s="101"/>
      <c r="BB765" s="101"/>
      <c r="BC765" s="101"/>
      <c r="BD765" s="101"/>
      <c r="BE765" s="101"/>
      <c r="BF765" s="101"/>
      <c r="BG765" s="101"/>
      <c r="BH765" s="101"/>
      <c r="BI765" s="101"/>
      <c r="BJ765" s="101"/>
      <c r="BK765" s="101"/>
      <c r="BL765" s="101"/>
      <c r="BM765" s="101"/>
      <c r="BN765" s="101"/>
      <c r="BO765" s="101"/>
      <c r="BP765" s="101"/>
      <c r="BQ765" s="101"/>
      <c r="BR765" s="101"/>
      <c r="BS765" s="101"/>
      <c r="BT765" s="101"/>
      <c r="BU765" s="101"/>
      <c r="BV765" s="101"/>
      <c r="BW765" s="101"/>
      <c r="BX765" s="101"/>
      <c r="BY765" s="101"/>
      <c r="BZ765" s="101"/>
      <c r="CA765" s="101"/>
      <c r="CB765" s="101"/>
      <c r="CC765" s="101"/>
      <c r="CD765" s="101"/>
      <c r="CE765" s="101"/>
      <c r="CF765" s="101"/>
      <c r="CG765" s="101"/>
      <c r="CH765" s="101"/>
      <c r="CI765" s="101"/>
      <c r="CJ765" s="101"/>
      <c r="CK765" s="101"/>
      <c r="CL765" s="101"/>
      <c r="CM765" s="101"/>
      <c r="CN765" s="101"/>
      <c r="CO765" s="101"/>
      <c r="CP765" s="101"/>
      <c r="CQ765" s="101"/>
      <c r="CR765" s="101"/>
      <c r="CS765" s="101"/>
      <c r="CT765" s="101"/>
      <c r="CU765" s="101"/>
      <c r="CV765" s="101"/>
      <c r="CW765" s="101"/>
      <c r="CX765" s="101"/>
      <c r="CY765" s="101"/>
      <c r="CZ765" s="101"/>
      <c r="DA765" s="101"/>
      <c r="DB765" s="101"/>
      <c r="DC765" s="101"/>
      <c r="DD765" s="101"/>
      <c r="DE765" s="101"/>
      <c r="DF765" s="101"/>
    </row>
    <row r="766">
      <c r="A766" s="29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3"/>
      <c r="U766" s="103"/>
      <c r="V766" s="103"/>
      <c r="W766" s="104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  <c r="AL766" s="101"/>
      <c r="AM766" s="29"/>
      <c r="AN766" s="101"/>
      <c r="AO766" s="101"/>
      <c r="AP766" s="101"/>
      <c r="AQ766" s="101"/>
      <c r="AR766" s="101"/>
      <c r="AS766" s="101"/>
      <c r="AT766" s="101"/>
      <c r="AU766" s="101"/>
      <c r="AV766" s="101"/>
      <c r="AW766" s="101"/>
      <c r="AX766" s="101"/>
      <c r="AY766" s="101"/>
      <c r="AZ766" s="101"/>
      <c r="BA766" s="101"/>
      <c r="BB766" s="101"/>
      <c r="BC766" s="101"/>
      <c r="BD766" s="101"/>
      <c r="BE766" s="101"/>
      <c r="BF766" s="101"/>
      <c r="BG766" s="101"/>
      <c r="BH766" s="101"/>
      <c r="BI766" s="101"/>
      <c r="BJ766" s="101"/>
      <c r="BK766" s="101"/>
      <c r="BL766" s="101"/>
      <c r="BM766" s="101"/>
      <c r="BN766" s="101"/>
      <c r="BO766" s="101"/>
      <c r="BP766" s="101"/>
      <c r="BQ766" s="101"/>
      <c r="BR766" s="101"/>
      <c r="BS766" s="101"/>
      <c r="BT766" s="101"/>
      <c r="BU766" s="101"/>
      <c r="BV766" s="101"/>
      <c r="BW766" s="101"/>
      <c r="BX766" s="101"/>
      <c r="BY766" s="101"/>
      <c r="BZ766" s="101"/>
      <c r="CA766" s="101"/>
      <c r="CB766" s="101"/>
      <c r="CC766" s="101"/>
      <c r="CD766" s="101"/>
      <c r="CE766" s="101"/>
      <c r="CF766" s="101"/>
      <c r="CG766" s="101"/>
      <c r="CH766" s="101"/>
      <c r="CI766" s="101"/>
      <c r="CJ766" s="101"/>
      <c r="CK766" s="101"/>
      <c r="CL766" s="101"/>
      <c r="CM766" s="101"/>
      <c r="CN766" s="101"/>
      <c r="CO766" s="101"/>
      <c r="CP766" s="101"/>
      <c r="CQ766" s="101"/>
      <c r="CR766" s="101"/>
      <c r="CS766" s="101"/>
      <c r="CT766" s="101"/>
      <c r="CU766" s="101"/>
      <c r="CV766" s="101"/>
      <c r="CW766" s="101"/>
      <c r="CX766" s="101"/>
      <c r="CY766" s="101"/>
      <c r="CZ766" s="101"/>
      <c r="DA766" s="101"/>
      <c r="DB766" s="101"/>
      <c r="DC766" s="101"/>
      <c r="DD766" s="101"/>
      <c r="DE766" s="101"/>
      <c r="DF766" s="101"/>
    </row>
    <row r="767">
      <c r="A767" s="29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3"/>
      <c r="U767" s="103"/>
      <c r="V767" s="103"/>
      <c r="W767" s="104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  <c r="AL767" s="101"/>
      <c r="AM767" s="29"/>
      <c r="AN767" s="101"/>
      <c r="AO767" s="101"/>
      <c r="AP767" s="101"/>
      <c r="AQ767" s="101"/>
      <c r="AR767" s="101"/>
      <c r="AS767" s="101"/>
      <c r="AT767" s="101"/>
      <c r="AU767" s="101"/>
      <c r="AV767" s="101"/>
      <c r="AW767" s="101"/>
      <c r="AX767" s="101"/>
      <c r="AY767" s="101"/>
      <c r="AZ767" s="101"/>
      <c r="BA767" s="101"/>
      <c r="BB767" s="101"/>
      <c r="BC767" s="101"/>
      <c r="BD767" s="101"/>
      <c r="BE767" s="101"/>
      <c r="BF767" s="101"/>
      <c r="BG767" s="101"/>
      <c r="BH767" s="101"/>
      <c r="BI767" s="101"/>
      <c r="BJ767" s="101"/>
      <c r="BK767" s="101"/>
      <c r="BL767" s="101"/>
      <c r="BM767" s="101"/>
      <c r="BN767" s="101"/>
      <c r="BO767" s="101"/>
      <c r="BP767" s="101"/>
      <c r="BQ767" s="101"/>
      <c r="BR767" s="101"/>
      <c r="BS767" s="101"/>
      <c r="BT767" s="101"/>
      <c r="BU767" s="101"/>
      <c r="BV767" s="101"/>
      <c r="BW767" s="101"/>
      <c r="BX767" s="101"/>
      <c r="BY767" s="101"/>
      <c r="BZ767" s="101"/>
      <c r="CA767" s="101"/>
      <c r="CB767" s="101"/>
      <c r="CC767" s="101"/>
      <c r="CD767" s="101"/>
      <c r="CE767" s="101"/>
      <c r="CF767" s="101"/>
      <c r="CG767" s="101"/>
      <c r="CH767" s="101"/>
      <c r="CI767" s="101"/>
      <c r="CJ767" s="101"/>
      <c r="CK767" s="101"/>
      <c r="CL767" s="101"/>
      <c r="CM767" s="101"/>
      <c r="CN767" s="101"/>
      <c r="CO767" s="101"/>
      <c r="CP767" s="101"/>
      <c r="CQ767" s="101"/>
      <c r="CR767" s="101"/>
      <c r="CS767" s="101"/>
      <c r="CT767" s="101"/>
      <c r="CU767" s="101"/>
      <c r="CV767" s="101"/>
      <c r="CW767" s="101"/>
      <c r="CX767" s="101"/>
      <c r="CY767" s="101"/>
      <c r="CZ767" s="101"/>
      <c r="DA767" s="101"/>
      <c r="DB767" s="101"/>
      <c r="DC767" s="101"/>
      <c r="DD767" s="101"/>
      <c r="DE767" s="101"/>
      <c r="DF767" s="101"/>
    </row>
    <row r="768">
      <c r="A768" s="29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3"/>
      <c r="U768" s="103"/>
      <c r="V768" s="103"/>
      <c r="W768" s="104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  <c r="AL768" s="101"/>
      <c r="AM768" s="29"/>
      <c r="AN768" s="101"/>
      <c r="AO768" s="101"/>
      <c r="AP768" s="101"/>
      <c r="AQ768" s="101"/>
      <c r="AR768" s="101"/>
      <c r="AS768" s="101"/>
      <c r="AT768" s="101"/>
      <c r="AU768" s="101"/>
      <c r="AV768" s="101"/>
      <c r="AW768" s="101"/>
      <c r="AX768" s="101"/>
      <c r="AY768" s="101"/>
      <c r="AZ768" s="101"/>
      <c r="BA768" s="101"/>
      <c r="BB768" s="101"/>
      <c r="BC768" s="101"/>
      <c r="BD768" s="101"/>
      <c r="BE768" s="101"/>
      <c r="BF768" s="101"/>
      <c r="BG768" s="101"/>
      <c r="BH768" s="101"/>
      <c r="BI768" s="101"/>
      <c r="BJ768" s="101"/>
      <c r="BK768" s="101"/>
      <c r="BL768" s="101"/>
      <c r="BM768" s="101"/>
      <c r="BN768" s="101"/>
      <c r="BO768" s="101"/>
      <c r="BP768" s="101"/>
      <c r="BQ768" s="101"/>
      <c r="BR768" s="101"/>
      <c r="BS768" s="101"/>
      <c r="BT768" s="101"/>
      <c r="BU768" s="101"/>
      <c r="BV768" s="101"/>
      <c r="BW768" s="101"/>
      <c r="BX768" s="101"/>
      <c r="BY768" s="101"/>
      <c r="BZ768" s="101"/>
      <c r="CA768" s="101"/>
      <c r="CB768" s="101"/>
      <c r="CC768" s="101"/>
      <c r="CD768" s="101"/>
      <c r="CE768" s="101"/>
      <c r="CF768" s="101"/>
      <c r="CG768" s="101"/>
      <c r="CH768" s="101"/>
      <c r="CI768" s="101"/>
      <c r="CJ768" s="101"/>
      <c r="CK768" s="101"/>
      <c r="CL768" s="101"/>
      <c r="CM768" s="101"/>
      <c r="CN768" s="101"/>
      <c r="CO768" s="101"/>
      <c r="CP768" s="101"/>
      <c r="CQ768" s="101"/>
      <c r="CR768" s="101"/>
      <c r="CS768" s="101"/>
      <c r="CT768" s="101"/>
      <c r="CU768" s="101"/>
      <c r="CV768" s="101"/>
      <c r="CW768" s="101"/>
      <c r="CX768" s="101"/>
      <c r="CY768" s="101"/>
      <c r="CZ768" s="101"/>
      <c r="DA768" s="101"/>
      <c r="DB768" s="101"/>
      <c r="DC768" s="101"/>
      <c r="DD768" s="101"/>
      <c r="DE768" s="101"/>
      <c r="DF768" s="101"/>
    </row>
    <row r="769">
      <c r="A769" s="29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3"/>
      <c r="U769" s="103"/>
      <c r="V769" s="103"/>
      <c r="W769" s="104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  <c r="AL769" s="101"/>
      <c r="AM769" s="29"/>
      <c r="AN769" s="101"/>
      <c r="AO769" s="101"/>
      <c r="AP769" s="101"/>
      <c r="AQ769" s="101"/>
      <c r="AR769" s="101"/>
      <c r="AS769" s="101"/>
      <c r="AT769" s="101"/>
      <c r="AU769" s="101"/>
      <c r="AV769" s="101"/>
      <c r="AW769" s="101"/>
      <c r="AX769" s="101"/>
      <c r="AY769" s="101"/>
      <c r="AZ769" s="101"/>
      <c r="BA769" s="101"/>
      <c r="BB769" s="101"/>
      <c r="BC769" s="101"/>
      <c r="BD769" s="101"/>
      <c r="BE769" s="101"/>
      <c r="BF769" s="101"/>
      <c r="BG769" s="101"/>
      <c r="BH769" s="101"/>
      <c r="BI769" s="101"/>
      <c r="BJ769" s="101"/>
      <c r="BK769" s="101"/>
      <c r="BL769" s="101"/>
      <c r="BM769" s="101"/>
      <c r="BN769" s="101"/>
      <c r="BO769" s="101"/>
      <c r="BP769" s="101"/>
      <c r="BQ769" s="101"/>
      <c r="BR769" s="101"/>
      <c r="BS769" s="101"/>
      <c r="BT769" s="101"/>
      <c r="BU769" s="101"/>
      <c r="BV769" s="101"/>
      <c r="BW769" s="101"/>
      <c r="BX769" s="101"/>
      <c r="BY769" s="101"/>
      <c r="BZ769" s="101"/>
      <c r="CA769" s="101"/>
      <c r="CB769" s="101"/>
      <c r="CC769" s="101"/>
      <c r="CD769" s="101"/>
      <c r="CE769" s="101"/>
      <c r="CF769" s="101"/>
      <c r="CG769" s="101"/>
      <c r="CH769" s="101"/>
      <c r="CI769" s="101"/>
      <c r="CJ769" s="101"/>
      <c r="CK769" s="101"/>
      <c r="CL769" s="101"/>
      <c r="CM769" s="101"/>
      <c r="CN769" s="101"/>
      <c r="CO769" s="101"/>
      <c r="CP769" s="101"/>
      <c r="CQ769" s="101"/>
      <c r="CR769" s="101"/>
      <c r="CS769" s="101"/>
      <c r="CT769" s="101"/>
      <c r="CU769" s="101"/>
      <c r="CV769" s="101"/>
      <c r="CW769" s="101"/>
      <c r="CX769" s="101"/>
      <c r="CY769" s="101"/>
      <c r="CZ769" s="101"/>
      <c r="DA769" s="101"/>
      <c r="DB769" s="101"/>
      <c r="DC769" s="101"/>
      <c r="DD769" s="101"/>
      <c r="DE769" s="101"/>
      <c r="DF769" s="101"/>
    </row>
    <row r="770">
      <c r="A770" s="29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3"/>
      <c r="U770" s="103"/>
      <c r="V770" s="103"/>
      <c r="W770" s="104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  <c r="AL770" s="101"/>
      <c r="AM770" s="29"/>
      <c r="AN770" s="101"/>
      <c r="AO770" s="101"/>
      <c r="AP770" s="101"/>
      <c r="AQ770" s="101"/>
      <c r="AR770" s="101"/>
      <c r="AS770" s="101"/>
      <c r="AT770" s="101"/>
      <c r="AU770" s="101"/>
      <c r="AV770" s="101"/>
      <c r="AW770" s="101"/>
      <c r="AX770" s="101"/>
      <c r="AY770" s="101"/>
      <c r="AZ770" s="101"/>
      <c r="BA770" s="101"/>
      <c r="BB770" s="101"/>
      <c r="BC770" s="101"/>
      <c r="BD770" s="101"/>
      <c r="BE770" s="101"/>
      <c r="BF770" s="101"/>
      <c r="BG770" s="101"/>
      <c r="BH770" s="101"/>
      <c r="BI770" s="101"/>
      <c r="BJ770" s="101"/>
      <c r="BK770" s="101"/>
      <c r="BL770" s="101"/>
      <c r="BM770" s="101"/>
      <c r="BN770" s="101"/>
      <c r="BO770" s="101"/>
      <c r="BP770" s="101"/>
      <c r="BQ770" s="101"/>
      <c r="BR770" s="101"/>
      <c r="BS770" s="101"/>
      <c r="BT770" s="101"/>
      <c r="BU770" s="101"/>
      <c r="BV770" s="101"/>
      <c r="BW770" s="101"/>
      <c r="BX770" s="101"/>
      <c r="BY770" s="101"/>
      <c r="BZ770" s="101"/>
      <c r="CA770" s="101"/>
      <c r="CB770" s="101"/>
      <c r="CC770" s="101"/>
      <c r="CD770" s="101"/>
      <c r="CE770" s="101"/>
      <c r="CF770" s="101"/>
      <c r="CG770" s="101"/>
      <c r="CH770" s="101"/>
      <c r="CI770" s="101"/>
      <c r="CJ770" s="101"/>
      <c r="CK770" s="101"/>
      <c r="CL770" s="101"/>
      <c r="CM770" s="101"/>
      <c r="CN770" s="101"/>
      <c r="CO770" s="101"/>
      <c r="CP770" s="101"/>
      <c r="CQ770" s="101"/>
      <c r="CR770" s="101"/>
      <c r="CS770" s="101"/>
      <c r="CT770" s="101"/>
      <c r="CU770" s="101"/>
      <c r="CV770" s="101"/>
      <c r="CW770" s="101"/>
      <c r="CX770" s="101"/>
      <c r="CY770" s="101"/>
      <c r="CZ770" s="101"/>
      <c r="DA770" s="101"/>
      <c r="DB770" s="101"/>
      <c r="DC770" s="101"/>
      <c r="DD770" s="101"/>
      <c r="DE770" s="101"/>
      <c r="DF770" s="101"/>
    </row>
    <row r="771">
      <c r="A771" s="29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3"/>
      <c r="U771" s="103"/>
      <c r="V771" s="103"/>
      <c r="W771" s="104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  <c r="AL771" s="101"/>
      <c r="AM771" s="29"/>
      <c r="AN771" s="101"/>
      <c r="AO771" s="101"/>
      <c r="AP771" s="101"/>
      <c r="AQ771" s="101"/>
      <c r="AR771" s="101"/>
      <c r="AS771" s="101"/>
      <c r="AT771" s="101"/>
      <c r="AU771" s="101"/>
      <c r="AV771" s="101"/>
      <c r="AW771" s="101"/>
      <c r="AX771" s="101"/>
      <c r="AY771" s="101"/>
      <c r="AZ771" s="101"/>
      <c r="BA771" s="101"/>
      <c r="BB771" s="101"/>
      <c r="BC771" s="101"/>
      <c r="BD771" s="101"/>
      <c r="BE771" s="101"/>
      <c r="BF771" s="101"/>
      <c r="BG771" s="101"/>
      <c r="BH771" s="101"/>
      <c r="BI771" s="101"/>
      <c r="BJ771" s="101"/>
      <c r="BK771" s="101"/>
      <c r="BL771" s="101"/>
      <c r="BM771" s="101"/>
      <c r="BN771" s="101"/>
      <c r="BO771" s="101"/>
      <c r="BP771" s="101"/>
      <c r="BQ771" s="101"/>
      <c r="BR771" s="101"/>
      <c r="BS771" s="101"/>
      <c r="BT771" s="101"/>
      <c r="BU771" s="101"/>
      <c r="BV771" s="101"/>
      <c r="BW771" s="101"/>
      <c r="BX771" s="101"/>
      <c r="BY771" s="101"/>
      <c r="BZ771" s="101"/>
      <c r="CA771" s="101"/>
      <c r="CB771" s="101"/>
      <c r="CC771" s="101"/>
      <c r="CD771" s="101"/>
      <c r="CE771" s="101"/>
      <c r="CF771" s="101"/>
      <c r="CG771" s="101"/>
      <c r="CH771" s="101"/>
      <c r="CI771" s="101"/>
      <c r="CJ771" s="101"/>
      <c r="CK771" s="101"/>
      <c r="CL771" s="101"/>
      <c r="CM771" s="101"/>
      <c r="CN771" s="101"/>
      <c r="CO771" s="101"/>
      <c r="CP771" s="101"/>
      <c r="CQ771" s="101"/>
      <c r="CR771" s="101"/>
      <c r="CS771" s="101"/>
      <c r="CT771" s="101"/>
      <c r="CU771" s="101"/>
      <c r="CV771" s="101"/>
      <c r="CW771" s="101"/>
      <c r="CX771" s="101"/>
      <c r="CY771" s="101"/>
      <c r="CZ771" s="101"/>
      <c r="DA771" s="101"/>
      <c r="DB771" s="101"/>
      <c r="DC771" s="101"/>
      <c r="DD771" s="101"/>
      <c r="DE771" s="101"/>
      <c r="DF771" s="101"/>
    </row>
    <row r="772">
      <c r="A772" s="29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3"/>
      <c r="U772" s="103"/>
      <c r="V772" s="103"/>
      <c r="W772" s="104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  <c r="AL772" s="101"/>
      <c r="AM772" s="29"/>
      <c r="AN772" s="101"/>
      <c r="AO772" s="101"/>
      <c r="AP772" s="101"/>
      <c r="AQ772" s="101"/>
      <c r="AR772" s="101"/>
      <c r="AS772" s="101"/>
      <c r="AT772" s="101"/>
      <c r="AU772" s="101"/>
      <c r="AV772" s="101"/>
      <c r="AW772" s="101"/>
      <c r="AX772" s="101"/>
      <c r="AY772" s="101"/>
      <c r="AZ772" s="101"/>
      <c r="BA772" s="101"/>
      <c r="BB772" s="101"/>
      <c r="BC772" s="101"/>
      <c r="BD772" s="101"/>
      <c r="BE772" s="101"/>
      <c r="BF772" s="101"/>
      <c r="BG772" s="101"/>
      <c r="BH772" s="101"/>
      <c r="BI772" s="101"/>
      <c r="BJ772" s="101"/>
      <c r="BK772" s="101"/>
      <c r="BL772" s="101"/>
      <c r="BM772" s="101"/>
      <c r="BN772" s="101"/>
      <c r="BO772" s="101"/>
      <c r="BP772" s="101"/>
      <c r="BQ772" s="101"/>
      <c r="BR772" s="101"/>
      <c r="BS772" s="101"/>
      <c r="BT772" s="101"/>
      <c r="BU772" s="101"/>
      <c r="BV772" s="101"/>
      <c r="BW772" s="101"/>
      <c r="BX772" s="101"/>
      <c r="BY772" s="101"/>
      <c r="BZ772" s="101"/>
      <c r="CA772" s="101"/>
      <c r="CB772" s="101"/>
      <c r="CC772" s="101"/>
      <c r="CD772" s="101"/>
      <c r="CE772" s="101"/>
      <c r="CF772" s="101"/>
      <c r="CG772" s="101"/>
      <c r="CH772" s="101"/>
      <c r="CI772" s="101"/>
      <c r="CJ772" s="101"/>
      <c r="CK772" s="101"/>
      <c r="CL772" s="101"/>
      <c r="CM772" s="101"/>
      <c r="CN772" s="101"/>
      <c r="CO772" s="101"/>
      <c r="CP772" s="101"/>
      <c r="CQ772" s="101"/>
      <c r="CR772" s="101"/>
      <c r="CS772" s="101"/>
      <c r="CT772" s="101"/>
      <c r="CU772" s="101"/>
      <c r="CV772" s="101"/>
      <c r="CW772" s="101"/>
      <c r="CX772" s="101"/>
      <c r="CY772" s="101"/>
      <c r="CZ772" s="101"/>
      <c r="DA772" s="101"/>
      <c r="DB772" s="101"/>
      <c r="DC772" s="101"/>
      <c r="DD772" s="101"/>
      <c r="DE772" s="101"/>
      <c r="DF772" s="101"/>
    </row>
    <row r="773">
      <c r="A773" s="29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3"/>
      <c r="U773" s="103"/>
      <c r="V773" s="103"/>
      <c r="W773" s="104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  <c r="AM773" s="29"/>
      <c r="AN773" s="101"/>
      <c r="AO773" s="101"/>
      <c r="AP773" s="101"/>
      <c r="AQ773" s="101"/>
      <c r="AR773" s="101"/>
      <c r="AS773" s="101"/>
      <c r="AT773" s="101"/>
      <c r="AU773" s="101"/>
      <c r="AV773" s="101"/>
      <c r="AW773" s="101"/>
      <c r="AX773" s="101"/>
      <c r="AY773" s="101"/>
      <c r="AZ773" s="101"/>
      <c r="BA773" s="101"/>
      <c r="BB773" s="101"/>
      <c r="BC773" s="101"/>
      <c r="BD773" s="101"/>
      <c r="BE773" s="101"/>
      <c r="BF773" s="101"/>
      <c r="BG773" s="101"/>
      <c r="BH773" s="101"/>
      <c r="BI773" s="101"/>
      <c r="BJ773" s="101"/>
      <c r="BK773" s="101"/>
      <c r="BL773" s="101"/>
      <c r="BM773" s="101"/>
      <c r="BN773" s="101"/>
      <c r="BO773" s="101"/>
      <c r="BP773" s="101"/>
      <c r="BQ773" s="101"/>
      <c r="BR773" s="101"/>
      <c r="BS773" s="101"/>
      <c r="BT773" s="101"/>
      <c r="BU773" s="101"/>
      <c r="BV773" s="101"/>
      <c r="BW773" s="101"/>
      <c r="BX773" s="101"/>
      <c r="BY773" s="101"/>
      <c r="BZ773" s="101"/>
      <c r="CA773" s="101"/>
      <c r="CB773" s="101"/>
      <c r="CC773" s="101"/>
      <c r="CD773" s="101"/>
      <c r="CE773" s="101"/>
      <c r="CF773" s="101"/>
      <c r="CG773" s="101"/>
      <c r="CH773" s="101"/>
      <c r="CI773" s="101"/>
      <c r="CJ773" s="101"/>
      <c r="CK773" s="101"/>
      <c r="CL773" s="101"/>
      <c r="CM773" s="101"/>
      <c r="CN773" s="101"/>
      <c r="CO773" s="101"/>
      <c r="CP773" s="101"/>
      <c r="CQ773" s="101"/>
      <c r="CR773" s="101"/>
      <c r="CS773" s="101"/>
      <c r="CT773" s="101"/>
      <c r="CU773" s="101"/>
      <c r="CV773" s="101"/>
      <c r="CW773" s="101"/>
      <c r="CX773" s="101"/>
      <c r="CY773" s="101"/>
      <c r="CZ773" s="101"/>
      <c r="DA773" s="101"/>
      <c r="DB773" s="101"/>
      <c r="DC773" s="101"/>
      <c r="DD773" s="101"/>
      <c r="DE773" s="101"/>
      <c r="DF773" s="101"/>
    </row>
    <row r="774">
      <c r="A774" s="29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3"/>
      <c r="U774" s="103"/>
      <c r="V774" s="103"/>
      <c r="W774" s="104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  <c r="AL774" s="101"/>
      <c r="AM774" s="29"/>
      <c r="AN774" s="101"/>
      <c r="AO774" s="101"/>
      <c r="AP774" s="101"/>
      <c r="AQ774" s="101"/>
      <c r="AR774" s="101"/>
      <c r="AS774" s="101"/>
      <c r="AT774" s="101"/>
      <c r="AU774" s="101"/>
      <c r="AV774" s="101"/>
      <c r="AW774" s="101"/>
      <c r="AX774" s="101"/>
      <c r="AY774" s="101"/>
      <c r="AZ774" s="101"/>
      <c r="BA774" s="101"/>
      <c r="BB774" s="101"/>
      <c r="BC774" s="101"/>
      <c r="BD774" s="101"/>
      <c r="BE774" s="101"/>
      <c r="BF774" s="101"/>
      <c r="BG774" s="101"/>
      <c r="BH774" s="101"/>
      <c r="BI774" s="101"/>
      <c r="BJ774" s="101"/>
      <c r="BK774" s="101"/>
      <c r="BL774" s="101"/>
      <c r="BM774" s="101"/>
      <c r="BN774" s="101"/>
      <c r="BO774" s="101"/>
      <c r="BP774" s="101"/>
      <c r="BQ774" s="101"/>
      <c r="BR774" s="101"/>
      <c r="BS774" s="101"/>
      <c r="BT774" s="101"/>
      <c r="BU774" s="101"/>
      <c r="BV774" s="101"/>
      <c r="BW774" s="101"/>
      <c r="BX774" s="101"/>
      <c r="BY774" s="101"/>
      <c r="BZ774" s="101"/>
      <c r="CA774" s="101"/>
      <c r="CB774" s="101"/>
      <c r="CC774" s="101"/>
      <c r="CD774" s="101"/>
      <c r="CE774" s="101"/>
      <c r="CF774" s="101"/>
      <c r="CG774" s="101"/>
      <c r="CH774" s="101"/>
      <c r="CI774" s="101"/>
      <c r="CJ774" s="101"/>
      <c r="CK774" s="101"/>
      <c r="CL774" s="101"/>
      <c r="CM774" s="101"/>
      <c r="CN774" s="101"/>
      <c r="CO774" s="101"/>
      <c r="CP774" s="101"/>
      <c r="CQ774" s="101"/>
      <c r="CR774" s="101"/>
      <c r="CS774" s="101"/>
      <c r="CT774" s="101"/>
      <c r="CU774" s="101"/>
      <c r="CV774" s="101"/>
      <c r="CW774" s="101"/>
      <c r="CX774" s="101"/>
      <c r="CY774" s="101"/>
      <c r="CZ774" s="101"/>
      <c r="DA774" s="101"/>
      <c r="DB774" s="101"/>
      <c r="DC774" s="101"/>
      <c r="DD774" s="101"/>
      <c r="DE774" s="101"/>
      <c r="DF774" s="101"/>
    </row>
    <row r="775">
      <c r="A775" s="29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3"/>
      <c r="U775" s="103"/>
      <c r="V775" s="103"/>
      <c r="W775" s="104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  <c r="AL775" s="101"/>
      <c r="AM775" s="29"/>
      <c r="AN775" s="101"/>
      <c r="AO775" s="101"/>
      <c r="AP775" s="101"/>
      <c r="AQ775" s="101"/>
      <c r="AR775" s="101"/>
      <c r="AS775" s="101"/>
      <c r="AT775" s="101"/>
      <c r="AU775" s="101"/>
      <c r="AV775" s="101"/>
      <c r="AW775" s="101"/>
      <c r="AX775" s="101"/>
      <c r="AY775" s="101"/>
      <c r="AZ775" s="101"/>
      <c r="BA775" s="101"/>
      <c r="BB775" s="101"/>
      <c r="BC775" s="101"/>
      <c r="BD775" s="101"/>
      <c r="BE775" s="101"/>
      <c r="BF775" s="101"/>
      <c r="BG775" s="101"/>
      <c r="BH775" s="101"/>
      <c r="BI775" s="101"/>
      <c r="BJ775" s="101"/>
      <c r="BK775" s="101"/>
      <c r="BL775" s="101"/>
      <c r="BM775" s="101"/>
      <c r="BN775" s="101"/>
      <c r="BO775" s="101"/>
      <c r="BP775" s="101"/>
      <c r="BQ775" s="101"/>
      <c r="BR775" s="101"/>
      <c r="BS775" s="101"/>
      <c r="BT775" s="101"/>
      <c r="BU775" s="101"/>
      <c r="BV775" s="101"/>
      <c r="BW775" s="101"/>
      <c r="BX775" s="101"/>
      <c r="BY775" s="101"/>
      <c r="BZ775" s="101"/>
      <c r="CA775" s="101"/>
      <c r="CB775" s="101"/>
      <c r="CC775" s="101"/>
      <c r="CD775" s="101"/>
      <c r="CE775" s="101"/>
      <c r="CF775" s="101"/>
      <c r="CG775" s="101"/>
      <c r="CH775" s="101"/>
      <c r="CI775" s="101"/>
      <c r="CJ775" s="101"/>
      <c r="CK775" s="101"/>
      <c r="CL775" s="101"/>
      <c r="CM775" s="101"/>
      <c r="CN775" s="101"/>
      <c r="CO775" s="101"/>
      <c r="CP775" s="101"/>
      <c r="CQ775" s="101"/>
      <c r="CR775" s="101"/>
      <c r="CS775" s="101"/>
      <c r="CT775" s="101"/>
      <c r="CU775" s="101"/>
      <c r="CV775" s="101"/>
      <c r="CW775" s="101"/>
      <c r="CX775" s="101"/>
      <c r="CY775" s="101"/>
      <c r="CZ775" s="101"/>
      <c r="DA775" s="101"/>
      <c r="DB775" s="101"/>
      <c r="DC775" s="101"/>
      <c r="DD775" s="101"/>
      <c r="DE775" s="101"/>
      <c r="DF775" s="101"/>
    </row>
    <row r="776">
      <c r="A776" s="29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3"/>
      <c r="U776" s="103"/>
      <c r="V776" s="103"/>
      <c r="W776" s="104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  <c r="AL776" s="101"/>
      <c r="AM776" s="29"/>
      <c r="AN776" s="101"/>
      <c r="AO776" s="101"/>
      <c r="AP776" s="101"/>
      <c r="AQ776" s="101"/>
      <c r="AR776" s="101"/>
      <c r="AS776" s="101"/>
      <c r="AT776" s="101"/>
      <c r="AU776" s="101"/>
      <c r="AV776" s="101"/>
      <c r="AW776" s="101"/>
      <c r="AX776" s="101"/>
      <c r="AY776" s="101"/>
      <c r="AZ776" s="101"/>
      <c r="BA776" s="101"/>
      <c r="BB776" s="101"/>
      <c r="BC776" s="101"/>
      <c r="BD776" s="101"/>
      <c r="BE776" s="101"/>
      <c r="BF776" s="101"/>
      <c r="BG776" s="101"/>
      <c r="BH776" s="101"/>
      <c r="BI776" s="101"/>
      <c r="BJ776" s="101"/>
      <c r="BK776" s="101"/>
      <c r="BL776" s="101"/>
      <c r="BM776" s="101"/>
      <c r="BN776" s="101"/>
      <c r="BO776" s="101"/>
      <c r="BP776" s="101"/>
      <c r="BQ776" s="101"/>
      <c r="BR776" s="101"/>
      <c r="BS776" s="101"/>
      <c r="BT776" s="101"/>
      <c r="BU776" s="101"/>
      <c r="BV776" s="101"/>
      <c r="BW776" s="101"/>
      <c r="BX776" s="101"/>
      <c r="BY776" s="101"/>
      <c r="BZ776" s="101"/>
      <c r="CA776" s="101"/>
      <c r="CB776" s="101"/>
      <c r="CC776" s="101"/>
      <c r="CD776" s="101"/>
      <c r="CE776" s="101"/>
      <c r="CF776" s="101"/>
      <c r="CG776" s="101"/>
      <c r="CH776" s="101"/>
      <c r="CI776" s="101"/>
      <c r="CJ776" s="101"/>
      <c r="CK776" s="101"/>
      <c r="CL776" s="101"/>
      <c r="CM776" s="101"/>
      <c r="CN776" s="101"/>
      <c r="CO776" s="101"/>
      <c r="CP776" s="101"/>
      <c r="CQ776" s="101"/>
      <c r="CR776" s="101"/>
      <c r="CS776" s="101"/>
      <c r="CT776" s="101"/>
      <c r="CU776" s="101"/>
      <c r="CV776" s="101"/>
      <c r="CW776" s="101"/>
      <c r="CX776" s="101"/>
      <c r="CY776" s="101"/>
      <c r="CZ776" s="101"/>
      <c r="DA776" s="101"/>
      <c r="DB776" s="101"/>
      <c r="DC776" s="101"/>
      <c r="DD776" s="101"/>
      <c r="DE776" s="101"/>
      <c r="DF776" s="101"/>
    </row>
    <row r="777">
      <c r="A777" s="29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3"/>
      <c r="U777" s="103"/>
      <c r="V777" s="103"/>
      <c r="W777" s="104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  <c r="AM777" s="29"/>
      <c r="AN777" s="101"/>
      <c r="AO777" s="101"/>
      <c r="AP777" s="101"/>
      <c r="AQ777" s="101"/>
      <c r="AR777" s="101"/>
      <c r="AS777" s="101"/>
      <c r="AT777" s="101"/>
      <c r="AU777" s="101"/>
      <c r="AV777" s="101"/>
      <c r="AW777" s="101"/>
      <c r="AX777" s="101"/>
      <c r="AY777" s="101"/>
      <c r="AZ777" s="101"/>
      <c r="BA777" s="101"/>
      <c r="BB777" s="101"/>
      <c r="BC777" s="101"/>
      <c r="BD777" s="101"/>
      <c r="BE777" s="101"/>
      <c r="BF777" s="101"/>
      <c r="BG777" s="101"/>
      <c r="BH777" s="101"/>
      <c r="BI777" s="101"/>
      <c r="BJ777" s="101"/>
      <c r="BK777" s="101"/>
      <c r="BL777" s="101"/>
      <c r="BM777" s="101"/>
      <c r="BN777" s="101"/>
      <c r="BO777" s="101"/>
      <c r="BP777" s="101"/>
      <c r="BQ777" s="101"/>
      <c r="BR777" s="101"/>
      <c r="BS777" s="101"/>
      <c r="BT777" s="101"/>
      <c r="BU777" s="101"/>
      <c r="BV777" s="101"/>
      <c r="BW777" s="101"/>
      <c r="BX777" s="101"/>
      <c r="BY777" s="101"/>
      <c r="BZ777" s="101"/>
      <c r="CA777" s="101"/>
      <c r="CB777" s="101"/>
      <c r="CC777" s="101"/>
      <c r="CD777" s="101"/>
      <c r="CE777" s="101"/>
      <c r="CF777" s="101"/>
      <c r="CG777" s="101"/>
      <c r="CH777" s="101"/>
      <c r="CI777" s="101"/>
      <c r="CJ777" s="101"/>
      <c r="CK777" s="101"/>
      <c r="CL777" s="101"/>
      <c r="CM777" s="101"/>
      <c r="CN777" s="101"/>
      <c r="CO777" s="101"/>
      <c r="CP777" s="101"/>
      <c r="CQ777" s="101"/>
      <c r="CR777" s="101"/>
      <c r="CS777" s="101"/>
      <c r="CT777" s="101"/>
      <c r="CU777" s="101"/>
      <c r="CV777" s="101"/>
      <c r="CW777" s="101"/>
      <c r="CX777" s="101"/>
      <c r="CY777" s="101"/>
      <c r="CZ777" s="101"/>
      <c r="DA777" s="101"/>
      <c r="DB777" s="101"/>
      <c r="DC777" s="101"/>
      <c r="DD777" s="101"/>
      <c r="DE777" s="101"/>
      <c r="DF777" s="101"/>
    </row>
    <row r="778">
      <c r="A778" s="29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3"/>
      <c r="U778" s="103"/>
      <c r="V778" s="103"/>
      <c r="W778" s="104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  <c r="AL778" s="101"/>
      <c r="AM778" s="29"/>
      <c r="AN778" s="101"/>
      <c r="AO778" s="101"/>
      <c r="AP778" s="101"/>
      <c r="AQ778" s="101"/>
      <c r="AR778" s="101"/>
      <c r="AS778" s="101"/>
      <c r="AT778" s="101"/>
      <c r="AU778" s="101"/>
      <c r="AV778" s="101"/>
      <c r="AW778" s="101"/>
      <c r="AX778" s="101"/>
      <c r="AY778" s="101"/>
      <c r="AZ778" s="101"/>
      <c r="BA778" s="101"/>
      <c r="BB778" s="101"/>
      <c r="BC778" s="101"/>
      <c r="BD778" s="101"/>
      <c r="BE778" s="101"/>
      <c r="BF778" s="101"/>
      <c r="BG778" s="101"/>
      <c r="BH778" s="101"/>
      <c r="BI778" s="101"/>
      <c r="BJ778" s="101"/>
      <c r="BK778" s="101"/>
      <c r="BL778" s="101"/>
      <c r="BM778" s="101"/>
      <c r="BN778" s="101"/>
      <c r="BO778" s="101"/>
      <c r="BP778" s="101"/>
      <c r="BQ778" s="101"/>
      <c r="BR778" s="101"/>
      <c r="BS778" s="101"/>
      <c r="BT778" s="101"/>
      <c r="BU778" s="101"/>
      <c r="BV778" s="101"/>
      <c r="BW778" s="101"/>
      <c r="BX778" s="101"/>
      <c r="BY778" s="101"/>
      <c r="BZ778" s="101"/>
      <c r="CA778" s="101"/>
      <c r="CB778" s="101"/>
      <c r="CC778" s="101"/>
      <c r="CD778" s="101"/>
      <c r="CE778" s="101"/>
      <c r="CF778" s="101"/>
      <c r="CG778" s="101"/>
      <c r="CH778" s="101"/>
      <c r="CI778" s="101"/>
      <c r="CJ778" s="101"/>
      <c r="CK778" s="101"/>
      <c r="CL778" s="101"/>
      <c r="CM778" s="101"/>
      <c r="CN778" s="101"/>
      <c r="CO778" s="101"/>
      <c r="CP778" s="101"/>
      <c r="CQ778" s="101"/>
      <c r="CR778" s="101"/>
      <c r="CS778" s="101"/>
      <c r="CT778" s="101"/>
      <c r="CU778" s="101"/>
      <c r="CV778" s="101"/>
      <c r="CW778" s="101"/>
      <c r="CX778" s="101"/>
      <c r="CY778" s="101"/>
      <c r="CZ778" s="101"/>
      <c r="DA778" s="101"/>
      <c r="DB778" s="101"/>
      <c r="DC778" s="101"/>
      <c r="DD778" s="101"/>
      <c r="DE778" s="101"/>
      <c r="DF778" s="101"/>
    </row>
    <row r="779">
      <c r="A779" s="29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3"/>
      <c r="U779" s="103"/>
      <c r="V779" s="103"/>
      <c r="W779" s="104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  <c r="AL779" s="101"/>
      <c r="AM779" s="29"/>
      <c r="AN779" s="101"/>
      <c r="AO779" s="101"/>
      <c r="AP779" s="101"/>
      <c r="AQ779" s="101"/>
      <c r="AR779" s="101"/>
      <c r="AS779" s="101"/>
      <c r="AT779" s="101"/>
      <c r="AU779" s="101"/>
      <c r="AV779" s="101"/>
      <c r="AW779" s="101"/>
      <c r="AX779" s="101"/>
      <c r="AY779" s="101"/>
      <c r="AZ779" s="101"/>
      <c r="BA779" s="101"/>
      <c r="BB779" s="101"/>
      <c r="BC779" s="101"/>
      <c r="BD779" s="101"/>
      <c r="BE779" s="101"/>
      <c r="BF779" s="101"/>
      <c r="BG779" s="101"/>
      <c r="BH779" s="101"/>
      <c r="BI779" s="101"/>
      <c r="BJ779" s="101"/>
      <c r="BK779" s="101"/>
      <c r="BL779" s="101"/>
      <c r="BM779" s="101"/>
      <c r="BN779" s="101"/>
      <c r="BO779" s="101"/>
      <c r="BP779" s="101"/>
      <c r="BQ779" s="101"/>
      <c r="BR779" s="101"/>
      <c r="BS779" s="101"/>
      <c r="BT779" s="101"/>
      <c r="BU779" s="101"/>
      <c r="BV779" s="101"/>
      <c r="BW779" s="101"/>
      <c r="BX779" s="101"/>
      <c r="BY779" s="101"/>
      <c r="BZ779" s="101"/>
      <c r="CA779" s="101"/>
      <c r="CB779" s="101"/>
      <c r="CC779" s="101"/>
      <c r="CD779" s="101"/>
      <c r="CE779" s="101"/>
      <c r="CF779" s="101"/>
      <c r="CG779" s="101"/>
      <c r="CH779" s="101"/>
      <c r="CI779" s="101"/>
      <c r="CJ779" s="101"/>
      <c r="CK779" s="101"/>
      <c r="CL779" s="101"/>
      <c r="CM779" s="101"/>
      <c r="CN779" s="101"/>
      <c r="CO779" s="101"/>
      <c r="CP779" s="101"/>
      <c r="CQ779" s="101"/>
      <c r="CR779" s="101"/>
      <c r="CS779" s="101"/>
      <c r="CT779" s="101"/>
      <c r="CU779" s="101"/>
      <c r="CV779" s="101"/>
      <c r="CW779" s="101"/>
      <c r="CX779" s="101"/>
      <c r="CY779" s="101"/>
      <c r="CZ779" s="101"/>
      <c r="DA779" s="101"/>
      <c r="DB779" s="101"/>
      <c r="DC779" s="101"/>
      <c r="DD779" s="101"/>
      <c r="DE779" s="101"/>
      <c r="DF779" s="101"/>
    </row>
    <row r="780">
      <c r="A780" s="29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3"/>
      <c r="U780" s="103"/>
      <c r="V780" s="103"/>
      <c r="W780" s="104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  <c r="AL780" s="101"/>
      <c r="AM780" s="29"/>
      <c r="AN780" s="101"/>
      <c r="AO780" s="101"/>
      <c r="AP780" s="101"/>
      <c r="AQ780" s="101"/>
      <c r="AR780" s="101"/>
      <c r="AS780" s="101"/>
      <c r="AT780" s="101"/>
      <c r="AU780" s="101"/>
      <c r="AV780" s="101"/>
      <c r="AW780" s="101"/>
      <c r="AX780" s="101"/>
      <c r="AY780" s="101"/>
      <c r="AZ780" s="101"/>
      <c r="BA780" s="101"/>
      <c r="BB780" s="101"/>
      <c r="BC780" s="101"/>
      <c r="BD780" s="101"/>
      <c r="BE780" s="101"/>
      <c r="BF780" s="101"/>
      <c r="BG780" s="101"/>
      <c r="BH780" s="101"/>
      <c r="BI780" s="101"/>
      <c r="BJ780" s="101"/>
      <c r="BK780" s="101"/>
      <c r="BL780" s="101"/>
      <c r="BM780" s="101"/>
      <c r="BN780" s="101"/>
      <c r="BO780" s="101"/>
      <c r="BP780" s="101"/>
      <c r="BQ780" s="101"/>
      <c r="BR780" s="101"/>
      <c r="BS780" s="101"/>
      <c r="BT780" s="101"/>
      <c r="BU780" s="101"/>
      <c r="BV780" s="101"/>
      <c r="BW780" s="101"/>
      <c r="BX780" s="101"/>
      <c r="BY780" s="101"/>
      <c r="BZ780" s="101"/>
      <c r="CA780" s="101"/>
      <c r="CB780" s="101"/>
      <c r="CC780" s="101"/>
      <c r="CD780" s="101"/>
      <c r="CE780" s="101"/>
      <c r="CF780" s="101"/>
      <c r="CG780" s="101"/>
      <c r="CH780" s="101"/>
      <c r="CI780" s="101"/>
      <c r="CJ780" s="101"/>
      <c r="CK780" s="101"/>
      <c r="CL780" s="101"/>
      <c r="CM780" s="101"/>
      <c r="CN780" s="101"/>
      <c r="CO780" s="101"/>
      <c r="CP780" s="101"/>
      <c r="CQ780" s="101"/>
      <c r="CR780" s="101"/>
      <c r="CS780" s="101"/>
      <c r="CT780" s="101"/>
      <c r="CU780" s="101"/>
      <c r="CV780" s="101"/>
      <c r="CW780" s="101"/>
      <c r="CX780" s="101"/>
      <c r="CY780" s="101"/>
      <c r="CZ780" s="101"/>
      <c r="DA780" s="101"/>
      <c r="DB780" s="101"/>
      <c r="DC780" s="101"/>
      <c r="DD780" s="101"/>
      <c r="DE780" s="101"/>
      <c r="DF780" s="101"/>
    </row>
    <row r="781">
      <c r="A781" s="29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3"/>
      <c r="U781" s="103"/>
      <c r="V781" s="103"/>
      <c r="W781" s="104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  <c r="AL781" s="101"/>
      <c r="AM781" s="29"/>
      <c r="AN781" s="101"/>
      <c r="AO781" s="101"/>
      <c r="AP781" s="101"/>
      <c r="AQ781" s="101"/>
      <c r="AR781" s="101"/>
      <c r="AS781" s="101"/>
      <c r="AT781" s="101"/>
      <c r="AU781" s="101"/>
      <c r="AV781" s="101"/>
      <c r="AW781" s="101"/>
      <c r="AX781" s="101"/>
      <c r="AY781" s="101"/>
      <c r="AZ781" s="101"/>
      <c r="BA781" s="101"/>
      <c r="BB781" s="101"/>
      <c r="BC781" s="101"/>
      <c r="BD781" s="101"/>
      <c r="BE781" s="101"/>
      <c r="BF781" s="101"/>
      <c r="BG781" s="101"/>
      <c r="BH781" s="101"/>
      <c r="BI781" s="101"/>
      <c r="BJ781" s="101"/>
      <c r="BK781" s="101"/>
      <c r="BL781" s="101"/>
      <c r="BM781" s="101"/>
      <c r="BN781" s="101"/>
      <c r="BO781" s="101"/>
      <c r="BP781" s="101"/>
      <c r="BQ781" s="101"/>
      <c r="BR781" s="101"/>
      <c r="BS781" s="101"/>
      <c r="BT781" s="101"/>
      <c r="BU781" s="101"/>
      <c r="BV781" s="101"/>
      <c r="BW781" s="101"/>
      <c r="BX781" s="101"/>
      <c r="BY781" s="101"/>
      <c r="BZ781" s="101"/>
      <c r="CA781" s="101"/>
      <c r="CB781" s="101"/>
      <c r="CC781" s="101"/>
      <c r="CD781" s="101"/>
      <c r="CE781" s="101"/>
      <c r="CF781" s="101"/>
      <c r="CG781" s="101"/>
      <c r="CH781" s="101"/>
      <c r="CI781" s="101"/>
      <c r="CJ781" s="101"/>
      <c r="CK781" s="101"/>
      <c r="CL781" s="101"/>
      <c r="CM781" s="101"/>
      <c r="CN781" s="101"/>
      <c r="CO781" s="101"/>
      <c r="CP781" s="101"/>
      <c r="CQ781" s="101"/>
      <c r="CR781" s="101"/>
      <c r="CS781" s="101"/>
      <c r="CT781" s="101"/>
      <c r="CU781" s="101"/>
      <c r="CV781" s="101"/>
      <c r="CW781" s="101"/>
      <c r="CX781" s="101"/>
      <c r="CY781" s="101"/>
      <c r="CZ781" s="101"/>
      <c r="DA781" s="101"/>
      <c r="DB781" s="101"/>
      <c r="DC781" s="101"/>
      <c r="DD781" s="101"/>
      <c r="DE781" s="101"/>
      <c r="DF781" s="101"/>
    </row>
    <row r="782">
      <c r="A782" s="29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3"/>
      <c r="U782" s="103"/>
      <c r="V782" s="103"/>
      <c r="W782" s="104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  <c r="AM782" s="29"/>
      <c r="AN782" s="101"/>
      <c r="AO782" s="101"/>
      <c r="AP782" s="101"/>
      <c r="AQ782" s="101"/>
      <c r="AR782" s="101"/>
      <c r="AS782" s="101"/>
      <c r="AT782" s="101"/>
      <c r="AU782" s="101"/>
      <c r="AV782" s="101"/>
      <c r="AW782" s="101"/>
      <c r="AX782" s="101"/>
      <c r="AY782" s="101"/>
      <c r="AZ782" s="101"/>
      <c r="BA782" s="101"/>
      <c r="BB782" s="101"/>
      <c r="BC782" s="101"/>
      <c r="BD782" s="101"/>
      <c r="BE782" s="101"/>
      <c r="BF782" s="101"/>
      <c r="BG782" s="101"/>
      <c r="BH782" s="101"/>
      <c r="BI782" s="101"/>
      <c r="BJ782" s="101"/>
      <c r="BK782" s="101"/>
      <c r="BL782" s="101"/>
      <c r="BM782" s="101"/>
      <c r="BN782" s="101"/>
      <c r="BO782" s="101"/>
      <c r="BP782" s="101"/>
      <c r="BQ782" s="101"/>
      <c r="BR782" s="101"/>
      <c r="BS782" s="101"/>
      <c r="BT782" s="101"/>
      <c r="BU782" s="101"/>
      <c r="BV782" s="101"/>
      <c r="BW782" s="101"/>
      <c r="BX782" s="101"/>
      <c r="BY782" s="101"/>
      <c r="BZ782" s="101"/>
      <c r="CA782" s="101"/>
      <c r="CB782" s="101"/>
      <c r="CC782" s="101"/>
      <c r="CD782" s="101"/>
      <c r="CE782" s="101"/>
      <c r="CF782" s="101"/>
      <c r="CG782" s="101"/>
      <c r="CH782" s="101"/>
      <c r="CI782" s="101"/>
      <c r="CJ782" s="101"/>
      <c r="CK782" s="101"/>
      <c r="CL782" s="101"/>
      <c r="CM782" s="101"/>
      <c r="CN782" s="101"/>
      <c r="CO782" s="101"/>
      <c r="CP782" s="101"/>
      <c r="CQ782" s="101"/>
      <c r="CR782" s="101"/>
      <c r="CS782" s="101"/>
      <c r="CT782" s="101"/>
      <c r="CU782" s="101"/>
      <c r="CV782" s="101"/>
      <c r="CW782" s="101"/>
      <c r="CX782" s="101"/>
      <c r="CY782" s="101"/>
      <c r="CZ782" s="101"/>
      <c r="DA782" s="101"/>
      <c r="DB782" s="101"/>
      <c r="DC782" s="101"/>
      <c r="DD782" s="101"/>
      <c r="DE782" s="101"/>
      <c r="DF782" s="101"/>
    </row>
    <row r="783">
      <c r="A783" s="29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3"/>
      <c r="U783" s="103"/>
      <c r="V783" s="103"/>
      <c r="W783" s="104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  <c r="AL783" s="101"/>
      <c r="AM783" s="29"/>
      <c r="AN783" s="101"/>
      <c r="AO783" s="101"/>
      <c r="AP783" s="101"/>
      <c r="AQ783" s="101"/>
      <c r="AR783" s="101"/>
      <c r="AS783" s="101"/>
      <c r="AT783" s="101"/>
      <c r="AU783" s="101"/>
      <c r="AV783" s="101"/>
      <c r="AW783" s="101"/>
      <c r="AX783" s="101"/>
      <c r="AY783" s="101"/>
      <c r="AZ783" s="101"/>
      <c r="BA783" s="101"/>
      <c r="BB783" s="101"/>
      <c r="BC783" s="101"/>
      <c r="BD783" s="101"/>
      <c r="BE783" s="101"/>
      <c r="BF783" s="101"/>
      <c r="BG783" s="101"/>
      <c r="BH783" s="101"/>
      <c r="BI783" s="101"/>
      <c r="BJ783" s="101"/>
      <c r="BK783" s="101"/>
      <c r="BL783" s="101"/>
      <c r="BM783" s="101"/>
      <c r="BN783" s="101"/>
      <c r="BO783" s="101"/>
      <c r="BP783" s="101"/>
      <c r="BQ783" s="101"/>
      <c r="BR783" s="101"/>
      <c r="BS783" s="101"/>
      <c r="BT783" s="101"/>
      <c r="BU783" s="101"/>
      <c r="BV783" s="101"/>
      <c r="BW783" s="101"/>
      <c r="BX783" s="101"/>
      <c r="BY783" s="101"/>
      <c r="BZ783" s="101"/>
      <c r="CA783" s="101"/>
      <c r="CB783" s="101"/>
      <c r="CC783" s="101"/>
      <c r="CD783" s="101"/>
      <c r="CE783" s="101"/>
      <c r="CF783" s="101"/>
      <c r="CG783" s="101"/>
      <c r="CH783" s="101"/>
      <c r="CI783" s="101"/>
      <c r="CJ783" s="101"/>
      <c r="CK783" s="101"/>
      <c r="CL783" s="101"/>
      <c r="CM783" s="101"/>
      <c r="CN783" s="101"/>
      <c r="CO783" s="101"/>
      <c r="CP783" s="101"/>
      <c r="CQ783" s="101"/>
      <c r="CR783" s="101"/>
      <c r="CS783" s="101"/>
      <c r="CT783" s="101"/>
      <c r="CU783" s="101"/>
      <c r="CV783" s="101"/>
      <c r="CW783" s="101"/>
      <c r="CX783" s="101"/>
      <c r="CY783" s="101"/>
      <c r="CZ783" s="101"/>
      <c r="DA783" s="101"/>
      <c r="DB783" s="101"/>
      <c r="DC783" s="101"/>
      <c r="DD783" s="101"/>
      <c r="DE783" s="101"/>
      <c r="DF783" s="101"/>
    </row>
    <row r="784">
      <c r="A784" s="29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3"/>
      <c r="U784" s="103"/>
      <c r="V784" s="103"/>
      <c r="W784" s="104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  <c r="AL784" s="101"/>
      <c r="AM784" s="29"/>
      <c r="AN784" s="101"/>
      <c r="AO784" s="101"/>
      <c r="AP784" s="101"/>
      <c r="AQ784" s="101"/>
      <c r="AR784" s="101"/>
      <c r="AS784" s="101"/>
      <c r="AT784" s="101"/>
      <c r="AU784" s="101"/>
      <c r="AV784" s="101"/>
      <c r="AW784" s="101"/>
      <c r="AX784" s="101"/>
      <c r="AY784" s="101"/>
      <c r="AZ784" s="101"/>
      <c r="BA784" s="101"/>
      <c r="BB784" s="101"/>
      <c r="BC784" s="101"/>
      <c r="BD784" s="101"/>
      <c r="BE784" s="101"/>
      <c r="BF784" s="101"/>
      <c r="BG784" s="101"/>
      <c r="BH784" s="101"/>
      <c r="BI784" s="101"/>
      <c r="BJ784" s="101"/>
      <c r="BK784" s="101"/>
      <c r="BL784" s="101"/>
      <c r="BM784" s="101"/>
      <c r="BN784" s="101"/>
      <c r="BO784" s="101"/>
      <c r="BP784" s="101"/>
      <c r="BQ784" s="101"/>
      <c r="BR784" s="101"/>
      <c r="BS784" s="101"/>
      <c r="BT784" s="101"/>
      <c r="BU784" s="101"/>
      <c r="BV784" s="101"/>
      <c r="BW784" s="101"/>
      <c r="BX784" s="101"/>
      <c r="BY784" s="101"/>
      <c r="BZ784" s="101"/>
      <c r="CA784" s="101"/>
      <c r="CB784" s="101"/>
      <c r="CC784" s="101"/>
      <c r="CD784" s="101"/>
      <c r="CE784" s="101"/>
      <c r="CF784" s="101"/>
      <c r="CG784" s="101"/>
      <c r="CH784" s="101"/>
      <c r="CI784" s="101"/>
      <c r="CJ784" s="101"/>
      <c r="CK784" s="101"/>
      <c r="CL784" s="101"/>
      <c r="CM784" s="101"/>
      <c r="CN784" s="101"/>
      <c r="CO784" s="101"/>
      <c r="CP784" s="101"/>
      <c r="CQ784" s="101"/>
      <c r="CR784" s="101"/>
      <c r="CS784" s="101"/>
      <c r="CT784" s="101"/>
      <c r="CU784" s="101"/>
      <c r="CV784" s="101"/>
      <c r="CW784" s="101"/>
      <c r="CX784" s="101"/>
      <c r="CY784" s="101"/>
      <c r="CZ784" s="101"/>
      <c r="DA784" s="101"/>
      <c r="DB784" s="101"/>
      <c r="DC784" s="101"/>
      <c r="DD784" s="101"/>
      <c r="DE784" s="101"/>
      <c r="DF784" s="101"/>
    </row>
    <row r="785">
      <c r="A785" s="29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3"/>
      <c r="U785" s="103"/>
      <c r="V785" s="103"/>
      <c r="W785" s="104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  <c r="AL785" s="101"/>
      <c r="AM785" s="29"/>
      <c r="AN785" s="101"/>
      <c r="AO785" s="101"/>
      <c r="AP785" s="101"/>
      <c r="AQ785" s="101"/>
      <c r="AR785" s="101"/>
      <c r="AS785" s="101"/>
      <c r="AT785" s="101"/>
      <c r="AU785" s="101"/>
      <c r="AV785" s="101"/>
      <c r="AW785" s="101"/>
      <c r="AX785" s="101"/>
      <c r="AY785" s="101"/>
      <c r="AZ785" s="101"/>
      <c r="BA785" s="101"/>
      <c r="BB785" s="101"/>
      <c r="BC785" s="101"/>
      <c r="BD785" s="101"/>
      <c r="BE785" s="101"/>
      <c r="BF785" s="101"/>
      <c r="BG785" s="101"/>
      <c r="BH785" s="101"/>
      <c r="BI785" s="101"/>
      <c r="BJ785" s="101"/>
      <c r="BK785" s="101"/>
      <c r="BL785" s="101"/>
      <c r="BM785" s="101"/>
      <c r="BN785" s="101"/>
      <c r="BO785" s="101"/>
      <c r="BP785" s="101"/>
      <c r="BQ785" s="101"/>
      <c r="BR785" s="101"/>
      <c r="BS785" s="101"/>
      <c r="BT785" s="101"/>
      <c r="BU785" s="101"/>
      <c r="BV785" s="101"/>
      <c r="BW785" s="101"/>
      <c r="BX785" s="101"/>
      <c r="BY785" s="101"/>
      <c r="BZ785" s="101"/>
      <c r="CA785" s="101"/>
      <c r="CB785" s="101"/>
      <c r="CC785" s="101"/>
      <c r="CD785" s="101"/>
      <c r="CE785" s="101"/>
      <c r="CF785" s="101"/>
      <c r="CG785" s="101"/>
      <c r="CH785" s="101"/>
      <c r="CI785" s="101"/>
      <c r="CJ785" s="101"/>
      <c r="CK785" s="101"/>
      <c r="CL785" s="101"/>
      <c r="CM785" s="101"/>
      <c r="CN785" s="101"/>
      <c r="CO785" s="101"/>
      <c r="CP785" s="101"/>
      <c r="CQ785" s="101"/>
      <c r="CR785" s="101"/>
      <c r="CS785" s="101"/>
      <c r="CT785" s="101"/>
      <c r="CU785" s="101"/>
      <c r="CV785" s="101"/>
      <c r="CW785" s="101"/>
      <c r="CX785" s="101"/>
      <c r="CY785" s="101"/>
      <c r="CZ785" s="101"/>
      <c r="DA785" s="101"/>
      <c r="DB785" s="101"/>
      <c r="DC785" s="101"/>
      <c r="DD785" s="101"/>
      <c r="DE785" s="101"/>
      <c r="DF785" s="101"/>
    </row>
    <row r="786">
      <c r="A786" s="29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3"/>
      <c r="U786" s="103"/>
      <c r="V786" s="103"/>
      <c r="W786" s="104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  <c r="AL786" s="101"/>
      <c r="AM786" s="29"/>
      <c r="AN786" s="101"/>
      <c r="AO786" s="101"/>
      <c r="AP786" s="101"/>
      <c r="AQ786" s="101"/>
      <c r="AR786" s="101"/>
      <c r="AS786" s="101"/>
      <c r="AT786" s="101"/>
      <c r="AU786" s="101"/>
      <c r="AV786" s="101"/>
      <c r="AW786" s="101"/>
      <c r="AX786" s="101"/>
      <c r="AY786" s="101"/>
      <c r="AZ786" s="101"/>
      <c r="BA786" s="101"/>
      <c r="BB786" s="101"/>
      <c r="BC786" s="101"/>
      <c r="BD786" s="101"/>
      <c r="BE786" s="101"/>
      <c r="BF786" s="101"/>
      <c r="BG786" s="101"/>
      <c r="BH786" s="101"/>
      <c r="BI786" s="101"/>
      <c r="BJ786" s="101"/>
      <c r="BK786" s="101"/>
      <c r="BL786" s="101"/>
      <c r="BM786" s="101"/>
      <c r="BN786" s="101"/>
      <c r="BO786" s="101"/>
      <c r="BP786" s="101"/>
      <c r="BQ786" s="101"/>
      <c r="BR786" s="101"/>
      <c r="BS786" s="101"/>
      <c r="BT786" s="101"/>
      <c r="BU786" s="101"/>
      <c r="BV786" s="101"/>
      <c r="BW786" s="101"/>
      <c r="BX786" s="101"/>
      <c r="BY786" s="101"/>
      <c r="BZ786" s="101"/>
      <c r="CA786" s="101"/>
      <c r="CB786" s="101"/>
      <c r="CC786" s="101"/>
      <c r="CD786" s="101"/>
      <c r="CE786" s="101"/>
      <c r="CF786" s="101"/>
      <c r="CG786" s="101"/>
      <c r="CH786" s="101"/>
      <c r="CI786" s="101"/>
      <c r="CJ786" s="101"/>
      <c r="CK786" s="101"/>
      <c r="CL786" s="101"/>
      <c r="CM786" s="101"/>
      <c r="CN786" s="101"/>
      <c r="CO786" s="101"/>
      <c r="CP786" s="101"/>
      <c r="CQ786" s="101"/>
      <c r="CR786" s="101"/>
      <c r="CS786" s="101"/>
      <c r="CT786" s="101"/>
      <c r="CU786" s="101"/>
      <c r="CV786" s="101"/>
      <c r="CW786" s="101"/>
      <c r="CX786" s="101"/>
      <c r="CY786" s="101"/>
      <c r="CZ786" s="101"/>
      <c r="DA786" s="101"/>
      <c r="DB786" s="101"/>
      <c r="DC786" s="101"/>
      <c r="DD786" s="101"/>
      <c r="DE786" s="101"/>
      <c r="DF786" s="101"/>
    </row>
    <row r="787">
      <c r="A787" s="29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3"/>
      <c r="U787" s="103"/>
      <c r="V787" s="103"/>
      <c r="W787" s="104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  <c r="AL787" s="101"/>
      <c r="AM787" s="29"/>
      <c r="AN787" s="101"/>
      <c r="AO787" s="101"/>
      <c r="AP787" s="101"/>
      <c r="AQ787" s="101"/>
      <c r="AR787" s="101"/>
      <c r="AS787" s="101"/>
      <c r="AT787" s="101"/>
      <c r="AU787" s="101"/>
      <c r="AV787" s="101"/>
      <c r="AW787" s="101"/>
      <c r="AX787" s="101"/>
      <c r="AY787" s="101"/>
      <c r="AZ787" s="101"/>
      <c r="BA787" s="101"/>
      <c r="BB787" s="101"/>
      <c r="BC787" s="101"/>
      <c r="BD787" s="101"/>
      <c r="BE787" s="101"/>
      <c r="BF787" s="101"/>
      <c r="BG787" s="101"/>
      <c r="BH787" s="101"/>
      <c r="BI787" s="101"/>
      <c r="BJ787" s="101"/>
      <c r="BK787" s="101"/>
      <c r="BL787" s="101"/>
      <c r="BM787" s="101"/>
      <c r="BN787" s="101"/>
      <c r="BO787" s="101"/>
      <c r="BP787" s="101"/>
      <c r="BQ787" s="101"/>
      <c r="BR787" s="101"/>
      <c r="BS787" s="101"/>
      <c r="BT787" s="101"/>
      <c r="BU787" s="101"/>
      <c r="BV787" s="101"/>
      <c r="BW787" s="101"/>
      <c r="BX787" s="101"/>
      <c r="BY787" s="101"/>
      <c r="BZ787" s="101"/>
      <c r="CA787" s="101"/>
      <c r="CB787" s="101"/>
      <c r="CC787" s="101"/>
      <c r="CD787" s="101"/>
      <c r="CE787" s="101"/>
      <c r="CF787" s="101"/>
      <c r="CG787" s="101"/>
      <c r="CH787" s="101"/>
      <c r="CI787" s="101"/>
      <c r="CJ787" s="101"/>
      <c r="CK787" s="101"/>
      <c r="CL787" s="101"/>
      <c r="CM787" s="101"/>
      <c r="CN787" s="101"/>
      <c r="CO787" s="101"/>
      <c r="CP787" s="101"/>
      <c r="CQ787" s="101"/>
      <c r="CR787" s="101"/>
      <c r="CS787" s="101"/>
      <c r="CT787" s="101"/>
      <c r="CU787" s="101"/>
      <c r="CV787" s="101"/>
      <c r="CW787" s="101"/>
      <c r="CX787" s="101"/>
      <c r="CY787" s="101"/>
      <c r="CZ787" s="101"/>
      <c r="DA787" s="101"/>
      <c r="DB787" s="101"/>
      <c r="DC787" s="101"/>
      <c r="DD787" s="101"/>
      <c r="DE787" s="101"/>
      <c r="DF787" s="101"/>
    </row>
    <row r="788">
      <c r="A788" s="29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3"/>
      <c r="U788" s="103"/>
      <c r="V788" s="103"/>
      <c r="W788" s="104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  <c r="AL788" s="101"/>
      <c r="AM788" s="29"/>
      <c r="AN788" s="101"/>
      <c r="AO788" s="101"/>
      <c r="AP788" s="101"/>
      <c r="AQ788" s="101"/>
      <c r="AR788" s="101"/>
      <c r="AS788" s="101"/>
      <c r="AT788" s="101"/>
      <c r="AU788" s="101"/>
      <c r="AV788" s="101"/>
      <c r="AW788" s="101"/>
      <c r="AX788" s="101"/>
      <c r="AY788" s="101"/>
      <c r="AZ788" s="101"/>
      <c r="BA788" s="101"/>
      <c r="BB788" s="101"/>
      <c r="BC788" s="101"/>
      <c r="BD788" s="101"/>
      <c r="BE788" s="101"/>
      <c r="BF788" s="101"/>
      <c r="BG788" s="101"/>
      <c r="BH788" s="101"/>
      <c r="BI788" s="101"/>
      <c r="BJ788" s="101"/>
      <c r="BK788" s="101"/>
      <c r="BL788" s="101"/>
      <c r="BM788" s="101"/>
      <c r="BN788" s="101"/>
      <c r="BO788" s="101"/>
      <c r="BP788" s="101"/>
      <c r="BQ788" s="101"/>
      <c r="BR788" s="101"/>
      <c r="BS788" s="101"/>
      <c r="BT788" s="101"/>
      <c r="BU788" s="101"/>
      <c r="BV788" s="101"/>
      <c r="BW788" s="101"/>
      <c r="BX788" s="101"/>
      <c r="BY788" s="101"/>
      <c r="BZ788" s="101"/>
      <c r="CA788" s="101"/>
      <c r="CB788" s="101"/>
      <c r="CC788" s="101"/>
      <c r="CD788" s="101"/>
      <c r="CE788" s="101"/>
      <c r="CF788" s="101"/>
      <c r="CG788" s="101"/>
      <c r="CH788" s="101"/>
      <c r="CI788" s="101"/>
      <c r="CJ788" s="101"/>
      <c r="CK788" s="101"/>
      <c r="CL788" s="101"/>
      <c r="CM788" s="101"/>
      <c r="CN788" s="101"/>
      <c r="CO788" s="101"/>
      <c r="CP788" s="101"/>
      <c r="CQ788" s="101"/>
      <c r="CR788" s="101"/>
      <c r="CS788" s="101"/>
      <c r="CT788" s="101"/>
      <c r="CU788" s="101"/>
      <c r="CV788" s="101"/>
      <c r="CW788" s="101"/>
      <c r="CX788" s="101"/>
      <c r="CY788" s="101"/>
      <c r="CZ788" s="101"/>
      <c r="DA788" s="101"/>
      <c r="DB788" s="101"/>
      <c r="DC788" s="101"/>
      <c r="DD788" s="101"/>
      <c r="DE788" s="101"/>
      <c r="DF788" s="101"/>
    </row>
    <row r="789">
      <c r="A789" s="29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3"/>
      <c r="U789" s="103"/>
      <c r="V789" s="103"/>
      <c r="W789" s="104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  <c r="AL789" s="101"/>
      <c r="AM789" s="29"/>
      <c r="AN789" s="101"/>
      <c r="AO789" s="101"/>
      <c r="AP789" s="101"/>
      <c r="AQ789" s="101"/>
      <c r="AR789" s="101"/>
      <c r="AS789" s="101"/>
      <c r="AT789" s="101"/>
      <c r="AU789" s="101"/>
      <c r="AV789" s="101"/>
      <c r="AW789" s="101"/>
      <c r="AX789" s="101"/>
      <c r="AY789" s="101"/>
      <c r="AZ789" s="101"/>
      <c r="BA789" s="101"/>
      <c r="BB789" s="101"/>
      <c r="BC789" s="101"/>
      <c r="BD789" s="101"/>
      <c r="BE789" s="101"/>
      <c r="BF789" s="101"/>
      <c r="BG789" s="101"/>
      <c r="BH789" s="101"/>
      <c r="BI789" s="101"/>
      <c r="BJ789" s="101"/>
      <c r="BK789" s="101"/>
      <c r="BL789" s="101"/>
      <c r="BM789" s="101"/>
      <c r="BN789" s="101"/>
      <c r="BO789" s="101"/>
      <c r="BP789" s="101"/>
      <c r="BQ789" s="101"/>
      <c r="BR789" s="101"/>
      <c r="BS789" s="101"/>
      <c r="BT789" s="101"/>
      <c r="BU789" s="101"/>
      <c r="BV789" s="101"/>
      <c r="BW789" s="101"/>
      <c r="BX789" s="101"/>
      <c r="BY789" s="101"/>
      <c r="BZ789" s="101"/>
      <c r="CA789" s="101"/>
      <c r="CB789" s="101"/>
      <c r="CC789" s="101"/>
      <c r="CD789" s="101"/>
      <c r="CE789" s="101"/>
      <c r="CF789" s="101"/>
      <c r="CG789" s="101"/>
      <c r="CH789" s="101"/>
      <c r="CI789" s="101"/>
      <c r="CJ789" s="101"/>
      <c r="CK789" s="101"/>
      <c r="CL789" s="101"/>
      <c r="CM789" s="101"/>
      <c r="CN789" s="101"/>
      <c r="CO789" s="101"/>
      <c r="CP789" s="101"/>
      <c r="CQ789" s="101"/>
      <c r="CR789" s="101"/>
      <c r="CS789" s="101"/>
      <c r="CT789" s="101"/>
      <c r="CU789" s="101"/>
      <c r="CV789" s="101"/>
      <c r="CW789" s="101"/>
      <c r="CX789" s="101"/>
      <c r="CY789" s="101"/>
      <c r="CZ789" s="101"/>
      <c r="DA789" s="101"/>
      <c r="DB789" s="101"/>
      <c r="DC789" s="101"/>
      <c r="DD789" s="101"/>
      <c r="DE789" s="101"/>
      <c r="DF789" s="101"/>
    </row>
    <row r="790">
      <c r="A790" s="29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3"/>
      <c r="U790" s="103"/>
      <c r="V790" s="103"/>
      <c r="W790" s="104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  <c r="AL790" s="101"/>
      <c r="AM790" s="29"/>
      <c r="AN790" s="101"/>
      <c r="AO790" s="101"/>
      <c r="AP790" s="101"/>
      <c r="AQ790" s="101"/>
      <c r="AR790" s="101"/>
      <c r="AS790" s="101"/>
      <c r="AT790" s="101"/>
      <c r="AU790" s="101"/>
      <c r="AV790" s="101"/>
      <c r="AW790" s="101"/>
      <c r="AX790" s="101"/>
      <c r="AY790" s="101"/>
      <c r="AZ790" s="101"/>
      <c r="BA790" s="101"/>
      <c r="BB790" s="101"/>
      <c r="BC790" s="101"/>
      <c r="BD790" s="101"/>
      <c r="BE790" s="101"/>
      <c r="BF790" s="101"/>
      <c r="BG790" s="101"/>
      <c r="BH790" s="101"/>
      <c r="BI790" s="101"/>
      <c r="BJ790" s="101"/>
      <c r="BK790" s="101"/>
      <c r="BL790" s="101"/>
      <c r="BM790" s="101"/>
      <c r="BN790" s="101"/>
      <c r="BO790" s="101"/>
      <c r="BP790" s="101"/>
      <c r="BQ790" s="101"/>
      <c r="BR790" s="101"/>
      <c r="BS790" s="101"/>
      <c r="BT790" s="101"/>
      <c r="BU790" s="101"/>
      <c r="BV790" s="101"/>
      <c r="BW790" s="101"/>
      <c r="BX790" s="101"/>
      <c r="BY790" s="101"/>
      <c r="BZ790" s="101"/>
      <c r="CA790" s="101"/>
      <c r="CB790" s="101"/>
      <c r="CC790" s="101"/>
      <c r="CD790" s="101"/>
      <c r="CE790" s="101"/>
      <c r="CF790" s="101"/>
      <c r="CG790" s="101"/>
      <c r="CH790" s="101"/>
      <c r="CI790" s="101"/>
      <c r="CJ790" s="101"/>
      <c r="CK790" s="101"/>
      <c r="CL790" s="101"/>
      <c r="CM790" s="101"/>
      <c r="CN790" s="101"/>
      <c r="CO790" s="101"/>
      <c r="CP790" s="101"/>
      <c r="CQ790" s="101"/>
      <c r="CR790" s="101"/>
      <c r="CS790" s="101"/>
      <c r="CT790" s="101"/>
      <c r="CU790" s="101"/>
      <c r="CV790" s="101"/>
      <c r="CW790" s="101"/>
      <c r="CX790" s="101"/>
      <c r="CY790" s="101"/>
      <c r="CZ790" s="101"/>
      <c r="DA790" s="101"/>
      <c r="DB790" s="101"/>
      <c r="DC790" s="101"/>
      <c r="DD790" s="101"/>
      <c r="DE790" s="101"/>
      <c r="DF790" s="101"/>
    </row>
    <row r="791">
      <c r="A791" s="29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3"/>
      <c r="U791" s="103"/>
      <c r="V791" s="103"/>
      <c r="W791" s="104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  <c r="AM791" s="29"/>
      <c r="AN791" s="101"/>
      <c r="AO791" s="101"/>
      <c r="AP791" s="101"/>
      <c r="AQ791" s="101"/>
      <c r="AR791" s="101"/>
      <c r="AS791" s="101"/>
      <c r="AT791" s="101"/>
      <c r="AU791" s="101"/>
      <c r="AV791" s="101"/>
      <c r="AW791" s="101"/>
      <c r="AX791" s="101"/>
      <c r="AY791" s="101"/>
      <c r="AZ791" s="101"/>
      <c r="BA791" s="101"/>
      <c r="BB791" s="101"/>
      <c r="BC791" s="101"/>
      <c r="BD791" s="101"/>
      <c r="BE791" s="101"/>
      <c r="BF791" s="101"/>
      <c r="BG791" s="101"/>
      <c r="BH791" s="101"/>
      <c r="BI791" s="101"/>
      <c r="BJ791" s="101"/>
      <c r="BK791" s="101"/>
      <c r="BL791" s="101"/>
      <c r="BM791" s="101"/>
      <c r="BN791" s="101"/>
      <c r="BO791" s="101"/>
      <c r="BP791" s="101"/>
      <c r="BQ791" s="101"/>
      <c r="BR791" s="101"/>
      <c r="BS791" s="101"/>
      <c r="BT791" s="101"/>
      <c r="BU791" s="101"/>
      <c r="BV791" s="101"/>
      <c r="BW791" s="101"/>
      <c r="BX791" s="101"/>
      <c r="BY791" s="101"/>
      <c r="BZ791" s="101"/>
      <c r="CA791" s="101"/>
      <c r="CB791" s="101"/>
      <c r="CC791" s="101"/>
      <c r="CD791" s="101"/>
      <c r="CE791" s="101"/>
      <c r="CF791" s="101"/>
      <c r="CG791" s="101"/>
      <c r="CH791" s="101"/>
      <c r="CI791" s="101"/>
      <c r="CJ791" s="101"/>
      <c r="CK791" s="101"/>
      <c r="CL791" s="101"/>
      <c r="CM791" s="101"/>
      <c r="CN791" s="101"/>
      <c r="CO791" s="101"/>
      <c r="CP791" s="101"/>
      <c r="CQ791" s="101"/>
      <c r="CR791" s="101"/>
      <c r="CS791" s="101"/>
      <c r="CT791" s="101"/>
      <c r="CU791" s="101"/>
      <c r="CV791" s="101"/>
      <c r="CW791" s="101"/>
      <c r="CX791" s="101"/>
      <c r="CY791" s="101"/>
      <c r="CZ791" s="101"/>
      <c r="DA791" s="101"/>
      <c r="DB791" s="101"/>
      <c r="DC791" s="101"/>
      <c r="DD791" s="101"/>
      <c r="DE791" s="101"/>
      <c r="DF791" s="101"/>
    </row>
    <row r="792">
      <c r="A792" s="29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3"/>
      <c r="U792" s="103"/>
      <c r="V792" s="103"/>
      <c r="W792" s="104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  <c r="AL792" s="101"/>
      <c r="AM792" s="29"/>
      <c r="AN792" s="101"/>
      <c r="AO792" s="101"/>
      <c r="AP792" s="101"/>
      <c r="AQ792" s="101"/>
      <c r="AR792" s="101"/>
      <c r="AS792" s="101"/>
      <c r="AT792" s="101"/>
      <c r="AU792" s="101"/>
      <c r="AV792" s="101"/>
      <c r="AW792" s="101"/>
      <c r="AX792" s="101"/>
      <c r="AY792" s="101"/>
      <c r="AZ792" s="101"/>
      <c r="BA792" s="101"/>
      <c r="BB792" s="101"/>
      <c r="BC792" s="101"/>
      <c r="BD792" s="101"/>
      <c r="BE792" s="101"/>
      <c r="BF792" s="101"/>
      <c r="BG792" s="101"/>
      <c r="BH792" s="101"/>
      <c r="BI792" s="101"/>
      <c r="BJ792" s="101"/>
      <c r="BK792" s="101"/>
      <c r="BL792" s="101"/>
      <c r="BM792" s="101"/>
      <c r="BN792" s="101"/>
      <c r="BO792" s="101"/>
      <c r="BP792" s="101"/>
      <c r="BQ792" s="101"/>
      <c r="BR792" s="101"/>
      <c r="BS792" s="101"/>
      <c r="BT792" s="101"/>
      <c r="BU792" s="101"/>
      <c r="BV792" s="101"/>
      <c r="BW792" s="101"/>
      <c r="BX792" s="101"/>
      <c r="BY792" s="101"/>
      <c r="BZ792" s="101"/>
      <c r="CA792" s="101"/>
      <c r="CB792" s="101"/>
      <c r="CC792" s="101"/>
      <c r="CD792" s="101"/>
      <c r="CE792" s="101"/>
      <c r="CF792" s="101"/>
      <c r="CG792" s="101"/>
      <c r="CH792" s="101"/>
      <c r="CI792" s="101"/>
      <c r="CJ792" s="101"/>
      <c r="CK792" s="101"/>
      <c r="CL792" s="101"/>
      <c r="CM792" s="101"/>
      <c r="CN792" s="101"/>
      <c r="CO792" s="101"/>
      <c r="CP792" s="101"/>
      <c r="CQ792" s="101"/>
      <c r="CR792" s="101"/>
      <c r="CS792" s="101"/>
      <c r="CT792" s="101"/>
      <c r="CU792" s="101"/>
      <c r="CV792" s="101"/>
      <c r="CW792" s="101"/>
      <c r="CX792" s="101"/>
      <c r="CY792" s="101"/>
      <c r="CZ792" s="101"/>
      <c r="DA792" s="101"/>
      <c r="DB792" s="101"/>
      <c r="DC792" s="101"/>
      <c r="DD792" s="101"/>
      <c r="DE792" s="101"/>
      <c r="DF792" s="101"/>
    </row>
    <row r="793">
      <c r="A793" s="29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3"/>
      <c r="U793" s="103"/>
      <c r="V793" s="103"/>
      <c r="W793" s="104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  <c r="AL793" s="101"/>
      <c r="AM793" s="29"/>
      <c r="AN793" s="101"/>
      <c r="AO793" s="101"/>
      <c r="AP793" s="101"/>
      <c r="AQ793" s="101"/>
      <c r="AR793" s="101"/>
      <c r="AS793" s="101"/>
      <c r="AT793" s="101"/>
      <c r="AU793" s="101"/>
      <c r="AV793" s="101"/>
      <c r="AW793" s="101"/>
      <c r="AX793" s="101"/>
      <c r="AY793" s="101"/>
      <c r="AZ793" s="101"/>
      <c r="BA793" s="101"/>
      <c r="BB793" s="101"/>
      <c r="BC793" s="101"/>
      <c r="BD793" s="101"/>
      <c r="BE793" s="101"/>
      <c r="BF793" s="101"/>
      <c r="BG793" s="101"/>
      <c r="BH793" s="101"/>
      <c r="BI793" s="101"/>
      <c r="BJ793" s="101"/>
      <c r="BK793" s="101"/>
      <c r="BL793" s="101"/>
      <c r="BM793" s="101"/>
      <c r="BN793" s="101"/>
      <c r="BO793" s="101"/>
      <c r="BP793" s="101"/>
      <c r="BQ793" s="101"/>
      <c r="BR793" s="101"/>
      <c r="BS793" s="101"/>
      <c r="BT793" s="101"/>
      <c r="BU793" s="101"/>
      <c r="BV793" s="101"/>
      <c r="BW793" s="101"/>
      <c r="BX793" s="101"/>
      <c r="BY793" s="101"/>
      <c r="BZ793" s="101"/>
      <c r="CA793" s="101"/>
      <c r="CB793" s="101"/>
      <c r="CC793" s="101"/>
      <c r="CD793" s="101"/>
      <c r="CE793" s="101"/>
      <c r="CF793" s="101"/>
      <c r="CG793" s="101"/>
      <c r="CH793" s="101"/>
      <c r="CI793" s="101"/>
      <c r="CJ793" s="101"/>
      <c r="CK793" s="101"/>
      <c r="CL793" s="101"/>
      <c r="CM793" s="101"/>
      <c r="CN793" s="101"/>
      <c r="CO793" s="101"/>
      <c r="CP793" s="101"/>
      <c r="CQ793" s="101"/>
      <c r="CR793" s="101"/>
      <c r="CS793" s="101"/>
      <c r="CT793" s="101"/>
      <c r="CU793" s="101"/>
      <c r="CV793" s="101"/>
      <c r="CW793" s="101"/>
      <c r="CX793" s="101"/>
      <c r="CY793" s="101"/>
      <c r="CZ793" s="101"/>
      <c r="DA793" s="101"/>
      <c r="DB793" s="101"/>
      <c r="DC793" s="101"/>
      <c r="DD793" s="101"/>
      <c r="DE793" s="101"/>
      <c r="DF793" s="101"/>
    </row>
    <row r="794">
      <c r="A794" s="29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3"/>
      <c r="U794" s="103"/>
      <c r="V794" s="103"/>
      <c r="W794" s="104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  <c r="AL794" s="101"/>
      <c r="AM794" s="29"/>
      <c r="AN794" s="101"/>
      <c r="AO794" s="101"/>
      <c r="AP794" s="101"/>
      <c r="AQ794" s="101"/>
      <c r="AR794" s="101"/>
      <c r="AS794" s="101"/>
      <c r="AT794" s="101"/>
      <c r="AU794" s="101"/>
      <c r="AV794" s="101"/>
      <c r="AW794" s="101"/>
      <c r="AX794" s="101"/>
      <c r="AY794" s="101"/>
      <c r="AZ794" s="101"/>
      <c r="BA794" s="101"/>
      <c r="BB794" s="101"/>
      <c r="BC794" s="101"/>
      <c r="BD794" s="101"/>
      <c r="BE794" s="101"/>
      <c r="BF794" s="101"/>
      <c r="BG794" s="101"/>
      <c r="BH794" s="101"/>
      <c r="BI794" s="101"/>
      <c r="BJ794" s="101"/>
      <c r="BK794" s="101"/>
      <c r="BL794" s="101"/>
      <c r="BM794" s="101"/>
      <c r="BN794" s="101"/>
      <c r="BO794" s="101"/>
      <c r="BP794" s="101"/>
      <c r="BQ794" s="101"/>
      <c r="BR794" s="101"/>
      <c r="BS794" s="101"/>
      <c r="BT794" s="101"/>
      <c r="BU794" s="101"/>
      <c r="BV794" s="101"/>
      <c r="BW794" s="101"/>
      <c r="BX794" s="101"/>
      <c r="BY794" s="101"/>
      <c r="BZ794" s="101"/>
      <c r="CA794" s="101"/>
      <c r="CB794" s="101"/>
      <c r="CC794" s="101"/>
      <c r="CD794" s="101"/>
      <c r="CE794" s="101"/>
      <c r="CF794" s="101"/>
      <c r="CG794" s="101"/>
      <c r="CH794" s="101"/>
      <c r="CI794" s="101"/>
      <c r="CJ794" s="101"/>
      <c r="CK794" s="101"/>
      <c r="CL794" s="101"/>
      <c r="CM794" s="101"/>
      <c r="CN794" s="101"/>
      <c r="CO794" s="101"/>
      <c r="CP794" s="101"/>
      <c r="CQ794" s="101"/>
      <c r="CR794" s="101"/>
      <c r="CS794" s="101"/>
      <c r="CT794" s="101"/>
      <c r="CU794" s="101"/>
      <c r="CV794" s="101"/>
      <c r="CW794" s="101"/>
      <c r="CX794" s="101"/>
      <c r="CY794" s="101"/>
      <c r="CZ794" s="101"/>
      <c r="DA794" s="101"/>
      <c r="DB794" s="101"/>
      <c r="DC794" s="101"/>
      <c r="DD794" s="101"/>
      <c r="DE794" s="101"/>
      <c r="DF794" s="101"/>
    </row>
    <row r="795">
      <c r="A795" s="29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3"/>
      <c r="U795" s="103"/>
      <c r="V795" s="103"/>
      <c r="W795" s="104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  <c r="AL795" s="101"/>
      <c r="AM795" s="29"/>
      <c r="AN795" s="101"/>
      <c r="AO795" s="101"/>
      <c r="AP795" s="101"/>
      <c r="AQ795" s="101"/>
      <c r="AR795" s="101"/>
      <c r="AS795" s="101"/>
      <c r="AT795" s="101"/>
      <c r="AU795" s="101"/>
      <c r="AV795" s="101"/>
      <c r="AW795" s="101"/>
      <c r="AX795" s="101"/>
      <c r="AY795" s="101"/>
      <c r="AZ795" s="101"/>
      <c r="BA795" s="101"/>
      <c r="BB795" s="101"/>
      <c r="BC795" s="101"/>
      <c r="BD795" s="101"/>
      <c r="BE795" s="101"/>
      <c r="BF795" s="101"/>
      <c r="BG795" s="101"/>
      <c r="BH795" s="101"/>
      <c r="BI795" s="101"/>
      <c r="BJ795" s="101"/>
      <c r="BK795" s="101"/>
      <c r="BL795" s="101"/>
      <c r="BM795" s="101"/>
      <c r="BN795" s="101"/>
      <c r="BO795" s="101"/>
      <c r="BP795" s="101"/>
      <c r="BQ795" s="101"/>
      <c r="BR795" s="101"/>
      <c r="BS795" s="101"/>
      <c r="BT795" s="101"/>
      <c r="BU795" s="101"/>
      <c r="BV795" s="101"/>
      <c r="BW795" s="101"/>
      <c r="BX795" s="101"/>
      <c r="BY795" s="101"/>
      <c r="BZ795" s="101"/>
      <c r="CA795" s="101"/>
      <c r="CB795" s="101"/>
      <c r="CC795" s="101"/>
      <c r="CD795" s="101"/>
      <c r="CE795" s="101"/>
      <c r="CF795" s="101"/>
      <c r="CG795" s="101"/>
      <c r="CH795" s="101"/>
      <c r="CI795" s="101"/>
      <c r="CJ795" s="101"/>
      <c r="CK795" s="101"/>
      <c r="CL795" s="101"/>
      <c r="CM795" s="101"/>
      <c r="CN795" s="101"/>
      <c r="CO795" s="101"/>
      <c r="CP795" s="101"/>
      <c r="CQ795" s="101"/>
      <c r="CR795" s="101"/>
      <c r="CS795" s="101"/>
      <c r="CT795" s="101"/>
      <c r="CU795" s="101"/>
      <c r="CV795" s="101"/>
      <c r="CW795" s="101"/>
      <c r="CX795" s="101"/>
      <c r="CY795" s="101"/>
      <c r="CZ795" s="101"/>
      <c r="DA795" s="101"/>
      <c r="DB795" s="101"/>
      <c r="DC795" s="101"/>
      <c r="DD795" s="101"/>
      <c r="DE795" s="101"/>
      <c r="DF795" s="101"/>
    </row>
    <row r="796">
      <c r="A796" s="29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3"/>
      <c r="U796" s="103"/>
      <c r="V796" s="103"/>
      <c r="W796" s="104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  <c r="AL796" s="101"/>
      <c r="AM796" s="29"/>
      <c r="AN796" s="101"/>
      <c r="AO796" s="101"/>
      <c r="AP796" s="101"/>
      <c r="AQ796" s="101"/>
      <c r="AR796" s="101"/>
      <c r="AS796" s="101"/>
      <c r="AT796" s="101"/>
      <c r="AU796" s="101"/>
      <c r="AV796" s="101"/>
      <c r="AW796" s="101"/>
      <c r="AX796" s="101"/>
      <c r="AY796" s="101"/>
      <c r="AZ796" s="101"/>
      <c r="BA796" s="101"/>
      <c r="BB796" s="101"/>
      <c r="BC796" s="101"/>
      <c r="BD796" s="101"/>
      <c r="BE796" s="101"/>
      <c r="BF796" s="101"/>
      <c r="BG796" s="101"/>
      <c r="BH796" s="101"/>
      <c r="BI796" s="101"/>
      <c r="BJ796" s="101"/>
      <c r="BK796" s="101"/>
      <c r="BL796" s="101"/>
      <c r="BM796" s="101"/>
      <c r="BN796" s="101"/>
      <c r="BO796" s="101"/>
      <c r="BP796" s="101"/>
      <c r="BQ796" s="101"/>
      <c r="BR796" s="101"/>
      <c r="BS796" s="101"/>
      <c r="BT796" s="101"/>
      <c r="BU796" s="101"/>
      <c r="BV796" s="101"/>
      <c r="BW796" s="101"/>
      <c r="BX796" s="101"/>
      <c r="BY796" s="101"/>
      <c r="BZ796" s="101"/>
      <c r="CA796" s="101"/>
      <c r="CB796" s="101"/>
      <c r="CC796" s="101"/>
      <c r="CD796" s="101"/>
      <c r="CE796" s="101"/>
      <c r="CF796" s="101"/>
      <c r="CG796" s="101"/>
      <c r="CH796" s="101"/>
      <c r="CI796" s="101"/>
      <c r="CJ796" s="101"/>
      <c r="CK796" s="101"/>
      <c r="CL796" s="101"/>
      <c r="CM796" s="101"/>
      <c r="CN796" s="101"/>
      <c r="CO796" s="101"/>
      <c r="CP796" s="101"/>
      <c r="CQ796" s="101"/>
      <c r="CR796" s="101"/>
      <c r="CS796" s="101"/>
      <c r="CT796" s="101"/>
      <c r="CU796" s="101"/>
      <c r="CV796" s="101"/>
      <c r="CW796" s="101"/>
      <c r="CX796" s="101"/>
      <c r="CY796" s="101"/>
      <c r="CZ796" s="101"/>
      <c r="DA796" s="101"/>
      <c r="DB796" s="101"/>
      <c r="DC796" s="101"/>
      <c r="DD796" s="101"/>
      <c r="DE796" s="101"/>
      <c r="DF796" s="101"/>
    </row>
    <row r="797">
      <c r="A797" s="29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3"/>
      <c r="U797" s="103"/>
      <c r="V797" s="103"/>
      <c r="W797" s="104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  <c r="AL797" s="101"/>
      <c r="AM797" s="29"/>
      <c r="AN797" s="101"/>
      <c r="AO797" s="101"/>
      <c r="AP797" s="101"/>
      <c r="AQ797" s="101"/>
      <c r="AR797" s="101"/>
      <c r="AS797" s="101"/>
      <c r="AT797" s="101"/>
      <c r="AU797" s="101"/>
      <c r="AV797" s="101"/>
      <c r="AW797" s="101"/>
      <c r="AX797" s="101"/>
      <c r="AY797" s="101"/>
      <c r="AZ797" s="101"/>
      <c r="BA797" s="101"/>
      <c r="BB797" s="101"/>
      <c r="BC797" s="101"/>
      <c r="BD797" s="101"/>
      <c r="BE797" s="101"/>
      <c r="BF797" s="101"/>
      <c r="BG797" s="101"/>
      <c r="BH797" s="101"/>
      <c r="BI797" s="101"/>
      <c r="BJ797" s="101"/>
      <c r="BK797" s="101"/>
      <c r="BL797" s="101"/>
      <c r="BM797" s="101"/>
      <c r="BN797" s="101"/>
      <c r="BO797" s="101"/>
      <c r="BP797" s="101"/>
      <c r="BQ797" s="101"/>
      <c r="BR797" s="101"/>
      <c r="BS797" s="101"/>
      <c r="BT797" s="101"/>
      <c r="BU797" s="101"/>
      <c r="BV797" s="101"/>
      <c r="BW797" s="101"/>
      <c r="BX797" s="101"/>
      <c r="BY797" s="101"/>
      <c r="BZ797" s="101"/>
      <c r="CA797" s="101"/>
      <c r="CB797" s="101"/>
      <c r="CC797" s="101"/>
      <c r="CD797" s="101"/>
      <c r="CE797" s="101"/>
      <c r="CF797" s="101"/>
      <c r="CG797" s="101"/>
      <c r="CH797" s="101"/>
      <c r="CI797" s="101"/>
      <c r="CJ797" s="101"/>
      <c r="CK797" s="101"/>
      <c r="CL797" s="101"/>
      <c r="CM797" s="101"/>
      <c r="CN797" s="101"/>
      <c r="CO797" s="101"/>
      <c r="CP797" s="101"/>
      <c r="CQ797" s="101"/>
      <c r="CR797" s="101"/>
      <c r="CS797" s="101"/>
      <c r="CT797" s="101"/>
      <c r="CU797" s="101"/>
      <c r="CV797" s="101"/>
      <c r="CW797" s="101"/>
      <c r="CX797" s="101"/>
      <c r="CY797" s="101"/>
      <c r="CZ797" s="101"/>
      <c r="DA797" s="101"/>
      <c r="DB797" s="101"/>
      <c r="DC797" s="101"/>
      <c r="DD797" s="101"/>
      <c r="DE797" s="101"/>
      <c r="DF797" s="101"/>
    </row>
    <row r="798">
      <c r="A798" s="29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3"/>
      <c r="U798" s="103"/>
      <c r="V798" s="103"/>
      <c r="W798" s="104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  <c r="AL798" s="101"/>
      <c r="AM798" s="29"/>
      <c r="AN798" s="101"/>
      <c r="AO798" s="101"/>
      <c r="AP798" s="101"/>
      <c r="AQ798" s="101"/>
      <c r="AR798" s="101"/>
      <c r="AS798" s="101"/>
      <c r="AT798" s="101"/>
      <c r="AU798" s="101"/>
      <c r="AV798" s="101"/>
      <c r="AW798" s="101"/>
      <c r="AX798" s="101"/>
      <c r="AY798" s="101"/>
      <c r="AZ798" s="101"/>
      <c r="BA798" s="101"/>
      <c r="BB798" s="101"/>
      <c r="BC798" s="101"/>
      <c r="BD798" s="101"/>
      <c r="BE798" s="101"/>
      <c r="BF798" s="101"/>
      <c r="BG798" s="101"/>
      <c r="BH798" s="101"/>
      <c r="BI798" s="101"/>
      <c r="BJ798" s="101"/>
      <c r="BK798" s="101"/>
      <c r="BL798" s="101"/>
      <c r="BM798" s="101"/>
      <c r="BN798" s="101"/>
      <c r="BO798" s="101"/>
      <c r="BP798" s="101"/>
      <c r="BQ798" s="101"/>
      <c r="BR798" s="101"/>
      <c r="BS798" s="101"/>
      <c r="BT798" s="101"/>
      <c r="BU798" s="101"/>
      <c r="BV798" s="101"/>
      <c r="BW798" s="101"/>
      <c r="BX798" s="101"/>
      <c r="BY798" s="101"/>
      <c r="BZ798" s="101"/>
      <c r="CA798" s="101"/>
      <c r="CB798" s="101"/>
      <c r="CC798" s="101"/>
      <c r="CD798" s="101"/>
      <c r="CE798" s="101"/>
      <c r="CF798" s="101"/>
      <c r="CG798" s="101"/>
      <c r="CH798" s="101"/>
      <c r="CI798" s="101"/>
      <c r="CJ798" s="101"/>
      <c r="CK798" s="101"/>
      <c r="CL798" s="101"/>
      <c r="CM798" s="101"/>
      <c r="CN798" s="101"/>
      <c r="CO798" s="101"/>
      <c r="CP798" s="101"/>
      <c r="CQ798" s="101"/>
      <c r="CR798" s="101"/>
      <c r="CS798" s="101"/>
      <c r="CT798" s="101"/>
      <c r="CU798" s="101"/>
      <c r="CV798" s="101"/>
      <c r="CW798" s="101"/>
      <c r="CX798" s="101"/>
      <c r="CY798" s="101"/>
      <c r="CZ798" s="101"/>
      <c r="DA798" s="101"/>
      <c r="DB798" s="101"/>
      <c r="DC798" s="101"/>
      <c r="DD798" s="101"/>
      <c r="DE798" s="101"/>
      <c r="DF798" s="101"/>
    </row>
    <row r="799">
      <c r="A799" s="29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3"/>
      <c r="U799" s="103"/>
      <c r="V799" s="103"/>
      <c r="W799" s="104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  <c r="AL799" s="101"/>
      <c r="AM799" s="29"/>
      <c r="AN799" s="101"/>
      <c r="AO799" s="101"/>
      <c r="AP799" s="101"/>
      <c r="AQ799" s="101"/>
      <c r="AR799" s="101"/>
      <c r="AS799" s="101"/>
      <c r="AT799" s="101"/>
      <c r="AU799" s="101"/>
      <c r="AV799" s="101"/>
      <c r="AW799" s="101"/>
      <c r="AX799" s="101"/>
      <c r="AY799" s="101"/>
      <c r="AZ799" s="101"/>
      <c r="BA799" s="101"/>
      <c r="BB799" s="101"/>
      <c r="BC799" s="101"/>
      <c r="BD799" s="101"/>
      <c r="BE799" s="101"/>
      <c r="BF799" s="101"/>
      <c r="BG799" s="101"/>
      <c r="BH799" s="101"/>
      <c r="BI799" s="101"/>
      <c r="BJ799" s="101"/>
      <c r="BK799" s="101"/>
      <c r="BL799" s="101"/>
      <c r="BM799" s="101"/>
      <c r="BN799" s="101"/>
      <c r="BO799" s="101"/>
      <c r="BP799" s="101"/>
      <c r="BQ799" s="101"/>
      <c r="BR799" s="101"/>
      <c r="BS799" s="101"/>
      <c r="BT799" s="101"/>
      <c r="BU799" s="101"/>
      <c r="BV799" s="101"/>
      <c r="BW799" s="101"/>
      <c r="BX799" s="101"/>
      <c r="BY799" s="101"/>
      <c r="BZ799" s="101"/>
      <c r="CA799" s="101"/>
      <c r="CB799" s="101"/>
      <c r="CC799" s="101"/>
      <c r="CD799" s="101"/>
      <c r="CE799" s="101"/>
      <c r="CF799" s="101"/>
      <c r="CG799" s="101"/>
      <c r="CH799" s="101"/>
      <c r="CI799" s="101"/>
      <c r="CJ799" s="101"/>
      <c r="CK799" s="101"/>
      <c r="CL799" s="101"/>
      <c r="CM799" s="101"/>
      <c r="CN799" s="101"/>
      <c r="CO799" s="101"/>
      <c r="CP799" s="101"/>
      <c r="CQ799" s="101"/>
      <c r="CR799" s="101"/>
      <c r="CS799" s="101"/>
      <c r="CT799" s="101"/>
      <c r="CU799" s="101"/>
      <c r="CV799" s="101"/>
      <c r="CW799" s="101"/>
      <c r="CX799" s="101"/>
      <c r="CY799" s="101"/>
      <c r="CZ799" s="101"/>
      <c r="DA799" s="101"/>
      <c r="DB799" s="101"/>
      <c r="DC799" s="101"/>
      <c r="DD799" s="101"/>
      <c r="DE799" s="101"/>
      <c r="DF799" s="101"/>
    </row>
    <row r="800">
      <c r="A800" s="29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3"/>
      <c r="U800" s="103"/>
      <c r="V800" s="103"/>
      <c r="W800" s="104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  <c r="AM800" s="29"/>
      <c r="AN800" s="101"/>
      <c r="AO800" s="101"/>
      <c r="AP800" s="101"/>
      <c r="AQ800" s="101"/>
      <c r="AR800" s="101"/>
      <c r="AS800" s="101"/>
      <c r="AT800" s="101"/>
      <c r="AU800" s="101"/>
      <c r="AV800" s="101"/>
      <c r="AW800" s="101"/>
      <c r="AX800" s="101"/>
      <c r="AY800" s="101"/>
      <c r="AZ800" s="101"/>
      <c r="BA800" s="101"/>
      <c r="BB800" s="101"/>
      <c r="BC800" s="101"/>
      <c r="BD800" s="101"/>
      <c r="BE800" s="101"/>
      <c r="BF800" s="101"/>
      <c r="BG800" s="101"/>
      <c r="BH800" s="101"/>
      <c r="BI800" s="101"/>
      <c r="BJ800" s="101"/>
      <c r="BK800" s="101"/>
      <c r="BL800" s="101"/>
      <c r="BM800" s="101"/>
      <c r="BN800" s="101"/>
      <c r="BO800" s="101"/>
      <c r="BP800" s="101"/>
      <c r="BQ800" s="101"/>
      <c r="BR800" s="101"/>
      <c r="BS800" s="101"/>
      <c r="BT800" s="101"/>
      <c r="BU800" s="101"/>
      <c r="BV800" s="101"/>
      <c r="BW800" s="101"/>
      <c r="BX800" s="101"/>
      <c r="BY800" s="101"/>
      <c r="BZ800" s="101"/>
      <c r="CA800" s="101"/>
      <c r="CB800" s="101"/>
      <c r="CC800" s="101"/>
      <c r="CD800" s="101"/>
      <c r="CE800" s="101"/>
      <c r="CF800" s="101"/>
      <c r="CG800" s="101"/>
      <c r="CH800" s="101"/>
      <c r="CI800" s="101"/>
      <c r="CJ800" s="101"/>
      <c r="CK800" s="101"/>
      <c r="CL800" s="101"/>
      <c r="CM800" s="101"/>
      <c r="CN800" s="101"/>
      <c r="CO800" s="101"/>
      <c r="CP800" s="101"/>
      <c r="CQ800" s="101"/>
      <c r="CR800" s="101"/>
      <c r="CS800" s="101"/>
      <c r="CT800" s="101"/>
      <c r="CU800" s="101"/>
      <c r="CV800" s="101"/>
      <c r="CW800" s="101"/>
      <c r="CX800" s="101"/>
      <c r="CY800" s="101"/>
      <c r="CZ800" s="101"/>
      <c r="DA800" s="101"/>
      <c r="DB800" s="101"/>
      <c r="DC800" s="101"/>
      <c r="DD800" s="101"/>
      <c r="DE800" s="101"/>
      <c r="DF800" s="101"/>
    </row>
    <row r="801">
      <c r="A801" s="29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3"/>
      <c r="U801" s="103"/>
      <c r="V801" s="103"/>
      <c r="W801" s="104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  <c r="AL801" s="101"/>
      <c r="AM801" s="29"/>
      <c r="AN801" s="101"/>
      <c r="AO801" s="101"/>
      <c r="AP801" s="101"/>
      <c r="AQ801" s="101"/>
      <c r="AR801" s="101"/>
      <c r="AS801" s="101"/>
      <c r="AT801" s="101"/>
      <c r="AU801" s="101"/>
      <c r="AV801" s="101"/>
      <c r="AW801" s="101"/>
      <c r="AX801" s="101"/>
      <c r="AY801" s="101"/>
      <c r="AZ801" s="101"/>
      <c r="BA801" s="101"/>
      <c r="BB801" s="101"/>
      <c r="BC801" s="101"/>
      <c r="BD801" s="101"/>
      <c r="BE801" s="101"/>
      <c r="BF801" s="101"/>
      <c r="BG801" s="101"/>
      <c r="BH801" s="101"/>
      <c r="BI801" s="101"/>
      <c r="BJ801" s="101"/>
      <c r="BK801" s="101"/>
      <c r="BL801" s="101"/>
      <c r="BM801" s="101"/>
      <c r="BN801" s="101"/>
      <c r="BO801" s="101"/>
      <c r="BP801" s="101"/>
      <c r="BQ801" s="101"/>
      <c r="BR801" s="101"/>
      <c r="BS801" s="101"/>
      <c r="BT801" s="101"/>
      <c r="BU801" s="101"/>
      <c r="BV801" s="101"/>
      <c r="BW801" s="101"/>
      <c r="BX801" s="101"/>
      <c r="BY801" s="101"/>
      <c r="BZ801" s="101"/>
      <c r="CA801" s="101"/>
      <c r="CB801" s="101"/>
      <c r="CC801" s="101"/>
      <c r="CD801" s="101"/>
      <c r="CE801" s="101"/>
      <c r="CF801" s="101"/>
      <c r="CG801" s="101"/>
      <c r="CH801" s="101"/>
      <c r="CI801" s="101"/>
      <c r="CJ801" s="101"/>
      <c r="CK801" s="101"/>
      <c r="CL801" s="101"/>
      <c r="CM801" s="101"/>
      <c r="CN801" s="101"/>
      <c r="CO801" s="101"/>
      <c r="CP801" s="101"/>
      <c r="CQ801" s="101"/>
      <c r="CR801" s="101"/>
      <c r="CS801" s="101"/>
      <c r="CT801" s="101"/>
      <c r="CU801" s="101"/>
      <c r="CV801" s="101"/>
      <c r="CW801" s="101"/>
      <c r="CX801" s="101"/>
      <c r="CY801" s="101"/>
      <c r="CZ801" s="101"/>
      <c r="DA801" s="101"/>
      <c r="DB801" s="101"/>
      <c r="DC801" s="101"/>
      <c r="DD801" s="101"/>
      <c r="DE801" s="101"/>
      <c r="DF801" s="101"/>
    </row>
    <row r="802">
      <c r="A802" s="29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3"/>
      <c r="U802" s="103"/>
      <c r="V802" s="103"/>
      <c r="W802" s="104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  <c r="AL802" s="101"/>
      <c r="AM802" s="29"/>
      <c r="AN802" s="101"/>
      <c r="AO802" s="101"/>
      <c r="AP802" s="101"/>
      <c r="AQ802" s="101"/>
      <c r="AR802" s="101"/>
      <c r="AS802" s="101"/>
      <c r="AT802" s="101"/>
      <c r="AU802" s="101"/>
      <c r="AV802" s="101"/>
      <c r="AW802" s="101"/>
      <c r="AX802" s="101"/>
      <c r="AY802" s="101"/>
      <c r="AZ802" s="101"/>
      <c r="BA802" s="101"/>
      <c r="BB802" s="101"/>
      <c r="BC802" s="101"/>
      <c r="BD802" s="101"/>
      <c r="BE802" s="101"/>
      <c r="BF802" s="101"/>
      <c r="BG802" s="101"/>
      <c r="BH802" s="101"/>
      <c r="BI802" s="101"/>
      <c r="BJ802" s="101"/>
      <c r="BK802" s="101"/>
      <c r="BL802" s="101"/>
      <c r="BM802" s="101"/>
      <c r="BN802" s="101"/>
      <c r="BO802" s="101"/>
      <c r="BP802" s="101"/>
      <c r="BQ802" s="101"/>
      <c r="BR802" s="101"/>
      <c r="BS802" s="101"/>
      <c r="BT802" s="101"/>
      <c r="BU802" s="101"/>
      <c r="BV802" s="101"/>
      <c r="BW802" s="101"/>
      <c r="BX802" s="101"/>
      <c r="BY802" s="101"/>
      <c r="BZ802" s="101"/>
      <c r="CA802" s="101"/>
      <c r="CB802" s="101"/>
      <c r="CC802" s="101"/>
      <c r="CD802" s="101"/>
      <c r="CE802" s="101"/>
      <c r="CF802" s="101"/>
      <c r="CG802" s="101"/>
      <c r="CH802" s="101"/>
      <c r="CI802" s="101"/>
      <c r="CJ802" s="101"/>
      <c r="CK802" s="101"/>
      <c r="CL802" s="101"/>
      <c r="CM802" s="101"/>
      <c r="CN802" s="101"/>
      <c r="CO802" s="101"/>
      <c r="CP802" s="101"/>
      <c r="CQ802" s="101"/>
      <c r="CR802" s="101"/>
      <c r="CS802" s="101"/>
      <c r="CT802" s="101"/>
      <c r="CU802" s="101"/>
      <c r="CV802" s="101"/>
      <c r="CW802" s="101"/>
      <c r="CX802" s="101"/>
      <c r="CY802" s="101"/>
      <c r="CZ802" s="101"/>
      <c r="DA802" s="101"/>
      <c r="DB802" s="101"/>
      <c r="DC802" s="101"/>
      <c r="DD802" s="101"/>
      <c r="DE802" s="101"/>
      <c r="DF802" s="101"/>
    </row>
    <row r="803">
      <c r="A803" s="29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3"/>
      <c r="U803" s="103"/>
      <c r="V803" s="103"/>
      <c r="W803" s="104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  <c r="AL803" s="101"/>
      <c r="AM803" s="29"/>
      <c r="AN803" s="101"/>
      <c r="AO803" s="101"/>
      <c r="AP803" s="101"/>
      <c r="AQ803" s="101"/>
      <c r="AR803" s="101"/>
      <c r="AS803" s="101"/>
      <c r="AT803" s="101"/>
      <c r="AU803" s="101"/>
      <c r="AV803" s="101"/>
      <c r="AW803" s="101"/>
      <c r="AX803" s="101"/>
      <c r="AY803" s="101"/>
      <c r="AZ803" s="101"/>
      <c r="BA803" s="101"/>
      <c r="BB803" s="101"/>
      <c r="BC803" s="101"/>
      <c r="BD803" s="101"/>
      <c r="BE803" s="101"/>
      <c r="BF803" s="101"/>
      <c r="BG803" s="101"/>
      <c r="BH803" s="101"/>
      <c r="BI803" s="101"/>
      <c r="BJ803" s="101"/>
      <c r="BK803" s="101"/>
      <c r="BL803" s="101"/>
      <c r="BM803" s="101"/>
      <c r="BN803" s="101"/>
      <c r="BO803" s="101"/>
      <c r="BP803" s="101"/>
      <c r="BQ803" s="101"/>
      <c r="BR803" s="101"/>
      <c r="BS803" s="101"/>
      <c r="BT803" s="101"/>
      <c r="BU803" s="101"/>
      <c r="BV803" s="101"/>
      <c r="BW803" s="101"/>
      <c r="BX803" s="101"/>
      <c r="BY803" s="101"/>
      <c r="BZ803" s="101"/>
      <c r="CA803" s="101"/>
      <c r="CB803" s="101"/>
      <c r="CC803" s="101"/>
      <c r="CD803" s="101"/>
      <c r="CE803" s="101"/>
      <c r="CF803" s="101"/>
      <c r="CG803" s="101"/>
      <c r="CH803" s="101"/>
      <c r="CI803" s="101"/>
      <c r="CJ803" s="101"/>
      <c r="CK803" s="101"/>
      <c r="CL803" s="101"/>
      <c r="CM803" s="101"/>
      <c r="CN803" s="101"/>
      <c r="CO803" s="101"/>
      <c r="CP803" s="101"/>
      <c r="CQ803" s="101"/>
      <c r="CR803" s="101"/>
      <c r="CS803" s="101"/>
      <c r="CT803" s="101"/>
      <c r="CU803" s="101"/>
      <c r="CV803" s="101"/>
      <c r="CW803" s="101"/>
      <c r="CX803" s="101"/>
      <c r="CY803" s="101"/>
      <c r="CZ803" s="101"/>
      <c r="DA803" s="101"/>
      <c r="DB803" s="101"/>
      <c r="DC803" s="101"/>
      <c r="DD803" s="101"/>
      <c r="DE803" s="101"/>
      <c r="DF803" s="101"/>
    </row>
    <row r="804">
      <c r="A804" s="29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3"/>
      <c r="U804" s="103"/>
      <c r="V804" s="103"/>
      <c r="W804" s="104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  <c r="AL804" s="101"/>
      <c r="AM804" s="29"/>
      <c r="AN804" s="101"/>
      <c r="AO804" s="101"/>
      <c r="AP804" s="101"/>
      <c r="AQ804" s="101"/>
      <c r="AR804" s="101"/>
      <c r="AS804" s="101"/>
      <c r="AT804" s="101"/>
      <c r="AU804" s="101"/>
      <c r="AV804" s="101"/>
      <c r="AW804" s="101"/>
      <c r="AX804" s="101"/>
      <c r="AY804" s="101"/>
      <c r="AZ804" s="101"/>
      <c r="BA804" s="101"/>
      <c r="BB804" s="101"/>
      <c r="BC804" s="101"/>
      <c r="BD804" s="101"/>
      <c r="BE804" s="101"/>
      <c r="BF804" s="101"/>
      <c r="BG804" s="101"/>
      <c r="BH804" s="101"/>
      <c r="BI804" s="101"/>
      <c r="BJ804" s="101"/>
      <c r="BK804" s="101"/>
      <c r="BL804" s="101"/>
      <c r="BM804" s="101"/>
      <c r="BN804" s="101"/>
      <c r="BO804" s="101"/>
      <c r="BP804" s="101"/>
      <c r="BQ804" s="101"/>
      <c r="BR804" s="101"/>
      <c r="BS804" s="101"/>
      <c r="BT804" s="101"/>
      <c r="BU804" s="101"/>
      <c r="BV804" s="101"/>
      <c r="BW804" s="101"/>
      <c r="BX804" s="101"/>
      <c r="BY804" s="101"/>
      <c r="BZ804" s="101"/>
      <c r="CA804" s="101"/>
      <c r="CB804" s="101"/>
      <c r="CC804" s="101"/>
      <c r="CD804" s="101"/>
      <c r="CE804" s="101"/>
      <c r="CF804" s="101"/>
      <c r="CG804" s="101"/>
      <c r="CH804" s="101"/>
      <c r="CI804" s="101"/>
      <c r="CJ804" s="101"/>
      <c r="CK804" s="101"/>
      <c r="CL804" s="101"/>
      <c r="CM804" s="101"/>
      <c r="CN804" s="101"/>
      <c r="CO804" s="101"/>
      <c r="CP804" s="101"/>
      <c r="CQ804" s="101"/>
      <c r="CR804" s="101"/>
      <c r="CS804" s="101"/>
      <c r="CT804" s="101"/>
      <c r="CU804" s="101"/>
      <c r="CV804" s="101"/>
      <c r="CW804" s="101"/>
      <c r="CX804" s="101"/>
      <c r="CY804" s="101"/>
      <c r="CZ804" s="101"/>
      <c r="DA804" s="101"/>
      <c r="DB804" s="101"/>
      <c r="DC804" s="101"/>
      <c r="DD804" s="101"/>
      <c r="DE804" s="101"/>
      <c r="DF804" s="101"/>
    </row>
    <row r="805">
      <c r="A805" s="29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3"/>
      <c r="U805" s="103"/>
      <c r="V805" s="103"/>
      <c r="W805" s="104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  <c r="AL805" s="101"/>
      <c r="AM805" s="29"/>
      <c r="AN805" s="101"/>
      <c r="AO805" s="101"/>
      <c r="AP805" s="101"/>
      <c r="AQ805" s="101"/>
      <c r="AR805" s="101"/>
      <c r="AS805" s="101"/>
      <c r="AT805" s="101"/>
      <c r="AU805" s="101"/>
      <c r="AV805" s="101"/>
      <c r="AW805" s="101"/>
      <c r="AX805" s="101"/>
      <c r="AY805" s="101"/>
      <c r="AZ805" s="101"/>
      <c r="BA805" s="101"/>
      <c r="BB805" s="101"/>
      <c r="BC805" s="101"/>
      <c r="BD805" s="101"/>
      <c r="BE805" s="101"/>
      <c r="BF805" s="101"/>
      <c r="BG805" s="101"/>
      <c r="BH805" s="101"/>
      <c r="BI805" s="101"/>
      <c r="BJ805" s="101"/>
      <c r="BK805" s="101"/>
      <c r="BL805" s="101"/>
      <c r="BM805" s="101"/>
      <c r="BN805" s="101"/>
      <c r="BO805" s="101"/>
      <c r="BP805" s="101"/>
      <c r="BQ805" s="101"/>
      <c r="BR805" s="101"/>
      <c r="BS805" s="101"/>
      <c r="BT805" s="101"/>
      <c r="BU805" s="101"/>
      <c r="BV805" s="101"/>
      <c r="BW805" s="101"/>
      <c r="BX805" s="101"/>
      <c r="BY805" s="101"/>
      <c r="BZ805" s="101"/>
      <c r="CA805" s="101"/>
      <c r="CB805" s="101"/>
      <c r="CC805" s="101"/>
      <c r="CD805" s="101"/>
      <c r="CE805" s="101"/>
      <c r="CF805" s="101"/>
      <c r="CG805" s="101"/>
      <c r="CH805" s="101"/>
      <c r="CI805" s="101"/>
      <c r="CJ805" s="101"/>
      <c r="CK805" s="101"/>
      <c r="CL805" s="101"/>
      <c r="CM805" s="101"/>
      <c r="CN805" s="101"/>
      <c r="CO805" s="101"/>
      <c r="CP805" s="101"/>
      <c r="CQ805" s="101"/>
      <c r="CR805" s="101"/>
      <c r="CS805" s="101"/>
      <c r="CT805" s="101"/>
      <c r="CU805" s="101"/>
      <c r="CV805" s="101"/>
      <c r="CW805" s="101"/>
      <c r="CX805" s="101"/>
      <c r="CY805" s="101"/>
      <c r="CZ805" s="101"/>
      <c r="DA805" s="101"/>
      <c r="DB805" s="101"/>
      <c r="DC805" s="101"/>
      <c r="DD805" s="101"/>
      <c r="DE805" s="101"/>
      <c r="DF805" s="101"/>
    </row>
    <row r="806">
      <c r="A806" s="29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3"/>
      <c r="U806" s="103"/>
      <c r="V806" s="103"/>
      <c r="W806" s="104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  <c r="AL806" s="101"/>
      <c r="AM806" s="29"/>
      <c r="AN806" s="101"/>
      <c r="AO806" s="101"/>
      <c r="AP806" s="101"/>
      <c r="AQ806" s="101"/>
      <c r="AR806" s="101"/>
      <c r="AS806" s="101"/>
      <c r="AT806" s="101"/>
      <c r="AU806" s="101"/>
      <c r="AV806" s="101"/>
      <c r="AW806" s="101"/>
      <c r="AX806" s="101"/>
      <c r="AY806" s="101"/>
      <c r="AZ806" s="101"/>
      <c r="BA806" s="101"/>
      <c r="BB806" s="101"/>
      <c r="BC806" s="101"/>
      <c r="BD806" s="101"/>
      <c r="BE806" s="101"/>
      <c r="BF806" s="101"/>
      <c r="BG806" s="101"/>
      <c r="BH806" s="101"/>
      <c r="BI806" s="101"/>
      <c r="BJ806" s="101"/>
      <c r="BK806" s="101"/>
      <c r="BL806" s="101"/>
      <c r="BM806" s="101"/>
      <c r="BN806" s="101"/>
      <c r="BO806" s="101"/>
      <c r="BP806" s="101"/>
      <c r="BQ806" s="101"/>
      <c r="BR806" s="101"/>
      <c r="BS806" s="101"/>
      <c r="BT806" s="101"/>
      <c r="BU806" s="101"/>
      <c r="BV806" s="101"/>
      <c r="BW806" s="101"/>
      <c r="BX806" s="101"/>
      <c r="BY806" s="101"/>
      <c r="BZ806" s="101"/>
      <c r="CA806" s="101"/>
      <c r="CB806" s="101"/>
      <c r="CC806" s="101"/>
      <c r="CD806" s="101"/>
      <c r="CE806" s="101"/>
      <c r="CF806" s="101"/>
      <c r="CG806" s="101"/>
      <c r="CH806" s="101"/>
      <c r="CI806" s="101"/>
      <c r="CJ806" s="101"/>
      <c r="CK806" s="101"/>
      <c r="CL806" s="101"/>
      <c r="CM806" s="101"/>
      <c r="CN806" s="101"/>
      <c r="CO806" s="101"/>
      <c r="CP806" s="101"/>
      <c r="CQ806" s="101"/>
      <c r="CR806" s="101"/>
      <c r="CS806" s="101"/>
      <c r="CT806" s="101"/>
      <c r="CU806" s="101"/>
      <c r="CV806" s="101"/>
      <c r="CW806" s="101"/>
      <c r="CX806" s="101"/>
      <c r="CY806" s="101"/>
      <c r="CZ806" s="101"/>
      <c r="DA806" s="101"/>
      <c r="DB806" s="101"/>
      <c r="DC806" s="101"/>
      <c r="DD806" s="101"/>
      <c r="DE806" s="101"/>
      <c r="DF806" s="101"/>
    </row>
    <row r="807">
      <c r="A807" s="29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3"/>
      <c r="U807" s="103"/>
      <c r="V807" s="103"/>
      <c r="W807" s="104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  <c r="AL807" s="101"/>
      <c r="AM807" s="29"/>
      <c r="AN807" s="101"/>
      <c r="AO807" s="101"/>
      <c r="AP807" s="101"/>
      <c r="AQ807" s="101"/>
      <c r="AR807" s="101"/>
      <c r="AS807" s="101"/>
      <c r="AT807" s="101"/>
      <c r="AU807" s="101"/>
      <c r="AV807" s="101"/>
      <c r="AW807" s="101"/>
      <c r="AX807" s="101"/>
      <c r="AY807" s="101"/>
      <c r="AZ807" s="101"/>
      <c r="BA807" s="101"/>
      <c r="BB807" s="101"/>
      <c r="BC807" s="101"/>
      <c r="BD807" s="101"/>
      <c r="BE807" s="101"/>
      <c r="BF807" s="101"/>
      <c r="BG807" s="101"/>
      <c r="BH807" s="101"/>
      <c r="BI807" s="101"/>
      <c r="BJ807" s="101"/>
      <c r="BK807" s="101"/>
      <c r="BL807" s="101"/>
      <c r="BM807" s="101"/>
      <c r="BN807" s="101"/>
      <c r="BO807" s="101"/>
      <c r="BP807" s="101"/>
      <c r="BQ807" s="101"/>
      <c r="BR807" s="101"/>
      <c r="BS807" s="101"/>
      <c r="BT807" s="101"/>
      <c r="BU807" s="101"/>
      <c r="BV807" s="101"/>
      <c r="BW807" s="101"/>
      <c r="BX807" s="101"/>
      <c r="BY807" s="101"/>
      <c r="BZ807" s="101"/>
      <c r="CA807" s="101"/>
      <c r="CB807" s="101"/>
      <c r="CC807" s="101"/>
      <c r="CD807" s="101"/>
      <c r="CE807" s="101"/>
      <c r="CF807" s="101"/>
      <c r="CG807" s="101"/>
      <c r="CH807" s="101"/>
      <c r="CI807" s="101"/>
      <c r="CJ807" s="101"/>
      <c r="CK807" s="101"/>
      <c r="CL807" s="101"/>
      <c r="CM807" s="101"/>
      <c r="CN807" s="101"/>
      <c r="CO807" s="101"/>
      <c r="CP807" s="101"/>
      <c r="CQ807" s="101"/>
      <c r="CR807" s="101"/>
      <c r="CS807" s="101"/>
      <c r="CT807" s="101"/>
      <c r="CU807" s="101"/>
      <c r="CV807" s="101"/>
      <c r="CW807" s="101"/>
      <c r="CX807" s="101"/>
      <c r="CY807" s="101"/>
      <c r="CZ807" s="101"/>
      <c r="DA807" s="101"/>
      <c r="DB807" s="101"/>
      <c r="DC807" s="101"/>
      <c r="DD807" s="101"/>
      <c r="DE807" s="101"/>
      <c r="DF807" s="101"/>
    </row>
    <row r="808">
      <c r="A808" s="29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3"/>
      <c r="U808" s="103"/>
      <c r="V808" s="103"/>
      <c r="W808" s="104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  <c r="AL808" s="101"/>
      <c r="AM808" s="29"/>
      <c r="AN808" s="101"/>
      <c r="AO808" s="101"/>
      <c r="AP808" s="101"/>
      <c r="AQ808" s="101"/>
      <c r="AR808" s="101"/>
      <c r="AS808" s="101"/>
      <c r="AT808" s="101"/>
      <c r="AU808" s="101"/>
      <c r="AV808" s="101"/>
      <c r="AW808" s="101"/>
      <c r="AX808" s="101"/>
      <c r="AY808" s="101"/>
      <c r="AZ808" s="101"/>
      <c r="BA808" s="101"/>
      <c r="BB808" s="101"/>
      <c r="BC808" s="101"/>
      <c r="BD808" s="101"/>
      <c r="BE808" s="101"/>
      <c r="BF808" s="101"/>
      <c r="BG808" s="101"/>
      <c r="BH808" s="101"/>
      <c r="BI808" s="101"/>
      <c r="BJ808" s="101"/>
      <c r="BK808" s="101"/>
      <c r="BL808" s="101"/>
      <c r="BM808" s="101"/>
      <c r="BN808" s="101"/>
      <c r="BO808" s="101"/>
      <c r="BP808" s="101"/>
      <c r="BQ808" s="101"/>
      <c r="BR808" s="101"/>
      <c r="BS808" s="101"/>
      <c r="BT808" s="101"/>
      <c r="BU808" s="101"/>
      <c r="BV808" s="101"/>
      <c r="BW808" s="101"/>
      <c r="BX808" s="101"/>
      <c r="BY808" s="101"/>
      <c r="BZ808" s="101"/>
      <c r="CA808" s="101"/>
      <c r="CB808" s="101"/>
      <c r="CC808" s="101"/>
      <c r="CD808" s="101"/>
      <c r="CE808" s="101"/>
      <c r="CF808" s="101"/>
      <c r="CG808" s="101"/>
      <c r="CH808" s="101"/>
      <c r="CI808" s="101"/>
      <c r="CJ808" s="101"/>
      <c r="CK808" s="101"/>
      <c r="CL808" s="101"/>
      <c r="CM808" s="101"/>
      <c r="CN808" s="101"/>
      <c r="CO808" s="101"/>
      <c r="CP808" s="101"/>
      <c r="CQ808" s="101"/>
      <c r="CR808" s="101"/>
      <c r="CS808" s="101"/>
      <c r="CT808" s="101"/>
      <c r="CU808" s="101"/>
      <c r="CV808" s="101"/>
      <c r="CW808" s="101"/>
      <c r="CX808" s="101"/>
      <c r="CY808" s="101"/>
      <c r="CZ808" s="101"/>
      <c r="DA808" s="101"/>
      <c r="DB808" s="101"/>
      <c r="DC808" s="101"/>
      <c r="DD808" s="101"/>
      <c r="DE808" s="101"/>
      <c r="DF808" s="101"/>
    </row>
    <row r="809">
      <c r="A809" s="29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3"/>
      <c r="U809" s="103"/>
      <c r="V809" s="103"/>
      <c r="W809" s="104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  <c r="AM809" s="29"/>
      <c r="AN809" s="101"/>
      <c r="AO809" s="101"/>
      <c r="AP809" s="101"/>
      <c r="AQ809" s="101"/>
      <c r="AR809" s="101"/>
      <c r="AS809" s="101"/>
      <c r="AT809" s="101"/>
      <c r="AU809" s="101"/>
      <c r="AV809" s="101"/>
      <c r="AW809" s="101"/>
      <c r="AX809" s="101"/>
      <c r="AY809" s="101"/>
      <c r="AZ809" s="101"/>
      <c r="BA809" s="101"/>
      <c r="BB809" s="101"/>
      <c r="BC809" s="101"/>
      <c r="BD809" s="101"/>
      <c r="BE809" s="101"/>
      <c r="BF809" s="101"/>
      <c r="BG809" s="101"/>
      <c r="BH809" s="101"/>
      <c r="BI809" s="101"/>
      <c r="BJ809" s="101"/>
      <c r="BK809" s="101"/>
      <c r="BL809" s="101"/>
      <c r="BM809" s="101"/>
      <c r="BN809" s="101"/>
      <c r="BO809" s="101"/>
      <c r="BP809" s="101"/>
      <c r="BQ809" s="101"/>
      <c r="BR809" s="101"/>
      <c r="BS809" s="101"/>
      <c r="BT809" s="101"/>
      <c r="BU809" s="101"/>
      <c r="BV809" s="101"/>
      <c r="BW809" s="101"/>
      <c r="BX809" s="101"/>
      <c r="BY809" s="101"/>
      <c r="BZ809" s="101"/>
      <c r="CA809" s="101"/>
      <c r="CB809" s="101"/>
      <c r="CC809" s="101"/>
      <c r="CD809" s="101"/>
      <c r="CE809" s="101"/>
      <c r="CF809" s="101"/>
      <c r="CG809" s="101"/>
      <c r="CH809" s="101"/>
      <c r="CI809" s="101"/>
      <c r="CJ809" s="101"/>
      <c r="CK809" s="101"/>
      <c r="CL809" s="101"/>
      <c r="CM809" s="101"/>
      <c r="CN809" s="101"/>
      <c r="CO809" s="101"/>
      <c r="CP809" s="101"/>
      <c r="CQ809" s="101"/>
      <c r="CR809" s="101"/>
      <c r="CS809" s="101"/>
      <c r="CT809" s="101"/>
      <c r="CU809" s="101"/>
      <c r="CV809" s="101"/>
      <c r="CW809" s="101"/>
      <c r="CX809" s="101"/>
      <c r="CY809" s="101"/>
      <c r="CZ809" s="101"/>
      <c r="DA809" s="101"/>
      <c r="DB809" s="101"/>
      <c r="DC809" s="101"/>
      <c r="DD809" s="101"/>
      <c r="DE809" s="101"/>
      <c r="DF809" s="101"/>
    </row>
    <row r="810">
      <c r="A810" s="29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3"/>
      <c r="U810" s="103"/>
      <c r="V810" s="103"/>
      <c r="W810" s="104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  <c r="AL810" s="101"/>
      <c r="AM810" s="29"/>
      <c r="AN810" s="101"/>
      <c r="AO810" s="101"/>
      <c r="AP810" s="101"/>
      <c r="AQ810" s="101"/>
      <c r="AR810" s="101"/>
      <c r="AS810" s="101"/>
      <c r="AT810" s="101"/>
      <c r="AU810" s="101"/>
      <c r="AV810" s="101"/>
      <c r="AW810" s="101"/>
      <c r="AX810" s="101"/>
      <c r="AY810" s="101"/>
      <c r="AZ810" s="101"/>
      <c r="BA810" s="101"/>
      <c r="BB810" s="101"/>
      <c r="BC810" s="101"/>
      <c r="BD810" s="101"/>
      <c r="BE810" s="101"/>
      <c r="BF810" s="101"/>
      <c r="BG810" s="101"/>
      <c r="BH810" s="101"/>
      <c r="BI810" s="101"/>
      <c r="BJ810" s="101"/>
      <c r="BK810" s="101"/>
      <c r="BL810" s="101"/>
      <c r="BM810" s="101"/>
      <c r="BN810" s="101"/>
      <c r="BO810" s="101"/>
      <c r="BP810" s="101"/>
      <c r="BQ810" s="101"/>
      <c r="BR810" s="101"/>
      <c r="BS810" s="101"/>
      <c r="BT810" s="101"/>
      <c r="BU810" s="101"/>
      <c r="BV810" s="101"/>
      <c r="BW810" s="101"/>
      <c r="BX810" s="101"/>
      <c r="BY810" s="101"/>
      <c r="BZ810" s="101"/>
      <c r="CA810" s="101"/>
      <c r="CB810" s="101"/>
      <c r="CC810" s="101"/>
      <c r="CD810" s="101"/>
      <c r="CE810" s="101"/>
      <c r="CF810" s="101"/>
      <c r="CG810" s="101"/>
      <c r="CH810" s="101"/>
      <c r="CI810" s="101"/>
      <c r="CJ810" s="101"/>
      <c r="CK810" s="101"/>
      <c r="CL810" s="101"/>
      <c r="CM810" s="101"/>
      <c r="CN810" s="101"/>
      <c r="CO810" s="101"/>
      <c r="CP810" s="101"/>
      <c r="CQ810" s="101"/>
      <c r="CR810" s="101"/>
      <c r="CS810" s="101"/>
      <c r="CT810" s="101"/>
      <c r="CU810" s="101"/>
      <c r="CV810" s="101"/>
      <c r="CW810" s="101"/>
      <c r="CX810" s="101"/>
      <c r="CY810" s="101"/>
      <c r="CZ810" s="101"/>
      <c r="DA810" s="101"/>
      <c r="DB810" s="101"/>
      <c r="DC810" s="101"/>
      <c r="DD810" s="101"/>
      <c r="DE810" s="101"/>
      <c r="DF810" s="101"/>
    </row>
    <row r="811">
      <c r="A811" s="29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3"/>
      <c r="U811" s="103"/>
      <c r="V811" s="103"/>
      <c r="W811" s="104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  <c r="AL811" s="101"/>
      <c r="AM811" s="29"/>
      <c r="AN811" s="101"/>
      <c r="AO811" s="101"/>
      <c r="AP811" s="101"/>
      <c r="AQ811" s="101"/>
      <c r="AR811" s="101"/>
      <c r="AS811" s="101"/>
      <c r="AT811" s="101"/>
      <c r="AU811" s="101"/>
      <c r="AV811" s="101"/>
      <c r="AW811" s="101"/>
      <c r="AX811" s="101"/>
      <c r="AY811" s="101"/>
      <c r="AZ811" s="101"/>
      <c r="BA811" s="101"/>
      <c r="BB811" s="101"/>
      <c r="BC811" s="101"/>
      <c r="BD811" s="101"/>
      <c r="BE811" s="101"/>
      <c r="BF811" s="101"/>
      <c r="BG811" s="101"/>
      <c r="BH811" s="101"/>
      <c r="BI811" s="101"/>
      <c r="BJ811" s="101"/>
      <c r="BK811" s="101"/>
      <c r="BL811" s="101"/>
      <c r="BM811" s="101"/>
      <c r="BN811" s="101"/>
      <c r="BO811" s="101"/>
      <c r="BP811" s="101"/>
      <c r="BQ811" s="101"/>
      <c r="BR811" s="101"/>
      <c r="BS811" s="101"/>
      <c r="BT811" s="101"/>
      <c r="BU811" s="101"/>
      <c r="BV811" s="101"/>
      <c r="BW811" s="101"/>
      <c r="BX811" s="101"/>
      <c r="BY811" s="101"/>
      <c r="BZ811" s="101"/>
      <c r="CA811" s="101"/>
      <c r="CB811" s="101"/>
      <c r="CC811" s="101"/>
      <c r="CD811" s="101"/>
      <c r="CE811" s="101"/>
      <c r="CF811" s="101"/>
      <c r="CG811" s="101"/>
      <c r="CH811" s="101"/>
      <c r="CI811" s="101"/>
      <c r="CJ811" s="101"/>
      <c r="CK811" s="101"/>
      <c r="CL811" s="101"/>
      <c r="CM811" s="101"/>
      <c r="CN811" s="101"/>
      <c r="CO811" s="101"/>
      <c r="CP811" s="101"/>
      <c r="CQ811" s="101"/>
      <c r="CR811" s="101"/>
      <c r="CS811" s="101"/>
      <c r="CT811" s="101"/>
      <c r="CU811" s="101"/>
      <c r="CV811" s="101"/>
      <c r="CW811" s="101"/>
      <c r="CX811" s="101"/>
      <c r="CY811" s="101"/>
      <c r="CZ811" s="101"/>
      <c r="DA811" s="101"/>
      <c r="DB811" s="101"/>
      <c r="DC811" s="101"/>
      <c r="DD811" s="101"/>
      <c r="DE811" s="101"/>
      <c r="DF811" s="101"/>
    </row>
    <row r="812">
      <c r="A812" s="29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3"/>
      <c r="U812" s="103"/>
      <c r="V812" s="103"/>
      <c r="W812" s="104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  <c r="AL812" s="101"/>
      <c r="AM812" s="29"/>
      <c r="AN812" s="101"/>
      <c r="AO812" s="101"/>
      <c r="AP812" s="101"/>
      <c r="AQ812" s="101"/>
      <c r="AR812" s="101"/>
      <c r="AS812" s="101"/>
      <c r="AT812" s="101"/>
      <c r="AU812" s="101"/>
      <c r="AV812" s="101"/>
      <c r="AW812" s="101"/>
      <c r="AX812" s="101"/>
      <c r="AY812" s="101"/>
      <c r="AZ812" s="101"/>
      <c r="BA812" s="101"/>
      <c r="BB812" s="101"/>
      <c r="BC812" s="101"/>
      <c r="BD812" s="101"/>
      <c r="BE812" s="101"/>
      <c r="BF812" s="101"/>
      <c r="BG812" s="101"/>
      <c r="BH812" s="101"/>
      <c r="BI812" s="101"/>
      <c r="BJ812" s="101"/>
      <c r="BK812" s="101"/>
      <c r="BL812" s="101"/>
      <c r="BM812" s="101"/>
      <c r="BN812" s="101"/>
      <c r="BO812" s="101"/>
      <c r="BP812" s="101"/>
      <c r="BQ812" s="101"/>
      <c r="BR812" s="101"/>
      <c r="BS812" s="101"/>
      <c r="BT812" s="101"/>
      <c r="BU812" s="101"/>
      <c r="BV812" s="101"/>
      <c r="BW812" s="101"/>
      <c r="BX812" s="101"/>
      <c r="BY812" s="101"/>
      <c r="BZ812" s="101"/>
      <c r="CA812" s="101"/>
      <c r="CB812" s="101"/>
      <c r="CC812" s="101"/>
      <c r="CD812" s="101"/>
      <c r="CE812" s="101"/>
      <c r="CF812" s="101"/>
      <c r="CG812" s="101"/>
      <c r="CH812" s="101"/>
      <c r="CI812" s="101"/>
      <c r="CJ812" s="101"/>
      <c r="CK812" s="101"/>
      <c r="CL812" s="101"/>
      <c r="CM812" s="101"/>
      <c r="CN812" s="101"/>
      <c r="CO812" s="101"/>
      <c r="CP812" s="101"/>
      <c r="CQ812" s="101"/>
      <c r="CR812" s="101"/>
      <c r="CS812" s="101"/>
      <c r="CT812" s="101"/>
      <c r="CU812" s="101"/>
      <c r="CV812" s="101"/>
      <c r="CW812" s="101"/>
      <c r="CX812" s="101"/>
      <c r="CY812" s="101"/>
      <c r="CZ812" s="101"/>
      <c r="DA812" s="101"/>
      <c r="DB812" s="101"/>
      <c r="DC812" s="101"/>
      <c r="DD812" s="101"/>
      <c r="DE812" s="101"/>
      <c r="DF812" s="101"/>
    </row>
    <row r="813">
      <c r="A813" s="29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3"/>
      <c r="U813" s="103"/>
      <c r="V813" s="103"/>
      <c r="W813" s="104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  <c r="AL813" s="101"/>
      <c r="AM813" s="29"/>
      <c r="AN813" s="101"/>
      <c r="AO813" s="101"/>
      <c r="AP813" s="101"/>
      <c r="AQ813" s="101"/>
      <c r="AR813" s="101"/>
      <c r="AS813" s="101"/>
      <c r="AT813" s="101"/>
      <c r="AU813" s="101"/>
      <c r="AV813" s="101"/>
      <c r="AW813" s="101"/>
      <c r="AX813" s="101"/>
      <c r="AY813" s="101"/>
      <c r="AZ813" s="101"/>
      <c r="BA813" s="101"/>
      <c r="BB813" s="101"/>
      <c r="BC813" s="101"/>
      <c r="BD813" s="101"/>
      <c r="BE813" s="101"/>
      <c r="BF813" s="101"/>
      <c r="BG813" s="101"/>
      <c r="BH813" s="101"/>
      <c r="BI813" s="101"/>
      <c r="BJ813" s="101"/>
      <c r="BK813" s="101"/>
      <c r="BL813" s="101"/>
      <c r="BM813" s="101"/>
      <c r="BN813" s="101"/>
      <c r="BO813" s="101"/>
      <c r="BP813" s="101"/>
      <c r="BQ813" s="101"/>
      <c r="BR813" s="101"/>
      <c r="BS813" s="101"/>
      <c r="BT813" s="101"/>
      <c r="BU813" s="101"/>
      <c r="BV813" s="101"/>
      <c r="BW813" s="101"/>
      <c r="BX813" s="101"/>
      <c r="BY813" s="101"/>
      <c r="BZ813" s="101"/>
      <c r="CA813" s="101"/>
      <c r="CB813" s="101"/>
      <c r="CC813" s="101"/>
      <c r="CD813" s="101"/>
      <c r="CE813" s="101"/>
      <c r="CF813" s="101"/>
      <c r="CG813" s="101"/>
      <c r="CH813" s="101"/>
      <c r="CI813" s="101"/>
      <c r="CJ813" s="101"/>
      <c r="CK813" s="101"/>
      <c r="CL813" s="101"/>
      <c r="CM813" s="101"/>
      <c r="CN813" s="101"/>
      <c r="CO813" s="101"/>
      <c r="CP813" s="101"/>
      <c r="CQ813" s="101"/>
      <c r="CR813" s="101"/>
      <c r="CS813" s="101"/>
      <c r="CT813" s="101"/>
      <c r="CU813" s="101"/>
      <c r="CV813" s="101"/>
      <c r="CW813" s="101"/>
      <c r="CX813" s="101"/>
      <c r="CY813" s="101"/>
      <c r="CZ813" s="101"/>
      <c r="DA813" s="101"/>
      <c r="DB813" s="101"/>
      <c r="DC813" s="101"/>
      <c r="DD813" s="101"/>
      <c r="DE813" s="101"/>
      <c r="DF813" s="101"/>
    </row>
    <row r="814">
      <c r="A814" s="29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3"/>
      <c r="U814" s="103"/>
      <c r="V814" s="103"/>
      <c r="W814" s="104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  <c r="AL814" s="101"/>
      <c r="AM814" s="29"/>
      <c r="AN814" s="101"/>
      <c r="AO814" s="101"/>
      <c r="AP814" s="101"/>
      <c r="AQ814" s="101"/>
      <c r="AR814" s="101"/>
      <c r="AS814" s="101"/>
      <c r="AT814" s="101"/>
      <c r="AU814" s="101"/>
      <c r="AV814" s="101"/>
      <c r="AW814" s="101"/>
      <c r="AX814" s="101"/>
      <c r="AY814" s="101"/>
      <c r="AZ814" s="101"/>
      <c r="BA814" s="101"/>
      <c r="BB814" s="101"/>
      <c r="BC814" s="101"/>
      <c r="BD814" s="101"/>
      <c r="BE814" s="101"/>
      <c r="BF814" s="101"/>
      <c r="BG814" s="101"/>
      <c r="BH814" s="101"/>
      <c r="BI814" s="101"/>
      <c r="BJ814" s="101"/>
      <c r="BK814" s="101"/>
      <c r="BL814" s="101"/>
      <c r="BM814" s="101"/>
      <c r="BN814" s="101"/>
      <c r="BO814" s="101"/>
      <c r="BP814" s="101"/>
      <c r="BQ814" s="101"/>
      <c r="BR814" s="101"/>
      <c r="BS814" s="101"/>
      <c r="BT814" s="101"/>
      <c r="BU814" s="101"/>
      <c r="BV814" s="101"/>
      <c r="BW814" s="101"/>
      <c r="BX814" s="101"/>
      <c r="BY814" s="101"/>
      <c r="BZ814" s="101"/>
      <c r="CA814" s="101"/>
      <c r="CB814" s="101"/>
      <c r="CC814" s="101"/>
      <c r="CD814" s="101"/>
      <c r="CE814" s="101"/>
      <c r="CF814" s="101"/>
      <c r="CG814" s="101"/>
      <c r="CH814" s="101"/>
      <c r="CI814" s="101"/>
      <c r="CJ814" s="101"/>
      <c r="CK814" s="101"/>
      <c r="CL814" s="101"/>
      <c r="CM814" s="101"/>
      <c r="CN814" s="101"/>
      <c r="CO814" s="101"/>
      <c r="CP814" s="101"/>
      <c r="CQ814" s="101"/>
      <c r="CR814" s="101"/>
      <c r="CS814" s="101"/>
      <c r="CT814" s="101"/>
      <c r="CU814" s="101"/>
      <c r="CV814" s="101"/>
      <c r="CW814" s="101"/>
      <c r="CX814" s="101"/>
      <c r="CY814" s="101"/>
      <c r="CZ814" s="101"/>
      <c r="DA814" s="101"/>
      <c r="DB814" s="101"/>
      <c r="DC814" s="101"/>
      <c r="DD814" s="101"/>
      <c r="DE814" s="101"/>
      <c r="DF814" s="101"/>
    </row>
    <row r="815">
      <c r="A815" s="29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3"/>
      <c r="U815" s="103"/>
      <c r="V815" s="103"/>
      <c r="W815" s="104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  <c r="AL815" s="101"/>
      <c r="AM815" s="29"/>
      <c r="AN815" s="101"/>
      <c r="AO815" s="101"/>
      <c r="AP815" s="101"/>
      <c r="AQ815" s="101"/>
      <c r="AR815" s="101"/>
      <c r="AS815" s="101"/>
      <c r="AT815" s="101"/>
      <c r="AU815" s="101"/>
      <c r="AV815" s="101"/>
      <c r="AW815" s="101"/>
      <c r="AX815" s="101"/>
      <c r="AY815" s="101"/>
      <c r="AZ815" s="101"/>
      <c r="BA815" s="101"/>
      <c r="BB815" s="101"/>
      <c r="BC815" s="101"/>
      <c r="BD815" s="101"/>
      <c r="BE815" s="101"/>
      <c r="BF815" s="101"/>
      <c r="BG815" s="101"/>
      <c r="BH815" s="101"/>
      <c r="BI815" s="101"/>
      <c r="BJ815" s="101"/>
      <c r="BK815" s="101"/>
      <c r="BL815" s="101"/>
      <c r="BM815" s="101"/>
      <c r="BN815" s="101"/>
      <c r="BO815" s="101"/>
      <c r="BP815" s="101"/>
      <c r="BQ815" s="101"/>
      <c r="BR815" s="101"/>
      <c r="BS815" s="101"/>
      <c r="BT815" s="101"/>
      <c r="BU815" s="101"/>
      <c r="BV815" s="101"/>
      <c r="BW815" s="101"/>
      <c r="BX815" s="101"/>
      <c r="BY815" s="101"/>
      <c r="BZ815" s="101"/>
      <c r="CA815" s="101"/>
      <c r="CB815" s="101"/>
      <c r="CC815" s="101"/>
      <c r="CD815" s="101"/>
      <c r="CE815" s="101"/>
      <c r="CF815" s="101"/>
      <c r="CG815" s="101"/>
      <c r="CH815" s="101"/>
      <c r="CI815" s="101"/>
      <c r="CJ815" s="101"/>
      <c r="CK815" s="101"/>
      <c r="CL815" s="101"/>
      <c r="CM815" s="101"/>
      <c r="CN815" s="101"/>
      <c r="CO815" s="101"/>
      <c r="CP815" s="101"/>
      <c r="CQ815" s="101"/>
      <c r="CR815" s="101"/>
      <c r="CS815" s="101"/>
      <c r="CT815" s="101"/>
      <c r="CU815" s="101"/>
      <c r="CV815" s="101"/>
      <c r="CW815" s="101"/>
      <c r="CX815" s="101"/>
      <c r="CY815" s="101"/>
      <c r="CZ815" s="101"/>
      <c r="DA815" s="101"/>
      <c r="DB815" s="101"/>
      <c r="DC815" s="101"/>
      <c r="DD815" s="101"/>
      <c r="DE815" s="101"/>
      <c r="DF815" s="101"/>
    </row>
    <row r="816">
      <c r="A816" s="29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3"/>
      <c r="U816" s="103"/>
      <c r="V816" s="103"/>
      <c r="W816" s="104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  <c r="AL816" s="101"/>
      <c r="AM816" s="29"/>
      <c r="AN816" s="101"/>
      <c r="AO816" s="101"/>
      <c r="AP816" s="101"/>
      <c r="AQ816" s="101"/>
      <c r="AR816" s="101"/>
      <c r="AS816" s="101"/>
      <c r="AT816" s="101"/>
      <c r="AU816" s="101"/>
      <c r="AV816" s="101"/>
      <c r="AW816" s="101"/>
      <c r="AX816" s="101"/>
      <c r="AY816" s="101"/>
      <c r="AZ816" s="101"/>
      <c r="BA816" s="101"/>
      <c r="BB816" s="101"/>
      <c r="BC816" s="101"/>
      <c r="BD816" s="101"/>
      <c r="BE816" s="101"/>
      <c r="BF816" s="101"/>
      <c r="BG816" s="101"/>
      <c r="BH816" s="101"/>
      <c r="BI816" s="101"/>
      <c r="BJ816" s="101"/>
      <c r="BK816" s="101"/>
      <c r="BL816" s="101"/>
      <c r="BM816" s="101"/>
      <c r="BN816" s="101"/>
      <c r="BO816" s="101"/>
      <c r="BP816" s="101"/>
      <c r="BQ816" s="101"/>
      <c r="BR816" s="101"/>
      <c r="BS816" s="101"/>
      <c r="BT816" s="101"/>
      <c r="BU816" s="101"/>
      <c r="BV816" s="101"/>
      <c r="BW816" s="101"/>
      <c r="BX816" s="101"/>
      <c r="BY816" s="101"/>
      <c r="BZ816" s="101"/>
      <c r="CA816" s="101"/>
      <c r="CB816" s="101"/>
      <c r="CC816" s="101"/>
      <c r="CD816" s="101"/>
      <c r="CE816" s="101"/>
      <c r="CF816" s="101"/>
      <c r="CG816" s="101"/>
      <c r="CH816" s="101"/>
      <c r="CI816" s="101"/>
      <c r="CJ816" s="101"/>
      <c r="CK816" s="101"/>
      <c r="CL816" s="101"/>
      <c r="CM816" s="101"/>
      <c r="CN816" s="101"/>
      <c r="CO816" s="101"/>
      <c r="CP816" s="101"/>
      <c r="CQ816" s="101"/>
      <c r="CR816" s="101"/>
      <c r="CS816" s="101"/>
      <c r="CT816" s="101"/>
      <c r="CU816" s="101"/>
      <c r="CV816" s="101"/>
      <c r="CW816" s="101"/>
      <c r="CX816" s="101"/>
      <c r="CY816" s="101"/>
      <c r="CZ816" s="101"/>
      <c r="DA816" s="101"/>
      <c r="DB816" s="101"/>
      <c r="DC816" s="101"/>
      <c r="DD816" s="101"/>
      <c r="DE816" s="101"/>
      <c r="DF816" s="101"/>
    </row>
    <row r="817">
      <c r="A817" s="29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3"/>
      <c r="U817" s="103"/>
      <c r="V817" s="103"/>
      <c r="W817" s="104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  <c r="AL817" s="101"/>
      <c r="AM817" s="29"/>
      <c r="AN817" s="101"/>
      <c r="AO817" s="101"/>
      <c r="AP817" s="101"/>
      <c r="AQ817" s="101"/>
      <c r="AR817" s="101"/>
      <c r="AS817" s="101"/>
      <c r="AT817" s="101"/>
      <c r="AU817" s="101"/>
      <c r="AV817" s="101"/>
      <c r="AW817" s="101"/>
      <c r="AX817" s="101"/>
      <c r="AY817" s="101"/>
      <c r="AZ817" s="101"/>
      <c r="BA817" s="101"/>
      <c r="BB817" s="101"/>
      <c r="BC817" s="101"/>
      <c r="BD817" s="101"/>
      <c r="BE817" s="101"/>
      <c r="BF817" s="101"/>
      <c r="BG817" s="101"/>
      <c r="BH817" s="101"/>
      <c r="BI817" s="101"/>
      <c r="BJ817" s="101"/>
      <c r="BK817" s="101"/>
      <c r="BL817" s="101"/>
      <c r="BM817" s="101"/>
      <c r="BN817" s="101"/>
      <c r="BO817" s="101"/>
      <c r="BP817" s="101"/>
      <c r="BQ817" s="101"/>
      <c r="BR817" s="101"/>
      <c r="BS817" s="101"/>
      <c r="BT817" s="101"/>
      <c r="BU817" s="101"/>
      <c r="BV817" s="101"/>
      <c r="BW817" s="101"/>
      <c r="BX817" s="101"/>
      <c r="BY817" s="101"/>
      <c r="BZ817" s="101"/>
      <c r="CA817" s="101"/>
      <c r="CB817" s="101"/>
      <c r="CC817" s="101"/>
      <c r="CD817" s="101"/>
      <c r="CE817" s="101"/>
      <c r="CF817" s="101"/>
      <c r="CG817" s="101"/>
      <c r="CH817" s="101"/>
      <c r="CI817" s="101"/>
      <c r="CJ817" s="101"/>
      <c r="CK817" s="101"/>
      <c r="CL817" s="101"/>
      <c r="CM817" s="101"/>
      <c r="CN817" s="101"/>
      <c r="CO817" s="101"/>
      <c r="CP817" s="101"/>
      <c r="CQ817" s="101"/>
      <c r="CR817" s="101"/>
      <c r="CS817" s="101"/>
      <c r="CT817" s="101"/>
      <c r="CU817" s="101"/>
      <c r="CV817" s="101"/>
      <c r="CW817" s="101"/>
      <c r="CX817" s="101"/>
      <c r="CY817" s="101"/>
      <c r="CZ817" s="101"/>
      <c r="DA817" s="101"/>
      <c r="DB817" s="101"/>
      <c r="DC817" s="101"/>
      <c r="DD817" s="101"/>
      <c r="DE817" s="101"/>
      <c r="DF817" s="101"/>
    </row>
    <row r="818">
      <c r="A818" s="29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3"/>
      <c r="U818" s="103"/>
      <c r="V818" s="103"/>
      <c r="W818" s="104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  <c r="AM818" s="29"/>
      <c r="AN818" s="101"/>
      <c r="AO818" s="101"/>
      <c r="AP818" s="101"/>
      <c r="AQ818" s="101"/>
      <c r="AR818" s="101"/>
      <c r="AS818" s="101"/>
      <c r="AT818" s="101"/>
      <c r="AU818" s="101"/>
      <c r="AV818" s="101"/>
      <c r="AW818" s="101"/>
      <c r="AX818" s="101"/>
      <c r="AY818" s="101"/>
      <c r="AZ818" s="101"/>
      <c r="BA818" s="101"/>
      <c r="BB818" s="101"/>
      <c r="BC818" s="101"/>
      <c r="BD818" s="101"/>
      <c r="BE818" s="101"/>
      <c r="BF818" s="101"/>
      <c r="BG818" s="101"/>
      <c r="BH818" s="101"/>
      <c r="BI818" s="101"/>
      <c r="BJ818" s="101"/>
      <c r="BK818" s="101"/>
      <c r="BL818" s="101"/>
      <c r="BM818" s="101"/>
      <c r="BN818" s="101"/>
      <c r="BO818" s="101"/>
      <c r="BP818" s="101"/>
      <c r="BQ818" s="101"/>
      <c r="BR818" s="101"/>
      <c r="BS818" s="101"/>
      <c r="BT818" s="101"/>
      <c r="BU818" s="101"/>
      <c r="BV818" s="101"/>
      <c r="BW818" s="101"/>
      <c r="BX818" s="101"/>
      <c r="BY818" s="101"/>
      <c r="BZ818" s="101"/>
      <c r="CA818" s="101"/>
      <c r="CB818" s="101"/>
      <c r="CC818" s="101"/>
      <c r="CD818" s="101"/>
      <c r="CE818" s="101"/>
      <c r="CF818" s="101"/>
      <c r="CG818" s="101"/>
      <c r="CH818" s="101"/>
      <c r="CI818" s="101"/>
      <c r="CJ818" s="101"/>
      <c r="CK818" s="101"/>
      <c r="CL818" s="101"/>
      <c r="CM818" s="101"/>
      <c r="CN818" s="101"/>
      <c r="CO818" s="101"/>
      <c r="CP818" s="101"/>
      <c r="CQ818" s="101"/>
      <c r="CR818" s="101"/>
      <c r="CS818" s="101"/>
      <c r="CT818" s="101"/>
      <c r="CU818" s="101"/>
      <c r="CV818" s="101"/>
      <c r="CW818" s="101"/>
      <c r="CX818" s="101"/>
      <c r="CY818" s="101"/>
      <c r="CZ818" s="101"/>
      <c r="DA818" s="101"/>
      <c r="DB818" s="101"/>
      <c r="DC818" s="101"/>
      <c r="DD818" s="101"/>
      <c r="DE818" s="101"/>
      <c r="DF818" s="101"/>
    </row>
    <row r="819">
      <c r="A819" s="29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3"/>
      <c r="U819" s="103"/>
      <c r="V819" s="103"/>
      <c r="W819" s="104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  <c r="AL819" s="101"/>
      <c r="AM819" s="29"/>
      <c r="AN819" s="101"/>
      <c r="AO819" s="101"/>
      <c r="AP819" s="101"/>
      <c r="AQ819" s="101"/>
      <c r="AR819" s="101"/>
      <c r="AS819" s="101"/>
      <c r="AT819" s="101"/>
      <c r="AU819" s="101"/>
      <c r="AV819" s="101"/>
      <c r="AW819" s="101"/>
      <c r="AX819" s="101"/>
      <c r="AY819" s="101"/>
      <c r="AZ819" s="101"/>
      <c r="BA819" s="101"/>
      <c r="BB819" s="101"/>
      <c r="BC819" s="101"/>
      <c r="BD819" s="101"/>
      <c r="BE819" s="101"/>
      <c r="BF819" s="101"/>
      <c r="BG819" s="101"/>
      <c r="BH819" s="101"/>
      <c r="BI819" s="101"/>
      <c r="BJ819" s="101"/>
      <c r="BK819" s="101"/>
      <c r="BL819" s="101"/>
      <c r="BM819" s="101"/>
      <c r="BN819" s="101"/>
      <c r="BO819" s="101"/>
      <c r="BP819" s="101"/>
      <c r="BQ819" s="101"/>
      <c r="BR819" s="101"/>
      <c r="BS819" s="101"/>
      <c r="BT819" s="101"/>
      <c r="BU819" s="101"/>
      <c r="BV819" s="101"/>
      <c r="BW819" s="101"/>
      <c r="BX819" s="101"/>
      <c r="BY819" s="101"/>
      <c r="BZ819" s="101"/>
      <c r="CA819" s="101"/>
      <c r="CB819" s="101"/>
      <c r="CC819" s="101"/>
      <c r="CD819" s="101"/>
      <c r="CE819" s="101"/>
      <c r="CF819" s="101"/>
      <c r="CG819" s="101"/>
      <c r="CH819" s="101"/>
      <c r="CI819" s="101"/>
      <c r="CJ819" s="101"/>
      <c r="CK819" s="101"/>
      <c r="CL819" s="101"/>
      <c r="CM819" s="101"/>
      <c r="CN819" s="101"/>
      <c r="CO819" s="101"/>
      <c r="CP819" s="101"/>
      <c r="CQ819" s="101"/>
      <c r="CR819" s="101"/>
      <c r="CS819" s="101"/>
      <c r="CT819" s="101"/>
      <c r="CU819" s="101"/>
      <c r="CV819" s="101"/>
      <c r="CW819" s="101"/>
      <c r="CX819" s="101"/>
      <c r="CY819" s="101"/>
      <c r="CZ819" s="101"/>
      <c r="DA819" s="101"/>
      <c r="DB819" s="101"/>
      <c r="DC819" s="101"/>
      <c r="DD819" s="101"/>
      <c r="DE819" s="101"/>
      <c r="DF819" s="101"/>
    </row>
    <row r="820">
      <c r="A820" s="29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3"/>
      <c r="U820" s="103"/>
      <c r="V820" s="103"/>
      <c r="W820" s="104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  <c r="AL820" s="101"/>
      <c r="AM820" s="29"/>
      <c r="AN820" s="101"/>
      <c r="AO820" s="101"/>
      <c r="AP820" s="101"/>
      <c r="AQ820" s="101"/>
      <c r="AR820" s="101"/>
      <c r="AS820" s="101"/>
      <c r="AT820" s="101"/>
      <c r="AU820" s="101"/>
      <c r="AV820" s="101"/>
      <c r="AW820" s="101"/>
      <c r="AX820" s="101"/>
      <c r="AY820" s="101"/>
      <c r="AZ820" s="101"/>
      <c r="BA820" s="101"/>
      <c r="BB820" s="101"/>
      <c r="BC820" s="101"/>
      <c r="BD820" s="101"/>
      <c r="BE820" s="101"/>
      <c r="BF820" s="101"/>
      <c r="BG820" s="101"/>
      <c r="BH820" s="101"/>
      <c r="BI820" s="101"/>
      <c r="BJ820" s="101"/>
      <c r="BK820" s="101"/>
      <c r="BL820" s="101"/>
      <c r="BM820" s="101"/>
      <c r="BN820" s="101"/>
      <c r="BO820" s="101"/>
      <c r="BP820" s="101"/>
      <c r="BQ820" s="101"/>
      <c r="BR820" s="101"/>
      <c r="BS820" s="101"/>
      <c r="BT820" s="101"/>
      <c r="BU820" s="101"/>
      <c r="BV820" s="101"/>
      <c r="BW820" s="101"/>
      <c r="BX820" s="101"/>
      <c r="BY820" s="101"/>
      <c r="BZ820" s="101"/>
      <c r="CA820" s="101"/>
      <c r="CB820" s="101"/>
      <c r="CC820" s="101"/>
      <c r="CD820" s="101"/>
      <c r="CE820" s="101"/>
      <c r="CF820" s="101"/>
      <c r="CG820" s="101"/>
      <c r="CH820" s="101"/>
      <c r="CI820" s="101"/>
      <c r="CJ820" s="101"/>
      <c r="CK820" s="101"/>
      <c r="CL820" s="101"/>
      <c r="CM820" s="101"/>
      <c r="CN820" s="101"/>
      <c r="CO820" s="101"/>
      <c r="CP820" s="101"/>
      <c r="CQ820" s="101"/>
      <c r="CR820" s="101"/>
      <c r="CS820" s="101"/>
      <c r="CT820" s="101"/>
      <c r="CU820" s="101"/>
      <c r="CV820" s="101"/>
      <c r="CW820" s="101"/>
      <c r="CX820" s="101"/>
      <c r="CY820" s="101"/>
      <c r="CZ820" s="101"/>
      <c r="DA820" s="101"/>
      <c r="DB820" s="101"/>
      <c r="DC820" s="101"/>
      <c r="DD820" s="101"/>
      <c r="DE820" s="101"/>
      <c r="DF820" s="101"/>
    </row>
    <row r="821">
      <c r="A821" s="29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3"/>
      <c r="U821" s="103"/>
      <c r="V821" s="103"/>
      <c r="W821" s="104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  <c r="AL821" s="101"/>
      <c r="AM821" s="29"/>
      <c r="AN821" s="101"/>
      <c r="AO821" s="101"/>
      <c r="AP821" s="101"/>
      <c r="AQ821" s="101"/>
      <c r="AR821" s="101"/>
      <c r="AS821" s="101"/>
      <c r="AT821" s="101"/>
      <c r="AU821" s="101"/>
      <c r="AV821" s="101"/>
      <c r="AW821" s="101"/>
      <c r="AX821" s="101"/>
      <c r="AY821" s="101"/>
      <c r="AZ821" s="101"/>
      <c r="BA821" s="101"/>
      <c r="BB821" s="101"/>
      <c r="BC821" s="101"/>
      <c r="BD821" s="101"/>
      <c r="BE821" s="101"/>
      <c r="BF821" s="101"/>
      <c r="BG821" s="101"/>
      <c r="BH821" s="101"/>
      <c r="BI821" s="101"/>
      <c r="BJ821" s="101"/>
      <c r="BK821" s="101"/>
      <c r="BL821" s="101"/>
      <c r="BM821" s="101"/>
      <c r="BN821" s="101"/>
      <c r="BO821" s="101"/>
      <c r="BP821" s="101"/>
      <c r="BQ821" s="101"/>
      <c r="BR821" s="101"/>
      <c r="BS821" s="101"/>
      <c r="BT821" s="101"/>
      <c r="BU821" s="101"/>
      <c r="BV821" s="101"/>
      <c r="BW821" s="101"/>
      <c r="BX821" s="101"/>
      <c r="BY821" s="101"/>
      <c r="BZ821" s="101"/>
      <c r="CA821" s="101"/>
      <c r="CB821" s="101"/>
      <c r="CC821" s="101"/>
      <c r="CD821" s="101"/>
      <c r="CE821" s="101"/>
      <c r="CF821" s="101"/>
      <c r="CG821" s="101"/>
      <c r="CH821" s="101"/>
      <c r="CI821" s="101"/>
      <c r="CJ821" s="101"/>
      <c r="CK821" s="101"/>
      <c r="CL821" s="101"/>
      <c r="CM821" s="101"/>
      <c r="CN821" s="101"/>
      <c r="CO821" s="101"/>
      <c r="CP821" s="101"/>
      <c r="CQ821" s="101"/>
      <c r="CR821" s="101"/>
      <c r="CS821" s="101"/>
      <c r="CT821" s="101"/>
      <c r="CU821" s="101"/>
      <c r="CV821" s="101"/>
      <c r="CW821" s="101"/>
      <c r="CX821" s="101"/>
      <c r="CY821" s="101"/>
      <c r="CZ821" s="101"/>
      <c r="DA821" s="101"/>
      <c r="DB821" s="101"/>
      <c r="DC821" s="101"/>
      <c r="DD821" s="101"/>
      <c r="DE821" s="101"/>
      <c r="DF821" s="101"/>
    </row>
    <row r="822">
      <c r="A822" s="29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3"/>
      <c r="U822" s="103"/>
      <c r="V822" s="103"/>
      <c r="W822" s="104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  <c r="AL822" s="101"/>
      <c r="AM822" s="29"/>
      <c r="AN822" s="101"/>
      <c r="AO822" s="101"/>
      <c r="AP822" s="101"/>
      <c r="AQ822" s="101"/>
      <c r="AR822" s="101"/>
      <c r="AS822" s="101"/>
      <c r="AT822" s="101"/>
      <c r="AU822" s="101"/>
      <c r="AV822" s="101"/>
      <c r="AW822" s="101"/>
      <c r="AX822" s="101"/>
      <c r="AY822" s="101"/>
      <c r="AZ822" s="101"/>
      <c r="BA822" s="101"/>
      <c r="BB822" s="101"/>
      <c r="BC822" s="101"/>
      <c r="BD822" s="101"/>
      <c r="BE822" s="101"/>
      <c r="BF822" s="101"/>
      <c r="BG822" s="101"/>
      <c r="BH822" s="101"/>
      <c r="BI822" s="101"/>
      <c r="BJ822" s="101"/>
      <c r="BK822" s="101"/>
      <c r="BL822" s="101"/>
      <c r="BM822" s="101"/>
      <c r="BN822" s="101"/>
      <c r="BO822" s="101"/>
      <c r="BP822" s="101"/>
      <c r="BQ822" s="101"/>
      <c r="BR822" s="101"/>
      <c r="BS822" s="101"/>
      <c r="BT822" s="101"/>
      <c r="BU822" s="101"/>
      <c r="BV822" s="101"/>
      <c r="BW822" s="101"/>
      <c r="BX822" s="101"/>
      <c r="BY822" s="101"/>
      <c r="BZ822" s="101"/>
      <c r="CA822" s="101"/>
      <c r="CB822" s="101"/>
      <c r="CC822" s="101"/>
      <c r="CD822" s="101"/>
      <c r="CE822" s="101"/>
      <c r="CF822" s="101"/>
      <c r="CG822" s="101"/>
      <c r="CH822" s="101"/>
      <c r="CI822" s="101"/>
      <c r="CJ822" s="101"/>
      <c r="CK822" s="101"/>
      <c r="CL822" s="101"/>
      <c r="CM822" s="101"/>
      <c r="CN822" s="101"/>
      <c r="CO822" s="101"/>
      <c r="CP822" s="101"/>
      <c r="CQ822" s="101"/>
      <c r="CR822" s="101"/>
      <c r="CS822" s="101"/>
      <c r="CT822" s="101"/>
      <c r="CU822" s="101"/>
      <c r="CV822" s="101"/>
      <c r="CW822" s="101"/>
      <c r="CX822" s="101"/>
      <c r="CY822" s="101"/>
      <c r="CZ822" s="101"/>
      <c r="DA822" s="101"/>
      <c r="DB822" s="101"/>
      <c r="DC822" s="101"/>
      <c r="DD822" s="101"/>
      <c r="DE822" s="101"/>
      <c r="DF822" s="101"/>
    </row>
    <row r="823">
      <c r="A823" s="29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3"/>
      <c r="U823" s="103"/>
      <c r="V823" s="103"/>
      <c r="W823" s="104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  <c r="AL823" s="101"/>
      <c r="AM823" s="29"/>
      <c r="AN823" s="101"/>
      <c r="AO823" s="101"/>
      <c r="AP823" s="101"/>
      <c r="AQ823" s="101"/>
      <c r="AR823" s="101"/>
      <c r="AS823" s="101"/>
      <c r="AT823" s="101"/>
      <c r="AU823" s="101"/>
      <c r="AV823" s="101"/>
      <c r="AW823" s="101"/>
      <c r="AX823" s="101"/>
      <c r="AY823" s="101"/>
      <c r="AZ823" s="101"/>
      <c r="BA823" s="101"/>
      <c r="BB823" s="101"/>
      <c r="BC823" s="101"/>
      <c r="BD823" s="101"/>
      <c r="BE823" s="101"/>
      <c r="BF823" s="101"/>
      <c r="BG823" s="101"/>
      <c r="BH823" s="101"/>
      <c r="BI823" s="101"/>
      <c r="BJ823" s="101"/>
      <c r="BK823" s="101"/>
      <c r="BL823" s="101"/>
      <c r="BM823" s="101"/>
      <c r="BN823" s="101"/>
      <c r="BO823" s="101"/>
      <c r="BP823" s="101"/>
      <c r="BQ823" s="101"/>
      <c r="BR823" s="101"/>
      <c r="BS823" s="101"/>
      <c r="BT823" s="101"/>
      <c r="BU823" s="101"/>
      <c r="BV823" s="101"/>
      <c r="BW823" s="101"/>
      <c r="BX823" s="101"/>
      <c r="BY823" s="101"/>
      <c r="BZ823" s="101"/>
      <c r="CA823" s="101"/>
      <c r="CB823" s="101"/>
      <c r="CC823" s="101"/>
      <c r="CD823" s="101"/>
      <c r="CE823" s="101"/>
      <c r="CF823" s="101"/>
      <c r="CG823" s="101"/>
      <c r="CH823" s="101"/>
      <c r="CI823" s="101"/>
      <c r="CJ823" s="101"/>
      <c r="CK823" s="101"/>
      <c r="CL823" s="101"/>
      <c r="CM823" s="101"/>
      <c r="CN823" s="101"/>
      <c r="CO823" s="101"/>
      <c r="CP823" s="101"/>
      <c r="CQ823" s="101"/>
      <c r="CR823" s="101"/>
      <c r="CS823" s="101"/>
      <c r="CT823" s="101"/>
      <c r="CU823" s="101"/>
      <c r="CV823" s="101"/>
      <c r="CW823" s="101"/>
      <c r="CX823" s="101"/>
      <c r="CY823" s="101"/>
      <c r="CZ823" s="101"/>
      <c r="DA823" s="101"/>
      <c r="DB823" s="101"/>
      <c r="DC823" s="101"/>
      <c r="DD823" s="101"/>
      <c r="DE823" s="101"/>
      <c r="DF823" s="101"/>
    </row>
    <row r="824">
      <c r="A824" s="29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3"/>
      <c r="U824" s="103"/>
      <c r="V824" s="103"/>
      <c r="W824" s="104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  <c r="AL824" s="101"/>
      <c r="AM824" s="29"/>
      <c r="AN824" s="101"/>
      <c r="AO824" s="101"/>
      <c r="AP824" s="101"/>
      <c r="AQ824" s="101"/>
      <c r="AR824" s="101"/>
      <c r="AS824" s="101"/>
      <c r="AT824" s="101"/>
      <c r="AU824" s="101"/>
      <c r="AV824" s="101"/>
      <c r="AW824" s="101"/>
      <c r="AX824" s="101"/>
      <c r="AY824" s="101"/>
      <c r="AZ824" s="101"/>
      <c r="BA824" s="101"/>
      <c r="BB824" s="101"/>
      <c r="BC824" s="101"/>
      <c r="BD824" s="101"/>
      <c r="BE824" s="101"/>
      <c r="BF824" s="101"/>
      <c r="BG824" s="101"/>
      <c r="BH824" s="101"/>
      <c r="BI824" s="101"/>
      <c r="BJ824" s="101"/>
      <c r="BK824" s="101"/>
      <c r="BL824" s="101"/>
      <c r="BM824" s="101"/>
      <c r="BN824" s="101"/>
      <c r="BO824" s="101"/>
      <c r="BP824" s="101"/>
      <c r="BQ824" s="101"/>
      <c r="BR824" s="101"/>
      <c r="BS824" s="101"/>
      <c r="BT824" s="101"/>
      <c r="BU824" s="101"/>
      <c r="BV824" s="101"/>
      <c r="BW824" s="101"/>
      <c r="BX824" s="101"/>
      <c r="BY824" s="101"/>
      <c r="BZ824" s="101"/>
      <c r="CA824" s="101"/>
      <c r="CB824" s="101"/>
      <c r="CC824" s="101"/>
      <c r="CD824" s="101"/>
      <c r="CE824" s="101"/>
      <c r="CF824" s="101"/>
      <c r="CG824" s="101"/>
      <c r="CH824" s="101"/>
      <c r="CI824" s="101"/>
      <c r="CJ824" s="101"/>
      <c r="CK824" s="101"/>
      <c r="CL824" s="101"/>
      <c r="CM824" s="101"/>
      <c r="CN824" s="101"/>
      <c r="CO824" s="101"/>
      <c r="CP824" s="101"/>
      <c r="CQ824" s="101"/>
      <c r="CR824" s="101"/>
      <c r="CS824" s="101"/>
      <c r="CT824" s="101"/>
      <c r="CU824" s="101"/>
      <c r="CV824" s="101"/>
      <c r="CW824" s="101"/>
      <c r="CX824" s="101"/>
      <c r="CY824" s="101"/>
      <c r="CZ824" s="101"/>
      <c r="DA824" s="101"/>
      <c r="DB824" s="101"/>
      <c r="DC824" s="101"/>
      <c r="DD824" s="101"/>
      <c r="DE824" s="101"/>
      <c r="DF824" s="101"/>
    </row>
    <row r="825">
      <c r="A825" s="29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3"/>
      <c r="U825" s="103"/>
      <c r="V825" s="103"/>
      <c r="W825" s="104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  <c r="AL825" s="101"/>
      <c r="AM825" s="29"/>
      <c r="AN825" s="101"/>
      <c r="AO825" s="101"/>
      <c r="AP825" s="101"/>
      <c r="AQ825" s="101"/>
      <c r="AR825" s="101"/>
      <c r="AS825" s="101"/>
      <c r="AT825" s="101"/>
      <c r="AU825" s="101"/>
      <c r="AV825" s="101"/>
      <c r="AW825" s="101"/>
      <c r="AX825" s="101"/>
      <c r="AY825" s="101"/>
      <c r="AZ825" s="101"/>
      <c r="BA825" s="101"/>
      <c r="BB825" s="101"/>
      <c r="BC825" s="101"/>
      <c r="BD825" s="101"/>
      <c r="BE825" s="101"/>
      <c r="BF825" s="101"/>
      <c r="BG825" s="101"/>
      <c r="BH825" s="101"/>
      <c r="BI825" s="101"/>
      <c r="BJ825" s="101"/>
      <c r="BK825" s="101"/>
      <c r="BL825" s="101"/>
      <c r="BM825" s="101"/>
      <c r="BN825" s="101"/>
      <c r="BO825" s="101"/>
      <c r="BP825" s="101"/>
      <c r="BQ825" s="101"/>
      <c r="BR825" s="101"/>
      <c r="BS825" s="101"/>
      <c r="BT825" s="101"/>
      <c r="BU825" s="101"/>
      <c r="BV825" s="101"/>
      <c r="BW825" s="101"/>
      <c r="BX825" s="101"/>
      <c r="BY825" s="101"/>
      <c r="BZ825" s="101"/>
      <c r="CA825" s="101"/>
      <c r="CB825" s="101"/>
      <c r="CC825" s="101"/>
      <c r="CD825" s="101"/>
      <c r="CE825" s="101"/>
      <c r="CF825" s="101"/>
      <c r="CG825" s="101"/>
      <c r="CH825" s="101"/>
      <c r="CI825" s="101"/>
      <c r="CJ825" s="101"/>
      <c r="CK825" s="101"/>
      <c r="CL825" s="101"/>
      <c r="CM825" s="101"/>
      <c r="CN825" s="101"/>
      <c r="CO825" s="101"/>
      <c r="CP825" s="101"/>
      <c r="CQ825" s="101"/>
      <c r="CR825" s="101"/>
      <c r="CS825" s="101"/>
      <c r="CT825" s="101"/>
      <c r="CU825" s="101"/>
      <c r="CV825" s="101"/>
      <c r="CW825" s="101"/>
      <c r="CX825" s="101"/>
      <c r="CY825" s="101"/>
      <c r="CZ825" s="101"/>
      <c r="DA825" s="101"/>
      <c r="DB825" s="101"/>
      <c r="DC825" s="101"/>
      <c r="DD825" s="101"/>
      <c r="DE825" s="101"/>
      <c r="DF825" s="101"/>
    </row>
    <row r="826">
      <c r="A826" s="29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3"/>
      <c r="U826" s="103"/>
      <c r="V826" s="103"/>
      <c r="W826" s="104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  <c r="AL826" s="101"/>
      <c r="AM826" s="29"/>
      <c r="AN826" s="101"/>
      <c r="AO826" s="101"/>
      <c r="AP826" s="101"/>
      <c r="AQ826" s="101"/>
      <c r="AR826" s="101"/>
      <c r="AS826" s="101"/>
      <c r="AT826" s="101"/>
      <c r="AU826" s="101"/>
      <c r="AV826" s="101"/>
      <c r="AW826" s="101"/>
      <c r="AX826" s="101"/>
      <c r="AY826" s="101"/>
      <c r="AZ826" s="101"/>
      <c r="BA826" s="101"/>
      <c r="BB826" s="101"/>
      <c r="BC826" s="101"/>
      <c r="BD826" s="101"/>
      <c r="BE826" s="101"/>
      <c r="BF826" s="101"/>
      <c r="BG826" s="101"/>
      <c r="BH826" s="101"/>
      <c r="BI826" s="101"/>
      <c r="BJ826" s="101"/>
      <c r="BK826" s="101"/>
      <c r="BL826" s="101"/>
      <c r="BM826" s="101"/>
      <c r="BN826" s="101"/>
      <c r="BO826" s="101"/>
      <c r="BP826" s="101"/>
      <c r="BQ826" s="101"/>
      <c r="BR826" s="101"/>
      <c r="BS826" s="101"/>
      <c r="BT826" s="101"/>
      <c r="BU826" s="101"/>
      <c r="BV826" s="101"/>
      <c r="BW826" s="101"/>
      <c r="BX826" s="101"/>
      <c r="BY826" s="101"/>
      <c r="BZ826" s="101"/>
      <c r="CA826" s="101"/>
      <c r="CB826" s="101"/>
      <c r="CC826" s="101"/>
      <c r="CD826" s="101"/>
      <c r="CE826" s="101"/>
      <c r="CF826" s="101"/>
      <c r="CG826" s="101"/>
      <c r="CH826" s="101"/>
      <c r="CI826" s="101"/>
      <c r="CJ826" s="101"/>
      <c r="CK826" s="101"/>
      <c r="CL826" s="101"/>
      <c r="CM826" s="101"/>
      <c r="CN826" s="101"/>
      <c r="CO826" s="101"/>
      <c r="CP826" s="101"/>
      <c r="CQ826" s="101"/>
      <c r="CR826" s="101"/>
      <c r="CS826" s="101"/>
      <c r="CT826" s="101"/>
      <c r="CU826" s="101"/>
      <c r="CV826" s="101"/>
      <c r="CW826" s="101"/>
      <c r="CX826" s="101"/>
      <c r="CY826" s="101"/>
      <c r="CZ826" s="101"/>
      <c r="DA826" s="101"/>
      <c r="DB826" s="101"/>
      <c r="DC826" s="101"/>
      <c r="DD826" s="101"/>
      <c r="DE826" s="101"/>
      <c r="DF826" s="101"/>
    </row>
    <row r="827">
      <c r="A827" s="29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3"/>
      <c r="U827" s="103"/>
      <c r="V827" s="103"/>
      <c r="W827" s="104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  <c r="AM827" s="29"/>
      <c r="AN827" s="101"/>
      <c r="AO827" s="101"/>
      <c r="AP827" s="101"/>
      <c r="AQ827" s="101"/>
      <c r="AR827" s="101"/>
      <c r="AS827" s="101"/>
      <c r="AT827" s="101"/>
      <c r="AU827" s="101"/>
      <c r="AV827" s="101"/>
      <c r="AW827" s="101"/>
      <c r="AX827" s="101"/>
      <c r="AY827" s="101"/>
      <c r="AZ827" s="101"/>
      <c r="BA827" s="101"/>
      <c r="BB827" s="101"/>
      <c r="BC827" s="101"/>
      <c r="BD827" s="101"/>
      <c r="BE827" s="101"/>
      <c r="BF827" s="101"/>
      <c r="BG827" s="101"/>
      <c r="BH827" s="101"/>
      <c r="BI827" s="101"/>
      <c r="BJ827" s="101"/>
      <c r="BK827" s="101"/>
      <c r="BL827" s="101"/>
      <c r="BM827" s="101"/>
      <c r="BN827" s="101"/>
      <c r="BO827" s="101"/>
      <c r="BP827" s="101"/>
      <c r="BQ827" s="101"/>
      <c r="BR827" s="101"/>
      <c r="BS827" s="101"/>
      <c r="BT827" s="101"/>
      <c r="BU827" s="101"/>
      <c r="BV827" s="101"/>
      <c r="BW827" s="101"/>
      <c r="BX827" s="101"/>
      <c r="BY827" s="101"/>
      <c r="BZ827" s="101"/>
      <c r="CA827" s="101"/>
      <c r="CB827" s="101"/>
      <c r="CC827" s="101"/>
      <c r="CD827" s="101"/>
      <c r="CE827" s="101"/>
      <c r="CF827" s="101"/>
      <c r="CG827" s="101"/>
      <c r="CH827" s="101"/>
      <c r="CI827" s="101"/>
      <c r="CJ827" s="101"/>
      <c r="CK827" s="101"/>
      <c r="CL827" s="101"/>
      <c r="CM827" s="101"/>
      <c r="CN827" s="101"/>
      <c r="CO827" s="101"/>
      <c r="CP827" s="101"/>
      <c r="CQ827" s="101"/>
      <c r="CR827" s="101"/>
      <c r="CS827" s="101"/>
      <c r="CT827" s="101"/>
      <c r="CU827" s="101"/>
      <c r="CV827" s="101"/>
      <c r="CW827" s="101"/>
      <c r="CX827" s="101"/>
      <c r="CY827" s="101"/>
      <c r="CZ827" s="101"/>
      <c r="DA827" s="101"/>
      <c r="DB827" s="101"/>
      <c r="DC827" s="101"/>
      <c r="DD827" s="101"/>
      <c r="DE827" s="101"/>
      <c r="DF827" s="101"/>
    </row>
    <row r="828">
      <c r="A828" s="29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3"/>
      <c r="U828" s="103"/>
      <c r="V828" s="103"/>
      <c r="W828" s="104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  <c r="AL828" s="101"/>
      <c r="AM828" s="29"/>
      <c r="AN828" s="101"/>
      <c r="AO828" s="101"/>
      <c r="AP828" s="101"/>
      <c r="AQ828" s="101"/>
      <c r="AR828" s="101"/>
      <c r="AS828" s="101"/>
      <c r="AT828" s="101"/>
      <c r="AU828" s="101"/>
      <c r="AV828" s="101"/>
      <c r="AW828" s="101"/>
      <c r="AX828" s="101"/>
      <c r="AY828" s="101"/>
      <c r="AZ828" s="101"/>
      <c r="BA828" s="101"/>
      <c r="BB828" s="101"/>
      <c r="BC828" s="101"/>
      <c r="BD828" s="101"/>
      <c r="BE828" s="101"/>
      <c r="BF828" s="101"/>
      <c r="BG828" s="101"/>
      <c r="BH828" s="101"/>
      <c r="BI828" s="101"/>
      <c r="BJ828" s="101"/>
      <c r="BK828" s="101"/>
      <c r="BL828" s="101"/>
      <c r="BM828" s="101"/>
      <c r="BN828" s="101"/>
      <c r="BO828" s="101"/>
      <c r="BP828" s="101"/>
      <c r="BQ828" s="101"/>
      <c r="BR828" s="101"/>
      <c r="BS828" s="101"/>
      <c r="BT828" s="101"/>
      <c r="BU828" s="101"/>
      <c r="BV828" s="101"/>
      <c r="BW828" s="101"/>
      <c r="BX828" s="101"/>
      <c r="BY828" s="101"/>
      <c r="BZ828" s="101"/>
      <c r="CA828" s="101"/>
      <c r="CB828" s="101"/>
      <c r="CC828" s="101"/>
      <c r="CD828" s="101"/>
      <c r="CE828" s="101"/>
      <c r="CF828" s="101"/>
      <c r="CG828" s="101"/>
      <c r="CH828" s="101"/>
      <c r="CI828" s="101"/>
      <c r="CJ828" s="101"/>
      <c r="CK828" s="101"/>
      <c r="CL828" s="101"/>
      <c r="CM828" s="101"/>
      <c r="CN828" s="101"/>
      <c r="CO828" s="101"/>
      <c r="CP828" s="101"/>
      <c r="CQ828" s="101"/>
      <c r="CR828" s="101"/>
      <c r="CS828" s="101"/>
      <c r="CT828" s="101"/>
      <c r="CU828" s="101"/>
      <c r="CV828" s="101"/>
      <c r="CW828" s="101"/>
      <c r="CX828" s="101"/>
      <c r="CY828" s="101"/>
      <c r="CZ828" s="101"/>
      <c r="DA828" s="101"/>
      <c r="DB828" s="101"/>
      <c r="DC828" s="101"/>
      <c r="DD828" s="101"/>
      <c r="DE828" s="101"/>
      <c r="DF828" s="101"/>
    </row>
    <row r="829">
      <c r="A829" s="29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3"/>
      <c r="U829" s="103"/>
      <c r="V829" s="103"/>
      <c r="W829" s="104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  <c r="AL829" s="101"/>
      <c r="AM829" s="29"/>
      <c r="AN829" s="101"/>
      <c r="AO829" s="101"/>
      <c r="AP829" s="101"/>
      <c r="AQ829" s="101"/>
      <c r="AR829" s="101"/>
      <c r="AS829" s="101"/>
      <c r="AT829" s="101"/>
      <c r="AU829" s="101"/>
      <c r="AV829" s="101"/>
      <c r="AW829" s="101"/>
      <c r="AX829" s="101"/>
      <c r="AY829" s="101"/>
      <c r="AZ829" s="101"/>
      <c r="BA829" s="101"/>
      <c r="BB829" s="101"/>
      <c r="BC829" s="101"/>
      <c r="BD829" s="101"/>
      <c r="BE829" s="101"/>
      <c r="BF829" s="101"/>
      <c r="BG829" s="101"/>
      <c r="BH829" s="101"/>
      <c r="BI829" s="101"/>
      <c r="BJ829" s="101"/>
      <c r="BK829" s="101"/>
      <c r="BL829" s="101"/>
      <c r="BM829" s="101"/>
      <c r="BN829" s="101"/>
      <c r="BO829" s="101"/>
      <c r="BP829" s="101"/>
      <c r="BQ829" s="101"/>
      <c r="BR829" s="101"/>
      <c r="BS829" s="101"/>
      <c r="BT829" s="101"/>
      <c r="BU829" s="101"/>
      <c r="BV829" s="101"/>
      <c r="BW829" s="101"/>
      <c r="BX829" s="101"/>
      <c r="BY829" s="101"/>
      <c r="BZ829" s="101"/>
      <c r="CA829" s="101"/>
      <c r="CB829" s="101"/>
      <c r="CC829" s="101"/>
      <c r="CD829" s="101"/>
      <c r="CE829" s="101"/>
      <c r="CF829" s="101"/>
      <c r="CG829" s="101"/>
      <c r="CH829" s="101"/>
      <c r="CI829" s="101"/>
      <c r="CJ829" s="101"/>
      <c r="CK829" s="101"/>
      <c r="CL829" s="101"/>
      <c r="CM829" s="101"/>
      <c r="CN829" s="101"/>
      <c r="CO829" s="101"/>
      <c r="CP829" s="101"/>
      <c r="CQ829" s="101"/>
      <c r="CR829" s="101"/>
      <c r="CS829" s="101"/>
      <c r="CT829" s="101"/>
      <c r="CU829" s="101"/>
      <c r="CV829" s="101"/>
      <c r="CW829" s="101"/>
      <c r="CX829" s="101"/>
      <c r="CY829" s="101"/>
      <c r="CZ829" s="101"/>
      <c r="DA829" s="101"/>
      <c r="DB829" s="101"/>
      <c r="DC829" s="101"/>
      <c r="DD829" s="101"/>
      <c r="DE829" s="101"/>
      <c r="DF829" s="101"/>
    </row>
    <row r="830">
      <c r="A830" s="29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3"/>
      <c r="U830" s="103"/>
      <c r="V830" s="103"/>
      <c r="W830" s="104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  <c r="AL830" s="101"/>
      <c r="AM830" s="29"/>
      <c r="AN830" s="101"/>
      <c r="AO830" s="101"/>
      <c r="AP830" s="101"/>
      <c r="AQ830" s="101"/>
      <c r="AR830" s="101"/>
      <c r="AS830" s="101"/>
      <c r="AT830" s="101"/>
      <c r="AU830" s="101"/>
      <c r="AV830" s="101"/>
      <c r="AW830" s="101"/>
      <c r="AX830" s="101"/>
      <c r="AY830" s="101"/>
      <c r="AZ830" s="101"/>
      <c r="BA830" s="101"/>
      <c r="BB830" s="101"/>
      <c r="BC830" s="101"/>
      <c r="BD830" s="101"/>
      <c r="BE830" s="101"/>
      <c r="BF830" s="101"/>
      <c r="BG830" s="101"/>
      <c r="BH830" s="101"/>
      <c r="BI830" s="101"/>
      <c r="BJ830" s="101"/>
      <c r="BK830" s="101"/>
      <c r="BL830" s="101"/>
      <c r="BM830" s="101"/>
      <c r="BN830" s="101"/>
      <c r="BO830" s="101"/>
      <c r="BP830" s="101"/>
      <c r="BQ830" s="101"/>
      <c r="BR830" s="101"/>
      <c r="BS830" s="101"/>
      <c r="BT830" s="101"/>
      <c r="BU830" s="101"/>
      <c r="BV830" s="101"/>
      <c r="BW830" s="101"/>
      <c r="BX830" s="101"/>
      <c r="BY830" s="101"/>
      <c r="BZ830" s="101"/>
      <c r="CA830" s="101"/>
      <c r="CB830" s="101"/>
      <c r="CC830" s="101"/>
      <c r="CD830" s="101"/>
      <c r="CE830" s="101"/>
      <c r="CF830" s="101"/>
      <c r="CG830" s="101"/>
      <c r="CH830" s="101"/>
      <c r="CI830" s="101"/>
      <c r="CJ830" s="101"/>
      <c r="CK830" s="101"/>
      <c r="CL830" s="101"/>
      <c r="CM830" s="101"/>
      <c r="CN830" s="101"/>
      <c r="CO830" s="101"/>
      <c r="CP830" s="101"/>
      <c r="CQ830" s="101"/>
      <c r="CR830" s="101"/>
      <c r="CS830" s="101"/>
      <c r="CT830" s="101"/>
      <c r="CU830" s="101"/>
      <c r="CV830" s="101"/>
      <c r="CW830" s="101"/>
      <c r="CX830" s="101"/>
      <c r="CY830" s="101"/>
      <c r="CZ830" s="101"/>
      <c r="DA830" s="101"/>
      <c r="DB830" s="101"/>
      <c r="DC830" s="101"/>
      <c r="DD830" s="101"/>
      <c r="DE830" s="101"/>
      <c r="DF830" s="101"/>
    </row>
    <row r="831">
      <c r="A831" s="29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3"/>
      <c r="U831" s="103"/>
      <c r="V831" s="103"/>
      <c r="W831" s="104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  <c r="AL831" s="101"/>
      <c r="AM831" s="29"/>
      <c r="AN831" s="101"/>
      <c r="AO831" s="101"/>
      <c r="AP831" s="101"/>
      <c r="AQ831" s="101"/>
      <c r="AR831" s="101"/>
      <c r="AS831" s="101"/>
      <c r="AT831" s="101"/>
      <c r="AU831" s="101"/>
      <c r="AV831" s="101"/>
      <c r="AW831" s="101"/>
      <c r="AX831" s="101"/>
      <c r="AY831" s="101"/>
      <c r="AZ831" s="101"/>
      <c r="BA831" s="101"/>
      <c r="BB831" s="101"/>
      <c r="BC831" s="101"/>
      <c r="BD831" s="101"/>
      <c r="BE831" s="101"/>
      <c r="BF831" s="101"/>
      <c r="BG831" s="101"/>
      <c r="BH831" s="101"/>
      <c r="BI831" s="101"/>
      <c r="BJ831" s="101"/>
      <c r="BK831" s="101"/>
      <c r="BL831" s="101"/>
      <c r="BM831" s="101"/>
      <c r="BN831" s="101"/>
      <c r="BO831" s="101"/>
      <c r="BP831" s="101"/>
      <c r="BQ831" s="101"/>
      <c r="BR831" s="101"/>
      <c r="BS831" s="101"/>
      <c r="BT831" s="101"/>
      <c r="BU831" s="101"/>
      <c r="BV831" s="101"/>
      <c r="BW831" s="101"/>
      <c r="BX831" s="101"/>
      <c r="BY831" s="101"/>
      <c r="BZ831" s="101"/>
      <c r="CA831" s="101"/>
      <c r="CB831" s="101"/>
      <c r="CC831" s="101"/>
      <c r="CD831" s="101"/>
      <c r="CE831" s="101"/>
      <c r="CF831" s="101"/>
      <c r="CG831" s="101"/>
      <c r="CH831" s="101"/>
      <c r="CI831" s="101"/>
      <c r="CJ831" s="101"/>
      <c r="CK831" s="101"/>
      <c r="CL831" s="101"/>
      <c r="CM831" s="101"/>
      <c r="CN831" s="101"/>
      <c r="CO831" s="101"/>
      <c r="CP831" s="101"/>
      <c r="CQ831" s="101"/>
      <c r="CR831" s="101"/>
      <c r="CS831" s="101"/>
      <c r="CT831" s="101"/>
      <c r="CU831" s="101"/>
      <c r="CV831" s="101"/>
      <c r="CW831" s="101"/>
      <c r="CX831" s="101"/>
      <c r="CY831" s="101"/>
      <c r="CZ831" s="101"/>
      <c r="DA831" s="101"/>
      <c r="DB831" s="101"/>
      <c r="DC831" s="101"/>
      <c r="DD831" s="101"/>
      <c r="DE831" s="101"/>
      <c r="DF831" s="101"/>
    </row>
    <row r="832">
      <c r="A832" s="29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3"/>
      <c r="U832" s="103"/>
      <c r="V832" s="103"/>
      <c r="W832" s="104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  <c r="AL832" s="101"/>
      <c r="AM832" s="29"/>
      <c r="AN832" s="101"/>
      <c r="AO832" s="101"/>
      <c r="AP832" s="101"/>
      <c r="AQ832" s="101"/>
      <c r="AR832" s="101"/>
      <c r="AS832" s="101"/>
      <c r="AT832" s="101"/>
      <c r="AU832" s="101"/>
      <c r="AV832" s="101"/>
      <c r="AW832" s="101"/>
      <c r="AX832" s="101"/>
      <c r="AY832" s="101"/>
      <c r="AZ832" s="101"/>
      <c r="BA832" s="101"/>
      <c r="BB832" s="101"/>
      <c r="BC832" s="101"/>
      <c r="BD832" s="101"/>
      <c r="BE832" s="101"/>
      <c r="BF832" s="101"/>
      <c r="BG832" s="101"/>
      <c r="BH832" s="101"/>
      <c r="BI832" s="101"/>
      <c r="BJ832" s="101"/>
      <c r="BK832" s="101"/>
      <c r="BL832" s="101"/>
      <c r="BM832" s="101"/>
      <c r="BN832" s="101"/>
      <c r="BO832" s="101"/>
      <c r="BP832" s="101"/>
      <c r="BQ832" s="101"/>
      <c r="BR832" s="101"/>
      <c r="BS832" s="101"/>
      <c r="BT832" s="101"/>
      <c r="BU832" s="101"/>
      <c r="BV832" s="101"/>
      <c r="BW832" s="101"/>
      <c r="BX832" s="101"/>
      <c r="BY832" s="101"/>
      <c r="BZ832" s="101"/>
      <c r="CA832" s="101"/>
      <c r="CB832" s="101"/>
      <c r="CC832" s="101"/>
      <c r="CD832" s="101"/>
      <c r="CE832" s="101"/>
      <c r="CF832" s="101"/>
      <c r="CG832" s="101"/>
      <c r="CH832" s="101"/>
      <c r="CI832" s="101"/>
      <c r="CJ832" s="101"/>
      <c r="CK832" s="101"/>
      <c r="CL832" s="101"/>
      <c r="CM832" s="101"/>
      <c r="CN832" s="101"/>
      <c r="CO832" s="101"/>
      <c r="CP832" s="101"/>
      <c r="CQ832" s="101"/>
      <c r="CR832" s="101"/>
      <c r="CS832" s="101"/>
      <c r="CT832" s="101"/>
      <c r="CU832" s="101"/>
      <c r="CV832" s="101"/>
      <c r="CW832" s="101"/>
      <c r="CX832" s="101"/>
      <c r="CY832" s="101"/>
      <c r="CZ832" s="101"/>
      <c r="DA832" s="101"/>
      <c r="DB832" s="101"/>
      <c r="DC832" s="101"/>
      <c r="DD832" s="101"/>
      <c r="DE832" s="101"/>
      <c r="DF832" s="101"/>
    </row>
    <row r="833">
      <c r="A833" s="29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3"/>
      <c r="U833" s="103"/>
      <c r="V833" s="103"/>
      <c r="W833" s="104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  <c r="AL833" s="101"/>
      <c r="AM833" s="29"/>
      <c r="AN833" s="101"/>
      <c r="AO833" s="101"/>
      <c r="AP833" s="101"/>
      <c r="AQ833" s="101"/>
      <c r="AR833" s="101"/>
      <c r="AS833" s="101"/>
      <c r="AT833" s="101"/>
      <c r="AU833" s="101"/>
      <c r="AV833" s="101"/>
      <c r="AW833" s="101"/>
      <c r="AX833" s="101"/>
      <c r="AY833" s="101"/>
      <c r="AZ833" s="101"/>
      <c r="BA833" s="101"/>
      <c r="BB833" s="101"/>
      <c r="BC833" s="101"/>
      <c r="BD833" s="101"/>
      <c r="BE833" s="101"/>
      <c r="BF833" s="101"/>
      <c r="BG833" s="101"/>
      <c r="BH833" s="101"/>
      <c r="BI833" s="101"/>
      <c r="BJ833" s="101"/>
      <c r="BK833" s="101"/>
      <c r="BL833" s="101"/>
      <c r="BM833" s="101"/>
      <c r="BN833" s="101"/>
      <c r="BO833" s="101"/>
      <c r="BP833" s="101"/>
      <c r="BQ833" s="101"/>
      <c r="BR833" s="101"/>
      <c r="BS833" s="101"/>
      <c r="BT833" s="101"/>
      <c r="BU833" s="101"/>
      <c r="BV833" s="101"/>
      <c r="BW833" s="101"/>
      <c r="BX833" s="101"/>
      <c r="BY833" s="101"/>
      <c r="BZ833" s="101"/>
      <c r="CA833" s="101"/>
      <c r="CB833" s="101"/>
      <c r="CC833" s="101"/>
      <c r="CD833" s="101"/>
      <c r="CE833" s="101"/>
      <c r="CF833" s="101"/>
      <c r="CG833" s="101"/>
      <c r="CH833" s="101"/>
      <c r="CI833" s="101"/>
      <c r="CJ833" s="101"/>
      <c r="CK833" s="101"/>
      <c r="CL833" s="101"/>
      <c r="CM833" s="101"/>
      <c r="CN833" s="101"/>
      <c r="CO833" s="101"/>
      <c r="CP833" s="101"/>
      <c r="CQ833" s="101"/>
      <c r="CR833" s="101"/>
      <c r="CS833" s="101"/>
      <c r="CT833" s="101"/>
      <c r="CU833" s="101"/>
      <c r="CV833" s="101"/>
      <c r="CW833" s="101"/>
      <c r="CX833" s="101"/>
      <c r="CY833" s="101"/>
      <c r="CZ833" s="101"/>
      <c r="DA833" s="101"/>
      <c r="DB833" s="101"/>
      <c r="DC833" s="101"/>
      <c r="DD833" s="101"/>
      <c r="DE833" s="101"/>
      <c r="DF833" s="101"/>
    </row>
    <row r="834">
      <c r="A834" s="29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3"/>
      <c r="U834" s="103"/>
      <c r="V834" s="103"/>
      <c r="W834" s="104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  <c r="AL834" s="101"/>
      <c r="AM834" s="29"/>
      <c r="AN834" s="101"/>
      <c r="AO834" s="101"/>
      <c r="AP834" s="101"/>
      <c r="AQ834" s="101"/>
      <c r="AR834" s="101"/>
      <c r="AS834" s="101"/>
      <c r="AT834" s="101"/>
      <c r="AU834" s="101"/>
      <c r="AV834" s="101"/>
      <c r="AW834" s="101"/>
      <c r="AX834" s="101"/>
      <c r="AY834" s="101"/>
      <c r="AZ834" s="101"/>
      <c r="BA834" s="101"/>
      <c r="BB834" s="101"/>
      <c r="BC834" s="101"/>
      <c r="BD834" s="101"/>
      <c r="BE834" s="101"/>
      <c r="BF834" s="101"/>
      <c r="BG834" s="101"/>
      <c r="BH834" s="101"/>
      <c r="BI834" s="101"/>
      <c r="BJ834" s="101"/>
      <c r="BK834" s="101"/>
      <c r="BL834" s="101"/>
      <c r="BM834" s="101"/>
      <c r="BN834" s="101"/>
      <c r="BO834" s="101"/>
      <c r="BP834" s="101"/>
      <c r="BQ834" s="101"/>
      <c r="BR834" s="101"/>
      <c r="BS834" s="101"/>
      <c r="BT834" s="101"/>
      <c r="BU834" s="101"/>
      <c r="BV834" s="101"/>
      <c r="BW834" s="101"/>
      <c r="BX834" s="101"/>
      <c r="BY834" s="101"/>
      <c r="BZ834" s="101"/>
      <c r="CA834" s="101"/>
      <c r="CB834" s="101"/>
      <c r="CC834" s="101"/>
      <c r="CD834" s="101"/>
      <c r="CE834" s="101"/>
      <c r="CF834" s="101"/>
      <c r="CG834" s="101"/>
      <c r="CH834" s="101"/>
      <c r="CI834" s="101"/>
      <c r="CJ834" s="101"/>
      <c r="CK834" s="101"/>
      <c r="CL834" s="101"/>
      <c r="CM834" s="101"/>
      <c r="CN834" s="101"/>
      <c r="CO834" s="101"/>
      <c r="CP834" s="101"/>
      <c r="CQ834" s="101"/>
      <c r="CR834" s="101"/>
      <c r="CS834" s="101"/>
      <c r="CT834" s="101"/>
      <c r="CU834" s="101"/>
      <c r="CV834" s="101"/>
      <c r="CW834" s="101"/>
      <c r="CX834" s="101"/>
      <c r="CY834" s="101"/>
      <c r="CZ834" s="101"/>
      <c r="DA834" s="101"/>
      <c r="DB834" s="101"/>
      <c r="DC834" s="101"/>
      <c r="DD834" s="101"/>
      <c r="DE834" s="101"/>
      <c r="DF834" s="101"/>
    </row>
    <row r="835">
      <c r="A835" s="29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3"/>
      <c r="U835" s="103"/>
      <c r="V835" s="103"/>
      <c r="W835" s="104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  <c r="AL835" s="101"/>
      <c r="AM835" s="29"/>
      <c r="AN835" s="101"/>
      <c r="AO835" s="101"/>
      <c r="AP835" s="101"/>
      <c r="AQ835" s="101"/>
      <c r="AR835" s="101"/>
      <c r="AS835" s="101"/>
      <c r="AT835" s="101"/>
      <c r="AU835" s="101"/>
      <c r="AV835" s="101"/>
      <c r="AW835" s="101"/>
      <c r="AX835" s="101"/>
      <c r="AY835" s="101"/>
      <c r="AZ835" s="101"/>
      <c r="BA835" s="101"/>
      <c r="BB835" s="101"/>
      <c r="BC835" s="101"/>
      <c r="BD835" s="101"/>
      <c r="BE835" s="101"/>
      <c r="BF835" s="101"/>
      <c r="BG835" s="101"/>
      <c r="BH835" s="101"/>
      <c r="BI835" s="101"/>
      <c r="BJ835" s="101"/>
      <c r="BK835" s="101"/>
      <c r="BL835" s="101"/>
      <c r="BM835" s="101"/>
      <c r="BN835" s="101"/>
      <c r="BO835" s="101"/>
      <c r="BP835" s="101"/>
      <c r="BQ835" s="101"/>
      <c r="BR835" s="101"/>
      <c r="BS835" s="101"/>
      <c r="BT835" s="101"/>
      <c r="BU835" s="101"/>
      <c r="BV835" s="101"/>
      <c r="BW835" s="101"/>
      <c r="BX835" s="101"/>
      <c r="BY835" s="101"/>
      <c r="BZ835" s="101"/>
      <c r="CA835" s="101"/>
      <c r="CB835" s="101"/>
      <c r="CC835" s="101"/>
      <c r="CD835" s="101"/>
      <c r="CE835" s="101"/>
      <c r="CF835" s="101"/>
      <c r="CG835" s="101"/>
      <c r="CH835" s="101"/>
      <c r="CI835" s="101"/>
      <c r="CJ835" s="101"/>
      <c r="CK835" s="101"/>
      <c r="CL835" s="101"/>
      <c r="CM835" s="101"/>
      <c r="CN835" s="101"/>
      <c r="CO835" s="101"/>
      <c r="CP835" s="101"/>
      <c r="CQ835" s="101"/>
      <c r="CR835" s="101"/>
      <c r="CS835" s="101"/>
      <c r="CT835" s="101"/>
      <c r="CU835" s="101"/>
      <c r="CV835" s="101"/>
      <c r="CW835" s="101"/>
      <c r="CX835" s="101"/>
      <c r="CY835" s="101"/>
      <c r="CZ835" s="101"/>
      <c r="DA835" s="101"/>
      <c r="DB835" s="101"/>
      <c r="DC835" s="101"/>
      <c r="DD835" s="101"/>
      <c r="DE835" s="101"/>
      <c r="DF835" s="101"/>
    </row>
    <row r="836">
      <c r="A836" s="29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3"/>
      <c r="U836" s="103"/>
      <c r="V836" s="103"/>
      <c r="W836" s="104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  <c r="AM836" s="29"/>
      <c r="AN836" s="101"/>
      <c r="AO836" s="101"/>
      <c r="AP836" s="101"/>
      <c r="AQ836" s="101"/>
      <c r="AR836" s="101"/>
      <c r="AS836" s="101"/>
      <c r="AT836" s="101"/>
      <c r="AU836" s="101"/>
      <c r="AV836" s="101"/>
      <c r="AW836" s="101"/>
      <c r="AX836" s="101"/>
      <c r="AY836" s="101"/>
      <c r="AZ836" s="101"/>
      <c r="BA836" s="101"/>
      <c r="BB836" s="101"/>
      <c r="BC836" s="101"/>
      <c r="BD836" s="101"/>
      <c r="BE836" s="101"/>
      <c r="BF836" s="101"/>
      <c r="BG836" s="101"/>
      <c r="BH836" s="101"/>
      <c r="BI836" s="101"/>
      <c r="BJ836" s="101"/>
      <c r="BK836" s="101"/>
      <c r="BL836" s="101"/>
      <c r="BM836" s="101"/>
      <c r="BN836" s="101"/>
      <c r="BO836" s="101"/>
      <c r="BP836" s="101"/>
      <c r="BQ836" s="101"/>
      <c r="BR836" s="101"/>
      <c r="BS836" s="101"/>
      <c r="BT836" s="101"/>
      <c r="BU836" s="101"/>
      <c r="BV836" s="101"/>
      <c r="BW836" s="101"/>
      <c r="BX836" s="101"/>
      <c r="BY836" s="101"/>
      <c r="BZ836" s="101"/>
      <c r="CA836" s="101"/>
      <c r="CB836" s="101"/>
      <c r="CC836" s="101"/>
      <c r="CD836" s="101"/>
      <c r="CE836" s="101"/>
      <c r="CF836" s="101"/>
      <c r="CG836" s="101"/>
      <c r="CH836" s="101"/>
      <c r="CI836" s="101"/>
      <c r="CJ836" s="101"/>
      <c r="CK836" s="101"/>
      <c r="CL836" s="101"/>
      <c r="CM836" s="101"/>
      <c r="CN836" s="101"/>
      <c r="CO836" s="101"/>
      <c r="CP836" s="101"/>
      <c r="CQ836" s="101"/>
      <c r="CR836" s="101"/>
      <c r="CS836" s="101"/>
      <c r="CT836" s="101"/>
      <c r="CU836" s="101"/>
      <c r="CV836" s="101"/>
      <c r="CW836" s="101"/>
      <c r="CX836" s="101"/>
      <c r="CY836" s="101"/>
      <c r="CZ836" s="101"/>
      <c r="DA836" s="101"/>
      <c r="DB836" s="101"/>
      <c r="DC836" s="101"/>
      <c r="DD836" s="101"/>
      <c r="DE836" s="101"/>
      <c r="DF836" s="101"/>
    </row>
    <row r="837">
      <c r="A837" s="29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3"/>
      <c r="U837" s="103"/>
      <c r="V837" s="103"/>
      <c r="W837" s="104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  <c r="AL837" s="101"/>
      <c r="AM837" s="29"/>
      <c r="AN837" s="101"/>
      <c r="AO837" s="101"/>
      <c r="AP837" s="101"/>
      <c r="AQ837" s="101"/>
      <c r="AR837" s="101"/>
      <c r="AS837" s="101"/>
      <c r="AT837" s="101"/>
      <c r="AU837" s="101"/>
      <c r="AV837" s="101"/>
      <c r="AW837" s="101"/>
      <c r="AX837" s="101"/>
      <c r="AY837" s="101"/>
      <c r="AZ837" s="101"/>
      <c r="BA837" s="101"/>
      <c r="BB837" s="101"/>
      <c r="BC837" s="101"/>
      <c r="BD837" s="101"/>
      <c r="BE837" s="101"/>
      <c r="BF837" s="101"/>
      <c r="BG837" s="101"/>
      <c r="BH837" s="101"/>
      <c r="BI837" s="101"/>
      <c r="BJ837" s="101"/>
      <c r="BK837" s="101"/>
      <c r="BL837" s="101"/>
      <c r="BM837" s="101"/>
      <c r="BN837" s="101"/>
      <c r="BO837" s="101"/>
      <c r="BP837" s="101"/>
      <c r="BQ837" s="101"/>
      <c r="BR837" s="101"/>
      <c r="BS837" s="101"/>
      <c r="BT837" s="101"/>
      <c r="BU837" s="101"/>
      <c r="BV837" s="101"/>
      <c r="BW837" s="101"/>
      <c r="BX837" s="101"/>
      <c r="BY837" s="101"/>
      <c r="BZ837" s="101"/>
      <c r="CA837" s="101"/>
      <c r="CB837" s="101"/>
      <c r="CC837" s="101"/>
      <c r="CD837" s="101"/>
      <c r="CE837" s="101"/>
      <c r="CF837" s="101"/>
      <c r="CG837" s="101"/>
      <c r="CH837" s="101"/>
      <c r="CI837" s="101"/>
      <c r="CJ837" s="101"/>
      <c r="CK837" s="101"/>
      <c r="CL837" s="101"/>
      <c r="CM837" s="101"/>
      <c r="CN837" s="101"/>
      <c r="CO837" s="101"/>
      <c r="CP837" s="101"/>
      <c r="CQ837" s="101"/>
      <c r="CR837" s="101"/>
      <c r="CS837" s="101"/>
      <c r="CT837" s="101"/>
      <c r="CU837" s="101"/>
      <c r="CV837" s="101"/>
      <c r="CW837" s="101"/>
      <c r="CX837" s="101"/>
      <c r="CY837" s="101"/>
      <c r="CZ837" s="101"/>
      <c r="DA837" s="101"/>
      <c r="DB837" s="101"/>
      <c r="DC837" s="101"/>
      <c r="DD837" s="101"/>
      <c r="DE837" s="101"/>
      <c r="DF837" s="101"/>
    </row>
    <row r="838">
      <c r="A838" s="29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3"/>
      <c r="U838" s="103"/>
      <c r="V838" s="103"/>
      <c r="W838" s="104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  <c r="AL838" s="101"/>
      <c r="AM838" s="29"/>
      <c r="AN838" s="101"/>
      <c r="AO838" s="101"/>
      <c r="AP838" s="101"/>
      <c r="AQ838" s="101"/>
      <c r="AR838" s="101"/>
      <c r="AS838" s="101"/>
      <c r="AT838" s="101"/>
      <c r="AU838" s="101"/>
      <c r="AV838" s="101"/>
      <c r="AW838" s="101"/>
      <c r="AX838" s="101"/>
      <c r="AY838" s="101"/>
      <c r="AZ838" s="101"/>
      <c r="BA838" s="101"/>
      <c r="BB838" s="101"/>
      <c r="BC838" s="101"/>
      <c r="BD838" s="101"/>
      <c r="BE838" s="101"/>
      <c r="BF838" s="101"/>
      <c r="BG838" s="101"/>
      <c r="BH838" s="101"/>
      <c r="BI838" s="101"/>
      <c r="BJ838" s="101"/>
      <c r="BK838" s="101"/>
      <c r="BL838" s="101"/>
      <c r="BM838" s="101"/>
      <c r="BN838" s="101"/>
      <c r="BO838" s="101"/>
      <c r="BP838" s="101"/>
      <c r="BQ838" s="101"/>
      <c r="BR838" s="101"/>
      <c r="BS838" s="101"/>
      <c r="BT838" s="101"/>
      <c r="BU838" s="101"/>
      <c r="BV838" s="101"/>
      <c r="BW838" s="101"/>
      <c r="BX838" s="101"/>
      <c r="BY838" s="101"/>
      <c r="BZ838" s="101"/>
      <c r="CA838" s="101"/>
      <c r="CB838" s="101"/>
      <c r="CC838" s="101"/>
      <c r="CD838" s="101"/>
      <c r="CE838" s="101"/>
      <c r="CF838" s="101"/>
      <c r="CG838" s="101"/>
      <c r="CH838" s="101"/>
      <c r="CI838" s="101"/>
      <c r="CJ838" s="101"/>
      <c r="CK838" s="101"/>
      <c r="CL838" s="101"/>
      <c r="CM838" s="101"/>
      <c r="CN838" s="101"/>
      <c r="CO838" s="101"/>
      <c r="CP838" s="101"/>
      <c r="CQ838" s="101"/>
      <c r="CR838" s="101"/>
      <c r="CS838" s="101"/>
      <c r="CT838" s="101"/>
      <c r="CU838" s="101"/>
      <c r="CV838" s="101"/>
      <c r="CW838" s="101"/>
      <c r="CX838" s="101"/>
      <c r="CY838" s="101"/>
      <c r="CZ838" s="101"/>
      <c r="DA838" s="101"/>
      <c r="DB838" s="101"/>
      <c r="DC838" s="101"/>
      <c r="DD838" s="101"/>
      <c r="DE838" s="101"/>
      <c r="DF838" s="101"/>
    </row>
    <row r="839">
      <c r="A839" s="29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3"/>
      <c r="U839" s="103"/>
      <c r="V839" s="103"/>
      <c r="W839" s="104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  <c r="AL839" s="101"/>
      <c r="AM839" s="29"/>
      <c r="AN839" s="101"/>
      <c r="AO839" s="101"/>
      <c r="AP839" s="101"/>
      <c r="AQ839" s="101"/>
      <c r="AR839" s="101"/>
      <c r="AS839" s="101"/>
      <c r="AT839" s="101"/>
      <c r="AU839" s="101"/>
      <c r="AV839" s="101"/>
      <c r="AW839" s="101"/>
      <c r="AX839" s="101"/>
      <c r="AY839" s="101"/>
      <c r="AZ839" s="101"/>
      <c r="BA839" s="101"/>
      <c r="BB839" s="101"/>
      <c r="BC839" s="101"/>
      <c r="BD839" s="101"/>
      <c r="BE839" s="101"/>
      <c r="BF839" s="101"/>
      <c r="BG839" s="101"/>
      <c r="BH839" s="101"/>
      <c r="BI839" s="101"/>
      <c r="BJ839" s="101"/>
      <c r="BK839" s="101"/>
      <c r="BL839" s="101"/>
      <c r="BM839" s="101"/>
      <c r="BN839" s="101"/>
      <c r="BO839" s="101"/>
      <c r="BP839" s="101"/>
      <c r="BQ839" s="101"/>
      <c r="BR839" s="101"/>
      <c r="BS839" s="101"/>
      <c r="BT839" s="101"/>
      <c r="BU839" s="101"/>
      <c r="BV839" s="101"/>
      <c r="BW839" s="101"/>
      <c r="BX839" s="101"/>
      <c r="BY839" s="101"/>
      <c r="BZ839" s="101"/>
      <c r="CA839" s="101"/>
      <c r="CB839" s="101"/>
      <c r="CC839" s="101"/>
      <c r="CD839" s="101"/>
      <c r="CE839" s="101"/>
      <c r="CF839" s="101"/>
      <c r="CG839" s="101"/>
      <c r="CH839" s="101"/>
      <c r="CI839" s="101"/>
      <c r="CJ839" s="101"/>
      <c r="CK839" s="101"/>
      <c r="CL839" s="101"/>
      <c r="CM839" s="101"/>
      <c r="CN839" s="101"/>
      <c r="CO839" s="101"/>
      <c r="CP839" s="101"/>
      <c r="CQ839" s="101"/>
      <c r="CR839" s="101"/>
      <c r="CS839" s="101"/>
      <c r="CT839" s="101"/>
      <c r="CU839" s="101"/>
      <c r="CV839" s="101"/>
      <c r="CW839" s="101"/>
      <c r="CX839" s="101"/>
      <c r="CY839" s="101"/>
      <c r="CZ839" s="101"/>
      <c r="DA839" s="101"/>
      <c r="DB839" s="101"/>
      <c r="DC839" s="101"/>
      <c r="DD839" s="101"/>
      <c r="DE839" s="101"/>
      <c r="DF839" s="101"/>
    </row>
    <row r="840">
      <c r="A840" s="29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3"/>
      <c r="U840" s="103"/>
      <c r="V840" s="103"/>
      <c r="W840" s="104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  <c r="AL840" s="101"/>
      <c r="AM840" s="29"/>
      <c r="AN840" s="101"/>
      <c r="AO840" s="101"/>
      <c r="AP840" s="101"/>
      <c r="AQ840" s="101"/>
      <c r="AR840" s="101"/>
      <c r="AS840" s="101"/>
      <c r="AT840" s="101"/>
      <c r="AU840" s="101"/>
      <c r="AV840" s="101"/>
      <c r="AW840" s="101"/>
      <c r="AX840" s="101"/>
      <c r="AY840" s="101"/>
      <c r="AZ840" s="101"/>
      <c r="BA840" s="101"/>
      <c r="BB840" s="101"/>
      <c r="BC840" s="101"/>
      <c r="BD840" s="101"/>
      <c r="BE840" s="101"/>
      <c r="BF840" s="101"/>
      <c r="BG840" s="101"/>
      <c r="BH840" s="101"/>
      <c r="BI840" s="101"/>
      <c r="BJ840" s="101"/>
      <c r="BK840" s="101"/>
      <c r="BL840" s="101"/>
      <c r="BM840" s="101"/>
      <c r="BN840" s="101"/>
      <c r="BO840" s="101"/>
      <c r="BP840" s="101"/>
      <c r="BQ840" s="101"/>
      <c r="BR840" s="101"/>
      <c r="BS840" s="101"/>
      <c r="BT840" s="101"/>
      <c r="BU840" s="101"/>
      <c r="BV840" s="101"/>
      <c r="BW840" s="101"/>
      <c r="BX840" s="101"/>
      <c r="BY840" s="101"/>
      <c r="BZ840" s="101"/>
      <c r="CA840" s="101"/>
      <c r="CB840" s="101"/>
      <c r="CC840" s="101"/>
      <c r="CD840" s="101"/>
      <c r="CE840" s="101"/>
      <c r="CF840" s="101"/>
      <c r="CG840" s="101"/>
      <c r="CH840" s="101"/>
      <c r="CI840" s="101"/>
      <c r="CJ840" s="101"/>
      <c r="CK840" s="101"/>
      <c r="CL840" s="101"/>
      <c r="CM840" s="101"/>
      <c r="CN840" s="101"/>
      <c r="CO840" s="101"/>
      <c r="CP840" s="101"/>
      <c r="CQ840" s="101"/>
      <c r="CR840" s="101"/>
      <c r="CS840" s="101"/>
      <c r="CT840" s="101"/>
      <c r="CU840" s="101"/>
      <c r="CV840" s="101"/>
      <c r="CW840" s="101"/>
      <c r="CX840" s="101"/>
      <c r="CY840" s="101"/>
      <c r="CZ840" s="101"/>
      <c r="DA840" s="101"/>
      <c r="DB840" s="101"/>
      <c r="DC840" s="101"/>
      <c r="DD840" s="101"/>
      <c r="DE840" s="101"/>
      <c r="DF840" s="101"/>
    </row>
    <row r="841">
      <c r="A841" s="29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3"/>
      <c r="U841" s="103"/>
      <c r="V841" s="103"/>
      <c r="W841" s="104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  <c r="AL841" s="101"/>
      <c r="AM841" s="29"/>
      <c r="AN841" s="101"/>
      <c r="AO841" s="101"/>
      <c r="AP841" s="101"/>
      <c r="AQ841" s="101"/>
      <c r="AR841" s="101"/>
      <c r="AS841" s="101"/>
      <c r="AT841" s="101"/>
      <c r="AU841" s="101"/>
      <c r="AV841" s="101"/>
      <c r="AW841" s="101"/>
      <c r="AX841" s="101"/>
      <c r="AY841" s="101"/>
      <c r="AZ841" s="101"/>
      <c r="BA841" s="101"/>
      <c r="BB841" s="101"/>
      <c r="BC841" s="101"/>
      <c r="BD841" s="101"/>
      <c r="BE841" s="101"/>
      <c r="BF841" s="101"/>
      <c r="BG841" s="101"/>
      <c r="BH841" s="101"/>
      <c r="BI841" s="101"/>
      <c r="BJ841" s="101"/>
      <c r="BK841" s="101"/>
      <c r="BL841" s="101"/>
      <c r="BM841" s="101"/>
      <c r="BN841" s="101"/>
      <c r="BO841" s="101"/>
      <c r="BP841" s="101"/>
      <c r="BQ841" s="101"/>
      <c r="BR841" s="101"/>
      <c r="BS841" s="101"/>
      <c r="BT841" s="101"/>
      <c r="BU841" s="101"/>
      <c r="BV841" s="101"/>
      <c r="BW841" s="101"/>
      <c r="BX841" s="101"/>
      <c r="BY841" s="101"/>
      <c r="BZ841" s="101"/>
      <c r="CA841" s="101"/>
      <c r="CB841" s="101"/>
      <c r="CC841" s="101"/>
      <c r="CD841" s="101"/>
      <c r="CE841" s="101"/>
      <c r="CF841" s="101"/>
      <c r="CG841" s="101"/>
      <c r="CH841" s="101"/>
      <c r="CI841" s="101"/>
      <c r="CJ841" s="101"/>
      <c r="CK841" s="101"/>
      <c r="CL841" s="101"/>
      <c r="CM841" s="101"/>
      <c r="CN841" s="101"/>
      <c r="CO841" s="101"/>
      <c r="CP841" s="101"/>
      <c r="CQ841" s="101"/>
      <c r="CR841" s="101"/>
      <c r="CS841" s="101"/>
      <c r="CT841" s="101"/>
      <c r="CU841" s="101"/>
      <c r="CV841" s="101"/>
      <c r="CW841" s="101"/>
      <c r="CX841" s="101"/>
      <c r="CY841" s="101"/>
      <c r="CZ841" s="101"/>
      <c r="DA841" s="101"/>
      <c r="DB841" s="101"/>
      <c r="DC841" s="101"/>
      <c r="DD841" s="101"/>
      <c r="DE841" s="101"/>
      <c r="DF841" s="101"/>
    </row>
    <row r="842">
      <c r="A842" s="29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3"/>
      <c r="U842" s="103"/>
      <c r="V842" s="103"/>
      <c r="W842" s="104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  <c r="AL842" s="101"/>
      <c r="AM842" s="29"/>
      <c r="AN842" s="101"/>
      <c r="AO842" s="101"/>
      <c r="AP842" s="101"/>
      <c r="AQ842" s="101"/>
      <c r="AR842" s="101"/>
      <c r="AS842" s="101"/>
      <c r="AT842" s="101"/>
      <c r="AU842" s="101"/>
      <c r="AV842" s="101"/>
      <c r="AW842" s="101"/>
      <c r="AX842" s="101"/>
      <c r="AY842" s="101"/>
      <c r="AZ842" s="101"/>
      <c r="BA842" s="101"/>
      <c r="BB842" s="101"/>
      <c r="BC842" s="101"/>
      <c r="BD842" s="101"/>
      <c r="BE842" s="101"/>
      <c r="BF842" s="101"/>
      <c r="BG842" s="101"/>
      <c r="BH842" s="101"/>
      <c r="BI842" s="101"/>
      <c r="BJ842" s="101"/>
      <c r="BK842" s="101"/>
      <c r="BL842" s="101"/>
      <c r="BM842" s="101"/>
      <c r="BN842" s="101"/>
      <c r="BO842" s="101"/>
      <c r="BP842" s="101"/>
      <c r="BQ842" s="101"/>
      <c r="BR842" s="101"/>
      <c r="BS842" s="101"/>
      <c r="BT842" s="101"/>
      <c r="BU842" s="101"/>
      <c r="BV842" s="101"/>
      <c r="BW842" s="101"/>
      <c r="BX842" s="101"/>
      <c r="BY842" s="101"/>
      <c r="BZ842" s="101"/>
      <c r="CA842" s="101"/>
      <c r="CB842" s="101"/>
      <c r="CC842" s="101"/>
      <c r="CD842" s="101"/>
      <c r="CE842" s="101"/>
      <c r="CF842" s="101"/>
      <c r="CG842" s="101"/>
      <c r="CH842" s="101"/>
      <c r="CI842" s="101"/>
      <c r="CJ842" s="101"/>
      <c r="CK842" s="101"/>
      <c r="CL842" s="101"/>
      <c r="CM842" s="101"/>
      <c r="CN842" s="101"/>
      <c r="CO842" s="101"/>
      <c r="CP842" s="101"/>
      <c r="CQ842" s="101"/>
      <c r="CR842" s="101"/>
      <c r="CS842" s="101"/>
      <c r="CT842" s="101"/>
      <c r="CU842" s="101"/>
      <c r="CV842" s="101"/>
      <c r="CW842" s="101"/>
      <c r="CX842" s="101"/>
      <c r="CY842" s="101"/>
      <c r="CZ842" s="101"/>
      <c r="DA842" s="101"/>
      <c r="DB842" s="101"/>
      <c r="DC842" s="101"/>
      <c r="DD842" s="101"/>
      <c r="DE842" s="101"/>
      <c r="DF842" s="101"/>
    </row>
    <row r="843">
      <c r="A843" s="29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3"/>
      <c r="U843" s="103"/>
      <c r="V843" s="103"/>
      <c r="W843" s="104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  <c r="AL843" s="101"/>
      <c r="AM843" s="29"/>
      <c r="AN843" s="101"/>
      <c r="AO843" s="101"/>
      <c r="AP843" s="101"/>
      <c r="AQ843" s="101"/>
      <c r="AR843" s="101"/>
      <c r="AS843" s="101"/>
      <c r="AT843" s="101"/>
      <c r="AU843" s="101"/>
      <c r="AV843" s="101"/>
      <c r="AW843" s="101"/>
      <c r="AX843" s="101"/>
      <c r="AY843" s="101"/>
      <c r="AZ843" s="101"/>
      <c r="BA843" s="101"/>
      <c r="BB843" s="101"/>
      <c r="BC843" s="101"/>
      <c r="BD843" s="101"/>
      <c r="BE843" s="101"/>
      <c r="BF843" s="101"/>
      <c r="BG843" s="101"/>
      <c r="BH843" s="101"/>
      <c r="BI843" s="101"/>
      <c r="BJ843" s="101"/>
      <c r="BK843" s="101"/>
      <c r="BL843" s="101"/>
      <c r="BM843" s="101"/>
      <c r="BN843" s="101"/>
      <c r="BO843" s="101"/>
      <c r="BP843" s="101"/>
      <c r="BQ843" s="101"/>
      <c r="BR843" s="101"/>
      <c r="BS843" s="101"/>
      <c r="BT843" s="101"/>
      <c r="BU843" s="101"/>
      <c r="BV843" s="101"/>
      <c r="BW843" s="101"/>
      <c r="BX843" s="101"/>
      <c r="BY843" s="101"/>
      <c r="BZ843" s="101"/>
      <c r="CA843" s="101"/>
      <c r="CB843" s="101"/>
      <c r="CC843" s="101"/>
      <c r="CD843" s="101"/>
      <c r="CE843" s="101"/>
      <c r="CF843" s="101"/>
      <c r="CG843" s="101"/>
      <c r="CH843" s="101"/>
      <c r="CI843" s="101"/>
      <c r="CJ843" s="101"/>
      <c r="CK843" s="101"/>
      <c r="CL843" s="101"/>
      <c r="CM843" s="101"/>
      <c r="CN843" s="101"/>
      <c r="CO843" s="101"/>
      <c r="CP843" s="101"/>
      <c r="CQ843" s="101"/>
      <c r="CR843" s="101"/>
      <c r="CS843" s="101"/>
      <c r="CT843" s="101"/>
      <c r="CU843" s="101"/>
      <c r="CV843" s="101"/>
      <c r="CW843" s="101"/>
      <c r="CX843" s="101"/>
      <c r="CY843" s="101"/>
      <c r="CZ843" s="101"/>
      <c r="DA843" s="101"/>
      <c r="DB843" s="101"/>
      <c r="DC843" s="101"/>
      <c r="DD843" s="101"/>
      <c r="DE843" s="101"/>
      <c r="DF843" s="101"/>
    </row>
    <row r="844">
      <c r="A844" s="29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3"/>
      <c r="U844" s="103"/>
      <c r="V844" s="103"/>
      <c r="W844" s="104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  <c r="AL844" s="101"/>
      <c r="AM844" s="29"/>
      <c r="AN844" s="101"/>
      <c r="AO844" s="101"/>
      <c r="AP844" s="101"/>
      <c r="AQ844" s="101"/>
      <c r="AR844" s="101"/>
      <c r="AS844" s="101"/>
      <c r="AT844" s="101"/>
      <c r="AU844" s="101"/>
      <c r="AV844" s="101"/>
      <c r="AW844" s="101"/>
      <c r="AX844" s="101"/>
      <c r="AY844" s="101"/>
      <c r="AZ844" s="101"/>
      <c r="BA844" s="101"/>
      <c r="BB844" s="101"/>
      <c r="BC844" s="101"/>
      <c r="BD844" s="101"/>
      <c r="BE844" s="101"/>
      <c r="BF844" s="101"/>
      <c r="BG844" s="101"/>
      <c r="BH844" s="101"/>
      <c r="BI844" s="101"/>
      <c r="BJ844" s="101"/>
      <c r="BK844" s="101"/>
      <c r="BL844" s="101"/>
      <c r="BM844" s="101"/>
      <c r="BN844" s="101"/>
      <c r="BO844" s="101"/>
      <c r="BP844" s="101"/>
      <c r="BQ844" s="101"/>
      <c r="BR844" s="101"/>
      <c r="BS844" s="101"/>
      <c r="BT844" s="101"/>
      <c r="BU844" s="101"/>
      <c r="BV844" s="101"/>
      <c r="BW844" s="101"/>
      <c r="BX844" s="101"/>
      <c r="BY844" s="101"/>
      <c r="BZ844" s="101"/>
      <c r="CA844" s="101"/>
      <c r="CB844" s="101"/>
      <c r="CC844" s="101"/>
      <c r="CD844" s="101"/>
      <c r="CE844" s="101"/>
      <c r="CF844" s="101"/>
      <c r="CG844" s="101"/>
      <c r="CH844" s="101"/>
      <c r="CI844" s="101"/>
      <c r="CJ844" s="101"/>
      <c r="CK844" s="101"/>
      <c r="CL844" s="101"/>
      <c r="CM844" s="101"/>
      <c r="CN844" s="101"/>
      <c r="CO844" s="101"/>
      <c r="CP844" s="101"/>
      <c r="CQ844" s="101"/>
      <c r="CR844" s="101"/>
      <c r="CS844" s="101"/>
      <c r="CT844" s="101"/>
      <c r="CU844" s="101"/>
      <c r="CV844" s="101"/>
      <c r="CW844" s="101"/>
      <c r="CX844" s="101"/>
      <c r="CY844" s="101"/>
      <c r="CZ844" s="101"/>
      <c r="DA844" s="101"/>
      <c r="DB844" s="101"/>
      <c r="DC844" s="101"/>
      <c r="DD844" s="101"/>
      <c r="DE844" s="101"/>
      <c r="DF844" s="101"/>
    </row>
    <row r="845">
      <c r="A845" s="29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3"/>
      <c r="U845" s="103"/>
      <c r="V845" s="103"/>
      <c r="W845" s="104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  <c r="AM845" s="29"/>
      <c r="AN845" s="101"/>
      <c r="AO845" s="101"/>
      <c r="AP845" s="101"/>
      <c r="AQ845" s="101"/>
      <c r="AR845" s="101"/>
      <c r="AS845" s="101"/>
      <c r="AT845" s="101"/>
      <c r="AU845" s="101"/>
      <c r="AV845" s="101"/>
      <c r="AW845" s="101"/>
      <c r="AX845" s="101"/>
      <c r="AY845" s="101"/>
      <c r="AZ845" s="101"/>
      <c r="BA845" s="101"/>
      <c r="BB845" s="101"/>
      <c r="BC845" s="101"/>
      <c r="BD845" s="101"/>
      <c r="BE845" s="101"/>
      <c r="BF845" s="101"/>
      <c r="BG845" s="101"/>
      <c r="BH845" s="101"/>
      <c r="BI845" s="101"/>
      <c r="BJ845" s="101"/>
      <c r="BK845" s="101"/>
      <c r="BL845" s="101"/>
      <c r="BM845" s="101"/>
      <c r="BN845" s="101"/>
      <c r="BO845" s="101"/>
      <c r="BP845" s="101"/>
      <c r="BQ845" s="101"/>
      <c r="BR845" s="101"/>
      <c r="BS845" s="101"/>
      <c r="BT845" s="101"/>
      <c r="BU845" s="101"/>
      <c r="BV845" s="101"/>
      <c r="BW845" s="101"/>
      <c r="BX845" s="101"/>
      <c r="BY845" s="101"/>
      <c r="BZ845" s="101"/>
      <c r="CA845" s="101"/>
      <c r="CB845" s="101"/>
      <c r="CC845" s="101"/>
      <c r="CD845" s="101"/>
      <c r="CE845" s="101"/>
      <c r="CF845" s="101"/>
      <c r="CG845" s="101"/>
      <c r="CH845" s="101"/>
      <c r="CI845" s="101"/>
      <c r="CJ845" s="101"/>
      <c r="CK845" s="101"/>
      <c r="CL845" s="101"/>
      <c r="CM845" s="101"/>
      <c r="CN845" s="101"/>
      <c r="CO845" s="101"/>
      <c r="CP845" s="101"/>
      <c r="CQ845" s="101"/>
      <c r="CR845" s="101"/>
      <c r="CS845" s="101"/>
      <c r="CT845" s="101"/>
      <c r="CU845" s="101"/>
      <c r="CV845" s="101"/>
      <c r="CW845" s="101"/>
      <c r="CX845" s="101"/>
      <c r="CY845" s="101"/>
      <c r="CZ845" s="101"/>
      <c r="DA845" s="101"/>
      <c r="DB845" s="101"/>
      <c r="DC845" s="101"/>
      <c r="DD845" s="101"/>
      <c r="DE845" s="101"/>
      <c r="DF845" s="101"/>
    </row>
    <row r="846">
      <c r="A846" s="29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3"/>
      <c r="U846" s="103"/>
      <c r="V846" s="103"/>
      <c r="W846" s="104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  <c r="AL846" s="101"/>
      <c r="AM846" s="29"/>
      <c r="AN846" s="101"/>
      <c r="AO846" s="101"/>
      <c r="AP846" s="101"/>
      <c r="AQ846" s="101"/>
      <c r="AR846" s="101"/>
      <c r="AS846" s="101"/>
      <c r="AT846" s="101"/>
      <c r="AU846" s="101"/>
      <c r="AV846" s="101"/>
      <c r="AW846" s="101"/>
      <c r="AX846" s="101"/>
      <c r="AY846" s="101"/>
      <c r="AZ846" s="101"/>
      <c r="BA846" s="101"/>
      <c r="BB846" s="101"/>
      <c r="BC846" s="101"/>
      <c r="BD846" s="101"/>
      <c r="BE846" s="101"/>
      <c r="BF846" s="101"/>
      <c r="BG846" s="101"/>
      <c r="BH846" s="101"/>
      <c r="BI846" s="101"/>
      <c r="BJ846" s="101"/>
      <c r="BK846" s="101"/>
      <c r="BL846" s="101"/>
      <c r="BM846" s="101"/>
      <c r="BN846" s="101"/>
      <c r="BO846" s="101"/>
      <c r="BP846" s="101"/>
      <c r="BQ846" s="101"/>
      <c r="BR846" s="101"/>
      <c r="BS846" s="101"/>
      <c r="BT846" s="101"/>
      <c r="BU846" s="101"/>
      <c r="BV846" s="101"/>
      <c r="BW846" s="101"/>
      <c r="BX846" s="101"/>
      <c r="BY846" s="101"/>
      <c r="BZ846" s="101"/>
      <c r="CA846" s="101"/>
      <c r="CB846" s="101"/>
      <c r="CC846" s="101"/>
      <c r="CD846" s="101"/>
      <c r="CE846" s="101"/>
      <c r="CF846" s="101"/>
      <c r="CG846" s="101"/>
      <c r="CH846" s="101"/>
      <c r="CI846" s="101"/>
      <c r="CJ846" s="101"/>
      <c r="CK846" s="101"/>
      <c r="CL846" s="101"/>
      <c r="CM846" s="101"/>
      <c r="CN846" s="101"/>
      <c r="CO846" s="101"/>
      <c r="CP846" s="101"/>
      <c r="CQ846" s="101"/>
      <c r="CR846" s="101"/>
      <c r="CS846" s="101"/>
      <c r="CT846" s="101"/>
      <c r="CU846" s="101"/>
      <c r="CV846" s="101"/>
      <c r="CW846" s="101"/>
      <c r="CX846" s="101"/>
      <c r="CY846" s="101"/>
      <c r="CZ846" s="101"/>
      <c r="DA846" s="101"/>
      <c r="DB846" s="101"/>
      <c r="DC846" s="101"/>
      <c r="DD846" s="101"/>
      <c r="DE846" s="101"/>
      <c r="DF846" s="101"/>
    </row>
    <row r="847">
      <c r="A847" s="29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3"/>
      <c r="U847" s="103"/>
      <c r="V847" s="103"/>
      <c r="W847" s="104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  <c r="AL847" s="101"/>
      <c r="AM847" s="29"/>
      <c r="AN847" s="101"/>
      <c r="AO847" s="101"/>
      <c r="AP847" s="101"/>
      <c r="AQ847" s="101"/>
      <c r="AR847" s="101"/>
      <c r="AS847" s="101"/>
      <c r="AT847" s="101"/>
      <c r="AU847" s="101"/>
      <c r="AV847" s="101"/>
      <c r="AW847" s="101"/>
      <c r="AX847" s="101"/>
      <c r="AY847" s="101"/>
      <c r="AZ847" s="101"/>
      <c r="BA847" s="101"/>
      <c r="BB847" s="101"/>
      <c r="BC847" s="101"/>
      <c r="BD847" s="101"/>
      <c r="BE847" s="101"/>
      <c r="BF847" s="101"/>
      <c r="BG847" s="101"/>
      <c r="BH847" s="101"/>
      <c r="BI847" s="101"/>
      <c r="BJ847" s="101"/>
      <c r="BK847" s="101"/>
      <c r="BL847" s="101"/>
      <c r="BM847" s="101"/>
      <c r="BN847" s="101"/>
      <c r="BO847" s="101"/>
      <c r="BP847" s="101"/>
      <c r="BQ847" s="101"/>
      <c r="BR847" s="101"/>
      <c r="BS847" s="101"/>
      <c r="BT847" s="101"/>
      <c r="BU847" s="101"/>
      <c r="BV847" s="101"/>
      <c r="BW847" s="101"/>
      <c r="BX847" s="101"/>
      <c r="BY847" s="101"/>
      <c r="BZ847" s="101"/>
      <c r="CA847" s="101"/>
      <c r="CB847" s="101"/>
      <c r="CC847" s="101"/>
      <c r="CD847" s="101"/>
      <c r="CE847" s="101"/>
      <c r="CF847" s="101"/>
      <c r="CG847" s="101"/>
      <c r="CH847" s="101"/>
      <c r="CI847" s="101"/>
      <c r="CJ847" s="101"/>
      <c r="CK847" s="101"/>
      <c r="CL847" s="101"/>
      <c r="CM847" s="101"/>
      <c r="CN847" s="101"/>
      <c r="CO847" s="101"/>
      <c r="CP847" s="101"/>
      <c r="CQ847" s="101"/>
      <c r="CR847" s="101"/>
      <c r="CS847" s="101"/>
      <c r="CT847" s="101"/>
      <c r="CU847" s="101"/>
      <c r="CV847" s="101"/>
      <c r="CW847" s="101"/>
      <c r="CX847" s="101"/>
      <c r="CY847" s="101"/>
      <c r="CZ847" s="101"/>
      <c r="DA847" s="101"/>
      <c r="DB847" s="101"/>
      <c r="DC847" s="101"/>
      <c r="DD847" s="101"/>
      <c r="DE847" s="101"/>
      <c r="DF847" s="101"/>
    </row>
    <row r="848">
      <c r="A848" s="29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3"/>
      <c r="U848" s="103"/>
      <c r="V848" s="103"/>
      <c r="W848" s="104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  <c r="AL848" s="101"/>
      <c r="AM848" s="29"/>
      <c r="AN848" s="101"/>
      <c r="AO848" s="101"/>
      <c r="AP848" s="101"/>
      <c r="AQ848" s="101"/>
      <c r="AR848" s="101"/>
      <c r="AS848" s="101"/>
      <c r="AT848" s="101"/>
      <c r="AU848" s="101"/>
      <c r="AV848" s="101"/>
      <c r="AW848" s="101"/>
      <c r="AX848" s="101"/>
      <c r="AY848" s="101"/>
      <c r="AZ848" s="101"/>
      <c r="BA848" s="101"/>
      <c r="BB848" s="101"/>
      <c r="BC848" s="101"/>
      <c r="BD848" s="101"/>
      <c r="BE848" s="101"/>
      <c r="BF848" s="101"/>
      <c r="BG848" s="101"/>
      <c r="BH848" s="101"/>
      <c r="BI848" s="101"/>
      <c r="BJ848" s="101"/>
      <c r="BK848" s="101"/>
      <c r="BL848" s="101"/>
      <c r="BM848" s="101"/>
      <c r="BN848" s="101"/>
      <c r="BO848" s="101"/>
      <c r="BP848" s="101"/>
      <c r="BQ848" s="101"/>
      <c r="BR848" s="101"/>
      <c r="BS848" s="101"/>
      <c r="BT848" s="101"/>
      <c r="BU848" s="101"/>
      <c r="BV848" s="101"/>
      <c r="BW848" s="101"/>
      <c r="BX848" s="101"/>
      <c r="BY848" s="101"/>
      <c r="BZ848" s="101"/>
      <c r="CA848" s="101"/>
      <c r="CB848" s="101"/>
      <c r="CC848" s="101"/>
      <c r="CD848" s="101"/>
      <c r="CE848" s="101"/>
      <c r="CF848" s="101"/>
      <c r="CG848" s="101"/>
      <c r="CH848" s="101"/>
      <c r="CI848" s="101"/>
      <c r="CJ848" s="101"/>
      <c r="CK848" s="101"/>
      <c r="CL848" s="101"/>
      <c r="CM848" s="101"/>
      <c r="CN848" s="101"/>
      <c r="CO848" s="101"/>
      <c r="CP848" s="101"/>
      <c r="CQ848" s="101"/>
      <c r="CR848" s="101"/>
      <c r="CS848" s="101"/>
      <c r="CT848" s="101"/>
      <c r="CU848" s="101"/>
      <c r="CV848" s="101"/>
      <c r="CW848" s="101"/>
      <c r="CX848" s="101"/>
      <c r="CY848" s="101"/>
      <c r="CZ848" s="101"/>
      <c r="DA848" s="101"/>
      <c r="DB848" s="101"/>
      <c r="DC848" s="101"/>
      <c r="DD848" s="101"/>
      <c r="DE848" s="101"/>
      <c r="DF848" s="101"/>
    </row>
    <row r="849">
      <c r="A849" s="29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3"/>
      <c r="U849" s="103"/>
      <c r="V849" s="103"/>
      <c r="W849" s="104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  <c r="AL849" s="101"/>
      <c r="AM849" s="29"/>
      <c r="AN849" s="101"/>
      <c r="AO849" s="101"/>
      <c r="AP849" s="101"/>
      <c r="AQ849" s="101"/>
      <c r="AR849" s="101"/>
      <c r="AS849" s="101"/>
      <c r="AT849" s="101"/>
      <c r="AU849" s="101"/>
      <c r="AV849" s="101"/>
      <c r="AW849" s="101"/>
      <c r="AX849" s="101"/>
      <c r="AY849" s="101"/>
      <c r="AZ849" s="101"/>
      <c r="BA849" s="101"/>
      <c r="BB849" s="101"/>
      <c r="BC849" s="101"/>
      <c r="BD849" s="101"/>
      <c r="BE849" s="101"/>
      <c r="BF849" s="101"/>
      <c r="BG849" s="101"/>
      <c r="BH849" s="101"/>
      <c r="BI849" s="101"/>
      <c r="BJ849" s="101"/>
      <c r="BK849" s="101"/>
      <c r="BL849" s="101"/>
      <c r="BM849" s="101"/>
      <c r="BN849" s="101"/>
      <c r="BO849" s="101"/>
      <c r="BP849" s="101"/>
      <c r="BQ849" s="101"/>
      <c r="BR849" s="101"/>
      <c r="BS849" s="101"/>
      <c r="BT849" s="101"/>
      <c r="BU849" s="101"/>
      <c r="BV849" s="101"/>
      <c r="BW849" s="101"/>
      <c r="BX849" s="101"/>
      <c r="BY849" s="101"/>
      <c r="BZ849" s="101"/>
      <c r="CA849" s="101"/>
      <c r="CB849" s="101"/>
      <c r="CC849" s="101"/>
      <c r="CD849" s="101"/>
      <c r="CE849" s="101"/>
      <c r="CF849" s="101"/>
      <c r="CG849" s="101"/>
      <c r="CH849" s="101"/>
      <c r="CI849" s="101"/>
      <c r="CJ849" s="101"/>
      <c r="CK849" s="101"/>
      <c r="CL849" s="101"/>
      <c r="CM849" s="101"/>
      <c r="CN849" s="101"/>
      <c r="CO849" s="101"/>
      <c r="CP849" s="101"/>
      <c r="CQ849" s="101"/>
      <c r="CR849" s="101"/>
      <c r="CS849" s="101"/>
      <c r="CT849" s="101"/>
      <c r="CU849" s="101"/>
      <c r="CV849" s="101"/>
      <c r="CW849" s="101"/>
      <c r="CX849" s="101"/>
      <c r="CY849" s="101"/>
      <c r="CZ849" s="101"/>
      <c r="DA849" s="101"/>
      <c r="DB849" s="101"/>
      <c r="DC849" s="101"/>
      <c r="DD849" s="101"/>
      <c r="DE849" s="101"/>
      <c r="DF849" s="101"/>
    </row>
    <row r="850">
      <c r="A850" s="29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3"/>
      <c r="U850" s="103"/>
      <c r="V850" s="103"/>
      <c r="W850" s="104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  <c r="AL850" s="101"/>
      <c r="AM850" s="29"/>
      <c r="AN850" s="101"/>
      <c r="AO850" s="101"/>
      <c r="AP850" s="101"/>
      <c r="AQ850" s="101"/>
      <c r="AR850" s="101"/>
      <c r="AS850" s="101"/>
      <c r="AT850" s="101"/>
      <c r="AU850" s="101"/>
      <c r="AV850" s="101"/>
      <c r="AW850" s="101"/>
      <c r="AX850" s="101"/>
      <c r="AY850" s="101"/>
      <c r="AZ850" s="101"/>
      <c r="BA850" s="101"/>
      <c r="BB850" s="101"/>
      <c r="BC850" s="101"/>
      <c r="BD850" s="101"/>
      <c r="BE850" s="101"/>
      <c r="BF850" s="101"/>
      <c r="BG850" s="101"/>
      <c r="BH850" s="101"/>
      <c r="BI850" s="101"/>
      <c r="BJ850" s="101"/>
      <c r="BK850" s="101"/>
      <c r="BL850" s="101"/>
      <c r="BM850" s="101"/>
      <c r="BN850" s="101"/>
      <c r="BO850" s="101"/>
      <c r="BP850" s="101"/>
      <c r="BQ850" s="101"/>
      <c r="BR850" s="101"/>
      <c r="BS850" s="101"/>
      <c r="BT850" s="101"/>
      <c r="BU850" s="101"/>
      <c r="BV850" s="101"/>
      <c r="BW850" s="101"/>
      <c r="BX850" s="101"/>
      <c r="BY850" s="101"/>
      <c r="BZ850" s="101"/>
      <c r="CA850" s="101"/>
      <c r="CB850" s="101"/>
      <c r="CC850" s="101"/>
      <c r="CD850" s="101"/>
      <c r="CE850" s="101"/>
      <c r="CF850" s="101"/>
      <c r="CG850" s="101"/>
      <c r="CH850" s="101"/>
      <c r="CI850" s="101"/>
      <c r="CJ850" s="101"/>
      <c r="CK850" s="101"/>
      <c r="CL850" s="101"/>
      <c r="CM850" s="101"/>
      <c r="CN850" s="101"/>
      <c r="CO850" s="101"/>
      <c r="CP850" s="101"/>
      <c r="CQ850" s="101"/>
      <c r="CR850" s="101"/>
      <c r="CS850" s="101"/>
      <c r="CT850" s="101"/>
      <c r="CU850" s="101"/>
      <c r="CV850" s="101"/>
      <c r="CW850" s="101"/>
      <c r="CX850" s="101"/>
      <c r="CY850" s="101"/>
      <c r="CZ850" s="101"/>
      <c r="DA850" s="101"/>
      <c r="DB850" s="101"/>
      <c r="DC850" s="101"/>
      <c r="DD850" s="101"/>
      <c r="DE850" s="101"/>
      <c r="DF850" s="101"/>
    </row>
    <row r="851">
      <c r="A851" s="29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3"/>
      <c r="U851" s="103"/>
      <c r="V851" s="103"/>
      <c r="W851" s="104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  <c r="AL851" s="101"/>
      <c r="AM851" s="29"/>
      <c r="AN851" s="101"/>
      <c r="AO851" s="101"/>
      <c r="AP851" s="101"/>
      <c r="AQ851" s="101"/>
      <c r="AR851" s="101"/>
      <c r="AS851" s="101"/>
      <c r="AT851" s="101"/>
      <c r="AU851" s="101"/>
      <c r="AV851" s="101"/>
      <c r="AW851" s="101"/>
      <c r="AX851" s="101"/>
      <c r="AY851" s="101"/>
      <c r="AZ851" s="101"/>
      <c r="BA851" s="101"/>
      <c r="BB851" s="101"/>
      <c r="BC851" s="101"/>
      <c r="BD851" s="101"/>
      <c r="BE851" s="101"/>
      <c r="BF851" s="101"/>
      <c r="BG851" s="101"/>
      <c r="BH851" s="101"/>
      <c r="BI851" s="101"/>
      <c r="BJ851" s="101"/>
      <c r="BK851" s="101"/>
      <c r="BL851" s="101"/>
      <c r="BM851" s="101"/>
      <c r="BN851" s="101"/>
      <c r="BO851" s="101"/>
      <c r="BP851" s="101"/>
      <c r="BQ851" s="101"/>
      <c r="BR851" s="101"/>
      <c r="BS851" s="101"/>
      <c r="BT851" s="101"/>
      <c r="BU851" s="101"/>
      <c r="BV851" s="101"/>
      <c r="BW851" s="101"/>
      <c r="BX851" s="101"/>
      <c r="BY851" s="101"/>
      <c r="BZ851" s="101"/>
      <c r="CA851" s="101"/>
      <c r="CB851" s="101"/>
      <c r="CC851" s="101"/>
      <c r="CD851" s="101"/>
      <c r="CE851" s="101"/>
      <c r="CF851" s="101"/>
      <c r="CG851" s="101"/>
      <c r="CH851" s="101"/>
      <c r="CI851" s="101"/>
      <c r="CJ851" s="101"/>
      <c r="CK851" s="101"/>
      <c r="CL851" s="101"/>
      <c r="CM851" s="101"/>
      <c r="CN851" s="101"/>
      <c r="CO851" s="101"/>
      <c r="CP851" s="101"/>
      <c r="CQ851" s="101"/>
      <c r="CR851" s="101"/>
      <c r="CS851" s="101"/>
      <c r="CT851" s="101"/>
      <c r="CU851" s="101"/>
      <c r="CV851" s="101"/>
      <c r="CW851" s="101"/>
      <c r="CX851" s="101"/>
      <c r="CY851" s="101"/>
      <c r="CZ851" s="101"/>
      <c r="DA851" s="101"/>
      <c r="DB851" s="101"/>
      <c r="DC851" s="101"/>
      <c r="DD851" s="101"/>
      <c r="DE851" s="101"/>
      <c r="DF851" s="101"/>
    </row>
    <row r="852">
      <c r="A852" s="29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3"/>
      <c r="U852" s="103"/>
      <c r="V852" s="103"/>
      <c r="W852" s="104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  <c r="AL852" s="101"/>
      <c r="AM852" s="29"/>
      <c r="AN852" s="101"/>
      <c r="AO852" s="101"/>
      <c r="AP852" s="101"/>
      <c r="AQ852" s="101"/>
      <c r="AR852" s="101"/>
      <c r="AS852" s="101"/>
      <c r="AT852" s="101"/>
      <c r="AU852" s="101"/>
      <c r="AV852" s="101"/>
      <c r="AW852" s="101"/>
      <c r="AX852" s="101"/>
      <c r="AY852" s="101"/>
      <c r="AZ852" s="101"/>
      <c r="BA852" s="101"/>
      <c r="BB852" s="101"/>
      <c r="BC852" s="101"/>
      <c r="BD852" s="101"/>
      <c r="BE852" s="101"/>
      <c r="BF852" s="101"/>
      <c r="BG852" s="101"/>
      <c r="BH852" s="101"/>
      <c r="BI852" s="101"/>
      <c r="BJ852" s="101"/>
      <c r="BK852" s="101"/>
      <c r="BL852" s="101"/>
      <c r="BM852" s="101"/>
      <c r="BN852" s="101"/>
      <c r="BO852" s="101"/>
      <c r="BP852" s="101"/>
      <c r="BQ852" s="101"/>
      <c r="BR852" s="101"/>
      <c r="BS852" s="101"/>
      <c r="BT852" s="101"/>
      <c r="BU852" s="101"/>
      <c r="BV852" s="101"/>
      <c r="BW852" s="101"/>
      <c r="BX852" s="101"/>
      <c r="BY852" s="101"/>
      <c r="BZ852" s="101"/>
      <c r="CA852" s="101"/>
      <c r="CB852" s="101"/>
      <c r="CC852" s="101"/>
      <c r="CD852" s="101"/>
      <c r="CE852" s="101"/>
      <c r="CF852" s="101"/>
      <c r="CG852" s="101"/>
      <c r="CH852" s="101"/>
      <c r="CI852" s="101"/>
      <c r="CJ852" s="101"/>
      <c r="CK852" s="101"/>
      <c r="CL852" s="101"/>
      <c r="CM852" s="101"/>
      <c r="CN852" s="101"/>
      <c r="CO852" s="101"/>
      <c r="CP852" s="101"/>
      <c r="CQ852" s="101"/>
      <c r="CR852" s="101"/>
      <c r="CS852" s="101"/>
      <c r="CT852" s="101"/>
      <c r="CU852" s="101"/>
      <c r="CV852" s="101"/>
      <c r="CW852" s="101"/>
      <c r="CX852" s="101"/>
      <c r="CY852" s="101"/>
      <c r="CZ852" s="101"/>
      <c r="DA852" s="101"/>
      <c r="DB852" s="101"/>
      <c r="DC852" s="101"/>
      <c r="DD852" s="101"/>
      <c r="DE852" s="101"/>
      <c r="DF852" s="101"/>
    </row>
    <row r="853">
      <c r="A853" s="29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3"/>
      <c r="U853" s="103"/>
      <c r="V853" s="103"/>
      <c r="W853" s="104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  <c r="AL853" s="101"/>
      <c r="AM853" s="29"/>
      <c r="AN853" s="101"/>
      <c r="AO853" s="101"/>
      <c r="AP853" s="101"/>
      <c r="AQ853" s="101"/>
      <c r="AR853" s="101"/>
      <c r="AS853" s="101"/>
      <c r="AT853" s="101"/>
      <c r="AU853" s="101"/>
      <c r="AV853" s="101"/>
      <c r="AW853" s="101"/>
      <c r="AX853" s="101"/>
      <c r="AY853" s="101"/>
      <c r="AZ853" s="101"/>
      <c r="BA853" s="101"/>
      <c r="BB853" s="101"/>
      <c r="BC853" s="101"/>
      <c r="BD853" s="101"/>
      <c r="BE853" s="101"/>
      <c r="BF853" s="101"/>
      <c r="BG853" s="101"/>
      <c r="BH853" s="101"/>
      <c r="BI853" s="101"/>
      <c r="BJ853" s="101"/>
      <c r="BK853" s="101"/>
      <c r="BL853" s="101"/>
      <c r="BM853" s="101"/>
      <c r="BN853" s="101"/>
      <c r="BO853" s="101"/>
      <c r="BP853" s="101"/>
      <c r="BQ853" s="101"/>
      <c r="BR853" s="101"/>
      <c r="BS853" s="101"/>
      <c r="BT853" s="101"/>
      <c r="BU853" s="101"/>
      <c r="BV853" s="101"/>
      <c r="BW853" s="101"/>
      <c r="BX853" s="101"/>
      <c r="BY853" s="101"/>
      <c r="BZ853" s="101"/>
      <c r="CA853" s="101"/>
      <c r="CB853" s="101"/>
      <c r="CC853" s="101"/>
      <c r="CD853" s="101"/>
      <c r="CE853" s="101"/>
      <c r="CF853" s="101"/>
      <c r="CG853" s="101"/>
      <c r="CH853" s="101"/>
      <c r="CI853" s="101"/>
      <c r="CJ853" s="101"/>
      <c r="CK853" s="101"/>
      <c r="CL853" s="101"/>
      <c r="CM853" s="101"/>
      <c r="CN853" s="101"/>
      <c r="CO853" s="101"/>
      <c r="CP853" s="101"/>
      <c r="CQ853" s="101"/>
      <c r="CR853" s="101"/>
      <c r="CS853" s="101"/>
      <c r="CT853" s="101"/>
      <c r="CU853" s="101"/>
      <c r="CV853" s="101"/>
      <c r="CW853" s="101"/>
      <c r="CX853" s="101"/>
      <c r="CY853" s="101"/>
      <c r="CZ853" s="101"/>
      <c r="DA853" s="101"/>
      <c r="DB853" s="101"/>
      <c r="DC853" s="101"/>
      <c r="DD853" s="101"/>
      <c r="DE853" s="101"/>
      <c r="DF853" s="101"/>
    </row>
    <row r="854">
      <c r="A854" s="29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3"/>
      <c r="U854" s="103"/>
      <c r="V854" s="103"/>
      <c r="W854" s="104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  <c r="AM854" s="29"/>
      <c r="AN854" s="101"/>
      <c r="AO854" s="101"/>
      <c r="AP854" s="101"/>
      <c r="AQ854" s="101"/>
      <c r="AR854" s="101"/>
      <c r="AS854" s="101"/>
      <c r="AT854" s="101"/>
      <c r="AU854" s="101"/>
      <c r="AV854" s="101"/>
      <c r="AW854" s="101"/>
      <c r="AX854" s="101"/>
      <c r="AY854" s="101"/>
      <c r="AZ854" s="101"/>
      <c r="BA854" s="101"/>
      <c r="BB854" s="101"/>
      <c r="BC854" s="101"/>
      <c r="BD854" s="101"/>
      <c r="BE854" s="101"/>
      <c r="BF854" s="101"/>
      <c r="BG854" s="101"/>
      <c r="BH854" s="101"/>
      <c r="BI854" s="101"/>
      <c r="BJ854" s="101"/>
      <c r="BK854" s="101"/>
      <c r="BL854" s="101"/>
      <c r="BM854" s="101"/>
      <c r="BN854" s="101"/>
      <c r="BO854" s="101"/>
      <c r="BP854" s="101"/>
      <c r="BQ854" s="101"/>
      <c r="BR854" s="101"/>
      <c r="BS854" s="101"/>
      <c r="BT854" s="101"/>
      <c r="BU854" s="101"/>
      <c r="BV854" s="101"/>
      <c r="BW854" s="101"/>
      <c r="BX854" s="101"/>
      <c r="BY854" s="101"/>
      <c r="BZ854" s="101"/>
      <c r="CA854" s="101"/>
      <c r="CB854" s="101"/>
      <c r="CC854" s="101"/>
      <c r="CD854" s="101"/>
      <c r="CE854" s="101"/>
      <c r="CF854" s="101"/>
      <c r="CG854" s="101"/>
      <c r="CH854" s="101"/>
      <c r="CI854" s="101"/>
      <c r="CJ854" s="101"/>
      <c r="CK854" s="101"/>
      <c r="CL854" s="101"/>
      <c r="CM854" s="101"/>
      <c r="CN854" s="101"/>
      <c r="CO854" s="101"/>
      <c r="CP854" s="101"/>
      <c r="CQ854" s="101"/>
      <c r="CR854" s="101"/>
      <c r="CS854" s="101"/>
      <c r="CT854" s="101"/>
      <c r="CU854" s="101"/>
      <c r="CV854" s="101"/>
      <c r="CW854" s="101"/>
      <c r="CX854" s="101"/>
      <c r="CY854" s="101"/>
      <c r="CZ854" s="101"/>
      <c r="DA854" s="101"/>
      <c r="DB854" s="101"/>
      <c r="DC854" s="101"/>
      <c r="DD854" s="101"/>
      <c r="DE854" s="101"/>
      <c r="DF854" s="101"/>
    </row>
    <row r="855">
      <c r="A855" s="29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3"/>
      <c r="U855" s="103"/>
      <c r="V855" s="103"/>
      <c r="W855" s="104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  <c r="AL855" s="101"/>
      <c r="AM855" s="29"/>
      <c r="AN855" s="101"/>
      <c r="AO855" s="101"/>
      <c r="AP855" s="101"/>
      <c r="AQ855" s="101"/>
      <c r="AR855" s="101"/>
      <c r="AS855" s="101"/>
      <c r="AT855" s="101"/>
      <c r="AU855" s="101"/>
      <c r="AV855" s="101"/>
      <c r="AW855" s="101"/>
      <c r="AX855" s="101"/>
      <c r="AY855" s="101"/>
      <c r="AZ855" s="101"/>
      <c r="BA855" s="101"/>
      <c r="BB855" s="101"/>
      <c r="BC855" s="101"/>
      <c r="BD855" s="101"/>
      <c r="BE855" s="101"/>
      <c r="BF855" s="101"/>
      <c r="BG855" s="101"/>
      <c r="BH855" s="101"/>
      <c r="BI855" s="101"/>
      <c r="BJ855" s="101"/>
      <c r="BK855" s="101"/>
      <c r="BL855" s="101"/>
      <c r="BM855" s="101"/>
      <c r="BN855" s="101"/>
      <c r="BO855" s="101"/>
      <c r="BP855" s="101"/>
      <c r="BQ855" s="101"/>
      <c r="BR855" s="101"/>
      <c r="BS855" s="101"/>
      <c r="BT855" s="101"/>
      <c r="BU855" s="101"/>
      <c r="BV855" s="101"/>
      <c r="BW855" s="101"/>
      <c r="BX855" s="101"/>
      <c r="BY855" s="101"/>
      <c r="BZ855" s="101"/>
      <c r="CA855" s="101"/>
      <c r="CB855" s="101"/>
      <c r="CC855" s="101"/>
      <c r="CD855" s="101"/>
      <c r="CE855" s="101"/>
      <c r="CF855" s="101"/>
      <c r="CG855" s="101"/>
      <c r="CH855" s="101"/>
      <c r="CI855" s="101"/>
      <c r="CJ855" s="101"/>
      <c r="CK855" s="101"/>
      <c r="CL855" s="101"/>
      <c r="CM855" s="101"/>
      <c r="CN855" s="101"/>
      <c r="CO855" s="101"/>
      <c r="CP855" s="101"/>
      <c r="CQ855" s="101"/>
      <c r="CR855" s="101"/>
      <c r="CS855" s="101"/>
      <c r="CT855" s="101"/>
      <c r="CU855" s="101"/>
      <c r="CV855" s="101"/>
      <c r="CW855" s="101"/>
      <c r="CX855" s="101"/>
      <c r="CY855" s="101"/>
      <c r="CZ855" s="101"/>
      <c r="DA855" s="101"/>
      <c r="DB855" s="101"/>
      <c r="DC855" s="101"/>
      <c r="DD855" s="101"/>
      <c r="DE855" s="101"/>
      <c r="DF855" s="101"/>
    </row>
    <row r="856">
      <c r="A856" s="29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3"/>
      <c r="U856" s="103"/>
      <c r="V856" s="103"/>
      <c r="W856" s="104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  <c r="AL856" s="101"/>
      <c r="AM856" s="29"/>
      <c r="AN856" s="101"/>
      <c r="AO856" s="101"/>
      <c r="AP856" s="101"/>
      <c r="AQ856" s="101"/>
      <c r="AR856" s="101"/>
      <c r="AS856" s="101"/>
      <c r="AT856" s="101"/>
      <c r="AU856" s="101"/>
      <c r="AV856" s="101"/>
      <c r="AW856" s="101"/>
      <c r="AX856" s="101"/>
      <c r="AY856" s="101"/>
      <c r="AZ856" s="101"/>
      <c r="BA856" s="101"/>
      <c r="BB856" s="101"/>
      <c r="BC856" s="101"/>
      <c r="BD856" s="101"/>
      <c r="BE856" s="101"/>
      <c r="BF856" s="101"/>
      <c r="BG856" s="101"/>
      <c r="BH856" s="101"/>
      <c r="BI856" s="101"/>
      <c r="BJ856" s="101"/>
      <c r="BK856" s="101"/>
      <c r="BL856" s="101"/>
      <c r="BM856" s="101"/>
      <c r="BN856" s="101"/>
      <c r="BO856" s="101"/>
      <c r="BP856" s="101"/>
      <c r="BQ856" s="101"/>
      <c r="BR856" s="101"/>
      <c r="BS856" s="101"/>
      <c r="BT856" s="101"/>
      <c r="BU856" s="101"/>
      <c r="BV856" s="101"/>
      <c r="BW856" s="101"/>
      <c r="BX856" s="101"/>
      <c r="BY856" s="101"/>
      <c r="BZ856" s="101"/>
      <c r="CA856" s="101"/>
      <c r="CB856" s="101"/>
      <c r="CC856" s="101"/>
      <c r="CD856" s="101"/>
      <c r="CE856" s="101"/>
      <c r="CF856" s="101"/>
      <c r="CG856" s="101"/>
      <c r="CH856" s="101"/>
      <c r="CI856" s="101"/>
      <c r="CJ856" s="101"/>
      <c r="CK856" s="101"/>
      <c r="CL856" s="101"/>
      <c r="CM856" s="101"/>
      <c r="CN856" s="101"/>
      <c r="CO856" s="101"/>
      <c r="CP856" s="101"/>
      <c r="CQ856" s="101"/>
      <c r="CR856" s="101"/>
      <c r="CS856" s="101"/>
      <c r="CT856" s="101"/>
      <c r="CU856" s="101"/>
      <c r="CV856" s="101"/>
      <c r="CW856" s="101"/>
      <c r="CX856" s="101"/>
      <c r="CY856" s="101"/>
      <c r="CZ856" s="101"/>
      <c r="DA856" s="101"/>
      <c r="DB856" s="101"/>
      <c r="DC856" s="101"/>
      <c r="DD856" s="101"/>
      <c r="DE856" s="101"/>
      <c r="DF856" s="101"/>
    </row>
    <row r="857">
      <c r="A857" s="29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3"/>
      <c r="U857" s="103"/>
      <c r="V857" s="103"/>
      <c r="W857" s="104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  <c r="AL857" s="101"/>
      <c r="AM857" s="29"/>
      <c r="AN857" s="101"/>
      <c r="AO857" s="101"/>
      <c r="AP857" s="101"/>
      <c r="AQ857" s="101"/>
      <c r="AR857" s="101"/>
      <c r="AS857" s="101"/>
      <c r="AT857" s="101"/>
      <c r="AU857" s="101"/>
      <c r="AV857" s="101"/>
      <c r="AW857" s="101"/>
      <c r="AX857" s="101"/>
      <c r="AY857" s="101"/>
      <c r="AZ857" s="101"/>
      <c r="BA857" s="101"/>
      <c r="BB857" s="101"/>
      <c r="BC857" s="101"/>
      <c r="BD857" s="101"/>
      <c r="BE857" s="101"/>
      <c r="BF857" s="101"/>
      <c r="BG857" s="101"/>
      <c r="BH857" s="101"/>
      <c r="BI857" s="101"/>
      <c r="BJ857" s="101"/>
      <c r="BK857" s="101"/>
      <c r="BL857" s="101"/>
      <c r="BM857" s="101"/>
      <c r="BN857" s="101"/>
      <c r="BO857" s="101"/>
      <c r="BP857" s="101"/>
      <c r="BQ857" s="101"/>
      <c r="BR857" s="101"/>
      <c r="BS857" s="101"/>
      <c r="BT857" s="101"/>
      <c r="BU857" s="101"/>
      <c r="BV857" s="101"/>
      <c r="BW857" s="101"/>
      <c r="BX857" s="101"/>
      <c r="BY857" s="101"/>
      <c r="BZ857" s="101"/>
      <c r="CA857" s="101"/>
      <c r="CB857" s="101"/>
      <c r="CC857" s="101"/>
      <c r="CD857" s="101"/>
      <c r="CE857" s="101"/>
      <c r="CF857" s="101"/>
      <c r="CG857" s="101"/>
      <c r="CH857" s="101"/>
      <c r="CI857" s="101"/>
      <c r="CJ857" s="101"/>
      <c r="CK857" s="101"/>
      <c r="CL857" s="101"/>
      <c r="CM857" s="101"/>
      <c r="CN857" s="101"/>
      <c r="CO857" s="101"/>
      <c r="CP857" s="101"/>
      <c r="CQ857" s="101"/>
      <c r="CR857" s="101"/>
      <c r="CS857" s="101"/>
      <c r="CT857" s="101"/>
      <c r="CU857" s="101"/>
      <c r="CV857" s="101"/>
      <c r="CW857" s="101"/>
      <c r="CX857" s="101"/>
      <c r="CY857" s="101"/>
      <c r="CZ857" s="101"/>
      <c r="DA857" s="101"/>
      <c r="DB857" s="101"/>
      <c r="DC857" s="101"/>
      <c r="DD857" s="101"/>
      <c r="DE857" s="101"/>
      <c r="DF857" s="101"/>
    </row>
    <row r="858">
      <c r="A858" s="29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3"/>
      <c r="U858" s="103"/>
      <c r="V858" s="103"/>
      <c r="W858" s="104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  <c r="AL858" s="101"/>
      <c r="AM858" s="29"/>
      <c r="AN858" s="101"/>
      <c r="AO858" s="101"/>
      <c r="AP858" s="101"/>
      <c r="AQ858" s="101"/>
      <c r="AR858" s="101"/>
      <c r="AS858" s="101"/>
      <c r="AT858" s="101"/>
      <c r="AU858" s="101"/>
      <c r="AV858" s="101"/>
      <c r="AW858" s="101"/>
      <c r="AX858" s="101"/>
      <c r="AY858" s="101"/>
      <c r="AZ858" s="101"/>
      <c r="BA858" s="101"/>
      <c r="BB858" s="101"/>
      <c r="BC858" s="101"/>
      <c r="BD858" s="101"/>
      <c r="BE858" s="101"/>
      <c r="BF858" s="101"/>
      <c r="BG858" s="101"/>
      <c r="BH858" s="101"/>
      <c r="BI858" s="101"/>
      <c r="BJ858" s="101"/>
      <c r="BK858" s="101"/>
      <c r="BL858" s="101"/>
      <c r="BM858" s="101"/>
      <c r="BN858" s="101"/>
      <c r="BO858" s="101"/>
      <c r="BP858" s="101"/>
      <c r="BQ858" s="101"/>
      <c r="BR858" s="101"/>
      <c r="BS858" s="101"/>
      <c r="BT858" s="101"/>
      <c r="BU858" s="101"/>
      <c r="BV858" s="101"/>
      <c r="BW858" s="101"/>
      <c r="BX858" s="101"/>
      <c r="BY858" s="101"/>
      <c r="BZ858" s="101"/>
      <c r="CA858" s="101"/>
      <c r="CB858" s="101"/>
      <c r="CC858" s="101"/>
      <c r="CD858" s="101"/>
      <c r="CE858" s="101"/>
      <c r="CF858" s="101"/>
      <c r="CG858" s="101"/>
      <c r="CH858" s="101"/>
      <c r="CI858" s="101"/>
      <c r="CJ858" s="101"/>
      <c r="CK858" s="101"/>
      <c r="CL858" s="101"/>
      <c r="CM858" s="101"/>
      <c r="CN858" s="101"/>
      <c r="CO858" s="101"/>
      <c r="CP858" s="101"/>
      <c r="CQ858" s="101"/>
      <c r="CR858" s="101"/>
      <c r="CS858" s="101"/>
      <c r="CT858" s="101"/>
      <c r="CU858" s="101"/>
      <c r="CV858" s="101"/>
      <c r="CW858" s="101"/>
      <c r="CX858" s="101"/>
      <c r="CY858" s="101"/>
      <c r="CZ858" s="101"/>
      <c r="DA858" s="101"/>
      <c r="DB858" s="101"/>
      <c r="DC858" s="101"/>
      <c r="DD858" s="101"/>
      <c r="DE858" s="101"/>
      <c r="DF858" s="101"/>
    </row>
    <row r="859">
      <c r="A859" s="29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3"/>
      <c r="U859" s="103"/>
      <c r="V859" s="103"/>
      <c r="W859" s="104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  <c r="AL859" s="101"/>
      <c r="AM859" s="29"/>
      <c r="AN859" s="101"/>
      <c r="AO859" s="101"/>
      <c r="AP859" s="101"/>
      <c r="AQ859" s="101"/>
      <c r="AR859" s="101"/>
      <c r="AS859" s="101"/>
      <c r="AT859" s="101"/>
      <c r="AU859" s="101"/>
      <c r="AV859" s="101"/>
      <c r="AW859" s="101"/>
      <c r="AX859" s="101"/>
      <c r="AY859" s="101"/>
      <c r="AZ859" s="101"/>
      <c r="BA859" s="101"/>
      <c r="BB859" s="101"/>
      <c r="BC859" s="101"/>
      <c r="BD859" s="101"/>
      <c r="BE859" s="101"/>
      <c r="BF859" s="101"/>
      <c r="BG859" s="101"/>
      <c r="BH859" s="101"/>
      <c r="BI859" s="101"/>
      <c r="BJ859" s="101"/>
      <c r="BK859" s="101"/>
      <c r="BL859" s="101"/>
      <c r="BM859" s="101"/>
      <c r="BN859" s="101"/>
      <c r="BO859" s="101"/>
      <c r="BP859" s="101"/>
      <c r="BQ859" s="101"/>
      <c r="BR859" s="101"/>
      <c r="BS859" s="101"/>
      <c r="BT859" s="101"/>
      <c r="BU859" s="101"/>
      <c r="BV859" s="101"/>
      <c r="BW859" s="101"/>
      <c r="BX859" s="101"/>
      <c r="BY859" s="101"/>
      <c r="BZ859" s="101"/>
      <c r="CA859" s="101"/>
      <c r="CB859" s="101"/>
      <c r="CC859" s="101"/>
      <c r="CD859" s="101"/>
      <c r="CE859" s="101"/>
      <c r="CF859" s="101"/>
      <c r="CG859" s="101"/>
      <c r="CH859" s="101"/>
      <c r="CI859" s="101"/>
      <c r="CJ859" s="101"/>
      <c r="CK859" s="101"/>
      <c r="CL859" s="101"/>
      <c r="CM859" s="101"/>
      <c r="CN859" s="101"/>
      <c r="CO859" s="101"/>
      <c r="CP859" s="101"/>
      <c r="CQ859" s="101"/>
      <c r="CR859" s="101"/>
      <c r="CS859" s="101"/>
      <c r="CT859" s="101"/>
      <c r="CU859" s="101"/>
      <c r="CV859" s="101"/>
      <c r="CW859" s="101"/>
      <c r="CX859" s="101"/>
      <c r="CY859" s="101"/>
      <c r="CZ859" s="101"/>
      <c r="DA859" s="101"/>
      <c r="DB859" s="101"/>
      <c r="DC859" s="101"/>
      <c r="DD859" s="101"/>
      <c r="DE859" s="101"/>
      <c r="DF859" s="101"/>
    </row>
    <row r="860">
      <c r="A860" s="29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3"/>
      <c r="U860" s="103"/>
      <c r="V860" s="103"/>
      <c r="W860" s="104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  <c r="AL860" s="101"/>
      <c r="AM860" s="29"/>
      <c r="AN860" s="101"/>
      <c r="AO860" s="101"/>
      <c r="AP860" s="101"/>
      <c r="AQ860" s="101"/>
      <c r="AR860" s="101"/>
      <c r="AS860" s="101"/>
      <c r="AT860" s="101"/>
      <c r="AU860" s="101"/>
      <c r="AV860" s="101"/>
      <c r="AW860" s="101"/>
      <c r="AX860" s="101"/>
      <c r="AY860" s="101"/>
      <c r="AZ860" s="101"/>
      <c r="BA860" s="101"/>
      <c r="BB860" s="101"/>
      <c r="BC860" s="101"/>
      <c r="BD860" s="101"/>
      <c r="BE860" s="101"/>
      <c r="BF860" s="101"/>
      <c r="BG860" s="101"/>
      <c r="BH860" s="101"/>
      <c r="BI860" s="101"/>
      <c r="BJ860" s="101"/>
      <c r="BK860" s="101"/>
      <c r="BL860" s="101"/>
      <c r="BM860" s="101"/>
      <c r="BN860" s="101"/>
      <c r="BO860" s="101"/>
      <c r="BP860" s="101"/>
      <c r="BQ860" s="101"/>
      <c r="BR860" s="101"/>
      <c r="BS860" s="101"/>
      <c r="BT860" s="101"/>
      <c r="BU860" s="101"/>
      <c r="BV860" s="101"/>
      <c r="BW860" s="101"/>
      <c r="BX860" s="101"/>
      <c r="BY860" s="101"/>
      <c r="BZ860" s="101"/>
      <c r="CA860" s="101"/>
      <c r="CB860" s="101"/>
      <c r="CC860" s="101"/>
      <c r="CD860" s="101"/>
      <c r="CE860" s="101"/>
      <c r="CF860" s="101"/>
      <c r="CG860" s="101"/>
      <c r="CH860" s="101"/>
      <c r="CI860" s="101"/>
      <c r="CJ860" s="101"/>
      <c r="CK860" s="101"/>
      <c r="CL860" s="101"/>
      <c r="CM860" s="101"/>
      <c r="CN860" s="101"/>
      <c r="CO860" s="101"/>
      <c r="CP860" s="101"/>
      <c r="CQ860" s="101"/>
      <c r="CR860" s="101"/>
      <c r="CS860" s="101"/>
      <c r="CT860" s="101"/>
      <c r="CU860" s="101"/>
      <c r="CV860" s="101"/>
      <c r="CW860" s="101"/>
      <c r="CX860" s="101"/>
      <c r="CY860" s="101"/>
      <c r="CZ860" s="101"/>
      <c r="DA860" s="101"/>
      <c r="DB860" s="101"/>
      <c r="DC860" s="101"/>
      <c r="DD860" s="101"/>
      <c r="DE860" s="101"/>
      <c r="DF860" s="101"/>
    </row>
    <row r="861">
      <c r="A861" s="29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3"/>
      <c r="U861" s="103"/>
      <c r="V861" s="103"/>
      <c r="W861" s="104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  <c r="AL861" s="101"/>
      <c r="AM861" s="29"/>
      <c r="AN861" s="101"/>
      <c r="AO861" s="101"/>
      <c r="AP861" s="101"/>
      <c r="AQ861" s="101"/>
      <c r="AR861" s="101"/>
      <c r="AS861" s="101"/>
      <c r="AT861" s="101"/>
      <c r="AU861" s="101"/>
      <c r="AV861" s="101"/>
      <c r="AW861" s="101"/>
      <c r="AX861" s="101"/>
      <c r="AY861" s="101"/>
      <c r="AZ861" s="101"/>
      <c r="BA861" s="101"/>
      <c r="BB861" s="101"/>
      <c r="BC861" s="101"/>
      <c r="BD861" s="101"/>
      <c r="BE861" s="101"/>
      <c r="BF861" s="101"/>
      <c r="BG861" s="101"/>
      <c r="BH861" s="101"/>
      <c r="BI861" s="101"/>
      <c r="BJ861" s="101"/>
      <c r="BK861" s="101"/>
      <c r="BL861" s="101"/>
      <c r="BM861" s="101"/>
      <c r="BN861" s="101"/>
      <c r="BO861" s="101"/>
      <c r="BP861" s="101"/>
      <c r="BQ861" s="101"/>
      <c r="BR861" s="101"/>
      <c r="BS861" s="101"/>
      <c r="BT861" s="101"/>
      <c r="BU861" s="101"/>
      <c r="BV861" s="101"/>
      <c r="BW861" s="101"/>
      <c r="BX861" s="101"/>
      <c r="BY861" s="101"/>
      <c r="BZ861" s="101"/>
      <c r="CA861" s="101"/>
      <c r="CB861" s="101"/>
      <c r="CC861" s="101"/>
      <c r="CD861" s="101"/>
      <c r="CE861" s="101"/>
      <c r="CF861" s="101"/>
      <c r="CG861" s="101"/>
      <c r="CH861" s="101"/>
      <c r="CI861" s="101"/>
      <c r="CJ861" s="101"/>
      <c r="CK861" s="101"/>
      <c r="CL861" s="101"/>
      <c r="CM861" s="101"/>
      <c r="CN861" s="101"/>
      <c r="CO861" s="101"/>
      <c r="CP861" s="101"/>
      <c r="CQ861" s="101"/>
      <c r="CR861" s="101"/>
      <c r="CS861" s="101"/>
      <c r="CT861" s="101"/>
      <c r="CU861" s="101"/>
      <c r="CV861" s="101"/>
      <c r="CW861" s="101"/>
      <c r="CX861" s="101"/>
      <c r="CY861" s="101"/>
      <c r="CZ861" s="101"/>
      <c r="DA861" s="101"/>
      <c r="DB861" s="101"/>
      <c r="DC861" s="101"/>
      <c r="DD861" s="101"/>
      <c r="DE861" s="101"/>
      <c r="DF861" s="101"/>
    </row>
    <row r="862">
      <c r="A862" s="29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3"/>
      <c r="U862" s="103"/>
      <c r="V862" s="103"/>
      <c r="W862" s="104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  <c r="AL862" s="101"/>
      <c r="AM862" s="29"/>
      <c r="AN862" s="101"/>
      <c r="AO862" s="101"/>
      <c r="AP862" s="101"/>
      <c r="AQ862" s="101"/>
      <c r="AR862" s="101"/>
      <c r="AS862" s="101"/>
      <c r="AT862" s="101"/>
      <c r="AU862" s="101"/>
      <c r="AV862" s="101"/>
      <c r="AW862" s="101"/>
      <c r="AX862" s="101"/>
      <c r="AY862" s="101"/>
      <c r="AZ862" s="101"/>
      <c r="BA862" s="101"/>
      <c r="BB862" s="101"/>
      <c r="BC862" s="101"/>
      <c r="BD862" s="101"/>
      <c r="BE862" s="101"/>
      <c r="BF862" s="101"/>
      <c r="BG862" s="101"/>
      <c r="BH862" s="101"/>
      <c r="BI862" s="101"/>
      <c r="BJ862" s="101"/>
      <c r="BK862" s="101"/>
      <c r="BL862" s="101"/>
      <c r="BM862" s="101"/>
      <c r="BN862" s="101"/>
      <c r="BO862" s="101"/>
      <c r="BP862" s="101"/>
      <c r="BQ862" s="101"/>
      <c r="BR862" s="101"/>
      <c r="BS862" s="101"/>
      <c r="BT862" s="101"/>
      <c r="BU862" s="101"/>
      <c r="BV862" s="101"/>
      <c r="BW862" s="101"/>
      <c r="BX862" s="101"/>
      <c r="BY862" s="101"/>
      <c r="BZ862" s="101"/>
      <c r="CA862" s="101"/>
      <c r="CB862" s="101"/>
      <c r="CC862" s="101"/>
      <c r="CD862" s="101"/>
      <c r="CE862" s="101"/>
      <c r="CF862" s="101"/>
      <c r="CG862" s="101"/>
      <c r="CH862" s="101"/>
      <c r="CI862" s="101"/>
      <c r="CJ862" s="101"/>
      <c r="CK862" s="101"/>
      <c r="CL862" s="101"/>
      <c r="CM862" s="101"/>
      <c r="CN862" s="101"/>
      <c r="CO862" s="101"/>
      <c r="CP862" s="101"/>
      <c r="CQ862" s="101"/>
      <c r="CR862" s="101"/>
      <c r="CS862" s="101"/>
      <c r="CT862" s="101"/>
      <c r="CU862" s="101"/>
      <c r="CV862" s="101"/>
      <c r="CW862" s="101"/>
      <c r="CX862" s="101"/>
      <c r="CY862" s="101"/>
      <c r="CZ862" s="101"/>
      <c r="DA862" s="101"/>
      <c r="DB862" s="101"/>
      <c r="DC862" s="101"/>
      <c r="DD862" s="101"/>
      <c r="DE862" s="101"/>
      <c r="DF862" s="101"/>
    </row>
    <row r="863">
      <c r="A863" s="29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3"/>
      <c r="U863" s="103"/>
      <c r="V863" s="103"/>
      <c r="W863" s="104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  <c r="AM863" s="29"/>
      <c r="AN863" s="101"/>
      <c r="AO863" s="101"/>
      <c r="AP863" s="101"/>
      <c r="AQ863" s="101"/>
      <c r="AR863" s="101"/>
      <c r="AS863" s="101"/>
      <c r="AT863" s="101"/>
      <c r="AU863" s="101"/>
      <c r="AV863" s="101"/>
      <c r="AW863" s="101"/>
      <c r="AX863" s="101"/>
      <c r="AY863" s="101"/>
      <c r="AZ863" s="101"/>
      <c r="BA863" s="101"/>
      <c r="BB863" s="101"/>
      <c r="BC863" s="101"/>
      <c r="BD863" s="101"/>
      <c r="BE863" s="101"/>
      <c r="BF863" s="101"/>
      <c r="BG863" s="101"/>
      <c r="BH863" s="101"/>
      <c r="BI863" s="101"/>
      <c r="BJ863" s="101"/>
      <c r="BK863" s="101"/>
      <c r="BL863" s="101"/>
      <c r="BM863" s="101"/>
      <c r="BN863" s="101"/>
      <c r="BO863" s="101"/>
      <c r="BP863" s="101"/>
      <c r="BQ863" s="101"/>
      <c r="BR863" s="101"/>
      <c r="BS863" s="101"/>
      <c r="BT863" s="101"/>
      <c r="BU863" s="101"/>
      <c r="BV863" s="101"/>
      <c r="BW863" s="101"/>
      <c r="BX863" s="101"/>
      <c r="BY863" s="101"/>
      <c r="BZ863" s="101"/>
      <c r="CA863" s="101"/>
      <c r="CB863" s="101"/>
      <c r="CC863" s="101"/>
      <c r="CD863" s="101"/>
      <c r="CE863" s="101"/>
      <c r="CF863" s="101"/>
      <c r="CG863" s="101"/>
      <c r="CH863" s="101"/>
      <c r="CI863" s="101"/>
      <c r="CJ863" s="101"/>
      <c r="CK863" s="101"/>
      <c r="CL863" s="101"/>
      <c r="CM863" s="101"/>
      <c r="CN863" s="101"/>
      <c r="CO863" s="101"/>
      <c r="CP863" s="101"/>
      <c r="CQ863" s="101"/>
      <c r="CR863" s="101"/>
      <c r="CS863" s="101"/>
      <c r="CT863" s="101"/>
      <c r="CU863" s="101"/>
      <c r="CV863" s="101"/>
      <c r="CW863" s="101"/>
      <c r="CX863" s="101"/>
      <c r="CY863" s="101"/>
      <c r="CZ863" s="101"/>
      <c r="DA863" s="101"/>
      <c r="DB863" s="101"/>
      <c r="DC863" s="101"/>
      <c r="DD863" s="101"/>
      <c r="DE863" s="101"/>
      <c r="DF863" s="101"/>
    </row>
    <row r="864">
      <c r="A864" s="29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3"/>
      <c r="U864" s="103"/>
      <c r="V864" s="103"/>
      <c r="W864" s="104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  <c r="AL864" s="101"/>
      <c r="AM864" s="29"/>
      <c r="AN864" s="101"/>
      <c r="AO864" s="101"/>
      <c r="AP864" s="101"/>
      <c r="AQ864" s="101"/>
      <c r="AR864" s="101"/>
      <c r="AS864" s="101"/>
      <c r="AT864" s="101"/>
      <c r="AU864" s="101"/>
      <c r="AV864" s="101"/>
      <c r="AW864" s="101"/>
      <c r="AX864" s="101"/>
      <c r="AY864" s="101"/>
      <c r="AZ864" s="101"/>
      <c r="BA864" s="101"/>
      <c r="BB864" s="101"/>
      <c r="BC864" s="101"/>
      <c r="BD864" s="101"/>
      <c r="BE864" s="101"/>
      <c r="BF864" s="101"/>
      <c r="BG864" s="101"/>
      <c r="BH864" s="101"/>
      <c r="BI864" s="101"/>
      <c r="BJ864" s="101"/>
      <c r="BK864" s="101"/>
      <c r="BL864" s="101"/>
      <c r="BM864" s="101"/>
      <c r="BN864" s="101"/>
      <c r="BO864" s="101"/>
      <c r="BP864" s="101"/>
      <c r="BQ864" s="101"/>
      <c r="BR864" s="101"/>
      <c r="BS864" s="101"/>
      <c r="BT864" s="101"/>
      <c r="BU864" s="101"/>
      <c r="BV864" s="101"/>
      <c r="BW864" s="101"/>
      <c r="BX864" s="101"/>
      <c r="BY864" s="101"/>
      <c r="BZ864" s="101"/>
      <c r="CA864" s="101"/>
      <c r="CB864" s="101"/>
      <c r="CC864" s="101"/>
      <c r="CD864" s="101"/>
      <c r="CE864" s="101"/>
      <c r="CF864" s="101"/>
      <c r="CG864" s="101"/>
      <c r="CH864" s="101"/>
      <c r="CI864" s="101"/>
      <c r="CJ864" s="101"/>
      <c r="CK864" s="101"/>
      <c r="CL864" s="101"/>
      <c r="CM864" s="101"/>
      <c r="CN864" s="101"/>
      <c r="CO864" s="101"/>
      <c r="CP864" s="101"/>
      <c r="CQ864" s="101"/>
      <c r="CR864" s="101"/>
      <c r="CS864" s="101"/>
      <c r="CT864" s="101"/>
      <c r="CU864" s="101"/>
      <c r="CV864" s="101"/>
      <c r="CW864" s="101"/>
      <c r="CX864" s="101"/>
      <c r="CY864" s="101"/>
      <c r="CZ864" s="101"/>
      <c r="DA864" s="101"/>
      <c r="DB864" s="101"/>
      <c r="DC864" s="101"/>
      <c r="DD864" s="101"/>
      <c r="DE864" s="101"/>
      <c r="DF864" s="101"/>
    </row>
    <row r="865">
      <c r="A865" s="29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3"/>
      <c r="U865" s="103"/>
      <c r="V865" s="103"/>
      <c r="W865" s="104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  <c r="AL865" s="101"/>
      <c r="AM865" s="29"/>
      <c r="AN865" s="101"/>
      <c r="AO865" s="101"/>
      <c r="AP865" s="101"/>
      <c r="AQ865" s="101"/>
      <c r="AR865" s="101"/>
      <c r="AS865" s="101"/>
      <c r="AT865" s="101"/>
      <c r="AU865" s="101"/>
      <c r="AV865" s="101"/>
      <c r="AW865" s="101"/>
      <c r="AX865" s="101"/>
      <c r="AY865" s="101"/>
      <c r="AZ865" s="101"/>
      <c r="BA865" s="101"/>
      <c r="BB865" s="101"/>
      <c r="BC865" s="101"/>
      <c r="BD865" s="101"/>
      <c r="BE865" s="101"/>
      <c r="BF865" s="101"/>
      <c r="BG865" s="101"/>
      <c r="BH865" s="101"/>
      <c r="BI865" s="101"/>
      <c r="BJ865" s="101"/>
      <c r="BK865" s="101"/>
      <c r="BL865" s="101"/>
      <c r="BM865" s="101"/>
      <c r="BN865" s="101"/>
      <c r="BO865" s="101"/>
      <c r="BP865" s="101"/>
      <c r="BQ865" s="101"/>
      <c r="BR865" s="101"/>
      <c r="BS865" s="101"/>
      <c r="BT865" s="101"/>
      <c r="BU865" s="101"/>
      <c r="BV865" s="101"/>
      <c r="BW865" s="101"/>
      <c r="BX865" s="101"/>
      <c r="BY865" s="101"/>
      <c r="BZ865" s="101"/>
      <c r="CA865" s="101"/>
      <c r="CB865" s="101"/>
      <c r="CC865" s="101"/>
      <c r="CD865" s="101"/>
      <c r="CE865" s="101"/>
      <c r="CF865" s="101"/>
      <c r="CG865" s="101"/>
      <c r="CH865" s="101"/>
      <c r="CI865" s="101"/>
      <c r="CJ865" s="101"/>
      <c r="CK865" s="101"/>
      <c r="CL865" s="101"/>
      <c r="CM865" s="101"/>
      <c r="CN865" s="101"/>
      <c r="CO865" s="101"/>
      <c r="CP865" s="101"/>
      <c r="CQ865" s="101"/>
      <c r="CR865" s="101"/>
      <c r="CS865" s="101"/>
      <c r="CT865" s="101"/>
      <c r="CU865" s="101"/>
      <c r="CV865" s="101"/>
      <c r="CW865" s="101"/>
      <c r="CX865" s="101"/>
      <c r="CY865" s="101"/>
      <c r="CZ865" s="101"/>
      <c r="DA865" s="101"/>
      <c r="DB865" s="101"/>
      <c r="DC865" s="101"/>
      <c r="DD865" s="101"/>
      <c r="DE865" s="101"/>
      <c r="DF865" s="101"/>
    </row>
    <row r="866">
      <c r="A866" s="29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3"/>
      <c r="U866" s="103"/>
      <c r="V866" s="103"/>
      <c r="W866" s="104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  <c r="AL866" s="101"/>
      <c r="AM866" s="29"/>
      <c r="AN866" s="101"/>
      <c r="AO866" s="101"/>
      <c r="AP866" s="101"/>
      <c r="AQ866" s="101"/>
      <c r="AR866" s="101"/>
      <c r="AS866" s="101"/>
      <c r="AT866" s="101"/>
      <c r="AU866" s="101"/>
      <c r="AV866" s="101"/>
      <c r="AW866" s="101"/>
      <c r="AX866" s="101"/>
      <c r="AY866" s="101"/>
      <c r="AZ866" s="101"/>
      <c r="BA866" s="101"/>
      <c r="BB866" s="101"/>
      <c r="BC866" s="101"/>
      <c r="BD866" s="101"/>
      <c r="BE866" s="101"/>
      <c r="BF866" s="101"/>
      <c r="BG866" s="101"/>
      <c r="BH866" s="101"/>
      <c r="BI866" s="101"/>
      <c r="BJ866" s="101"/>
      <c r="BK866" s="101"/>
      <c r="BL866" s="101"/>
      <c r="BM866" s="101"/>
      <c r="BN866" s="101"/>
      <c r="BO866" s="101"/>
      <c r="BP866" s="101"/>
      <c r="BQ866" s="101"/>
      <c r="BR866" s="101"/>
      <c r="BS866" s="101"/>
      <c r="BT866" s="101"/>
      <c r="BU866" s="101"/>
      <c r="BV866" s="101"/>
      <c r="BW866" s="101"/>
      <c r="BX866" s="101"/>
      <c r="BY866" s="101"/>
      <c r="BZ866" s="101"/>
      <c r="CA866" s="101"/>
      <c r="CB866" s="101"/>
      <c r="CC866" s="101"/>
      <c r="CD866" s="101"/>
      <c r="CE866" s="101"/>
      <c r="CF866" s="101"/>
      <c r="CG866" s="101"/>
      <c r="CH866" s="101"/>
      <c r="CI866" s="101"/>
      <c r="CJ866" s="101"/>
      <c r="CK866" s="101"/>
      <c r="CL866" s="101"/>
      <c r="CM866" s="101"/>
      <c r="CN866" s="101"/>
      <c r="CO866" s="101"/>
      <c r="CP866" s="101"/>
      <c r="CQ866" s="101"/>
      <c r="CR866" s="101"/>
      <c r="CS866" s="101"/>
      <c r="CT866" s="101"/>
      <c r="CU866" s="101"/>
      <c r="CV866" s="101"/>
      <c r="CW866" s="101"/>
      <c r="CX866" s="101"/>
      <c r="CY866" s="101"/>
      <c r="CZ866" s="101"/>
      <c r="DA866" s="101"/>
      <c r="DB866" s="101"/>
      <c r="DC866" s="101"/>
      <c r="DD866" s="101"/>
      <c r="DE866" s="101"/>
      <c r="DF866" s="101"/>
    </row>
    <row r="867">
      <c r="A867" s="29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3"/>
      <c r="U867" s="103"/>
      <c r="V867" s="103"/>
      <c r="W867" s="104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  <c r="AL867" s="101"/>
      <c r="AM867" s="29"/>
      <c r="AN867" s="101"/>
      <c r="AO867" s="101"/>
      <c r="AP867" s="101"/>
      <c r="AQ867" s="101"/>
      <c r="AR867" s="101"/>
      <c r="AS867" s="101"/>
      <c r="AT867" s="101"/>
      <c r="AU867" s="101"/>
      <c r="AV867" s="101"/>
      <c r="AW867" s="101"/>
      <c r="AX867" s="101"/>
      <c r="AY867" s="101"/>
      <c r="AZ867" s="101"/>
      <c r="BA867" s="101"/>
      <c r="BB867" s="101"/>
      <c r="BC867" s="101"/>
      <c r="BD867" s="101"/>
      <c r="BE867" s="101"/>
      <c r="BF867" s="101"/>
      <c r="BG867" s="101"/>
      <c r="BH867" s="101"/>
      <c r="BI867" s="101"/>
      <c r="BJ867" s="101"/>
      <c r="BK867" s="101"/>
      <c r="BL867" s="101"/>
      <c r="BM867" s="101"/>
      <c r="BN867" s="101"/>
      <c r="BO867" s="101"/>
      <c r="BP867" s="101"/>
      <c r="BQ867" s="101"/>
      <c r="BR867" s="101"/>
      <c r="BS867" s="101"/>
      <c r="BT867" s="101"/>
      <c r="BU867" s="101"/>
      <c r="BV867" s="101"/>
      <c r="BW867" s="101"/>
      <c r="BX867" s="101"/>
      <c r="BY867" s="101"/>
      <c r="BZ867" s="101"/>
      <c r="CA867" s="101"/>
      <c r="CB867" s="101"/>
      <c r="CC867" s="101"/>
      <c r="CD867" s="101"/>
      <c r="CE867" s="101"/>
      <c r="CF867" s="101"/>
      <c r="CG867" s="101"/>
      <c r="CH867" s="101"/>
      <c r="CI867" s="101"/>
      <c r="CJ867" s="101"/>
      <c r="CK867" s="101"/>
      <c r="CL867" s="101"/>
      <c r="CM867" s="101"/>
      <c r="CN867" s="101"/>
      <c r="CO867" s="101"/>
      <c r="CP867" s="101"/>
      <c r="CQ867" s="101"/>
      <c r="CR867" s="101"/>
      <c r="CS867" s="101"/>
      <c r="CT867" s="101"/>
      <c r="CU867" s="101"/>
      <c r="CV867" s="101"/>
      <c r="CW867" s="101"/>
      <c r="CX867" s="101"/>
      <c r="CY867" s="101"/>
      <c r="CZ867" s="101"/>
      <c r="DA867" s="101"/>
      <c r="DB867" s="101"/>
      <c r="DC867" s="101"/>
      <c r="DD867" s="101"/>
      <c r="DE867" s="101"/>
      <c r="DF867" s="101"/>
    </row>
    <row r="868">
      <c r="A868" s="29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3"/>
      <c r="U868" s="103"/>
      <c r="V868" s="103"/>
      <c r="W868" s="104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  <c r="AL868" s="101"/>
      <c r="AM868" s="29"/>
      <c r="AN868" s="101"/>
      <c r="AO868" s="101"/>
      <c r="AP868" s="101"/>
      <c r="AQ868" s="101"/>
      <c r="AR868" s="101"/>
      <c r="AS868" s="101"/>
      <c r="AT868" s="101"/>
      <c r="AU868" s="101"/>
      <c r="AV868" s="101"/>
      <c r="AW868" s="101"/>
      <c r="AX868" s="101"/>
      <c r="AY868" s="101"/>
      <c r="AZ868" s="101"/>
      <c r="BA868" s="101"/>
      <c r="BB868" s="101"/>
      <c r="BC868" s="101"/>
      <c r="BD868" s="101"/>
      <c r="BE868" s="101"/>
      <c r="BF868" s="101"/>
      <c r="BG868" s="101"/>
      <c r="BH868" s="101"/>
      <c r="BI868" s="101"/>
      <c r="BJ868" s="101"/>
      <c r="BK868" s="101"/>
      <c r="BL868" s="101"/>
      <c r="BM868" s="101"/>
      <c r="BN868" s="101"/>
      <c r="BO868" s="101"/>
      <c r="BP868" s="101"/>
      <c r="BQ868" s="101"/>
      <c r="BR868" s="101"/>
      <c r="BS868" s="101"/>
      <c r="BT868" s="101"/>
      <c r="BU868" s="101"/>
      <c r="BV868" s="101"/>
      <c r="BW868" s="101"/>
      <c r="BX868" s="101"/>
      <c r="BY868" s="101"/>
      <c r="BZ868" s="101"/>
      <c r="CA868" s="101"/>
      <c r="CB868" s="101"/>
      <c r="CC868" s="101"/>
      <c r="CD868" s="101"/>
      <c r="CE868" s="101"/>
      <c r="CF868" s="101"/>
      <c r="CG868" s="101"/>
      <c r="CH868" s="101"/>
      <c r="CI868" s="101"/>
      <c r="CJ868" s="101"/>
      <c r="CK868" s="101"/>
      <c r="CL868" s="101"/>
      <c r="CM868" s="101"/>
      <c r="CN868" s="101"/>
      <c r="CO868" s="101"/>
      <c r="CP868" s="101"/>
      <c r="CQ868" s="101"/>
      <c r="CR868" s="101"/>
      <c r="CS868" s="101"/>
      <c r="CT868" s="101"/>
      <c r="CU868" s="101"/>
      <c r="CV868" s="101"/>
      <c r="CW868" s="101"/>
      <c r="CX868" s="101"/>
      <c r="CY868" s="101"/>
      <c r="CZ868" s="101"/>
      <c r="DA868" s="101"/>
      <c r="DB868" s="101"/>
      <c r="DC868" s="101"/>
      <c r="DD868" s="101"/>
      <c r="DE868" s="101"/>
      <c r="DF868" s="101"/>
    </row>
    <row r="869">
      <c r="A869" s="29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3"/>
      <c r="U869" s="103"/>
      <c r="V869" s="103"/>
      <c r="W869" s="104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  <c r="AL869" s="101"/>
      <c r="AM869" s="29"/>
      <c r="AN869" s="101"/>
      <c r="AO869" s="101"/>
      <c r="AP869" s="101"/>
      <c r="AQ869" s="101"/>
      <c r="AR869" s="101"/>
      <c r="AS869" s="101"/>
      <c r="AT869" s="101"/>
      <c r="AU869" s="101"/>
      <c r="AV869" s="101"/>
      <c r="AW869" s="101"/>
      <c r="AX869" s="101"/>
      <c r="AY869" s="101"/>
      <c r="AZ869" s="101"/>
      <c r="BA869" s="101"/>
      <c r="BB869" s="101"/>
      <c r="BC869" s="101"/>
      <c r="BD869" s="101"/>
      <c r="BE869" s="101"/>
      <c r="BF869" s="101"/>
      <c r="BG869" s="101"/>
      <c r="BH869" s="101"/>
      <c r="BI869" s="101"/>
      <c r="BJ869" s="101"/>
      <c r="BK869" s="101"/>
      <c r="BL869" s="101"/>
      <c r="BM869" s="101"/>
      <c r="BN869" s="101"/>
      <c r="BO869" s="101"/>
      <c r="BP869" s="101"/>
      <c r="BQ869" s="101"/>
      <c r="BR869" s="101"/>
      <c r="BS869" s="101"/>
      <c r="BT869" s="101"/>
      <c r="BU869" s="101"/>
      <c r="BV869" s="101"/>
      <c r="BW869" s="101"/>
      <c r="BX869" s="101"/>
      <c r="BY869" s="101"/>
      <c r="BZ869" s="101"/>
      <c r="CA869" s="101"/>
      <c r="CB869" s="101"/>
      <c r="CC869" s="101"/>
      <c r="CD869" s="101"/>
      <c r="CE869" s="101"/>
      <c r="CF869" s="101"/>
      <c r="CG869" s="101"/>
      <c r="CH869" s="101"/>
      <c r="CI869" s="101"/>
      <c r="CJ869" s="101"/>
      <c r="CK869" s="101"/>
      <c r="CL869" s="101"/>
      <c r="CM869" s="101"/>
      <c r="CN869" s="101"/>
      <c r="CO869" s="101"/>
      <c r="CP869" s="101"/>
      <c r="CQ869" s="101"/>
      <c r="CR869" s="101"/>
      <c r="CS869" s="101"/>
      <c r="CT869" s="101"/>
      <c r="CU869" s="101"/>
      <c r="CV869" s="101"/>
      <c r="CW869" s="101"/>
      <c r="CX869" s="101"/>
      <c r="CY869" s="101"/>
      <c r="CZ869" s="101"/>
      <c r="DA869" s="101"/>
      <c r="DB869" s="101"/>
      <c r="DC869" s="101"/>
      <c r="DD869" s="101"/>
      <c r="DE869" s="101"/>
      <c r="DF869" s="101"/>
    </row>
    <row r="870">
      <c r="A870" s="29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3"/>
      <c r="U870" s="103"/>
      <c r="V870" s="103"/>
      <c r="W870" s="104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  <c r="AL870" s="101"/>
      <c r="AM870" s="29"/>
      <c r="AN870" s="101"/>
      <c r="AO870" s="101"/>
      <c r="AP870" s="101"/>
      <c r="AQ870" s="101"/>
      <c r="AR870" s="101"/>
      <c r="AS870" s="101"/>
      <c r="AT870" s="101"/>
      <c r="AU870" s="101"/>
      <c r="AV870" s="101"/>
      <c r="AW870" s="101"/>
      <c r="AX870" s="101"/>
      <c r="AY870" s="101"/>
      <c r="AZ870" s="101"/>
      <c r="BA870" s="101"/>
      <c r="BB870" s="101"/>
      <c r="BC870" s="101"/>
      <c r="BD870" s="101"/>
      <c r="BE870" s="101"/>
      <c r="BF870" s="101"/>
      <c r="BG870" s="101"/>
      <c r="BH870" s="101"/>
      <c r="BI870" s="101"/>
      <c r="BJ870" s="101"/>
      <c r="BK870" s="101"/>
      <c r="BL870" s="101"/>
      <c r="BM870" s="101"/>
      <c r="BN870" s="101"/>
      <c r="BO870" s="101"/>
      <c r="BP870" s="101"/>
      <c r="BQ870" s="101"/>
      <c r="BR870" s="101"/>
      <c r="BS870" s="101"/>
      <c r="BT870" s="101"/>
      <c r="BU870" s="101"/>
      <c r="BV870" s="101"/>
      <c r="BW870" s="101"/>
      <c r="BX870" s="101"/>
      <c r="BY870" s="101"/>
      <c r="BZ870" s="101"/>
      <c r="CA870" s="101"/>
      <c r="CB870" s="101"/>
      <c r="CC870" s="101"/>
      <c r="CD870" s="101"/>
      <c r="CE870" s="101"/>
      <c r="CF870" s="101"/>
      <c r="CG870" s="101"/>
      <c r="CH870" s="101"/>
      <c r="CI870" s="101"/>
      <c r="CJ870" s="101"/>
      <c r="CK870" s="101"/>
      <c r="CL870" s="101"/>
      <c r="CM870" s="101"/>
      <c r="CN870" s="101"/>
      <c r="CO870" s="101"/>
      <c r="CP870" s="101"/>
      <c r="CQ870" s="101"/>
      <c r="CR870" s="101"/>
      <c r="CS870" s="101"/>
      <c r="CT870" s="101"/>
      <c r="CU870" s="101"/>
      <c r="CV870" s="101"/>
      <c r="CW870" s="101"/>
      <c r="CX870" s="101"/>
      <c r="CY870" s="101"/>
      <c r="CZ870" s="101"/>
      <c r="DA870" s="101"/>
      <c r="DB870" s="101"/>
      <c r="DC870" s="101"/>
      <c r="DD870" s="101"/>
      <c r="DE870" s="101"/>
      <c r="DF870" s="101"/>
    </row>
    <row r="871">
      <c r="A871" s="29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3"/>
      <c r="U871" s="103"/>
      <c r="V871" s="103"/>
      <c r="W871" s="104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  <c r="AL871" s="101"/>
      <c r="AM871" s="29"/>
      <c r="AN871" s="101"/>
      <c r="AO871" s="101"/>
      <c r="AP871" s="101"/>
      <c r="AQ871" s="101"/>
      <c r="AR871" s="101"/>
      <c r="AS871" s="101"/>
      <c r="AT871" s="101"/>
      <c r="AU871" s="101"/>
      <c r="AV871" s="101"/>
      <c r="AW871" s="101"/>
      <c r="AX871" s="101"/>
      <c r="AY871" s="101"/>
      <c r="AZ871" s="101"/>
      <c r="BA871" s="101"/>
      <c r="BB871" s="101"/>
      <c r="BC871" s="101"/>
      <c r="BD871" s="101"/>
      <c r="BE871" s="101"/>
      <c r="BF871" s="101"/>
      <c r="BG871" s="101"/>
      <c r="BH871" s="101"/>
      <c r="BI871" s="101"/>
      <c r="BJ871" s="101"/>
      <c r="BK871" s="101"/>
      <c r="BL871" s="101"/>
      <c r="BM871" s="101"/>
      <c r="BN871" s="101"/>
      <c r="BO871" s="101"/>
      <c r="BP871" s="101"/>
      <c r="BQ871" s="101"/>
      <c r="BR871" s="101"/>
      <c r="BS871" s="101"/>
      <c r="BT871" s="101"/>
      <c r="BU871" s="101"/>
      <c r="BV871" s="101"/>
      <c r="BW871" s="101"/>
      <c r="BX871" s="101"/>
      <c r="BY871" s="101"/>
      <c r="BZ871" s="101"/>
      <c r="CA871" s="101"/>
      <c r="CB871" s="101"/>
      <c r="CC871" s="101"/>
      <c r="CD871" s="101"/>
      <c r="CE871" s="101"/>
      <c r="CF871" s="101"/>
      <c r="CG871" s="101"/>
      <c r="CH871" s="101"/>
      <c r="CI871" s="101"/>
      <c r="CJ871" s="101"/>
      <c r="CK871" s="101"/>
      <c r="CL871" s="101"/>
      <c r="CM871" s="101"/>
      <c r="CN871" s="101"/>
      <c r="CO871" s="101"/>
      <c r="CP871" s="101"/>
      <c r="CQ871" s="101"/>
      <c r="CR871" s="101"/>
      <c r="CS871" s="101"/>
      <c r="CT871" s="101"/>
      <c r="CU871" s="101"/>
      <c r="CV871" s="101"/>
      <c r="CW871" s="101"/>
      <c r="CX871" s="101"/>
      <c r="CY871" s="101"/>
      <c r="CZ871" s="101"/>
      <c r="DA871" s="101"/>
      <c r="DB871" s="101"/>
      <c r="DC871" s="101"/>
      <c r="DD871" s="101"/>
      <c r="DE871" s="101"/>
      <c r="DF871" s="101"/>
    </row>
    <row r="872">
      <c r="A872" s="29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3"/>
      <c r="U872" s="103"/>
      <c r="V872" s="103"/>
      <c r="W872" s="104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  <c r="AL872" s="101"/>
      <c r="AM872" s="29"/>
      <c r="AN872" s="101"/>
      <c r="AO872" s="101"/>
      <c r="AP872" s="101"/>
      <c r="AQ872" s="101"/>
      <c r="AR872" s="101"/>
      <c r="AS872" s="101"/>
      <c r="AT872" s="101"/>
      <c r="AU872" s="101"/>
      <c r="AV872" s="101"/>
      <c r="AW872" s="101"/>
      <c r="AX872" s="101"/>
      <c r="AY872" s="101"/>
      <c r="AZ872" s="101"/>
      <c r="BA872" s="101"/>
      <c r="BB872" s="101"/>
      <c r="BC872" s="101"/>
      <c r="BD872" s="101"/>
      <c r="BE872" s="101"/>
      <c r="BF872" s="101"/>
      <c r="BG872" s="101"/>
      <c r="BH872" s="101"/>
      <c r="BI872" s="101"/>
      <c r="BJ872" s="101"/>
      <c r="BK872" s="101"/>
      <c r="BL872" s="101"/>
      <c r="BM872" s="101"/>
      <c r="BN872" s="101"/>
      <c r="BO872" s="101"/>
      <c r="BP872" s="101"/>
      <c r="BQ872" s="101"/>
      <c r="BR872" s="101"/>
      <c r="BS872" s="101"/>
      <c r="BT872" s="101"/>
      <c r="BU872" s="101"/>
      <c r="BV872" s="101"/>
      <c r="BW872" s="101"/>
      <c r="BX872" s="101"/>
      <c r="BY872" s="101"/>
      <c r="BZ872" s="101"/>
      <c r="CA872" s="101"/>
      <c r="CB872" s="101"/>
      <c r="CC872" s="101"/>
      <c r="CD872" s="101"/>
      <c r="CE872" s="101"/>
      <c r="CF872" s="101"/>
      <c r="CG872" s="101"/>
      <c r="CH872" s="101"/>
      <c r="CI872" s="101"/>
      <c r="CJ872" s="101"/>
      <c r="CK872" s="101"/>
      <c r="CL872" s="101"/>
      <c r="CM872" s="101"/>
      <c r="CN872" s="101"/>
      <c r="CO872" s="101"/>
      <c r="CP872" s="101"/>
      <c r="CQ872" s="101"/>
      <c r="CR872" s="101"/>
      <c r="CS872" s="101"/>
      <c r="CT872" s="101"/>
      <c r="CU872" s="101"/>
      <c r="CV872" s="101"/>
      <c r="CW872" s="101"/>
      <c r="CX872" s="101"/>
      <c r="CY872" s="101"/>
      <c r="CZ872" s="101"/>
      <c r="DA872" s="101"/>
      <c r="DB872" s="101"/>
      <c r="DC872" s="101"/>
      <c r="DD872" s="101"/>
      <c r="DE872" s="101"/>
      <c r="DF872" s="101"/>
    </row>
    <row r="873">
      <c r="A873" s="29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3"/>
      <c r="U873" s="103"/>
      <c r="V873" s="103"/>
      <c r="W873" s="104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  <c r="AL873" s="101"/>
      <c r="AM873" s="29"/>
      <c r="AN873" s="101"/>
      <c r="AO873" s="101"/>
      <c r="AP873" s="101"/>
      <c r="AQ873" s="101"/>
      <c r="AR873" s="101"/>
      <c r="AS873" s="101"/>
      <c r="AT873" s="101"/>
      <c r="AU873" s="101"/>
      <c r="AV873" s="101"/>
      <c r="AW873" s="101"/>
      <c r="AX873" s="101"/>
      <c r="AY873" s="101"/>
      <c r="AZ873" s="101"/>
      <c r="BA873" s="101"/>
      <c r="BB873" s="101"/>
      <c r="BC873" s="101"/>
      <c r="BD873" s="101"/>
      <c r="BE873" s="101"/>
      <c r="BF873" s="101"/>
      <c r="BG873" s="101"/>
      <c r="BH873" s="101"/>
      <c r="BI873" s="101"/>
      <c r="BJ873" s="101"/>
      <c r="BK873" s="101"/>
      <c r="BL873" s="101"/>
      <c r="BM873" s="101"/>
      <c r="BN873" s="101"/>
      <c r="BO873" s="101"/>
      <c r="BP873" s="101"/>
      <c r="BQ873" s="101"/>
      <c r="BR873" s="101"/>
      <c r="BS873" s="101"/>
      <c r="BT873" s="101"/>
      <c r="BU873" s="101"/>
      <c r="BV873" s="101"/>
      <c r="BW873" s="101"/>
      <c r="BX873" s="101"/>
      <c r="BY873" s="101"/>
      <c r="BZ873" s="101"/>
      <c r="CA873" s="101"/>
      <c r="CB873" s="101"/>
      <c r="CC873" s="101"/>
      <c r="CD873" s="101"/>
      <c r="CE873" s="101"/>
      <c r="CF873" s="101"/>
      <c r="CG873" s="101"/>
      <c r="CH873" s="101"/>
      <c r="CI873" s="101"/>
      <c r="CJ873" s="101"/>
      <c r="CK873" s="101"/>
      <c r="CL873" s="101"/>
      <c r="CM873" s="101"/>
      <c r="CN873" s="101"/>
      <c r="CO873" s="101"/>
      <c r="CP873" s="101"/>
      <c r="CQ873" s="101"/>
      <c r="CR873" s="101"/>
      <c r="CS873" s="101"/>
      <c r="CT873" s="101"/>
      <c r="CU873" s="101"/>
      <c r="CV873" s="101"/>
      <c r="CW873" s="101"/>
      <c r="CX873" s="101"/>
      <c r="CY873" s="101"/>
      <c r="CZ873" s="101"/>
      <c r="DA873" s="101"/>
      <c r="DB873" s="101"/>
      <c r="DC873" s="101"/>
      <c r="DD873" s="101"/>
      <c r="DE873" s="101"/>
      <c r="DF873" s="101"/>
    </row>
    <row r="874">
      <c r="A874" s="29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3"/>
      <c r="U874" s="103"/>
      <c r="V874" s="103"/>
      <c r="W874" s="104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  <c r="AM874" s="29"/>
      <c r="AN874" s="101"/>
      <c r="AO874" s="101"/>
      <c r="AP874" s="101"/>
      <c r="AQ874" s="101"/>
      <c r="AR874" s="101"/>
      <c r="AS874" s="101"/>
      <c r="AT874" s="101"/>
      <c r="AU874" s="101"/>
      <c r="AV874" s="101"/>
      <c r="AW874" s="101"/>
      <c r="AX874" s="101"/>
      <c r="AY874" s="101"/>
      <c r="AZ874" s="101"/>
      <c r="BA874" s="101"/>
      <c r="BB874" s="101"/>
      <c r="BC874" s="101"/>
      <c r="BD874" s="101"/>
      <c r="BE874" s="101"/>
      <c r="BF874" s="101"/>
      <c r="BG874" s="101"/>
      <c r="BH874" s="101"/>
      <c r="BI874" s="101"/>
      <c r="BJ874" s="101"/>
      <c r="BK874" s="101"/>
      <c r="BL874" s="101"/>
      <c r="BM874" s="101"/>
      <c r="BN874" s="101"/>
      <c r="BO874" s="101"/>
      <c r="BP874" s="101"/>
      <c r="BQ874" s="101"/>
      <c r="BR874" s="101"/>
      <c r="BS874" s="101"/>
      <c r="BT874" s="101"/>
      <c r="BU874" s="101"/>
      <c r="BV874" s="101"/>
      <c r="BW874" s="101"/>
      <c r="BX874" s="101"/>
      <c r="BY874" s="101"/>
      <c r="BZ874" s="101"/>
      <c r="CA874" s="101"/>
      <c r="CB874" s="101"/>
      <c r="CC874" s="101"/>
      <c r="CD874" s="101"/>
      <c r="CE874" s="101"/>
      <c r="CF874" s="101"/>
      <c r="CG874" s="101"/>
      <c r="CH874" s="101"/>
      <c r="CI874" s="101"/>
      <c r="CJ874" s="101"/>
      <c r="CK874" s="101"/>
      <c r="CL874" s="101"/>
      <c r="CM874" s="101"/>
      <c r="CN874" s="101"/>
      <c r="CO874" s="101"/>
      <c r="CP874" s="101"/>
      <c r="CQ874" s="101"/>
      <c r="CR874" s="101"/>
      <c r="CS874" s="101"/>
      <c r="CT874" s="101"/>
      <c r="CU874" s="101"/>
      <c r="CV874" s="101"/>
      <c r="CW874" s="101"/>
      <c r="CX874" s="101"/>
      <c r="CY874" s="101"/>
      <c r="CZ874" s="101"/>
      <c r="DA874" s="101"/>
      <c r="DB874" s="101"/>
      <c r="DC874" s="101"/>
      <c r="DD874" s="101"/>
      <c r="DE874" s="101"/>
      <c r="DF874" s="101"/>
    </row>
    <row r="875">
      <c r="A875" s="29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3"/>
      <c r="U875" s="103"/>
      <c r="V875" s="103"/>
      <c r="W875" s="104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  <c r="AL875" s="101"/>
      <c r="AM875" s="29"/>
      <c r="AN875" s="101"/>
      <c r="AO875" s="101"/>
      <c r="AP875" s="101"/>
      <c r="AQ875" s="101"/>
      <c r="AR875" s="101"/>
      <c r="AS875" s="101"/>
      <c r="AT875" s="101"/>
      <c r="AU875" s="101"/>
      <c r="AV875" s="101"/>
      <c r="AW875" s="101"/>
      <c r="AX875" s="101"/>
      <c r="AY875" s="101"/>
      <c r="AZ875" s="101"/>
      <c r="BA875" s="101"/>
      <c r="BB875" s="101"/>
      <c r="BC875" s="101"/>
      <c r="BD875" s="101"/>
      <c r="BE875" s="101"/>
      <c r="BF875" s="101"/>
      <c r="BG875" s="101"/>
      <c r="BH875" s="101"/>
      <c r="BI875" s="101"/>
      <c r="BJ875" s="101"/>
      <c r="BK875" s="101"/>
      <c r="BL875" s="101"/>
      <c r="BM875" s="101"/>
      <c r="BN875" s="101"/>
      <c r="BO875" s="101"/>
      <c r="BP875" s="101"/>
      <c r="BQ875" s="101"/>
      <c r="BR875" s="101"/>
      <c r="BS875" s="101"/>
      <c r="BT875" s="101"/>
      <c r="BU875" s="101"/>
      <c r="BV875" s="101"/>
      <c r="BW875" s="101"/>
      <c r="BX875" s="101"/>
      <c r="BY875" s="101"/>
      <c r="BZ875" s="101"/>
      <c r="CA875" s="101"/>
      <c r="CB875" s="101"/>
      <c r="CC875" s="101"/>
      <c r="CD875" s="101"/>
      <c r="CE875" s="101"/>
      <c r="CF875" s="101"/>
      <c r="CG875" s="101"/>
      <c r="CH875" s="101"/>
      <c r="CI875" s="101"/>
      <c r="CJ875" s="101"/>
      <c r="CK875" s="101"/>
      <c r="CL875" s="101"/>
      <c r="CM875" s="101"/>
      <c r="CN875" s="101"/>
      <c r="CO875" s="101"/>
      <c r="CP875" s="101"/>
      <c r="CQ875" s="101"/>
      <c r="CR875" s="101"/>
      <c r="CS875" s="101"/>
      <c r="CT875" s="101"/>
      <c r="CU875" s="101"/>
      <c r="CV875" s="101"/>
      <c r="CW875" s="101"/>
      <c r="CX875" s="101"/>
      <c r="CY875" s="101"/>
      <c r="CZ875" s="101"/>
      <c r="DA875" s="101"/>
      <c r="DB875" s="101"/>
      <c r="DC875" s="101"/>
      <c r="DD875" s="101"/>
      <c r="DE875" s="101"/>
      <c r="DF875" s="101"/>
    </row>
    <row r="876">
      <c r="A876" s="29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3"/>
      <c r="U876" s="103"/>
      <c r="V876" s="103"/>
      <c r="W876" s="104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  <c r="AL876" s="101"/>
      <c r="AM876" s="29"/>
      <c r="AN876" s="101"/>
      <c r="AO876" s="101"/>
      <c r="AP876" s="101"/>
      <c r="AQ876" s="101"/>
      <c r="AR876" s="101"/>
      <c r="AS876" s="101"/>
      <c r="AT876" s="101"/>
      <c r="AU876" s="101"/>
      <c r="AV876" s="101"/>
      <c r="AW876" s="101"/>
      <c r="AX876" s="101"/>
      <c r="AY876" s="101"/>
      <c r="AZ876" s="101"/>
      <c r="BA876" s="101"/>
      <c r="BB876" s="101"/>
      <c r="BC876" s="101"/>
      <c r="BD876" s="101"/>
      <c r="BE876" s="101"/>
      <c r="BF876" s="101"/>
      <c r="BG876" s="101"/>
      <c r="BH876" s="101"/>
      <c r="BI876" s="101"/>
      <c r="BJ876" s="101"/>
      <c r="BK876" s="101"/>
      <c r="BL876" s="101"/>
      <c r="BM876" s="101"/>
      <c r="BN876" s="101"/>
      <c r="BO876" s="101"/>
      <c r="BP876" s="101"/>
      <c r="BQ876" s="101"/>
      <c r="BR876" s="101"/>
      <c r="BS876" s="101"/>
      <c r="BT876" s="101"/>
      <c r="BU876" s="101"/>
      <c r="BV876" s="101"/>
      <c r="BW876" s="101"/>
      <c r="BX876" s="101"/>
      <c r="BY876" s="101"/>
      <c r="BZ876" s="101"/>
      <c r="CA876" s="101"/>
      <c r="CB876" s="101"/>
      <c r="CC876" s="101"/>
      <c r="CD876" s="101"/>
      <c r="CE876" s="101"/>
      <c r="CF876" s="101"/>
      <c r="CG876" s="101"/>
      <c r="CH876" s="101"/>
      <c r="CI876" s="101"/>
      <c r="CJ876" s="101"/>
      <c r="CK876" s="101"/>
      <c r="CL876" s="101"/>
      <c r="CM876" s="101"/>
      <c r="CN876" s="101"/>
      <c r="CO876" s="101"/>
      <c r="CP876" s="101"/>
      <c r="CQ876" s="101"/>
      <c r="CR876" s="101"/>
      <c r="CS876" s="101"/>
      <c r="CT876" s="101"/>
      <c r="CU876" s="101"/>
      <c r="CV876" s="101"/>
      <c r="CW876" s="101"/>
      <c r="CX876" s="101"/>
      <c r="CY876" s="101"/>
      <c r="CZ876" s="101"/>
      <c r="DA876" s="101"/>
      <c r="DB876" s="101"/>
      <c r="DC876" s="101"/>
      <c r="DD876" s="101"/>
      <c r="DE876" s="101"/>
      <c r="DF876" s="101"/>
    </row>
    <row r="877">
      <c r="A877" s="29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3"/>
      <c r="U877" s="103"/>
      <c r="V877" s="103"/>
      <c r="W877" s="104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  <c r="AL877" s="101"/>
      <c r="AM877" s="29"/>
      <c r="AN877" s="101"/>
      <c r="AO877" s="101"/>
      <c r="AP877" s="101"/>
      <c r="AQ877" s="101"/>
      <c r="AR877" s="101"/>
      <c r="AS877" s="101"/>
      <c r="AT877" s="101"/>
      <c r="AU877" s="101"/>
      <c r="AV877" s="101"/>
      <c r="AW877" s="101"/>
      <c r="AX877" s="101"/>
      <c r="AY877" s="101"/>
      <c r="AZ877" s="101"/>
      <c r="BA877" s="101"/>
      <c r="BB877" s="101"/>
      <c r="BC877" s="101"/>
      <c r="BD877" s="101"/>
      <c r="BE877" s="101"/>
      <c r="BF877" s="101"/>
      <c r="BG877" s="101"/>
      <c r="BH877" s="101"/>
      <c r="BI877" s="101"/>
      <c r="BJ877" s="101"/>
      <c r="BK877" s="101"/>
      <c r="BL877" s="101"/>
      <c r="BM877" s="101"/>
      <c r="BN877" s="101"/>
      <c r="BO877" s="101"/>
      <c r="BP877" s="101"/>
      <c r="BQ877" s="101"/>
      <c r="BR877" s="101"/>
      <c r="BS877" s="101"/>
      <c r="BT877" s="101"/>
      <c r="BU877" s="101"/>
      <c r="BV877" s="101"/>
      <c r="BW877" s="101"/>
      <c r="BX877" s="101"/>
      <c r="BY877" s="101"/>
      <c r="BZ877" s="101"/>
      <c r="CA877" s="101"/>
      <c r="CB877" s="101"/>
      <c r="CC877" s="101"/>
      <c r="CD877" s="101"/>
      <c r="CE877" s="101"/>
      <c r="CF877" s="101"/>
      <c r="CG877" s="101"/>
      <c r="CH877" s="101"/>
      <c r="CI877" s="101"/>
      <c r="CJ877" s="101"/>
      <c r="CK877" s="101"/>
      <c r="CL877" s="101"/>
      <c r="CM877" s="101"/>
      <c r="CN877" s="101"/>
      <c r="CO877" s="101"/>
      <c r="CP877" s="101"/>
      <c r="CQ877" s="101"/>
      <c r="CR877" s="101"/>
      <c r="CS877" s="101"/>
      <c r="CT877" s="101"/>
      <c r="CU877" s="101"/>
      <c r="CV877" s="101"/>
      <c r="CW877" s="101"/>
      <c r="CX877" s="101"/>
      <c r="CY877" s="101"/>
      <c r="CZ877" s="101"/>
      <c r="DA877" s="101"/>
      <c r="DB877" s="101"/>
      <c r="DC877" s="101"/>
      <c r="DD877" s="101"/>
      <c r="DE877" s="101"/>
      <c r="DF877" s="101"/>
    </row>
    <row r="878">
      <c r="A878" s="29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3"/>
      <c r="U878" s="103"/>
      <c r="V878" s="103"/>
      <c r="W878" s="104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  <c r="AL878" s="101"/>
      <c r="AM878" s="29"/>
      <c r="AN878" s="101"/>
      <c r="AO878" s="101"/>
      <c r="AP878" s="101"/>
      <c r="AQ878" s="101"/>
      <c r="AR878" s="101"/>
      <c r="AS878" s="101"/>
      <c r="AT878" s="101"/>
      <c r="AU878" s="101"/>
      <c r="AV878" s="101"/>
      <c r="AW878" s="101"/>
      <c r="AX878" s="101"/>
      <c r="AY878" s="101"/>
      <c r="AZ878" s="101"/>
      <c r="BA878" s="101"/>
      <c r="BB878" s="101"/>
      <c r="BC878" s="101"/>
      <c r="BD878" s="101"/>
      <c r="BE878" s="101"/>
      <c r="BF878" s="101"/>
      <c r="BG878" s="101"/>
      <c r="BH878" s="101"/>
      <c r="BI878" s="101"/>
      <c r="BJ878" s="101"/>
      <c r="BK878" s="101"/>
      <c r="BL878" s="101"/>
      <c r="BM878" s="101"/>
      <c r="BN878" s="101"/>
      <c r="BO878" s="101"/>
      <c r="BP878" s="101"/>
      <c r="BQ878" s="101"/>
      <c r="BR878" s="101"/>
      <c r="BS878" s="101"/>
      <c r="BT878" s="101"/>
      <c r="BU878" s="101"/>
      <c r="BV878" s="101"/>
      <c r="BW878" s="101"/>
      <c r="BX878" s="101"/>
      <c r="BY878" s="101"/>
      <c r="BZ878" s="101"/>
      <c r="CA878" s="101"/>
      <c r="CB878" s="101"/>
      <c r="CC878" s="101"/>
      <c r="CD878" s="101"/>
      <c r="CE878" s="101"/>
      <c r="CF878" s="101"/>
      <c r="CG878" s="101"/>
      <c r="CH878" s="101"/>
      <c r="CI878" s="101"/>
      <c r="CJ878" s="101"/>
      <c r="CK878" s="101"/>
      <c r="CL878" s="101"/>
      <c r="CM878" s="101"/>
      <c r="CN878" s="101"/>
      <c r="CO878" s="101"/>
      <c r="CP878" s="101"/>
      <c r="CQ878" s="101"/>
      <c r="CR878" s="101"/>
      <c r="CS878" s="101"/>
      <c r="CT878" s="101"/>
      <c r="CU878" s="101"/>
      <c r="CV878" s="101"/>
      <c r="CW878" s="101"/>
      <c r="CX878" s="101"/>
      <c r="CY878" s="101"/>
      <c r="CZ878" s="101"/>
      <c r="DA878" s="101"/>
      <c r="DB878" s="101"/>
      <c r="DC878" s="101"/>
      <c r="DD878" s="101"/>
      <c r="DE878" s="101"/>
      <c r="DF878" s="101"/>
    </row>
    <row r="879">
      <c r="A879" s="29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3"/>
      <c r="U879" s="103"/>
      <c r="V879" s="103"/>
      <c r="W879" s="104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  <c r="AL879" s="101"/>
      <c r="AM879" s="29"/>
      <c r="AN879" s="101"/>
      <c r="AO879" s="101"/>
      <c r="AP879" s="101"/>
      <c r="AQ879" s="101"/>
      <c r="AR879" s="101"/>
      <c r="AS879" s="101"/>
      <c r="AT879" s="101"/>
      <c r="AU879" s="101"/>
      <c r="AV879" s="101"/>
      <c r="AW879" s="101"/>
      <c r="AX879" s="101"/>
      <c r="AY879" s="101"/>
      <c r="AZ879" s="101"/>
      <c r="BA879" s="101"/>
      <c r="BB879" s="101"/>
      <c r="BC879" s="101"/>
      <c r="BD879" s="101"/>
      <c r="BE879" s="101"/>
      <c r="BF879" s="101"/>
      <c r="BG879" s="101"/>
      <c r="BH879" s="101"/>
      <c r="BI879" s="101"/>
      <c r="BJ879" s="101"/>
      <c r="BK879" s="101"/>
      <c r="BL879" s="101"/>
      <c r="BM879" s="101"/>
      <c r="BN879" s="101"/>
      <c r="BO879" s="101"/>
      <c r="BP879" s="101"/>
      <c r="BQ879" s="101"/>
      <c r="BR879" s="101"/>
      <c r="BS879" s="101"/>
      <c r="BT879" s="101"/>
      <c r="BU879" s="101"/>
      <c r="BV879" s="101"/>
      <c r="BW879" s="101"/>
      <c r="BX879" s="101"/>
      <c r="BY879" s="101"/>
      <c r="BZ879" s="101"/>
      <c r="CA879" s="101"/>
      <c r="CB879" s="101"/>
      <c r="CC879" s="101"/>
      <c r="CD879" s="101"/>
      <c r="CE879" s="101"/>
      <c r="CF879" s="101"/>
      <c r="CG879" s="101"/>
      <c r="CH879" s="101"/>
      <c r="CI879" s="101"/>
      <c r="CJ879" s="101"/>
      <c r="CK879" s="101"/>
      <c r="CL879" s="101"/>
      <c r="CM879" s="101"/>
      <c r="CN879" s="101"/>
      <c r="CO879" s="101"/>
      <c r="CP879" s="101"/>
      <c r="CQ879" s="101"/>
      <c r="CR879" s="101"/>
      <c r="CS879" s="101"/>
      <c r="CT879" s="101"/>
      <c r="CU879" s="101"/>
      <c r="CV879" s="101"/>
      <c r="CW879" s="101"/>
      <c r="CX879" s="101"/>
      <c r="CY879" s="101"/>
      <c r="CZ879" s="101"/>
      <c r="DA879" s="101"/>
      <c r="DB879" s="101"/>
      <c r="DC879" s="101"/>
      <c r="DD879" s="101"/>
      <c r="DE879" s="101"/>
      <c r="DF879" s="101"/>
    </row>
    <row r="880">
      <c r="A880" s="29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3"/>
      <c r="U880" s="103"/>
      <c r="V880" s="103"/>
      <c r="W880" s="104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  <c r="AL880" s="101"/>
      <c r="AM880" s="29"/>
      <c r="AN880" s="101"/>
      <c r="AO880" s="101"/>
      <c r="AP880" s="101"/>
      <c r="AQ880" s="101"/>
      <c r="AR880" s="101"/>
      <c r="AS880" s="101"/>
      <c r="AT880" s="101"/>
      <c r="AU880" s="101"/>
      <c r="AV880" s="101"/>
      <c r="AW880" s="101"/>
      <c r="AX880" s="101"/>
      <c r="AY880" s="101"/>
      <c r="AZ880" s="101"/>
      <c r="BA880" s="101"/>
      <c r="BB880" s="101"/>
      <c r="BC880" s="101"/>
      <c r="BD880" s="101"/>
      <c r="BE880" s="101"/>
      <c r="BF880" s="101"/>
      <c r="BG880" s="101"/>
      <c r="BH880" s="101"/>
      <c r="BI880" s="101"/>
      <c r="BJ880" s="101"/>
      <c r="BK880" s="101"/>
      <c r="BL880" s="101"/>
      <c r="BM880" s="101"/>
      <c r="BN880" s="101"/>
      <c r="BO880" s="101"/>
      <c r="BP880" s="101"/>
      <c r="BQ880" s="101"/>
      <c r="BR880" s="101"/>
      <c r="BS880" s="101"/>
      <c r="BT880" s="101"/>
      <c r="BU880" s="101"/>
      <c r="BV880" s="101"/>
      <c r="BW880" s="101"/>
      <c r="BX880" s="101"/>
      <c r="BY880" s="101"/>
      <c r="BZ880" s="101"/>
      <c r="CA880" s="101"/>
      <c r="CB880" s="101"/>
      <c r="CC880" s="101"/>
      <c r="CD880" s="101"/>
      <c r="CE880" s="101"/>
      <c r="CF880" s="101"/>
      <c r="CG880" s="101"/>
      <c r="CH880" s="101"/>
      <c r="CI880" s="101"/>
      <c r="CJ880" s="101"/>
      <c r="CK880" s="101"/>
      <c r="CL880" s="101"/>
      <c r="CM880" s="101"/>
      <c r="CN880" s="101"/>
      <c r="CO880" s="101"/>
      <c r="CP880" s="101"/>
      <c r="CQ880" s="101"/>
      <c r="CR880" s="101"/>
      <c r="CS880" s="101"/>
      <c r="CT880" s="101"/>
      <c r="CU880" s="101"/>
      <c r="CV880" s="101"/>
      <c r="CW880" s="101"/>
      <c r="CX880" s="101"/>
      <c r="CY880" s="101"/>
      <c r="CZ880" s="101"/>
      <c r="DA880" s="101"/>
      <c r="DB880" s="101"/>
      <c r="DC880" s="101"/>
      <c r="DD880" s="101"/>
      <c r="DE880" s="101"/>
      <c r="DF880" s="101"/>
    </row>
    <row r="881">
      <c r="A881" s="29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3"/>
      <c r="U881" s="103"/>
      <c r="V881" s="103"/>
      <c r="W881" s="104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  <c r="AL881" s="101"/>
      <c r="AM881" s="29"/>
      <c r="AN881" s="101"/>
      <c r="AO881" s="101"/>
      <c r="AP881" s="101"/>
      <c r="AQ881" s="101"/>
      <c r="AR881" s="101"/>
      <c r="AS881" s="101"/>
      <c r="AT881" s="101"/>
      <c r="AU881" s="101"/>
      <c r="AV881" s="101"/>
      <c r="AW881" s="101"/>
      <c r="AX881" s="101"/>
      <c r="AY881" s="101"/>
      <c r="AZ881" s="101"/>
      <c r="BA881" s="101"/>
      <c r="BB881" s="101"/>
      <c r="BC881" s="101"/>
      <c r="BD881" s="101"/>
      <c r="BE881" s="101"/>
      <c r="BF881" s="101"/>
      <c r="BG881" s="101"/>
      <c r="BH881" s="101"/>
      <c r="BI881" s="101"/>
      <c r="BJ881" s="101"/>
      <c r="BK881" s="101"/>
      <c r="BL881" s="101"/>
      <c r="BM881" s="101"/>
      <c r="BN881" s="101"/>
      <c r="BO881" s="101"/>
      <c r="BP881" s="101"/>
      <c r="BQ881" s="101"/>
      <c r="BR881" s="101"/>
      <c r="BS881" s="101"/>
      <c r="BT881" s="101"/>
      <c r="BU881" s="101"/>
      <c r="BV881" s="101"/>
      <c r="BW881" s="101"/>
      <c r="BX881" s="101"/>
      <c r="BY881" s="101"/>
      <c r="BZ881" s="101"/>
      <c r="CA881" s="101"/>
      <c r="CB881" s="101"/>
      <c r="CC881" s="101"/>
      <c r="CD881" s="101"/>
      <c r="CE881" s="101"/>
      <c r="CF881" s="101"/>
      <c r="CG881" s="101"/>
      <c r="CH881" s="101"/>
      <c r="CI881" s="101"/>
      <c r="CJ881" s="101"/>
      <c r="CK881" s="101"/>
      <c r="CL881" s="101"/>
      <c r="CM881" s="101"/>
      <c r="CN881" s="101"/>
      <c r="CO881" s="101"/>
      <c r="CP881" s="101"/>
      <c r="CQ881" s="101"/>
      <c r="CR881" s="101"/>
      <c r="CS881" s="101"/>
      <c r="CT881" s="101"/>
      <c r="CU881" s="101"/>
      <c r="CV881" s="101"/>
      <c r="CW881" s="101"/>
      <c r="CX881" s="101"/>
      <c r="CY881" s="101"/>
      <c r="CZ881" s="101"/>
      <c r="DA881" s="101"/>
      <c r="DB881" s="101"/>
      <c r="DC881" s="101"/>
      <c r="DD881" s="101"/>
      <c r="DE881" s="101"/>
      <c r="DF881" s="101"/>
    </row>
    <row r="882">
      <c r="A882" s="29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3"/>
      <c r="U882" s="103"/>
      <c r="V882" s="103"/>
      <c r="W882" s="104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  <c r="AL882" s="101"/>
      <c r="AM882" s="29"/>
      <c r="AN882" s="101"/>
      <c r="AO882" s="101"/>
      <c r="AP882" s="101"/>
      <c r="AQ882" s="101"/>
      <c r="AR882" s="101"/>
      <c r="AS882" s="101"/>
      <c r="AT882" s="101"/>
      <c r="AU882" s="101"/>
      <c r="AV882" s="101"/>
      <c r="AW882" s="101"/>
      <c r="AX882" s="101"/>
      <c r="AY882" s="101"/>
      <c r="AZ882" s="101"/>
      <c r="BA882" s="101"/>
      <c r="BB882" s="101"/>
      <c r="BC882" s="101"/>
      <c r="BD882" s="101"/>
      <c r="BE882" s="101"/>
      <c r="BF882" s="101"/>
      <c r="BG882" s="101"/>
      <c r="BH882" s="101"/>
      <c r="BI882" s="101"/>
      <c r="BJ882" s="101"/>
      <c r="BK882" s="101"/>
      <c r="BL882" s="101"/>
      <c r="BM882" s="101"/>
      <c r="BN882" s="101"/>
      <c r="BO882" s="101"/>
      <c r="BP882" s="101"/>
      <c r="BQ882" s="101"/>
      <c r="BR882" s="101"/>
      <c r="BS882" s="101"/>
      <c r="BT882" s="101"/>
      <c r="BU882" s="101"/>
      <c r="BV882" s="101"/>
      <c r="BW882" s="101"/>
      <c r="BX882" s="101"/>
      <c r="BY882" s="101"/>
      <c r="BZ882" s="101"/>
      <c r="CA882" s="101"/>
      <c r="CB882" s="101"/>
      <c r="CC882" s="101"/>
      <c r="CD882" s="101"/>
      <c r="CE882" s="101"/>
      <c r="CF882" s="101"/>
      <c r="CG882" s="101"/>
      <c r="CH882" s="101"/>
      <c r="CI882" s="101"/>
      <c r="CJ882" s="101"/>
      <c r="CK882" s="101"/>
      <c r="CL882" s="101"/>
      <c r="CM882" s="101"/>
      <c r="CN882" s="101"/>
      <c r="CO882" s="101"/>
      <c r="CP882" s="101"/>
      <c r="CQ882" s="101"/>
      <c r="CR882" s="101"/>
      <c r="CS882" s="101"/>
      <c r="CT882" s="101"/>
      <c r="CU882" s="101"/>
      <c r="CV882" s="101"/>
      <c r="CW882" s="101"/>
      <c r="CX882" s="101"/>
      <c r="CY882" s="101"/>
      <c r="CZ882" s="101"/>
      <c r="DA882" s="101"/>
      <c r="DB882" s="101"/>
      <c r="DC882" s="101"/>
      <c r="DD882" s="101"/>
      <c r="DE882" s="101"/>
      <c r="DF882" s="101"/>
    </row>
    <row r="883">
      <c r="A883" s="29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3"/>
      <c r="U883" s="103"/>
      <c r="V883" s="103"/>
      <c r="W883" s="104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  <c r="AL883" s="101"/>
      <c r="AM883" s="29"/>
      <c r="AN883" s="101"/>
      <c r="AO883" s="101"/>
      <c r="AP883" s="101"/>
      <c r="AQ883" s="101"/>
      <c r="AR883" s="101"/>
      <c r="AS883" s="101"/>
      <c r="AT883" s="101"/>
      <c r="AU883" s="101"/>
      <c r="AV883" s="101"/>
      <c r="AW883" s="101"/>
      <c r="AX883" s="101"/>
      <c r="AY883" s="101"/>
      <c r="AZ883" s="101"/>
      <c r="BA883" s="101"/>
      <c r="BB883" s="101"/>
      <c r="BC883" s="101"/>
      <c r="BD883" s="101"/>
      <c r="BE883" s="101"/>
      <c r="BF883" s="101"/>
      <c r="BG883" s="101"/>
      <c r="BH883" s="101"/>
      <c r="BI883" s="101"/>
      <c r="BJ883" s="101"/>
      <c r="BK883" s="101"/>
      <c r="BL883" s="101"/>
      <c r="BM883" s="101"/>
      <c r="BN883" s="101"/>
      <c r="BO883" s="101"/>
      <c r="BP883" s="101"/>
      <c r="BQ883" s="101"/>
      <c r="BR883" s="101"/>
      <c r="BS883" s="101"/>
      <c r="BT883" s="101"/>
      <c r="BU883" s="101"/>
      <c r="BV883" s="101"/>
      <c r="BW883" s="101"/>
      <c r="BX883" s="101"/>
      <c r="BY883" s="101"/>
      <c r="BZ883" s="101"/>
      <c r="CA883" s="101"/>
      <c r="CB883" s="101"/>
      <c r="CC883" s="101"/>
      <c r="CD883" s="101"/>
      <c r="CE883" s="101"/>
      <c r="CF883" s="101"/>
      <c r="CG883" s="101"/>
      <c r="CH883" s="101"/>
      <c r="CI883" s="101"/>
      <c r="CJ883" s="101"/>
      <c r="CK883" s="101"/>
      <c r="CL883" s="101"/>
      <c r="CM883" s="101"/>
      <c r="CN883" s="101"/>
      <c r="CO883" s="101"/>
      <c r="CP883" s="101"/>
      <c r="CQ883" s="101"/>
      <c r="CR883" s="101"/>
      <c r="CS883" s="101"/>
      <c r="CT883" s="101"/>
      <c r="CU883" s="101"/>
      <c r="CV883" s="101"/>
      <c r="CW883" s="101"/>
      <c r="CX883" s="101"/>
      <c r="CY883" s="101"/>
      <c r="CZ883" s="101"/>
      <c r="DA883" s="101"/>
      <c r="DB883" s="101"/>
      <c r="DC883" s="101"/>
      <c r="DD883" s="101"/>
      <c r="DE883" s="101"/>
      <c r="DF883" s="101"/>
    </row>
    <row r="884">
      <c r="A884" s="29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3"/>
      <c r="U884" s="103"/>
      <c r="V884" s="103"/>
      <c r="W884" s="104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  <c r="AL884" s="101"/>
      <c r="AM884" s="29"/>
      <c r="AN884" s="101"/>
      <c r="AO884" s="101"/>
      <c r="AP884" s="101"/>
      <c r="AQ884" s="101"/>
      <c r="AR884" s="101"/>
      <c r="AS884" s="101"/>
      <c r="AT884" s="101"/>
      <c r="AU884" s="101"/>
      <c r="AV884" s="101"/>
      <c r="AW884" s="101"/>
      <c r="AX884" s="101"/>
      <c r="AY884" s="101"/>
      <c r="AZ884" s="101"/>
      <c r="BA884" s="101"/>
      <c r="BB884" s="101"/>
      <c r="BC884" s="101"/>
      <c r="BD884" s="101"/>
      <c r="BE884" s="101"/>
      <c r="BF884" s="101"/>
      <c r="BG884" s="101"/>
      <c r="BH884" s="101"/>
      <c r="BI884" s="101"/>
      <c r="BJ884" s="101"/>
      <c r="BK884" s="101"/>
      <c r="BL884" s="101"/>
      <c r="BM884" s="101"/>
      <c r="BN884" s="101"/>
      <c r="BO884" s="101"/>
      <c r="BP884" s="101"/>
      <c r="BQ884" s="101"/>
      <c r="BR884" s="101"/>
      <c r="BS884" s="101"/>
      <c r="BT884" s="101"/>
      <c r="BU884" s="101"/>
      <c r="BV884" s="101"/>
      <c r="BW884" s="101"/>
      <c r="BX884" s="101"/>
      <c r="BY884" s="101"/>
      <c r="BZ884" s="101"/>
      <c r="CA884" s="101"/>
      <c r="CB884" s="101"/>
      <c r="CC884" s="101"/>
      <c r="CD884" s="101"/>
      <c r="CE884" s="101"/>
      <c r="CF884" s="101"/>
      <c r="CG884" s="101"/>
      <c r="CH884" s="101"/>
      <c r="CI884" s="101"/>
      <c r="CJ884" s="101"/>
      <c r="CK884" s="101"/>
      <c r="CL884" s="101"/>
      <c r="CM884" s="101"/>
      <c r="CN884" s="101"/>
      <c r="CO884" s="101"/>
      <c r="CP884" s="101"/>
      <c r="CQ884" s="101"/>
      <c r="CR884" s="101"/>
      <c r="CS884" s="101"/>
      <c r="CT884" s="101"/>
      <c r="CU884" s="101"/>
      <c r="CV884" s="101"/>
      <c r="CW884" s="101"/>
      <c r="CX884" s="101"/>
      <c r="CY884" s="101"/>
      <c r="CZ884" s="101"/>
      <c r="DA884" s="101"/>
      <c r="DB884" s="101"/>
      <c r="DC884" s="101"/>
      <c r="DD884" s="101"/>
      <c r="DE884" s="101"/>
      <c r="DF884" s="101"/>
    </row>
    <row r="885">
      <c r="A885" s="29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3"/>
      <c r="U885" s="103"/>
      <c r="V885" s="103"/>
      <c r="W885" s="104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  <c r="AL885" s="101"/>
      <c r="AM885" s="29"/>
      <c r="AN885" s="101"/>
      <c r="AO885" s="101"/>
      <c r="AP885" s="101"/>
      <c r="AQ885" s="101"/>
      <c r="AR885" s="101"/>
      <c r="AS885" s="101"/>
      <c r="AT885" s="101"/>
      <c r="AU885" s="101"/>
      <c r="AV885" s="101"/>
      <c r="AW885" s="101"/>
      <c r="AX885" s="101"/>
      <c r="AY885" s="101"/>
      <c r="AZ885" s="101"/>
      <c r="BA885" s="101"/>
      <c r="BB885" s="101"/>
      <c r="BC885" s="101"/>
      <c r="BD885" s="101"/>
      <c r="BE885" s="101"/>
      <c r="BF885" s="101"/>
      <c r="BG885" s="101"/>
      <c r="BH885" s="101"/>
      <c r="BI885" s="101"/>
      <c r="BJ885" s="101"/>
      <c r="BK885" s="101"/>
      <c r="BL885" s="101"/>
      <c r="BM885" s="101"/>
      <c r="BN885" s="101"/>
      <c r="BO885" s="101"/>
      <c r="BP885" s="101"/>
      <c r="BQ885" s="101"/>
      <c r="BR885" s="101"/>
      <c r="BS885" s="101"/>
      <c r="BT885" s="101"/>
      <c r="BU885" s="101"/>
      <c r="BV885" s="101"/>
      <c r="BW885" s="101"/>
      <c r="BX885" s="101"/>
      <c r="BY885" s="101"/>
      <c r="BZ885" s="101"/>
      <c r="CA885" s="101"/>
      <c r="CB885" s="101"/>
      <c r="CC885" s="101"/>
      <c r="CD885" s="101"/>
      <c r="CE885" s="101"/>
      <c r="CF885" s="101"/>
      <c r="CG885" s="101"/>
      <c r="CH885" s="101"/>
      <c r="CI885" s="101"/>
      <c r="CJ885" s="101"/>
      <c r="CK885" s="101"/>
      <c r="CL885" s="101"/>
      <c r="CM885" s="101"/>
      <c r="CN885" s="101"/>
      <c r="CO885" s="101"/>
      <c r="CP885" s="101"/>
      <c r="CQ885" s="101"/>
      <c r="CR885" s="101"/>
      <c r="CS885" s="101"/>
      <c r="CT885" s="101"/>
      <c r="CU885" s="101"/>
      <c r="CV885" s="101"/>
      <c r="CW885" s="101"/>
      <c r="CX885" s="101"/>
      <c r="CY885" s="101"/>
      <c r="CZ885" s="101"/>
      <c r="DA885" s="101"/>
      <c r="DB885" s="101"/>
      <c r="DC885" s="101"/>
      <c r="DD885" s="101"/>
      <c r="DE885" s="101"/>
      <c r="DF885" s="101"/>
    </row>
    <row r="886">
      <c r="A886" s="29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3"/>
      <c r="U886" s="103"/>
      <c r="V886" s="103"/>
      <c r="W886" s="104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  <c r="AL886" s="101"/>
      <c r="AM886" s="29"/>
      <c r="AN886" s="101"/>
      <c r="AO886" s="101"/>
      <c r="AP886" s="101"/>
      <c r="AQ886" s="101"/>
      <c r="AR886" s="101"/>
      <c r="AS886" s="101"/>
      <c r="AT886" s="101"/>
      <c r="AU886" s="101"/>
      <c r="AV886" s="101"/>
      <c r="AW886" s="101"/>
      <c r="AX886" s="101"/>
      <c r="AY886" s="101"/>
      <c r="AZ886" s="101"/>
      <c r="BA886" s="101"/>
      <c r="BB886" s="101"/>
      <c r="BC886" s="101"/>
      <c r="BD886" s="101"/>
      <c r="BE886" s="101"/>
      <c r="BF886" s="101"/>
      <c r="BG886" s="101"/>
      <c r="BH886" s="101"/>
      <c r="BI886" s="101"/>
      <c r="BJ886" s="101"/>
      <c r="BK886" s="101"/>
      <c r="BL886" s="101"/>
      <c r="BM886" s="101"/>
      <c r="BN886" s="101"/>
      <c r="BO886" s="101"/>
      <c r="BP886" s="101"/>
      <c r="BQ886" s="101"/>
      <c r="BR886" s="101"/>
      <c r="BS886" s="101"/>
      <c r="BT886" s="101"/>
      <c r="BU886" s="101"/>
      <c r="BV886" s="101"/>
      <c r="BW886" s="101"/>
      <c r="BX886" s="101"/>
      <c r="BY886" s="101"/>
      <c r="BZ886" s="101"/>
      <c r="CA886" s="101"/>
      <c r="CB886" s="101"/>
      <c r="CC886" s="101"/>
      <c r="CD886" s="101"/>
      <c r="CE886" s="101"/>
      <c r="CF886" s="101"/>
      <c r="CG886" s="101"/>
      <c r="CH886" s="101"/>
      <c r="CI886" s="101"/>
      <c r="CJ886" s="101"/>
      <c r="CK886" s="101"/>
      <c r="CL886" s="101"/>
      <c r="CM886" s="101"/>
      <c r="CN886" s="101"/>
      <c r="CO886" s="101"/>
      <c r="CP886" s="101"/>
      <c r="CQ886" s="101"/>
      <c r="CR886" s="101"/>
      <c r="CS886" s="101"/>
      <c r="CT886" s="101"/>
      <c r="CU886" s="101"/>
      <c r="CV886" s="101"/>
      <c r="CW886" s="101"/>
      <c r="CX886" s="101"/>
      <c r="CY886" s="101"/>
      <c r="CZ886" s="101"/>
      <c r="DA886" s="101"/>
      <c r="DB886" s="101"/>
      <c r="DC886" s="101"/>
      <c r="DD886" s="101"/>
      <c r="DE886" s="101"/>
      <c r="DF886" s="101"/>
    </row>
    <row r="887">
      <c r="A887" s="29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3"/>
      <c r="U887" s="103"/>
      <c r="V887" s="103"/>
      <c r="W887" s="104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  <c r="AL887" s="101"/>
      <c r="AM887" s="29"/>
      <c r="AN887" s="101"/>
      <c r="AO887" s="101"/>
      <c r="AP887" s="101"/>
      <c r="AQ887" s="101"/>
      <c r="AR887" s="101"/>
      <c r="AS887" s="101"/>
      <c r="AT887" s="101"/>
      <c r="AU887" s="101"/>
      <c r="AV887" s="101"/>
      <c r="AW887" s="101"/>
      <c r="AX887" s="101"/>
      <c r="AY887" s="101"/>
      <c r="AZ887" s="101"/>
      <c r="BA887" s="101"/>
      <c r="BB887" s="101"/>
      <c r="BC887" s="101"/>
      <c r="BD887" s="101"/>
      <c r="BE887" s="101"/>
      <c r="BF887" s="101"/>
      <c r="BG887" s="101"/>
      <c r="BH887" s="101"/>
      <c r="BI887" s="101"/>
      <c r="BJ887" s="101"/>
      <c r="BK887" s="101"/>
      <c r="BL887" s="101"/>
      <c r="BM887" s="101"/>
      <c r="BN887" s="101"/>
      <c r="BO887" s="101"/>
      <c r="BP887" s="101"/>
      <c r="BQ887" s="101"/>
      <c r="BR887" s="101"/>
      <c r="BS887" s="101"/>
      <c r="BT887" s="101"/>
      <c r="BU887" s="101"/>
      <c r="BV887" s="101"/>
      <c r="BW887" s="101"/>
      <c r="BX887" s="101"/>
      <c r="BY887" s="101"/>
      <c r="BZ887" s="101"/>
      <c r="CA887" s="101"/>
      <c r="CB887" s="101"/>
      <c r="CC887" s="101"/>
      <c r="CD887" s="101"/>
      <c r="CE887" s="101"/>
      <c r="CF887" s="101"/>
      <c r="CG887" s="101"/>
      <c r="CH887" s="101"/>
      <c r="CI887" s="101"/>
      <c r="CJ887" s="101"/>
      <c r="CK887" s="101"/>
      <c r="CL887" s="101"/>
      <c r="CM887" s="101"/>
      <c r="CN887" s="101"/>
      <c r="CO887" s="101"/>
      <c r="CP887" s="101"/>
      <c r="CQ887" s="101"/>
      <c r="CR887" s="101"/>
      <c r="CS887" s="101"/>
      <c r="CT887" s="101"/>
      <c r="CU887" s="101"/>
      <c r="CV887" s="101"/>
      <c r="CW887" s="101"/>
      <c r="CX887" s="101"/>
      <c r="CY887" s="101"/>
      <c r="CZ887" s="101"/>
      <c r="DA887" s="101"/>
      <c r="DB887" s="101"/>
      <c r="DC887" s="101"/>
      <c r="DD887" s="101"/>
      <c r="DE887" s="101"/>
      <c r="DF887" s="101"/>
    </row>
    <row r="888">
      <c r="A888" s="29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3"/>
      <c r="U888" s="103"/>
      <c r="V888" s="103"/>
      <c r="W888" s="104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  <c r="AL888" s="101"/>
      <c r="AM888" s="29"/>
      <c r="AN888" s="101"/>
      <c r="AO888" s="101"/>
      <c r="AP888" s="101"/>
      <c r="AQ888" s="101"/>
      <c r="AR888" s="101"/>
      <c r="AS888" s="101"/>
      <c r="AT888" s="101"/>
      <c r="AU888" s="101"/>
      <c r="AV888" s="101"/>
      <c r="AW888" s="101"/>
      <c r="AX888" s="101"/>
      <c r="AY888" s="101"/>
      <c r="AZ888" s="101"/>
      <c r="BA888" s="101"/>
      <c r="BB888" s="101"/>
      <c r="BC888" s="101"/>
      <c r="BD888" s="101"/>
      <c r="BE888" s="101"/>
      <c r="BF888" s="101"/>
      <c r="BG888" s="101"/>
      <c r="BH888" s="101"/>
      <c r="BI888" s="101"/>
      <c r="BJ888" s="101"/>
      <c r="BK888" s="101"/>
      <c r="BL888" s="101"/>
      <c r="BM888" s="101"/>
      <c r="BN888" s="101"/>
      <c r="BO888" s="101"/>
      <c r="BP888" s="101"/>
      <c r="BQ888" s="101"/>
      <c r="BR888" s="101"/>
      <c r="BS888" s="101"/>
      <c r="BT888" s="101"/>
      <c r="BU888" s="101"/>
      <c r="BV888" s="101"/>
      <c r="BW888" s="101"/>
      <c r="BX888" s="101"/>
      <c r="BY888" s="101"/>
      <c r="BZ888" s="101"/>
      <c r="CA888" s="101"/>
      <c r="CB888" s="101"/>
      <c r="CC888" s="101"/>
      <c r="CD888" s="101"/>
      <c r="CE888" s="101"/>
      <c r="CF888" s="101"/>
      <c r="CG888" s="101"/>
      <c r="CH888" s="101"/>
      <c r="CI888" s="101"/>
      <c r="CJ888" s="101"/>
      <c r="CK888" s="101"/>
      <c r="CL888" s="101"/>
      <c r="CM888" s="101"/>
      <c r="CN888" s="101"/>
      <c r="CO888" s="101"/>
      <c r="CP888" s="101"/>
      <c r="CQ888" s="101"/>
      <c r="CR888" s="101"/>
      <c r="CS888" s="101"/>
      <c r="CT888" s="101"/>
      <c r="CU888" s="101"/>
      <c r="CV888" s="101"/>
      <c r="CW888" s="101"/>
      <c r="CX888" s="101"/>
      <c r="CY888" s="101"/>
      <c r="CZ888" s="101"/>
      <c r="DA888" s="101"/>
      <c r="DB888" s="101"/>
      <c r="DC888" s="101"/>
      <c r="DD888" s="101"/>
      <c r="DE888" s="101"/>
      <c r="DF888" s="101"/>
    </row>
    <row r="889">
      <c r="A889" s="29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3"/>
      <c r="U889" s="103"/>
      <c r="V889" s="103"/>
      <c r="W889" s="104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  <c r="AL889" s="101"/>
      <c r="AM889" s="29"/>
      <c r="AN889" s="101"/>
      <c r="AO889" s="101"/>
      <c r="AP889" s="101"/>
      <c r="AQ889" s="101"/>
      <c r="AR889" s="101"/>
      <c r="AS889" s="101"/>
      <c r="AT889" s="101"/>
      <c r="AU889" s="101"/>
      <c r="AV889" s="101"/>
      <c r="AW889" s="101"/>
      <c r="AX889" s="101"/>
      <c r="AY889" s="101"/>
      <c r="AZ889" s="101"/>
      <c r="BA889" s="101"/>
      <c r="BB889" s="101"/>
      <c r="BC889" s="101"/>
      <c r="BD889" s="101"/>
      <c r="BE889" s="101"/>
      <c r="BF889" s="101"/>
      <c r="BG889" s="101"/>
      <c r="BH889" s="101"/>
      <c r="BI889" s="101"/>
      <c r="BJ889" s="101"/>
      <c r="BK889" s="101"/>
      <c r="BL889" s="101"/>
      <c r="BM889" s="101"/>
      <c r="BN889" s="101"/>
      <c r="BO889" s="101"/>
      <c r="BP889" s="101"/>
      <c r="BQ889" s="101"/>
      <c r="BR889" s="101"/>
      <c r="BS889" s="101"/>
      <c r="BT889" s="101"/>
      <c r="BU889" s="101"/>
      <c r="BV889" s="101"/>
      <c r="BW889" s="101"/>
      <c r="BX889" s="101"/>
      <c r="BY889" s="101"/>
      <c r="BZ889" s="101"/>
      <c r="CA889" s="101"/>
      <c r="CB889" s="101"/>
      <c r="CC889" s="101"/>
      <c r="CD889" s="101"/>
      <c r="CE889" s="101"/>
      <c r="CF889" s="101"/>
      <c r="CG889" s="101"/>
      <c r="CH889" s="101"/>
      <c r="CI889" s="101"/>
      <c r="CJ889" s="101"/>
      <c r="CK889" s="101"/>
      <c r="CL889" s="101"/>
      <c r="CM889" s="101"/>
      <c r="CN889" s="101"/>
      <c r="CO889" s="101"/>
      <c r="CP889" s="101"/>
      <c r="CQ889" s="101"/>
      <c r="CR889" s="101"/>
      <c r="CS889" s="101"/>
      <c r="CT889" s="101"/>
      <c r="CU889" s="101"/>
      <c r="CV889" s="101"/>
      <c r="CW889" s="101"/>
      <c r="CX889" s="101"/>
      <c r="CY889" s="101"/>
      <c r="CZ889" s="101"/>
      <c r="DA889" s="101"/>
      <c r="DB889" s="101"/>
      <c r="DC889" s="101"/>
      <c r="DD889" s="101"/>
      <c r="DE889" s="101"/>
      <c r="DF889" s="101"/>
    </row>
    <row r="890">
      <c r="A890" s="29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3"/>
      <c r="U890" s="103"/>
      <c r="V890" s="103"/>
      <c r="W890" s="104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  <c r="AL890" s="101"/>
      <c r="AM890" s="29"/>
      <c r="AN890" s="101"/>
      <c r="AO890" s="101"/>
      <c r="AP890" s="101"/>
      <c r="AQ890" s="101"/>
      <c r="AR890" s="101"/>
      <c r="AS890" s="101"/>
      <c r="AT890" s="101"/>
      <c r="AU890" s="101"/>
      <c r="AV890" s="101"/>
      <c r="AW890" s="101"/>
      <c r="AX890" s="101"/>
      <c r="AY890" s="101"/>
      <c r="AZ890" s="101"/>
      <c r="BA890" s="101"/>
      <c r="BB890" s="101"/>
      <c r="BC890" s="101"/>
      <c r="BD890" s="101"/>
      <c r="BE890" s="101"/>
      <c r="BF890" s="101"/>
      <c r="BG890" s="101"/>
      <c r="BH890" s="101"/>
      <c r="BI890" s="101"/>
      <c r="BJ890" s="101"/>
      <c r="BK890" s="101"/>
      <c r="BL890" s="101"/>
      <c r="BM890" s="101"/>
      <c r="BN890" s="101"/>
      <c r="BO890" s="101"/>
      <c r="BP890" s="101"/>
      <c r="BQ890" s="101"/>
      <c r="BR890" s="101"/>
      <c r="BS890" s="101"/>
      <c r="BT890" s="101"/>
      <c r="BU890" s="101"/>
      <c r="BV890" s="101"/>
      <c r="BW890" s="101"/>
      <c r="BX890" s="101"/>
      <c r="BY890" s="101"/>
      <c r="BZ890" s="101"/>
      <c r="CA890" s="101"/>
      <c r="CB890" s="101"/>
      <c r="CC890" s="101"/>
      <c r="CD890" s="101"/>
      <c r="CE890" s="101"/>
      <c r="CF890" s="101"/>
      <c r="CG890" s="101"/>
      <c r="CH890" s="101"/>
      <c r="CI890" s="101"/>
      <c r="CJ890" s="101"/>
      <c r="CK890" s="101"/>
      <c r="CL890" s="101"/>
      <c r="CM890" s="101"/>
      <c r="CN890" s="101"/>
      <c r="CO890" s="101"/>
      <c r="CP890" s="101"/>
      <c r="CQ890" s="101"/>
      <c r="CR890" s="101"/>
      <c r="CS890" s="101"/>
      <c r="CT890" s="101"/>
      <c r="CU890" s="101"/>
      <c r="CV890" s="101"/>
      <c r="CW890" s="101"/>
      <c r="CX890" s="101"/>
      <c r="CY890" s="101"/>
      <c r="CZ890" s="101"/>
      <c r="DA890" s="101"/>
      <c r="DB890" s="101"/>
      <c r="DC890" s="101"/>
      <c r="DD890" s="101"/>
      <c r="DE890" s="101"/>
      <c r="DF890" s="101"/>
    </row>
    <row r="891">
      <c r="A891" s="29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3"/>
      <c r="U891" s="103"/>
      <c r="V891" s="103"/>
      <c r="W891" s="104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  <c r="AL891" s="101"/>
      <c r="AM891" s="29"/>
      <c r="AN891" s="101"/>
      <c r="AO891" s="101"/>
      <c r="AP891" s="101"/>
      <c r="AQ891" s="101"/>
      <c r="AR891" s="101"/>
      <c r="AS891" s="101"/>
      <c r="AT891" s="101"/>
      <c r="AU891" s="101"/>
      <c r="AV891" s="101"/>
      <c r="AW891" s="101"/>
      <c r="AX891" s="101"/>
      <c r="AY891" s="101"/>
      <c r="AZ891" s="101"/>
      <c r="BA891" s="101"/>
      <c r="BB891" s="101"/>
      <c r="BC891" s="101"/>
      <c r="BD891" s="101"/>
      <c r="BE891" s="101"/>
      <c r="BF891" s="101"/>
      <c r="BG891" s="101"/>
      <c r="BH891" s="101"/>
      <c r="BI891" s="101"/>
      <c r="BJ891" s="101"/>
      <c r="BK891" s="101"/>
      <c r="BL891" s="101"/>
      <c r="BM891" s="101"/>
      <c r="BN891" s="101"/>
      <c r="BO891" s="101"/>
      <c r="BP891" s="101"/>
      <c r="BQ891" s="101"/>
      <c r="BR891" s="101"/>
      <c r="BS891" s="101"/>
      <c r="BT891" s="101"/>
      <c r="BU891" s="101"/>
      <c r="BV891" s="101"/>
      <c r="BW891" s="101"/>
      <c r="BX891" s="101"/>
      <c r="BY891" s="101"/>
      <c r="BZ891" s="101"/>
      <c r="CA891" s="101"/>
      <c r="CB891" s="101"/>
      <c r="CC891" s="101"/>
      <c r="CD891" s="101"/>
      <c r="CE891" s="101"/>
      <c r="CF891" s="101"/>
      <c r="CG891" s="101"/>
      <c r="CH891" s="101"/>
      <c r="CI891" s="101"/>
      <c r="CJ891" s="101"/>
      <c r="CK891" s="101"/>
      <c r="CL891" s="101"/>
      <c r="CM891" s="101"/>
      <c r="CN891" s="101"/>
      <c r="CO891" s="101"/>
      <c r="CP891" s="101"/>
      <c r="CQ891" s="101"/>
      <c r="CR891" s="101"/>
      <c r="CS891" s="101"/>
      <c r="CT891" s="101"/>
      <c r="CU891" s="101"/>
      <c r="CV891" s="101"/>
      <c r="CW891" s="101"/>
      <c r="CX891" s="101"/>
      <c r="CY891" s="101"/>
      <c r="CZ891" s="101"/>
      <c r="DA891" s="101"/>
      <c r="DB891" s="101"/>
      <c r="DC891" s="101"/>
      <c r="DD891" s="101"/>
      <c r="DE891" s="101"/>
      <c r="DF891" s="101"/>
    </row>
    <row r="892">
      <c r="A892" s="29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3"/>
      <c r="U892" s="103"/>
      <c r="V892" s="103"/>
      <c r="W892" s="104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  <c r="AL892" s="101"/>
      <c r="AM892" s="29"/>
      <c r="AN892" s="101"/>
      <c r="AO892" s="101"/>
      <c r="AP892" s="101"/>
      <c r="AQ892" s="101"/>
      <c r="AR892" s="101"/>
      <c r="AS892" s="101"/>
      <c r="AT892" s="101"/>
      <c r="AU892" s="101"/>
      <c r="AV892" s="101"/>
      <c r="AW892" s="101"/>
      <c r="AX892" s="101"/>
      <c r="AY892" s="101"/>
      <c r="AZ892" s="101"/>
      <c r="BA892" s="101"/>
      <c r="BB892" s="101"/>
      <c r="BC892" s="101"/>
      <c r="BD892" s="101"/>
      <c r="BE892" s="101"/>
      <c r="BF892" s="101"/>
      <c r="BG892" s="101"/>
      <c r="BH892" s="101"/>
      <c r="BI892" s="101"/>
      <c r="BJ892" s="101"/>
      <c r="BK892" s="101"/>
      <c r="BL892" s="101"/>
      <c r="BM892" s="101"/>
      <c r="BN892" s="101"/>
      <c r="BO892" s="101"/>
      <c r="BP892" s="101"/>
      <c r="BQ892" s="101"/>
      <c r="BR892" s="101"/>
      <c r="BS892" s="101"/>
      <c r="BT892" s="101"/>
      <c r="BU892" s="101"/>
      <c r="BV892" s="101"/>
      <c r="BW892" s="101"/>
      <c r="BX892" s="101"/>
      <c r="BY892" s="101"/>
      <c r="BZ892" s="101"/>
      <c r="CA892" s="101"/>
      <c r="CB892" s="101"/>
      <c r="CC892" s="101"/>
      <c r="CD892" s="101"/>
      <c r="CE892" s="101"/>
      <c r="CF892" s="101"/>
      <c r="CG892" s="101"/>
      <c r="CH892" s="101"/>
      <c r="CI892" s="101"/>
      <c r="CJ892" s="101"/>
      <c r="CK892" s="101"/>
      <c r="CL892" s="101"/>
      <c r="CM892" s="101"/>
      <c r="CN892" s="101"/>
      <c r="CO892" s="101"/>
      <c r="CP892" s="101"/>
      <c r="CQ892" s="101"/>
      <c r="CR892" s="101"/>
      <c r="CS892" s="101"/>
      <c r="CT892" s="101"/>
      <c r="CU892" s="101"/>
      <c r="CV892" s="101"/>
      <c r="CW892" s="101"/>
      <c r="CX892" s="101"/>
      <c r="CY892" s="101"/>
      <c r="CZ892" s="101"/>
      <c r="DA892" s="101"/>
      <c r="DB892" s="101"/>
      <c r="DC892" s="101"/>
      <c r="DD892" s="101"/>
      <c r="DE892" s="101"/>
      <c r="DF892" s="101"/>
    </row>
    <row r="893">
      <c r="A893" s="29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3"/>
      <c r="U893" s="103"/>
      <c r="V893" s="103"/>
      <c r="W893" s="104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  <c r="AL893" s="101"/>
      <c r="AM893" s="29"/>
      <c r="AN893" s="101"/>
      <c r="AO893" s="101"/>
      <c r="AP893" s="101"/>
      <c r="AQ893" s="101"/>
      <c r="AR893" s="101"/>
      <c r="AS893" s="101"/>
      <c r="AT893" s="101"/>
      <c r="AU893" s="101"/>
      <c r="AV893" s="101"/>
      <c r="AW893" s="101"/>
      <c r="AX893" s="101"/>
      <c r="AY893" s="101"/>
      <c r="AZ893" s="101"/>
      <c r="BA893" s="101"/>
      <c r="BB893" s="101"/>
      <c r="BC893" s="101"/>
      <c r="BD893" s="101"/>
      <c r="BE893" s="101"/>
      <c r="BF893" s="101"/>
      <c r="BG893" s="101"/>
      <c r="BH893" s="101"/>
      <c r="BI893" s="101"/>
      <c r="BJ893" s="101"/>
      <c r="BK893" s="101"/>
      <c r="BL893" s="101"/>
      <c r="BM893" s="101"/>
      <c r="BN893" s="101"/>
      <c r="BO893" s="101"/>
      <c r="BP893" s="101"/>
      <c r="BQ893" s="101"/>
      <c r="BR893" s="101"/>
      <c r="BS893" s="101"/>
      <c r="BT893" s="101"/>
      <c r="BU893" s="101"/>
      <c r="BV893" s="101"/>
      <c r="BW893" s="101"/>
      <c r="BX893" s="101"/>
      <c r="BY893" s="101"/>
      <c r="BZ893" s="101"/>
      <c r="CA893" s="101"/>
      <c r="CB893" s="101"/>
      <c r="CC893" s="101"/>
      <c r="CD893" s="101"/>
      <c r="CE893" s="101"/>
      <c r="CF893" s="101"/>
      <c r="CG893" s="101"/>
      <c r="CH893" s="101"/>
      <c r="CI893" s="101"/>
      <c r="CJ893" s="101"/>
      <c r="CK893" s="101"/>
      <c r="CL893" s="101"/>
      <c r="CM893" s="101"/>
      <c r="CN893" s="101"/>
      <c r="CO893" s="101"/>
      <c r="CP893" s="101"/>
      <c r="CQ893" s="101"/>
      <c r="CR893" s="101"/>
      <c r="CS893" s="101"/>
      <c r="CT893" s="101"/>
      <c r="CU893" s="101"/>
      <c r="CV893" s="101"/>
      <c r="CW893" s="101"/>
      <c r="CX893" s="101"/>
      <c r="CY893" s="101"/>
      <c r="CZ893" s="101"/>
      <c r="DA893" s="101"/>
      <c r="DB893" s="101"/>
      <c r="DC893" s="101"/>
      <c r="DD893" s="101"/>
      <c r="DE893" s="101"/>
      <c r="DF893" s="101"/>
    </row>
    <row r="894">
      <c r="A894" s="29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3"/>
      <c r="U894" s="103"/>
      <c r="V894" s="103"/>
      <c r="W894" s="104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  <c r="AL894" s="101"/>
      <c r="AM894" s="29"/>
      <c r="AN894" s="101"/>
      <c r="AO894" s="101"/>
      <c r="AP894" s="101"/>
      <c r="AQ894" s="101"/>
      <c r="AR894" s="101"/>
      <c r="AS894" s="101"/>
      <c r="AT894" s="101"/>
      <c r="AU894" s="101"/>
      <c r="AV894" s="101"/>
      <c r="AW894" s="101"/>
      <c r="AX894" s="101"/>
      <c r="AY894" s="101"/>
      <c r="AZ894" s="101"/>
      <c r="BA894" s="101"/>
      <c r="BB894" s="101"/>
      <c r="BC894" s="101"/>
      <c r="BD894" s="101"/>
      <c r="BE894" s="101"/>
      <c r="BF894" s="101"/>
      <c r="BG894" s="101"/>
      <c r="BH894" s="101"/>
      <c r="BI894" s="101"/>
      <c r="BJ894" s="101"/>
      <c r="BK894" s="101"/>
      <c r="BL894" s="101"/>
      <c r="BM894" s="101"/>
      <c r="BN894" s="101"/>
      <c r="BO894" s="101"/>
      <c r="BP894" s="101"/>
      <c r="BQ894" s="101"/>
      <c r="BR894" s="101"/>
      <c r="BS894" s="101"/>
      <c r="BT894" s="101"/>
      <c r="BU894" s="101"/>
      <c r="BV894" s="101"/>
      <c r="BW894" s="101"/>
      <c r="BX894" s="101"/>
      <c r="BY894" s="101"/>
      <c r="BZ894" s="101"/>
      <c r="CA894" s="101"/>
      <c r="CB894" s="101"/>
      <c r="CC894" s="101"/>
      <c r="CD894" s="101"/>
      <c r="CE894" s="101"/>
      <c r="CF894" s="101"/>
      <c r="CG894" s="101"/>
      <c r="CH894" s="101"/>
      <c r="CI894" s="101"/>
      <c r="CJ894" s="101"/>
      <c r="CK894" s="101"/>
      <c r="CL894" s="101"/>
      <c r="CM894" s="101"/>
      <c r="CN894" s="101"/>
      <c r="CO894" s="101"/>
      <c r="CP894" s="101"/>
      <c r="CQ894" s="101"/>
      <c r="CR894" s="101"/>
      <c r="CS894" s="101"/>
      <c r="CT894" s="101"/>
      <c r="CU894" s="101"/>
      <c r="CV894" s="101"/>
      <c r="CW894" s="101"/>
      <c r="CX894" s="101"/>
      <c r="CY894" s="101"/>
      <c r="CZ894" s="101"/>
      <c r="DA894" s="101"/>
      <c r="DB894" s="101"/>
      <c r="DC894" s="101"/>
      <c r="DD894" s="101"/>
      <c r="DE894" s="101"/>
      <c r="DF894" s="101"/>
    </row>
    <row r="895">
      <c r="A895" s="29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3"/>
      <c r="U895" s="103"/>
      <c r="V895" s="103"/>
      <c r="W895" s="104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  <c r="AL895" s="101"/>
      <c r="AM895" s="29"/>
      <c r="AN895" s="101"/>
      <c r="AO895" s="101"/>
      <c r="AP895" s="101"/>
      <c r="AQ895" s="101"/>
      <c r="AR895" s="101"/>
      <c r="AS895" s="101"/>
      <c r="AT895" s="101"/>
      <c r="AU895" s="101"/>
      <c r="AV895" s="101"/>
      <c r="AW895" s="101"/>
      <c r="AX895" s="101"/>
      <c r="AY895" s="101"/>
      <c r="AZ895" s="101"/>
      <c r="BA895" s="101"/>
      <c r="BB895" s="101"/>
      <c r="BC895" s="101"/>
      <c r="BD895" s="101"/>
      <c r="BE895" s="101"/>
      <c r="BF895" s="101"/>
      <c r="BG895" s="101"/>
      <c r="BH895" s="101"/>
      <c r="BI895" s="101"/>
      <c r="BJ895" s="101"/>
      <c r="BK895" s="101"/>
      <c r="BL895" s="101"/>
      <c r="BM895" s="101"/>
      <c r="BN895" s="101"/>
      <c r="BO895" s="101"/>
      <c r="BP895" s="101"/>
      <c r="BQ895" s="101"/>
      <c r="BR895" s="101"/>
      <c r="BS895" s="101"/>
      <c r="BT895" s="101"/>
      <c r="BU895" s="101"/>
      <c r="BV895" s="101"/>
      <c r="BW895" s="101"/>
      <c r="BX895" s="101"/>
      <c r="BY895" s="101"/>
      <c r="BZ895" s="101"/>
      <c r="CA895" s="101"/>
      <c r="CB895" s="101"/>
      <c r="CC895" s="101"/>
      <c r="CD895" s="101"/>
      <c r="CE895" s="101"/>
      <c r="CF895" s="101"/>
      <c r="CG895" s="101"/>
      <c r="CH895" s="101"/>
      <c r="CI895" s="101"/>
      <c r="CJ895" s="101"/>
      <c r="CK895" s="101"/>
      <c r="CL895" s="101"/>
      <c r="CM895" s="101"/>
      <c r="CN895" s="101"/>
      <c r="CO895" s="101"/>
      <c r="CP895" s="101"/>
      <c r="CQ895" s="101"/>
      <c r="CR895" s="101"/>
      <c r="CS895" s="101"/>
      <c r="CT895" s="101"/>
      <c r="CU895" s="101"/>
      <c r="CV895" s="101"/>
      <c r="CW895" s="101"/>
      <c r="CX895" s="101"/>
      <c r="CY895" s="101"/>
      <c r="CZ895" s="101"/>
      <c r="DA895" s="101"/>
      <c r="DB895" s="101"/>
      <c r="DC895" s="101"/>
      <c r="DD895" s="101"/>
      <c r="DE895" s="101"/>
      <c r="DF895" s="101"/>
    </row>
    <row r="896">
      <c r="A896" s="29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3"/>
      <c r="U896" s="103"/>
      <c r="V896" s="103"/>
      <c r="W896" s="104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  <c r="AL896" s="101"/>
      <c r="AM896" s="29"/>
      <c r="AN896" s="101"/>
      <c r="AO896" s="101"/>
      <c r="AP896" s="101"/>
      <c r="AQ896" s="101"/>
      <c r="AR896" s="101"/>
      <c r="AS896" s="101"/>
      <c r="AT896" s="101"/>
      <c r="AU896" s="101"/>
      <c r="AV896" s="101"/>
      <c r="AW896" s="101"/>
      <c r="AX896" s="101"/>
      <c r="AY896" s="101"/>
      <c r="AZ896" s="101"/>
      <c r="BA896" s="101"/>
      <c r="BB896" s="101"/>
      <c r="BC896" s="101"/>
      <c r="BD896" s="101"/>
      <c r="BE896" s="101"/>
      <c r="BF896" s="101"/>
      <c r="BG896" s="101"/>
      <c r="BH896" s="101"/>
      <c r="BI896" s="101"/>
      <c r="BJ896" s="101"/>
      <c r="BK896" s="101"/>
      <c r="BL896" s="101"/>
      <c r="BM896" s="101"/>
      <c r="BN896" s="101"/>
      <c r="BO896" s="101"/>
      <c r="BP896" s="101"/>
      <c r="BQ896" s="101"/>
      <c r="BR896" s="101"/>
      <c r="BS896" s="101"/>
      <c r="BT896" s="101"/>
      <c r="BU896" s="101"/>
      <c r="BV896" s="101"/>
      <c r="BW896" s="101"/>
      <c r="BX896" s="101"/>
      <c r="BY896" s="101"/>
      <c r="BZ896" s="101"/>
      <c r="CA896" s="101"/>
      <c r="CB896" s="101"/>
      <c r="CC896" s="101"/>
      <c r="CD896" s="101"/>
      <c r="CE896" s="101"/>
      <c r="CF896" s="101"/>
      <c r="CG896" s="101"/>
      <c r="CH896" s="101"/>
      <c r="CI896" s="101"/>
      <c r="CJ896" s="101"/>
      <c r="CK896" s="101"/>
      <c r="CL896" s="101"/>
      <c r="CM896" s="101"/>
      <c r="CN896" s="101"/>
      <c r="CO896" s="101"/>
      <c r="CP896" s="101"/>
      <c r="CQ896" s="101"/>
      <c r="CR896" s="101"/>
      <c r="CS896" s="101"/>
      <c r="CT896" s="101"/>
      <c r="CU896" s="101"/>
      <c r="CV896" s="101"/>
      <c r="CW896" s="101"/>
      <c r="CX896" s="101"/>
      <c r="CY896" s="101"/>
      <c r="CZ896" s="101"/>
      <c r="DA896" s="101"/>
      <c r="DB896" s="101"/>
      <c r="DC896" s="101"/>
      <c r="DD896" s="101"/>
      <c r="DE896" s="101"/>
      <c r="DF896" s="101"/>
    </row>
    <row r="897">
      <c r="A897" s="29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3"/>
      <c r="U897" s="103"/>
      <c r="V897" s="103"/>
      <c r="W897" s="104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  <c r="AL897" s="101"/>
      <c r="AM897" s="29"/>
      <c r="AN897" s="101"/>
      <c r="AO897" s="101"/>
      <c r="AP897" s="101"/>
      <c r="AQ897" s="101"/>
      <c r="AR897" s="101"/>
      <c r="AS897" s="101"/>
      <c r="AT897" s="101"/>
      <c r="AU897" s="101"/>
      <c r="AV897" s="101"/>
      <c r="AW897" s="101"/>
      <c r="AX897" s="101"/>
      <c r="AY897" s="101"/>
      <c r="AZ897" s="101"/>
      <c r="BA897" s="101"/>
      <c r="BB897" s="101"/>
      <c r="BC897" s="101"/>
      <c r="BD897" s="101"/>
      <c r="BE897" s="101"/>
      <c r="BF897" s="101"/>
      <c r="BG897" s="101"/>
      <c r="BH897" s="101"/>
      <c r="BI897" s="101"/>
      <c r="BJ897" s="101"/>
      <c r="BK897" s="101"/>
      <c r="BL897" s="101"/>
      <c r="BM897" s="101"/>
      <c r="BN897" s="101"/>
      <c r="BO897" s="101"/>
      <c r="BP897" s="101"/>
      <c r="BQ897" s="101"/>
      <c r="BR897" s="101"/>
      <c r="BS897" s="101"/>
      <c r="BT897" s="101"/>
      <c r="BU897" s="101"/>
      <c r="BV897" s="101"/>
      <c r="BW897" s="101"/>
      <c r="BX897" s="101"/>
      <c r="BY897" s="101"/>
      <c r="BZ897" s="101"/>
      <c r="CA897" s="101"/>
      <c r="CB897" s="101"/>
      <c r="CC897" s="101"/>
      <c r="CD897" s="101"/>
      <c r="CE897" s="101"/>
      <c r="CF897" s="101"/>
      <c r="CG897" s="101"/>
      <c r="CH897" s="101"/>
      <c r="CI897" s="101"/>
      <c r="CJ897" s="101"/>
      <c r="CK897" s="101"/>
      <c r="CL897" s="101"/>
      <c r="CM897" s="101"/>
      <c r="CN897" s="101"/>
      <c r="CO897" s="101"/>
      <c r="CP897" s="101"/>
      <c r="CQ897" s="101"/>
      <c r="CR897" s="101"/>
      <c r="CS897" s="101"/>
      <c r="CT897" s="101"/>
      <c r="CU897" s="101"/>
      <c r="CV897" s="101"/>
      <c r="CW897" s="101"/>
      <c r="CX897" s="101"/>
      <c r="CY897" s="101"/>
      <c r="CZ897" s="101"/>
      <c r="DA897" s="101"/>
      <c r="DB897" s="101"/>
      <c r="DC897" s="101"/>
      <c r="DD897" s="101"/>
      <c r="DE897" s="101"/>
      <c r="DF897" s="101"/>
    </row>
    <row r="898">
      <c r="A898" s="29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3"/>
      <c r="U898" s="103"/>
      <c r="V898" s="103"/>
      <c r="W898" s="104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  <c r="AL898" s="101"/>
      <c r="AM898" s="29"/>
      <c r="AN898" s="101"/>
      <c r="AO898" s="101"/>
      <c r="AP898" s="101"/>
      <c r="AQ898" s="101"/>
      <c r="AR898" s="101"/>
      <c r="AS898" s="101"/>
      <c r="AT898" s="101"/>
      <c r="AU898" s="101"/>
      <c r="AV898" s="101"/>
      <c r="AW898" s="101"/>
      <c r="AX898" s="101"/>
      <c r="AY898" s="101"/>
      <c r="AZ898" s="101"/>
      <c r="BA898" s="101"/>
      <c r="BB898" s="101"/>
      <c r="BC898" s="101"/>
      <c r="BD898" s="101"/>
      <c r="BE898" s="101"/>
      <c r="BF898" s="101"/>
      <c r="BG898" s="101"/>
      <c r="BH898" s="101"/>
      <c r="BI898" s="101"/>
      <c r="BJ898" s="101"/>
      <c r="BK898" s="101"/>
      <c r="BL898" s="101"/>
      <c r="BM898" s="101"/>
      <c r="BN898" s="101"/>
      <c r="BO898" s="101"/>
      <c r="BP898" s="101"/>
      <c r="BQ898" s="101"/>
      <c r="BR898" s="101"/>
      <c r="BS898" s="101"/>
      <c r="BT898" s="101"/>
      <c r="BU898" s="101"/>
      <c r="BV898" s="101"/>
      <c r="BW898" s="101"/>
      <c r="BX898" s="101"/>
      <c r="BY898" s="101"/>
      <c r="BZ898" s="101"/>
      <c r="CA898" s="101"/>
      <c r="CB898" s="101"/>
      <c r="CC898" s="101"/>
      <c r="CD898" s="101"/>
      <c r="CE898" s="101"/>
      <c r="CF898" s="101"/>
      <c r="CG898" s="101"/>
      <c r="CH898" s="101"/>
      <c r="CI898" s="101"/>
      <c r="CJ898" s="101"/>
      <c r="CK898" s="101"/>
      <c r="CL898" s="101"/>
      <c r="CM898" s="101"/>
      <c r="CN898" s="101"/>
      <c r="CO898" s="101"/>
      <c r="CP898" s="101"/>
      <c r="CQ898" s="101"/>
      <c r="CR898" s="101"/>
      <c r="CS898" s="101"/>
      <c r="CT898" s="101"/>
      <c r="CU898" s="101"/>
      <c r="CV898" s="101"/>
      <c r="CW898" s="101"/>
      <c r="CX898" s="101"/>
      <c r="CY898" s="101"/>
      <c r="CZ898" s="101"/>
      <c r="DA898" s="101"/>
      <c r="DB898" s="101"/>
      <c r="DC898" s="101"/>
      <c r="DD898" s="101"/>
      <c r="DE898" s="101"/>
      <c r="DF898" s="101"/>
    </row>
    <row r="899">
      <c r="A899" s="29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3"/>
      <c r="U899" s="103"/>
      <c r="V899" s="103"/>
      <c r="W899" s="104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  <c r="AL899" s="101"/>
      <c r="AM899" s="29"/>
      <c r="AN899" s="101"/>
      <c r="AO899" s="101"/>
      <c r="AP899" s="101"/>
      <c r="AQ899" s="101"/>
      <c r="AR899" s="101"/>
      <c r="AS899" s="101"/>
      <c r="AT899" s="101"/>
      <c r="AU899" s="101"/>
      <c r="AV899" s="101"/>
      <c r="AW899" s="101"/>
      <c r="AX899" s="101"/>
      <c r="AY899" s="101"/>
      <c r="AZ899" s="101"/>
      <c r="BA899" s="101"/>
      <c r="BB899" s="101"/>
      <c r="BC899" s="101"/>
      <c r="BD899" s="101"/>
      <c r="BE899" s="101"/>
      <c r="BF899" s="101"/>
      <c r="BG899" s="101"/>
      <c r="BH899" s="101"/>
      <c r="BI899" s="101"/>
      <c r="BJ899" s="101"/>
      <c r="BK899" s="101"/>
      <c r="BL899" s="101"/>
      <c r="BM899" s="101"/>
      <c r="BN899" s="101"/>
      <c r="BO899" s="101"/>
      <c r="BP899" s="101"/>
      <c r="BQ899" s="101"/>
      <c r="BR899" s="101"/>
      <c r="BS899" s="101"/>
      <c r="BT899" s="101"/>
      <c r="BU899" s="101"/>
      <c r="BV899" s="101"/>
      <c r="BW899" s="101"/>
      <c r="BX899" s="101"/>
      <c r="BY899" s="101"/>
      <c r="BZ899" s="101"/>
      <c r="CA899" s="101"/>
      <c r="CB899" s="101"/>
      <c r="CC899" s="101"/>
      <c r="CD899" s="101"/>
      <c r="CE899" s="101"/>
      <c r="CF899" s="101"/>
      <c r="CG899" s="101"/>
      <c r="CH899" s="101"/>
      <c r="CI899" s="101"/>
      <c r="CJ899" s="101"/>
      <c r="CK899" s="101"/>
      <c r="CL899" s="101"/>
      <c r="CM899" s="101"/>
      <c r="CN899" s="101"/>
      <c r="CO899" s="101"/>
      <c r="CP899" s="101"/>
      <c r="CQ899" s="101"/>
      <c r="CR899" s="101"/>
      <c r="CS899" s="101"/>
      <c r="CT899" s="101"/>
      <c r="CU899" s="101"/>
      <c r="CV899" s="101"/>
      <c r="CW899" s="101"/>
      <c r="CX899" s="101"/>
      <c r="CY899" s="101"/>
      <c r="CZ899" s="101"/>
      <c r="DA899" s="101"/>
      <c r="DB899" s="101"/>
      <c r="DC899" s="101"/>
      <c r="DD899" s="101"/>
      <c r="DE899" s="101"/>
      <c r="DF899" s="101"/>
    </row>
    <row r="900">
      <c r="A900" s="29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3"/>
      <c r="U900" s="103"/>
      <c r="V900" s="103"/>
      <c r="W900" s="104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  <c r="AL900" s="101"/>
      <c r="AM900" s="29"/>
      <c r="AN900" s="101"/>
      <c r="AO900" s="101"/>
      <c r="AP900" s="101"/>
      <c r="AQ900" s="101"/>
      <c r="AR900" s="101"/>
      <c r="AS900" s="101"/>
      <c r="AT900" s="101"/>
      <c r="AU900" s="101"/>
      <c r="AV900" s="101"/>
      <c r="AW900" s="101"/>
      <c r="AX900" s="101"/>
      <c r="AY900" s="101"/>
      <c r="AZ900" s="101"/>
      <c r="BA900" s="101"/>
      <c r="BB900" s="101"/>
      <c r="BC900" s="101"/>
      <c r="BD900" s="101"/>
      <c r="BE900" s="101"/>
      <c r="BF900" s="101"/>
      <c r="BG900" s="101"/>
      <c r="BH900" s="101"/>
      <c r="BI900" s="101"/>
      <c r="BJ900" s="101"/>
      <c r="BK900" s="101"/>
      <c r="BL900" s="101"/>
      <c r="BM900" s="101"/>
      <c r="BN900" s="101"/>
      <c r="BO900" s="101"/>
      <c r="BP900" s="101"/>
      <c r="BQ900" s="101"/>
      <c r="BR900" s="101"/>
      <c r="BS900" s="101"/>
      <c r="BT900" s="101"/>
      <c r="BU900" s="101"/>
      <c r="BV900" s="101"/>
      <c r="BW900" s="101"/>
      <c r="BX900" s="101"/>
      <c r="BY900" s="101"/>
      <c r="BZ900" s="101"/>
      <c r="CA900" s="101"/>
      <c r="CB900" s="101"/>
      <c r="CC900" s="101"/>
      <c r="CD900" s="101"/>
      <c r="CE900" s="101"/>
      <c r="CF900" s="101"/>
      <c r="CG900" s="101"/>
      <c r="CH900" s="101"/>
      <c r="CI900" s="101"/>
      <c r="CJ900" s="101"/>
      <c r="CK900" s="101"/>
      <c r="CL900" s="101"/>
      <c r="CM900" s="101"/>
      <c r="CN900" s="101"/>
      <c r="CO900" s="101"/>
      <c r="CP900" s="101"/>
      <c r="CQ900" s="101"/>
      <c r="CR900" s="101"/>
      <c r="CS900" s="101"/>
      <c r="CT900" s="101"/>
      <c r="CU900" s="101"/>
      <c r="CV900" s="101"/>
      <c r="CW900" s="101"/>
      <c r="CX900" s="101"/>
      <c r="CY900" s="101"/>
      <c r="CZ900" s="101"/>
      <c r="DA900" s="101"/>
      <c r="DB900" s="101"/>
      <c r="DC900" s="101"/>
      <c r="DD900" s="101"/>
      <c r="DE900" s="101"/>
      <c r="DF900" s="101"/>
    </row>
    <row r="901">
      <c r="A901" s="29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3"/>
      <c r="U901" s="103"/>
      <c r="V901" s="103"/>
      <c r="W901" s="104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  <c r="AL901" s="101"/>
      <c r="AM901" s="29"/>
      <c r="AN901" s="101"/>
      <c r="AO901" s="101"/>
      <c r="AP901" s="101"/>
      <c r="AQ901" s="101"/>
      <c r="AR901" s="101"/>
      <c r="AS901" s="101"/>
      <c r="AT901" s="101"/>
      <c r="AU901" s="101"/>
      <c r="AV901" s="101"/>
      <c r="AW901" s="101"/>
      <c r="AX901" s="101"/>
      <c r="AY901" s="101"/>
      <c r="AZ901" s="101"/>
      <c r="BA901" s="101"/>
      <c r="BB901" s="101"/>
      <c r="BC901" s="101"/>
      <c r="BD901" s="101"/>
      <c r="BE901" s="101"/>
      <c r="BF901" s="101"/>
      <c r="BG901" s="101"/>
      <c r="BH901" s="101"/>
      <c r="BI901" s="101"/>
      <c r="BJ901" s="101"/>
      <c r="BK901" s="101"/>
      <c r="BL901" s="101"/>
      <c r="BM901" s="101"/>
      <c r="BN901" s="101"/>
      <c r="BO901" s="101"/>
      <c r="BP901" s="101"/>
      <c r="BQ901" s="101"/>
      <c r="BR901" s="101"/>
      <c r="BS901" s="101"/>
      <c r="BT901" s="101"/>
      <c r="BU901" s="101"/>
      <c r="BV901" s="101"/>
      <c r="BW901" s="101"/>
      <c r="BX901" s="101"/>
      <c r="BY901" s="101"/>
      <c r="BZ901" s="101"/>
      <c r="CA901" s="101"/>
      <c r="CB901" s="101"/>
      <c r="CC901" s="101"/>
      <c r="CD901" s="101"/>
      <c r="CE901" s="101"/>
      <c r="CF901" s="101"/>
      <c r="CG901" s="101"/>
      <c r="CH901" s="101"/>
      <c r="CI901" s="101"/>
      <c r="CJ901" s="101"/>
      <c r="CK901" s="101"/>
      <c r="CL901" s="101"/>
      <c r="CM901" s="101"/>
      <c r="CN901" s="101"/>
      <c r="CO901" s="101"/>
      <c r="CP901" s="101"/>
      <c r="CQ901" s="101"/>
      <c r="CR901" s="101"/>
      <c r="CS901" s="101"/>
      <c r="CT901" s="101"/>
      <c r="CU901" s="101"/>
      <c r="CV901" s="101"/>
      <c r="CW901" s="101"/>
      <c r="CX901" s="101"/>
      <c r="CY901" s="101"/>
      <c r="CZ901" s="101"/>
      <c r="DA901" s="101"/>
      <c r="DB901" s="101"/>
      <c r="DC901" s="101"/>
      <c r="DD901" s="101"/>
      <c r="DE901" s="101"/>
      <c r="DF901" s="101"/>
    </row>
    <row r="902">
      <c r="A902" s="29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3"/>
      <c r="U902" s="103"/>
      <c r="V902" s="103"/>
      <c r="W902" s="104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  <c r="AL902" s="101"/>
      <c r="AM902" s="29"/>
      <c r="AN902" s="101"/>
      <c r="AO902" s="101"/>
      <c r="AP902" s="101"/>
      <c r="AQ902" s="101"/>
      <c r="AR902" s="101"/>
      <c r="AS902" s="101"/>
      <c r="AT902" s="101"/>
      <c r="AU902" s="101"/>
      <c r="AV902" s="101"/>
      <c r="AW902" s="101"/>
      <c r="AX902" s="101"/>
      <c r="AY902" s="101"/>
      <c r="AZ902" s="101"/>
      <c r="BA902" s="101"/>
      <c r="BB902" s="101"/>
      <c r="BC902" s="101"/>
      <c r="BD902" s="101"/>
      <c r="BE902" s="101"/>
      <c r="BF902" s="101"/>
      <c r="BG902" s="101"/>
      <c r="BH902" s="101"/>
      <c r="BI902" s="101"/>
      <c r="BJ902" s="101"/>
      <c r="BK902" s="101"/>
      <c r="BL902" s="101"/>
      <c r="BM902" s="101"/>
      <c r="BN902" s="101"/>
      <c r="BO902" s="101"/>
      <c r="BP902" s="101"/>
      <c r="BQ902" s="101"/>
      <c r="BR902" s="101"/>
      <c r="BS902" s="101"/>
      <c r="BT902" s="101"/>
      <c r="BU902" s="101"/>
      <c r="BV902" s="101"/>
      <c r="BW902" s="101"/>
      <c r="BX902" s="101"/>
      <c r="BY902" s="101"/>
      <c r="BZ902" s="101"/>
      <c r="CA902" s="101"/>
      <c r="CB902" s="101"/>
      <c r="CC902" s="101"/>
      <c r="CD902" s="101"/>
      <c r="CE902" s="101"/>
      <c r="CF902" s="101"/>
      <c r="CG902" s="101"/>
      <c r="CH902" s="101"/>
      <c r="CI902" s="101"/>
      <c r="CJ902" s="101"/>
      <c r="CK902" s="101"/>
      <c r="CL902" s="101"/>
      <c r="CM902" s="101"/>
      <c r="CN902" s="101"/>
      <c r="CO902" s="101"/>
      <c r="CP902" s="101"/>
      <c r="CQ902" s="101"/>
      <c r="CR902" s="101"/>
      <c r="CS902" s="101"/>
      <c r="CT902" s="101"/>
      <c r="CU902" s="101"/>
      <c r="CV902" s="101"/>
      <c r="CW902" s="101"/>
      <c r="CX902" s="101"/>
      <c r="CY902" s="101"/>
      <c r="CZ902" s="101"/>
      <c r="DA902" s="101"/>
      <c r="DB902" s="101"/>
      <c r="DC902" s="101"/>
      <c r="DD902" s="101"/>
      <c r="DE902" s="101"/>
      <c r="DF902" s="101"/>
    </row>
    <row r="903">
      <c r="A903" s="29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3"/>
      <c r="U903" s="103"/>
      <c r="V903" s="103"/>
      <c r="W903" s="104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  <c r="AL903" s="101"/>
      <c r="AM903" s="29"/>
      <c r="AN903" s="101"/>
      <c r="AO903" s="101"/>
      <c r="AP903" s="101"/>
      <c r="AQ903" s="101"/>
      <c r="AR903" s="101"/>
      <c r="AS903" s="101"/>
      <c r="AT903" s="101"/>
      <c r="AU903" s="101"/>
      <c r="AV903" s="101"/>
      <c r="AW903" s="101"/>
      <c r="AX903" s="101"/>
      <c r="AY903" s="101"/>
      <c r="AZ903" s="101"/>
      <c r="BA903" s="101"/>
      <c r="BB903" s="101"/>
      <c r="BC903" s="101"/>
      <c r="BD903" s="101"/>
      <c r="BE903" s="101"/>
      <c r="BF903" s="101"/>
      <c r="BG903" s="101"/>
      <c r="BH903" s="101"/>
      <c r="BI903" s="101"/>
      <c r="BJ903" s="101"/>
      <c r="BK903" s="101"/>
      <c r="BL903" s="101"/>
      <c r="BM903" s="101"/>
      <c r="BN903" s="101"/>
      <c r="BO903" s="101"/>
      <c r="BP903" s="101"/>
      <c r="BQ903" s="101"/>
      <c r="BR903" s="101"/>
      <c r="BS903" s="101"/>
      <c r="BT903" s="101"/>
      <c r="BU903" s="101"/>
      <c r="BV903" s="101"/>
      <c r="BW903" s="101"/>
      <c r="BX903" s="101"/>
      <c r="BY903" s="101"/>
      <c r="BZ903" s="101"/>
      <c r="CA903" s="101"/>
      <c r="CB903" s="101"/>
      <c r="CC903" s="101"/>
      <c r="CD903" s="101"/>
      <c r="CE903" s="101"/>
      <c r="CF903" s="101"/>
      <c r="CG903" s="101"/>
      <c r="CH903" s="101"/>
      <c r="CI903" s="101"/>
      <c r="CJ903" s="101"/>
      <c r="CK903" s="101"/>
      <c r="CL903" s="101"/>
      <c r="CM903" s="101"/>
      <c r="CN903" s="101"/>
      <c r="CO903" s="101"/>
      <c r="CP903" s="101"/>
      <c r="CQ903" s="101"/>
      <c r="CR903" s="101"/>
      <c r="CS903" s="101"/>
      <c r="CT903" s="101"/>
      <c r="CU903" s="101"/>
      <c r="CV903" s="101"/>
      <c r="CW903" s="101"/>
      <c r="CX903" s="101"/>
      <c r="CY903" s="101"/>
      <c r="CZ903" s="101"/>
      <c r="DA903" s="101"/>
      <c r="DB903" s="101"/>
      <c r="DC903" s="101"/>
      <c r="DD903" s="101"/>
      <c r="DE903" s="101"/>
      <c r="DF903" s="101"/>
    </row>
    <row r="904">
      <c r="A904" s="29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3"/>
      <c r="U904" s="103"/>
      <c r="V904" s="103"/>
      <c r="W904" s="104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  <c r="AL904" s="101"/>
      <c r="AM904" s="29"/>
      <c r="AN904" s="101"/>
      <c r="AO904" s="101"/>
      <c r="AP904" s="101"/>
      <c r="AQ904" s="101"/>
      <c r="AR904" s="101"/>
      <c r="AS904" s="101"/>
      <c r="AT904" s="101"/>
      <c r="AU904" s="101"/>
      <c r="AV904" s="101"/>
      <c r="AW904" s="101"/>
      <c r="AX904" s="101"/>
      <c r="AY904" s="101"/>
      <c r="AZ904" s="101"/>
      <c r="BA904" s="101"/>
      <c r="BB904" s="101"/>
      <c r="BC904" s="101"/>
      <c r="BD904" s="101"/>
      <c r="BE904" s="101"/>
      <c r="BF904" s="101"/>
      <c r="BG904" s="101"/>
      <c r="BH904" s="101"/>
      <c r="BI904" s="101"/>
      <c r="BJ904" s="101"/>
      <c r="BK904" s="101"/>
      <c r="BL904" s="101"/>
      <c r="BM904" s="101"/>
      <c r="BN904" s="101"/>
      <c r="BO904" s="101"/>
      <c r="BP904" s="101"/>
      <c r="BQ904" s="101"/>
      <c r="BR904" s="101"/>
      <c r="BS904" s="101"/>
      <c r="BT904" s="101"/>
      <c r="BU904" s="101"/>
      <c r="BV904" s="101"/>
      <c r="BW904" s="101"/>
      <c r="BX904" s="101"/>
      <c r="BY904" s="101"/>
      <c r="BZ904" s="101"/>
      <c r="CA904" s="101"/>
      <c r="CB904" s="101"/>
      <c r="CC904" s="101"/>
      <c r="CD904" s="101"/>
      <c r="CE904" s="101"/>
      <c r="CF904" s="101"/>
      <c r="CG904" s="101"/>
      <c r="CH904" s="101"/>
      <c r="CI904" s="101"/>
      <c r="CJ904" s="101"/>
      <c r="CK904" s="101"/>
      <c r="CL904" s="101"/>
      <c r="CM904" s="101"/>
      <c r="CN904" s="101"/>
      <c r="CO904" s="101"/>
      <c r="CP904" s="101"/>
      <c r="CQ904" s="101"/>
      <c r="CR904" s="101"/>
      <c r="CS904" s="101"/>
      <c r="CT904" s="101"/>
      <c r="CU904" s="101"/>
      <c r="CV904" s="101"/>
      <c r="CW904" s="101"/>
      <c r="CX904" s="101"/>
      <c r="CY904" s="101"/>
      <c r="CZ904" s="101"/>
      <c r="DA904" s="101"/>
      <c r="DB904" s="101"/>
      <c r="DC904" s="101"/>
      <c r="DD904" s="101"/>
      <c r="DE904" s="101"/>
      <c r="DF904" s="101"/>
    </row>
    <row r="905">
      <c r="A905" s="29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3"/>
      <c r="U905" s="103"/>
      <c r="V905" s="103"/>
      <c r="W905" s="104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  <c r="AL905" s="101"/>
      <c r="AM905" s="29"/>
      <c r="AN905" s="101"/>
      <c r="AO905" s="101"/>
      <c r="AP905" s="101"/>
      <c r="AQ905" s="101"/>
      <c r="AR905" s="101"/>
      <c r="AS905" s="101"/>
      <c r="AT905" s="101"/>
      <c r="AU905" s="101"/>
      <c r="AV905" s="101"/>
      <c r="AW905" s="101"/>
      <c r="AX905" s="101"/>
      <c r="AY905" s="101"/>
      <c r="AZ905" s="101"/>
      <c r="BA905" s="101"/>
      <c r="BB905" s="101"/>
      <c r="BC905" s="101"/>
      <c r="BD905" s="101"/>
      <c r="BE905" s="101"/>
      <c r="BF905" s="101"/>
      <c r="BG905" s="101"/>
      <c r="BH905" s="101"/>
      <c r="BI905" s="101"/>
      <c r="BJ905" s="101"/>
      <c r="BK905" s="101"/>
      <c r="BL905" s="101"/>
      <c r="BM905" s="101"/>
      <c r="BN905" s="101"/>
      <c r="BO905" s="101"/>
      <c r="BP905" s="101"/>
      <c r="BQ905" s="101"/>
      <c r="BR905" s="101"/>
      <c r="BS905" s="101"/>
      <c r="BT905" s="101"/>
      <c r="BU905" s="101"/>
      <c r="BV905" s="101"/>
      <c r="BW905" s="101"/>
      <c r="BX905" s="101"/>
      <c r="BY905" s="101"/>
      <c r="BZ905" s="101"/>
      <c r="CA905" s="101"/>
      <c r="CB905" s="101"/>
      <c r="CC905" s="101"/>
      <c r="CD905" s="101"/>
      <c r="CE905" s="101"/>
      <c r="CF905" s="101"/>
      <c r="CG905" s="101"/>
      <c r="CH905" s="101"/>
      <c r="CI905" s="101"/>
      <c r="CJ905" s="101"/>
      <c r="CK905" s="101"/>
      <c r="CL905" s="101"/>
      <c r="CM905" s="101"/>
      <c r="CN905" s="101"/>
      <c r="CO905" s="101"/>
      <c r="CP905" s="101"/>
      <c r="CQ905" s="101"/>
      <c r="CR905" s="101"/>
      <c r="CS905" s="101"/>
      <c r="CT905" s="101"/>
      <c r="CU905" s="101"/>
      <c r="CV905" s="101"/>
      <c r="CW905" s="101"/>
      <c r="CX905" s="101"/>
      <c r="CY905" s="101"/>
      <c r="CZ905" s="101"/>
      <c r="DA905" s="101"/>
      <c r="DB905" s="101"/>
      <c r="DC905" s="101"/>
      <c r="DD905" s="101"/>
      <c r="DE905" s="101"/>
      <c r="DF905" s="101"/>
    </row>
    <row r="906">
      <c r="A906" s="29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3"/>
      <c r="U906" s="103"/>
      <c r="V906" s="103"/>
      <c r="W906" s="104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  <c r="AL906" s="101"/>
      <c r="AM906" s="29"/>
      <c r="AN906" s="101"/>
      <c r="AO906" s="101"/>
      <c r="AP906" s="101"/>
      <c r="AQ906" s="101"/>
      <c r="AR906" s="101"/>
      <c r="AS906" s="101"/>
      <c r="AT906" s="101"/>
      <c r="AU906" s="101"/>
      <c r="AV906" s="101"/>
      <c r="AW906" s="101"/>
      <c r="AX906" s="101"/>
      <c r="AY906" s="101"/>
      <c r="AZ906" s="101"/>
      <c r="BA906" s="101"/>
      <c r="BB906" s="101"/>
      <c r="BC906" s="101"/>
      <c r="BD906" s="101"/>
      <c r="BE906" s="101"/>
      <c r="BF906" s="101"/>
      <c r="BG906" s="101"/>
      <c r="BH906" s="101"/>
      <c r="BI906" s="101"/>
      <c r="BJ906" s="101"/>
      <c r="BK906" s="101"/>
      <c r="BL906" s="101"/>
      <c r="BM906" s="101"/>
      <c r="BN906" s="101"/>
      <c r="BO906" s="101"/>
      <c r="BP906" s="101"/>
      <c r="BQ906" s="101"/>
      <c r="BR906" s="101"/>
      <c r="BS906" s="101"/>
      <c r="BT906" s="101"/>
      <c r="BU906" s="101"/>
      <c r="BV906" s="101"/>
      <c r="BW906" s="101"/>
      <c r="BX906" s="101"/>
      <c r="BY906" s="101"/>
      <c r="BZ906" s="101"/>
      <c r="CA906" s="101"/>
      <c r="CB906" s="101"/>
      <c r="CC906" s="101"/>
      <c r="CD906" s="101"/>
      <c r="CE906" s="101"/>
      <c r="CF906" s="101"/>
      <c r="CG906" s="101"/>
      <c r="CH906" s="101"/>
      <c r="CI906" s="101"/>
      <c r="CJ906" s="101"/>
      <c r="CK906" s="101"/>
      <c r="CL906" s="101"/>
      <c r="CM906" s="101"/>
      <c r="CN906" s="101"/>
      <c r="CO906" s="101"/>
      <c r="CP906" s="101"/>
      <c r="CQ906" s="101"/>
      <c r="CR906" s="101"/>
      <c r="CS906" s="101"/>
      <c r="CT906" s="101"/>
      <c r="CU906" s="101"/>
      <c r="CV906" s="101"/>
      <c r="CW906" s="101"/>
      <c r="CX906" s="101"/>
      <c r="CY906" s="101"/>
      <c r="CZ906" s="101"/>
      <c r="DA906" s="101"/>
      <c r="DB906" s="101"/>
      <c r="DC906" s="101"/>
      <c r="DD906" s="101"/>
      <c r="DE906" s="101"/>
      <c r="DF906" s="101"/>
    </row>
    <row r="907">
      <c r="A907" s="29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3"/>
      <c r="U907" s="103"/>
      <c r="V907" s="103"/>
      <c r="W907" s="104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  <c r="AL907" s="101"/>
      <c r="AM907" s="29"/>
      <c r="AN907" s="101"/>
      <c r="AO907" s="101"/>
      <c r="AP907" s="101"/>
      <c r="AQ907" s="101"/>
      <c r="AR907" s="101"/>
      <c r="AS907" s="101"/>
      <c r="AT907" s="101"/>
      <c r="AU907" s="101"/>
      <c r="AV907" s="101"/>
      <c r="AW907" s="101"/>
      <c r="AX907" s="101"/>
      <c r="AY907" s="101"/>
      <c r="AZ907" s="101"/>
      <c r="BA907" s="101"/>
      <c r="BB907" s="101"/>
      <c r="BC907" s="101"/>
      <c r="BD907" s="101"/>
      <c r="BE907" s="101"/>
      <c r="BF907" s="101"/>
      <c r="BG907" s="101"/>
      <c r="BH907" s="101"/>
      <c r="BI907" s="101"/>
      <c r="BJ907" s="101"/>
      <c r="BK907" s="101"/>
      <c r="BL907" s="101"/>
      <c r="BM907" s="101"/>
      <c r="BN907" s="101"/>
      <c r="BO907" s="101"/>
      <c r="BP907" s="101"/>
      <c r="BQ907" s="101"/>
      <c r="BR907" s="101"/>
      <c r="BS907" s="101"/>
      <c r="BT907" s="101"/>
      <c r="BU907" s="101"/>
      <c r="BV907" s="101"/>
      <c r="BW907" s="101"/>
      <c r="BX907" s="101"/>
      <c r="BY907" s="101"/>
      <c r="BZ907" s="101"/>
      <c r="CA907" s="101"/>
      <c r="CB907" s="101"/>
      <c r="CC907" s="101"/>
      <c r="CD907" s="101"/>
      <c r="CE907" s="101"/>
      <c r="CF907" s="101"/>
      <c r="CG907" s="101"/>
      <c r="CH907" s="101"/>
      <c r="CI907" s="101"/>
      <c r="CJ907" s="101"/>
      <c r="CK907" s="101"/>
      <c r="CL907" s="101"/>
      <c r="CM907" s="101"/>
      <c r="CN907" s="101"/>
      <c r="CO907" s="101"/>
      <c r="CP907" s="101"/>
      <c r="CQ907" s="101"/>
      <c r="CR907" s="101"/>
      <c r="CS907" s="101"/>
      <c r="CT907" s="101"/>
      <c r="CU907" s="101"/>
      <c r="CV907" s="101"/>
      <c r="CW907" s="101"/>
      <c r="CX907" s="101"/>
      <c r="CY907" s="101"/>
      <c r="CZ907" s="101"/>
      <c r="DA907" s="101"/>
      <c r="DB907" s="101"/>
      <c r="DC907" s="101"/>
      <c r="DD907" s="101"/>
      <c r="DE907" s="101"/>
      <c r="DF907" s="101"/>
    </row>
    <row r="908">
      <c r="A908" s="29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3"/>
      <c r="U908" s="103"/>
      <c r="V908" s="103"/>
      <c r="W908" s="104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  <c r="AL908" s="101"/>
      <c r="AM908" s="29"/>
      <c r="AN908" s="101"/>
      <c r="AO908" s="101"/>
      <c r="AP908" s="101"/>
      <c r="AQ908" s="101"/>
      <c r="AR908" s="101"/>
      <c r="AS908" s="101"/>
      <c r="AT908" s="101"/>
      <c r="AU908" s="101"/>
      <c r="AV908" s="101"/>
      <c r="AW908" s="101"/>
      <c r="AX908" s="101"/>
      <c r="AY908" s="101"/>
      <c r="AZ908" s="101"/>
      <c r="BA908" s="101"/>
      <c r="BB908" s="101"/>
      <c r="BC908" s="101"/>
      <c r="BD908" s="101"/>
      <c r="BE908" s="101"/>
      <c r="BF908" s="101"/>
      <c r="BG908" s="101"/>
      <c r="BH908" s="101"/>
      <c r="BI908" s="101"/>
      <c r="BJ908" s="101"/>
      <c r="BK908" s="101"/>
      <c r="BL908" s="101"/>
      <c r="BM908" s="101"/>
      <c r="BN908" s="101"/>
      <c r="BO908" s="101"/>
      <c r="BP908" s="101"/>
      <c r="BQ908" s="101"/>
      <c r="BR908" s="101"/>
      <c r="BS908" s="101"/>
      <c r="BT908" s="101"/>
      <c r="BU908" s="101"/>
      <c r="BV908" s="101"/>
      <c r="BW908" s="101"/>
      <c r="BX908" s="101"/>
      <c r="BY908" s="101"/>
      <c r="BZ908" s="101"/>
      <c r="CA908" s="101"/>
      <c r="CB908" s="101"/>
      <c r="CC908" s="101"/>
      <c r="CD908" s="101"/>
      <c r="CE908" s="101"/>
      <c r="CF908" s="101"/>
      <c r="CG908" s="101"/>
      <c r="CH908" s="101"/>
      <c r="CI908" s="101"/>
      <c r="CJ908" s="101"/>
      <c r="CK908" s="101"/>
      <c r="CL908" s="101"/>
      <c r="CM908" s="101"/>
      <c r="CN908" s="101"/>
      <c r="CO908" s="101"/>
      <c r="CP908" s="101"/>
      <c r="CQ908" s="101"/>
      <c r="CR908" s="101"/>
      <c r="CS908" s="101"/>
      <c r="CT908" s="101"/>
      <c r="CU908" s="101"/>
      <c r="CV908" s="101"/>
      <c r="CW908" s="101"/>
      <c r="CX908" s="101"/>
      <c r="CY908" s="101"/>
      <c r="CZ908" s="101"/>
      <c r="DA908" s="101"/>
      <c r="DB908" s="101"/>
      <c r="DC908" s="101"/>
      <c r="DD908" s="101"/>
      <c r="DE908" s="101"/>
      <c r="DF908" s="101"/>
    </row>
    <row r="909">
      <c r="A909" s="29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3"/>
      <c r="U909" s="103"/>
      <c r="V909" s="103"/>
      <c r="W909" s="104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  <c r="AL909" s="101"/>
      <c r="AM909" s="29"/>
      <c r="AN909" s="101"/>
      <c r="AO909" s="101"/>
      <c r="AP909" s="101"/>
      <c r="AQ909" s="101"/>
      <c r="AR909" s="101"/>
      <c r="AS909" s="101"/>
      <c r="AT909" s="101"/>
      <c r="AU909" s="101"/>
      <c r="AV909" s="101"/>
      <c r="AW909" s="101"/>
      <c r="AX909" s="101"/>
      <c r="AY909" s="101"/>
      <c r="AZ909" s="101"/>
      <c r="BA909" s="101"/>
      <c r="BB909" s="101"/>
      <c r="BC909" s="101"/>
      <c r="BD909" s="101"/>
      <c r="BE909" s="101"/>
      <c r="BF909" s="101"/>
      <c r="BG909" s="101"/>
      <c r="BH909" s="101"/>
      <c r="BI909" s="101"/>
      <c r="BJ909" s="101"/>
      <c r="BK909" s="101"/>
      <c r="BL909" s="101"/>
      <c r="BM909" s="101"/>
      <c r="BN909" s="101"/>
      <c r="BO909" s="101"/>
      <c r="BP909" s="101"/>
      <c r="BQ909" s="101"/>
      <c r="BR909" s="101"/>
      <c r="BS909" s="101"/>
      <c r="BT909" s="101"/>
      <c r="BU909" s="101"/>
      <c r="BV909" s="101"/>
      <c r="BW909" s="101"/>
      <c r="BX909" s="101"/>
      <c r="BY909" s="101"/>
      <c r="BZ909" s="101"/>
      <c r="CA909" s="101"/>
      <c r="CB909" s="101"/>
      <c r="CC909" s="101"/>
      <c r="CD909" s="101"/>
      <c r="CE909" s="101"/>
      <c r="CF909" s="101"/>
      <c r="CG909" s="101"/>
      <c r="CH909" s="101"/>
      <c r="CI909" s="101"/>
      <c r="CJ909" s="101"/>
      <c r="CK909" s="101"/>
      <c r="CL909" s="101"/>
      <c r="CM909" s="101"/>
      <c r="CN909" s="101"/>
      <c r="CO909" s="101"/>
      <c r="CP909" s="101"/>
      <c r="CQ909" s="101"/>
      <c r="CR909" s="101"/>
      <c r="CS909" s="101"/>
      <c r="CT909" s="101"/>
      <c r="CU909" s="101"/>
      <c r="CV909" s="101"/>
      <c r="CW909" s="101"/>
      <c r="CX909" s="101"/>
      <c r="CY909" s="101"/>
      <c r="CZ909" s="101"/>
      <c r="DA909" s="101"/>
      <c r="DB909" s="101"/>
      <c r="DC909" s="101"/>
      <c r="DD909" s="101"/>
      <c r="DE909" s="101"/>
      <c r="DF909" s="101"/>
    </row>
    <row r="910">
      <c r="A910" s="29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3"/>
      <c r="U910" s="103"/>
      <c r="V910" s="103"/>
      <c r="W910" s="104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  <c r="AL910" s="101"/>
      <c r="AM910" s="29"/>
      <c r="AN910" s="101"/>
      <c r="AO910" s="101"/>
      <c r="AP910" s="101"/>
      <c r="AQ910" s="101"/>
      <c r="AR910" s="101"/>
      <c r="AS910" s="101"/>
      <c r="AT910" s="101"/>
      <c r="AU910" s="101"/>
      <c r="AV910" s="101"/>
      <c r="AW910" s="101"/>
      <c r="AX910" s="101"/>
      <c r="AY910" s="101"/>
      <c r="AZ910" s="101"/>
      <c r="BA910" s="101"/>
      <c r="BB910" s="101"/>
      <c r="BC910" s="101"/>
      <c r="BD910" s="101"/>
      <c r="BE910" s="101"/>
      <c r="BF910" s="101"/>
      <c r="BG910" s="101"/>
      <c r="BH910" s="101"/>
      <c r="BI910" s="101"/>
      <c r="BJ910" s="101"/>
      <c r="BK910" s="101"/>
      <c r="BL910" s="101"/>
      <c r="BM910" s="101"/>
      <c r="BN910" s="101"/>
      <c r="BO910" s="101"/>
      <c r="BP910" s="101"/>
      <c r="BQ910" s="101"/>
      <c r="BR910" s="101"/>
      <c r="BS910" s="101"/>
      <c r="BT910" s="101"/>
      <c r="BU910" s="101"/>
      <c r="BV910" s="101"/>
      <c r="BW910" s="101"/>
      <c r="BX910" s="101"/>
      <c r="BY910" s="101"/>
      <c r="BZ910" s="101"/>
      <c r="CA910" s="101"/>
      <c r="CB910" s="101"/>
      <c r="CC910" s="101"/>
      <c r="CD910" s="101"/>
      <c r="CE910" s="101"/>
      <c r="CF910" s="101"/>
      <c r="CG910" s="101"/>
      <c r="CH910" s="101"/>
      <c r="CI910" s="101"/>
      <c r="CJ910" s="101"/>
      <c r="CK910" s="101"/>
      <c r="CL910" s="101"/>
      <c r="CM910" s="101"/>
      <c r="CN910" s="101"/>
      <c r="CO910" s="101"/>
      <c r="CP910" s="101"/>
      <c r="CQ910" s="101"/>
      <c r="CR910" s="101"/>
      <c r="CS910" s="101"/>
      <c r="CT910" s="101"/>
      <c r="CU910" s="101"/>
      <c r="CV910" s="101"/>
      <c r="CW910" s="101"/>
      <c r="CX910" s="101"/>
      <c r="CY910" s="101"/>
      <c r="CZ910" s="101"/>
      <c r="DA910" s="101"/>
      <c r="DB910" s="101"/>
      <c r="DC910" s="101"/>
      <c r="DD910" s="101"/>
      <c r="DE910" s="101"/>
      <c r="DF910" s="101"/>
    </row>
    <row r="911">
      <c r="A911" s="29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3"/>
      <c r="U911" s="103"/>
      <c r="V911" s="103"/>
      <c r="W911" s="104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  <c r="AL911" s="101"/>
      <c r="AM911" s="29"/>
      <c r="AN911" s="101"/>
      <c r="AO911" s="101"/>
      <c r="AP911" s="101"/>
      <c r="AQ911" s="101"/>
      <c r="AR911" s="101"/>
      <c r="AS911" s="101"/>
      <c r="AT911" s="101"/>
      <c r="AU911" s="101"/>
      <c r="AV911" s="101"/>
      <c r="AW911" s="101"/>
      <c r="AX911" s="101"/>
      <c r="AY911" s="101"/>
      <c r="AZ911" s="101"/>
      <c r="BA911" s="101"/>
      <c r="BB911" s="101"/>
      <c r="BC911" s="101"/>
      <c r="BD911" s="101"/>
      <c r="BE911" s="101"/>
      <c r="BF911" s="101"/>
      <c r="BG911" s="101"/>
      <c r="BH911" s="101"/>
      <c r="BI911" s="101"/>
      <c r="BJ911" s="101"/>
      <c r="BK911" s="101"/>
      <c r="BL911" s="101"/>
      <c r="BM911" s="101"/>
      <c r="BN911" s="101"/>
      <c r="BO911" s="101"/>
      <c r="BP911" s="101"/>
      <c r="BQ911" s="101"/>
      <c r="BR911" s="101"/>
      <c r="BS911" s="101"/>
      <c r="BT911" s="101"/>
      <c r="BU911" s="101"/>
      <c r="BV911" s="101"/>
      <c r="BW911" s="101"/>
      <c r="BX911" s="101"/>
      <c r="BY911" s="101"/>
      <c r="BZ911" s="101"/>
      <c r="CA911" s="101"/>
      <c r="CB911" s="101"/>
      <c r="CC911" s="101"/>
      <c r="CD911" s="101"/>
      <c r="CE911" s="101"/>
      <c r="CF911" s="101"/>
      <c r="CG911" s="101"/>
      <c r="CH911" s="101"/>
      <c r="CI911" s="101"/>
      <c r="CJ911" s="101"/>
      <c r="CK911" s="101"/>
      <c r="CL911" s="101"/>
      <c r="CM911" s="101"/>
      <c r="CN911" s="101"/>
      <c r="CO911" s="101"/>
      <c r="CP911" s="101"/>
      <c r="CQ911" s="101"/>
      <c r="CR911" s="101"/>
      <c r="CS911" s="101"/>
      <c r="CT911" s="101"/>
      <c r="CU911" s="101"/>
      <c r="CV911" s="101"/>
      <c r="CW911" s="101"/>
      <c r="CX911" s="101"/>
      <c r="CY911" s="101"/>
      <c r="CZ911" s="101"/>
      <c r="DA911" s="101"/>
      <c r="DB911" s="101"/>
      <c r="DC911" s="101"/>
      <c r="DD911" s="101"/>
      <c r="DE911" s="101"/>
      <c r="DF911" s="101"/>
    </row>
    <row r="912">
      <c r="A912" s="29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3"/>
      <c r="U912" s="103"/>
      <c r="V912" s="103"/>
      <c r="W912" s="104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  <c r="AL912" s="101"/>
      <c r="AM912" s="29"/>
      <c r="AN912" s="101"/>
      <c r="AO912" s="101"/>
      <c r="AP912" s="101"/>
      <c r="AQ912" s="101"/>
      <c r="AR912" s="101"/>
      <c r="AS912" s="101"/>
      <c r="AT912" s="101"/>
      <c r="AU912" s="101"/>
      <c r="AV912" s="101"/>
      <c r="AW912" s="101"/>
      <c r="AX912" s="101"/>
      <c r="AY912" s="101"/>
      <c r="AZ912" s="101"/>
      <c r="BA912" s="101"/>
      <c r="BB912" s="101"/>
      <c r="BC912" s="101"/>
      <c r="BD912" s="101"/>
      <c r="BE912" s="101"/>
      <c r="BF912" s="101"/>
      <c r="BG912" s="101"/>
      <c r="BH912" s="101"/>
      <c r="BI912" s="101"/>
      <c r="BJ912" s="101"/>
      <c r="BK912" s="101"/>
      <c r="BL912" s="101"/>
      <c r="BM912" s="101"/>
      <c r="BN912" s="101"/>
      <c r="BO912" s="101"/>
      <c r="BP912" s="101"/>
      <c r="BQ912" s="101"/>
      <c r="BR912" s="101"/>
      <c r="BS912" s="101"/>
      <c r="BT912" s="101"/>
      <c r="BU912" s="101"/>
      <c r="BV912" s="101"/>
      <c r="BW912" s="101"/>
      <c r="BX912" s="101"/>
      <c r="BY912" s="101"/>
      <c r="BZ912" s="101"/>
      <c r="CA912" s="101"/>
      <c r="CB912" s="101"/>
      <c r="CC912" s="101"/>
      <c r="CD912" s="101"/>
      <c r="CE912" s="101"/>
      <c r="CF912" s="101"/>
      <c r="CG912" s="101"/>
      <c r="CH912" s="101"/>
      <c r="CI912" s="101"/>
      <c r="CJ912" s="101"/>
      <c r="CK912" s="101"/>
      <c r="CL912" s="101"/>
      <c r="CM912" s="101"/>
      <c r="CN912" s="101"/>
      <c r="CO912" s="101"/>
      <c r="CP912" s="101"/>
      <c r="CQ912" s="101"/>
      <c r="CR912" s="101"/>
      <c r="CS912" s="101"/>
      <c r="CT912" s="101"/>
      <c r="CU912" s="101"/>
      <c r="CV912" s="101"/>
      <c r="CW912" s="101"/>
      <c r="CX912" s="101"/>
      <c r="CY912" s="101"/>
      <c r="CZ912" s="101"/>
      <c r="DA912" s="101"/>
      <c r="DB912" s="101"/>
      <c r="DC912" s="101"/>
      <c r="DD912" s="101"/>
      <c r="DE912" s="101"/>
      <c r="DF912" s="101"/>
    </row>
    <row r="913">
      <c r="A913" s="29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3"/>
      <c r="U913" s="103"/>
      <c r="V913" s="103"/>
      <c r="W913" s="104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  <c r="AL913" s="101"/>
      <c r="AM913" s="29"/>
      <c r="AN913" s="101"/>
      <c r="AO913" s="101"/>
      <c r="AP913" s="101"/>
      <c r="AQ913" s="101"/>
      <c r="AR913" s="101"/>
      <c r="AS913" s="101"/>
      <c r="AT913" s="101"/>
      <c r="AU913" s="101"/>
      <c r="AV913" s="101"/>
      <c r="AW913" s="101"/>
      <c r="AX913" s="101"/>
      <c r="AY913" s="101"/>
      <c r="AZ913" s="101"/>
      <c r="BA913" s="101"/>
      <c r="BB913" s="101"/>
      <c r="BC913" s="101"/>
      <c r="BD913" s="101"/>
      <c r="BE913" s="101"/>
      <c r="BF913" s="101"/>
      <c r="BG913" s="101"/>
      <c r="BH913" s="101"/>
      <c r="BI913" s="101"/>
      <c r="BJ913" s="101"/>
      <c r="BK913" s="101"/>
      <c r="BL913" s="101"/>
      <c r="BM913" s="101"/>
      <c r="BN913" s="101"/>
      <c r="BO913" s="101"/>
      <c r="BP913" s="101"/>
      <c r="BQ913" s="101"/>
      <c r="BR913" s="101"/>
      <c r="BS913" s="101"/>
      <c r="BT913" s="101"/>
      <c r="BU913" s="101"/>
      <c r="BV913" s="101"/>
      <c r="BW913" s="101"/>
      <c r="BX913" s="101"/>
      <c r="BY913" s="101"/>
      <c r="BZ913" s="101"/>
      <c r="CA913" s="101"/>
      <c r="CB913" s="101"/>
      <c r="CC913" s="101"/>
      <c r="CD913" s="101"/>
      <c r="CE913" s="101"/>
      <c r="CF913" s="101"/>
      <c r="CG913" s="101"/>
      <c r="CH913" s="101"/>
      <c r="CI913" s="101"/>
      <c r="CJ913" s="101"/>
      <c r="CK913" s="101"/>
      <c r="CL913" s="101"/>
      <c r="CM913" s="101"/>
      <c r="CN913" s="101"/>
      <c r="CO913" s="101"/>
      <c r="CP913" s="101"/>
      <c r="CQ913" s="101"/>
      <c r="CR913" s="101"/>
      <c r="CS913" s="101"/>
      <c r="CT913" s="101"/>
      <c r="CU913" s="101"/>
      <c r="CV913" s="101"/>
      <c r="CW913" s="101"/>
      <c r="CX913" s="101"/>
      <c r="CY913" s="101"/>
      <c r="CZ913" s="101"/>
      <c r="DA913" s="101"/>
      <c r="DB913" s="101"/>
      <c r="DC913" s="101"/>
      <c r="DD913" s="101"/>
      <c r="DE913" s="101"/>
      <c r="DF913" s="101"/>
    </row>
    <row r="914">
      <c r="A914" s="29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3"/>
      <c r="U914" s="103"/>
      <c r="V914" s="103"/>
      <c r="W914" s="104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  <c r="AL914" s="101"/>
      <c r="AM914" s="29"/>
      <c r="AN914" s="101"/>
      <c r="AO914" s="101"/>
      <c r="AP914" s="101"/>
      <c r="AQ914" s="101"/>
      <c r="AR914" s="101"/>
      <c r="AS914" s="101"/>
      <c r="AT914" s="101"/>
      <c r="AU914" s="101"/>
      <c r="AV914" s="101"/>
      <c r="AW914" s="101"/>
      <c r="AX914" s="101"/>
      <c r="AY914" s="101"/>
      <c r="AZ914" s="101"/>
      <c r="BA914" s="101"/>
      <c r="BB914" s="101"/>
      <c r="BC914" s="101"/>
      <c r="BD914" s="101"/>
      <c r="BE914" s="101"/>
      <c r="BF914" s="101"/>
      <c r="BG914" s="101"/>
      <c r="BH914" s="101"/>
      <c r="BI914" s="101"/>
      <c r="BJ914" s="101"/>
      <c r="BK914" s="101"/>
      <c r="BL914" s="101"/>
      <c r="BM914" s="101"/>
      <c r="BN914" s="101"/>
      <c r="BO914" s="101"/>
      <c r="BP914" s="101"/>
      <c r="BQ914" s="101"/>
      <c r="BR914" s="101"/>
      <c r="BS914" s="101"/>
      <c r="BT914" s="101"/>
      <c r="BU914" s="101"/>
      <c r="BV914" s="101"/>
      <c r="BW914" s="101"/>
      <c r="BX914" s="101"/>
      <c r="BY914" s="101"/>
      <c r="BZ914" s="101"/>
      <c r="CA914" s="101"/>
      <c r="CB914" s="101"/>
      <c r="CC914" s="101"/>
      <c r="CD914" s="101"/>
      <c r="CE914" s="101"/>
      <c r="CF914" s="101"/>
      <c r="CG914" s="101"/>
      <c r="CH914" s="101"/>
      <c r="CI914" s="101"/>
      <c r="CJ914" s="101"/>
      <c r="CK914" s="101"/>
      <c r="CL914" s="101"/>
      <c r="CM914" s="101"/>
      <c r="CN914" s="101"/>
      <c r="CO914" s="101"/>
      <c r="CP914" s="101"/>
      <c r="CQ914" s="101"/>
      <c r="CR914" s="101"/>
      <c r="CS914" s="101"/>
      <c r="CT914" s="101"/>
      <c r="CU914" s="101"/>
      <c r="CV914" s="101"/>
      <c r="CW914" s="101"/>
      <c r="CX914" s="101"/>
      <c r="CY914" s="101"/>
      <c r="CZ914" s="101"/>
      <c r="DA914" s="101"/>
      <c r="DB914" s="101"/>
      <c r="DC914" s="101"/>
      <c r="DD914" s="101"/>
      <c r="DE914" s="101"/>
      <c r="DF914" s="101"/>
    </row>
    <row r="915">
      <c r="A915" s="29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3"/>
      <c r="U915" s="103"/>
      <c r="V915" s="103"/>
      <c r="W915" s="104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  <c r="AL915" s="101"/>
      <c r="AM915" s="29"/>
      <c r="AN915" s="101"/>
      <c r="AO915" s="101"/>
      <c r="AP915" s="101"/>
      <c r="AQ915" s="101"/>
      <c r="AR915" s="101"/>
      <c r="AS915" s="101"/>
      <c r="AT915" s="101"/>
      <c r="AU915" s="101"/>
      <c r="AV915" s="101"/>
      <c r="AW915" s="101"/>
      <c r="AX915" s="101"/>
      <c r="AY915" s="101"/>
      <c r="AZ915" s="101"/>
      <c r="BA915" s="101"/>
      <c r="BB915" s="101"/>
      <c r="BC915" s="101"/>
      <c r="BD915" s="101"/>
      <c r="BE915" s="101"/>
      <c r="BF915" s="101"/>
      <c r="BG915" s="101"/>
      <c r="BH915" s="101"/>
      <c r="BI915" s="101"/>
      <c r="BJ915" s="101"/>
      <c r="BK915" s="101"/>
      <c r="BL915" s="101"/>
      <c r="BM915" s="101"/>
      <c r="BN915" s="101"/>
      <c r="BO915" s="101"/>
      <c r="BP915" s="101"/>
      <c r="BQ915" s="101"/>
      <c r="BR915" s="101"/>
      <c r="BS915" s="101"/>
      <c r="BT915" s="101"/>
      <c r="BU915" s="101"/>
      <c r="BV915" s="101"/>
      <c r="BW915" s="101"/>
      <c r="BX915" s="101"/>
      <c r="BY915" s="101"/>
      <c r="BZ915" s="101"/>
      <c r="CA915" s="101"/>
      <c r="CB915" s="101"/>
      <c r="CC915" s="101"/>
      <c r="CD915" s="101"/>
      <c r="CE915" s="101"/>
      <c r="CF915" s="101"/>
      <c r="CG915" s="101"/>
      <c r="CH915" s="101"/>
      <c r="CI915" s="101"/>
      <c r="CJ915" s="101"/>
      <c r="CK915" s="101"/>
      <c r="CL915" s="101"/>
      <c r="CM915" s="101"/>
      <c r="CN915" s="101"/>
      <c r="CO915" s="101"/>
      <c r="CP915" s="101"/>
      <c r="CQ915" s="101"/>
      <c r="CR915" s="101"/>
      <c r="CS915" s="101"/>
      <c r="CT915" s="101"/>
      <c r="CU915" s="101"/>
      <c r="CV915" s="101"/>
      <c r="CW915" s="101"/>
      <c r="CX915" s="101"/>
      <c r="CY915" s="101"/>
      <c r="CZ915" s="101"/>
      <c r="DA915" s="101"/>
      <c r="DB915" s="101"/>
      <c r="DC915" s="101"/>
      <c r="DD915" s="101"/>
      <c r="DE915" s="101"/>
      <c r="DF915" s="101"/>
    </row>
    <row r="916">
      <c r="A916" s="29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3"/>
      <c r="U916" s="103"/>
      <c r="V916" s="103"/>
      <c r="W916" s="104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  <c r="AL916" s="101"/>
      <c r="AM916" s="29"/>
      <c r="AN916" s="101"/>
      <c r="AO916" s="101"/>
      <c r="AP916" s="101"/>
      <c r="AQ916" s="101"/>
      <c r="AR916" s="101"/>
      <c r="AS916" s="101"/>
      <c r="AT916" s="101"/>
      <c r="AU916" s="101"/>
      <c r="AV916" s="101"/>
      <c r="AW916" s="101"/>
      <c r="AX916" s="101"/>
      <c r="AY916" s="101"/>
      <c r="AZ916" s="101"/>
      <c r="BA916" s="101"/>
      <c r="BB916" s="101"/>
      <c r="BC916" s="101"/>
      <c r="BD916" s="101"/>
      <c r="BE916" s="101"/>
      <c r="BF916" s="101"/>
      <c r="BG916" s="101"/>
      <c r="BH916" s="101"/>
      <c r="BI916" s="101"/>
      <c r="BJ916" s="101"/>
      <c r="BK916" s="101"/>
      <c r="BL916" s="101"/>
      <c r="BM916" s="101"/>
      <c r="BN916" s="101"/>
      <c r="BO916" s="101"/>
      <c r="BP916" s="101"/>
      <c r="BQ916" s="101"/>
      <c r="BR916" s="101"/>
      <c r="BS916" s="101"/>
      <c r="BT916" s="101"/>
      <c r="BU916" s="101"/>
      <c r="BV916" s="101"/>
      <c r="BW916" s="101"/>
      <c r="BX916" s="101"/>
      <c r="BY916" s="101"/>
      <c r="BZ916" s="101"/>
      <c r="CA916" s="101"/>
      <c r="CB916" s="101"/>
      <c r="CC916" s="101"/>
      <c r="CD916" s="101"/>
      <c r="CE916" s="101"/>
      <c r="CF916" s="101"/>
      <c r="CG916" s="101"/>
      <c r="CH916" s="101"/>
      <c r="CI916" s="101"/>
      <c r="CJ916" s="101"/>
      <c r="CK916" s="101"/>
      <c r="CL916" s="101"/>
      <c r="CM916" s="101"/>
      <c r="CN916" s="101"/>
      <c r="CO916" s="101"/>
      <c r="CP916" s="101"/>
      <c r="CQ916" s="101"/>
      <c r="CR916" s="101"/>
      <c r="CS916" s="101"/>
      <c r="CT916" s="101"/>
      <c r="CU916" s="101"/>
      <c r="CV916" s="101"/>
      <c r="CW916" s="101"/>
      <c r="CX916" s="101"/>
      <c r="CY916" s="101"/>
      <c r="CZ916" s="101"/>
      <c r="DA916" s="101"/>
      <c r="DB916" s="101"/>
      <c r="DC916" s="101"/>
      <c r="DD916" s="101"/>
      <c r="DE916" s="101"/>
      <c r="DF916" s="101"/>
    </row>
    <row r="917">
      <c r="A917" s="29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3"/>
      <c r="U917" s="103"/>
      <c r="V917" s="103"/>
      <c r="W917" s="104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  <c r="AL917" s="101"/>
      <c r="AM917" s="29"/>
      <c r="AN917" s="101"/>
      <c r="AO917" s="101"/>
      <c r="AP917" s="101"/>
      <c r="AQ917" s="101"/>
      <c r="AR917" s="101"/>
      <c r="AS917" s="101"/>
      <c r="AT917" s="101"/>
      <c r="AU917" s="101"/>
      <c r="AV917" s="101"/>
      <c r="AW917" s="101"/>
      <c r="AX917" s="101"/>
      <c r="AY917" s="101"/>
      <c r="AZ917" s="101"/>
      <c r="BA917" s="101"/>
      <c r="BB917" s="101"/>
      <c r="BC917" s="101"/>
      <c r="BD917" s="101"/>
      <c r="BE917" s="101"/>
      <c r="BF917" s="101"/>
      <c r="BG917" s="101"/>
      <c r="BH917" s="101"/>
      <c r="BI917" s="101"/>
      <c r="BJ917" s="101"/>
      <c r="BK917" s="101"/>
      <c r="BL917" s="101"/>
      <c r="BM917" s="101"/>
      <c r="BN917" s="101"/>
      <c r="BO917" s="101"/>
      <c r="BP917" s="101"/>
      <c r="BQ917" s="101"/>
      <c r="BR917" s="101"/>
      <c r="BS917" s="101"/>
      <c r="BT917" s="101"/>
      <c r="BU917" s="101"/>
      <c r="BV917" s="101"/>
      <c r="BW917" s="101"/>
      <c r="BX917" s="101"/>
      <c r="BY917" s="101"/>
      <c r="BZ917" s="101"/>
      <c r="CA917" s="101"/>
      <c r="CB917" s="101"/>
      <c r="CC917" s="101"/>
      <c r="CD917" s="101"/>
      <c r="CE917" s="101"/>
      <c r="CF917" s="101"/>
      <c r="CG917" s="101"/>
      <c r="CH917" s="101"/>
      <c r="CI917" s="101"/>
      <c r="CJ917" s="101"/>
      <c r="CK917" s="101"/>
      <c r="CL917" s="101"/>
      <c r="CM917" s="101"/>
      <c r="CN917" s="101"/>
      <c r="CO917" s="101"/>
      <c r="CP917" s="101"/>
      <c r="CQ917" s="101"/>
      <c r="CR917" s="101"/>
      <c r="CS917" s="101"/>
      <c r="CT917" s="101"/>
      <c r="CU917" s="101"/>
      <c r="CV917" s="101"/>
      <c r="CW917" s="101"/>
      <c r="CX917" s="101"/>
      <c r="CY917" s="101"/>
      <c r="CZ917" s="101"/>
      <c r="DA917" s="101"/>
      <c r="DB917" s="101"/>
      <c r="DC917" s="101"/>
      <c r="DD917" s="101"/>
      <c r="DE917" s="101"/>
      <c r="DF917" s="101"/>
    </row>
    <row r="918">
      <c r="A918" s="29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3"/>
      <c r="U918" s="103"/>
      <c r="V918" s="103"/>
      <c r="W918" s="104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  <c r="AL918" s="101"/>
      <c r="AM918" s="29"/>
      <c r="AN918" s="101"/>
      <c r="AO918" s="101"/>
      <c r="AP918" s="101"/>
      <c r="AQ918" s="101"/>
      <c r="AR918" s="101"/>
      <c r="AS918" s="101"/>
      <c r="AT918" s="101"/>
      <c r="AU918" s="101"/>
      <c r="AV918" s="101"/>
      <c r="AW918" s="101"/>
      <c r="AX918" s="101"/>
      <c r="AY918" s="101"/>
      <c r="AZ918" s="101"/>
      <c r="BA918" s="101"/>
      <c r="BB918" s="101"/>
      <c r="BC918" s="101"/>
      <c r="BD918" s="101"/>
      <c r="BE918" s="101"/>
      <c r="BF918" s="101"/>
      <c r="BG918" s="101"/>
      <c r="BH918" s="101"/>
      <c r="BI918" s="101"/>
      <c r="BJ918" s="101"/>
      <c r="BK918" s="101"/>
      <c r="BL918" s="101"/>
      <c r="BM918" s="101"/>
      <c r="BN918" s="101"/>
      <c r="BO918" s="101"/>
      <c r="BP918" s="101"/>
      <c r="BQ918" s="101"/>
      <c r="BR918" s="101"/>
      <c r="BS918" s="101"/>
      <c r="BT918" s="101"/>
      <c r="BU918" s="101"/>
      <c r="BV918" s="101"/>
      <c r="BW918" s="101"/>
      <c r="BX918" s="101"/>
      <c r="BY918" s="101"/>
      <c r="BZ918" s="101"/>
      <c r="CA918" s="101"/>
      <c r="CB918" s="101"/>
      <c r="CC918" s="101"/>
      <c r="CD918" s="101"/>
      <c r="CE918" s="101"/>
      <c r="CF918" s="101"/>
      <c r="CG918" s="101"/>
      <c r="CH918" s="101"/>
      <c r="CI918" s="101"/>
      <c r="CJ918" s="101"/>
      <c r="CK918" s="101"/>
      <c r="CL918" s="101"/>
      <c r="CM918" s="101"/>
      <c r="CN918" s="101"/>
      <c r="CO918" s="101"/>
      <c r="CP918" s="101"/>
      <c r="CQ918" s="101"/>
      <c r="CR918" s="101"/>
      <c r="CS918" s="101"/>
      <c r="CT918" s="101"/>
      <c r="CU918" s="101"/>
      <c r="CV918" s="101"/>
      <c r="CW918" s="101"/>
      <c r="CX918" s="101"/>
      <c r="CY918" s="101"/>
      <c r="CZ918" s="101"/>
      <c r="DA918" s="101"/>
      <c r="DB918" s="101"/>
      <c r="DC918" s="101"/>
      <c r="DD918" s="101"/>
      <c r="DE918" s="101"/>
      <c r="DF918" s="101"/>
    </row>
    <row r="919">
      <c r="A919" s="29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3"/>
      <c r="U919" s="103"/>
      <c r="V919" s="103"/>
      <c r="W919" s="104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  <c r="AL919" s="101"/>
      <c r="AM919" s="29"/>
      <c r="AN919" s="101"/>
      <c r="AO919" s="101"/>
      <c r="AP919" s="101"/>
      <c r="AQ919" s="101"/>
      <c r="AR919" s="101"/>
      <c r="AS919" s="101"/>
      <c r="AT919" s="101"/>
      <c r="AU919" s="101"/>
      <c r="AV919" s="101"/>
      <c r="AW919" s="101"/>
      <c r="AX919" s="101"/>
      <c r="AY919" s="101"/>
      <c r="AZ919" s="101"/>
      <c r="BA919" s="101"/>
      <c r="BB919" s="101"/>
      <c r="BC919" s="101"/>
      <c r="BD919" s="101"/>
      <c r="BE919" s="101"/>
      <c r="BF919" s="101"/>
      <c r="BG919" s="101"/>
      <c r="BH919" s="101"/>
      <c r="BI919" s="101"/>
      <c r="BJ919" s="101"/>
      <c r="BK919" s="101"/>
      <c r="BL919" s="101"/>
      <c r="BM919" s="101"/>
      <c r="BN919" s="101"/>
      <c r="BO919" s="101"/>
      <c r="BP919" s="101"/>
      <c r="BQ919" s="101"/>
      <c r="BR919" s="101"/>
      <c r="BS919" s="101"/>
      <c r="BT919" s="101"/>
      <c r="BU919" s="101"/>
      <c r="BV919" s="101"/>
      <c r="BW919" s="101"/>
      <c r="BX919" s="101"/>
      <c r="BY919" s="101"/>
      <c r="BZ919" s="101"/>
      <c r="CA919" s="101"/>
      <c r="CB919" s="101"/>
      <c r="CC919" s="101"/>
      <c r="CD919" s="101"/>
      <c r="CE919" s="101"/>
      <c r="CF919" s="101"/>
      <c r="CG919" s="101"/>
      <c r="CH919" s="101"/>
      <c r="CI919" s="101"/>
      <c r="CJ919" s="101"/>
      <c r="CK919" s="101"/>
      <c r="CL919" s="101"/>
      <c r="CM919" s="101"/>
      <c r="CN919" s="101"/>
      <c r="CO919" s="101"/>
      <c r="CP919" s="101"/>
      <c r="CQ919" s="101"/>
      <c r="CR919" s="101"/>
      <c r="CS919" s="101"/>
      <c r="CT919" s="101"/>
      <c r="CU919" s="101"/>
      <c r="CV919" s="101"/>
      <c r="CW919" s="101"/>
      <c r="CX919" s="101"/>
      <c r="CY919" s="101"/>
      <c r="CZ919" s="101"/>
      <c r="DA919" s="101"/>
      <c r="DB919" s="101"/>
      <c r="DC919" s="101"/>
      <c r="DD919" s="101"/>
      <c r="DE919" s="101"/>
      <c r="DF919" s="101"/>
    </row>
    <row r="920">
      <c r="A920" s="29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3"/>
      <c r="U920" s="103"/>
      <c r="V920" s="103"/>
      <c r="W920" s="104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  <c r="AL920" s="101"/>
      <c r="AM920" s="29"/>
      <c r="AN920" s="101"/>
      <c r="AO920" s="101"/>
      <c r="AP920" s="101"/>
      <c r="AQ920" s="101"/>
      <c r="AR920" s="101"/>
      <c r="AS920" s="101"/>
      <c r="AT920" s="101"/>
      <c r="AU920" s="101"/>
      <c r="AV920" s="101"/>
      <c r="AW920" s="101"/>
      <c r="AX920" s="101"/>
      <c r="AY920" s="101"/>
      <c r="AZ920" s="101"/>
      <c r="BA920" s="101"/>
      <c r="BB920" s="101"/>
      <c r="BC920" s="101"/>
      <c r="BD920" s="101"/>
      <c r="BE920" s="101"/>
      <c r="BF920" s="101"/>
      <c r="BG920" s="101"/>
      <c r="BH920" s="101"/>
      <c r="BI920" s="101"/>
      <c r="BJ920" s="101"/>
      <c r="BK920" s="101"/>
      <c r="BL920" s="101"/>
      <c r="BM920" s="101"/>
      <c r="BN920" s="101"/>
      <c r="BO920" s="101"/>
      <c r="BP920" s="101"/>
      <c r="BQ920" s="101"/>
      <c r="BR920" s="101"/>
      <c r="BS920" s="101"/>
      <c r="BT920" s="101"/>
      <c r="BU920" s="101"/>
      <c r="BV920" s="101"/>
      <c r="BW920" s="101"/>
      <c r="BX920" s="101"/>
      <c r="BY920" s="101"/>
      <c r="BZ920" s="101"/>
      <c r="CA920" s="101"/>
      <c r="CB920" s="101"/>
      <c r="CC920" s="101"/>
      <c r="CD920" s="101"/>
      <c r="CE920" s="101"/>
      <c r="CF920" s="101"/>
      <c r="CG920" s="101"/>
      <c r="CH920" s="101"/>
      <c r="CI920" s="101"/>
      <c r="CJ920" s="101"/>
      <c r="CK920" s="101"/>
      <c r="CL920" s="101"/>
      <c r="CM920" s="101"/>
      <c r="CN920" s="101"/>
      <c r="CO920" s="101"/>
      <c r="CP920" s="101"/>
      <c r="CQ920" s="101"/>
      <c r="CR920" s="101"/>
      <c r="CS920" s="101"/>
      <c r="CT920" s="101"/>
      <c r="CU920" s="101"/>
      <c r="CV920" s="101"/>
      <c r="CW920" s="101"/>
      <c r="CX920" s="101"/>
      <c r="CY920" s="101"/>
      <c r="CZ920" s="101"/>
      <c r="DA920" s="101"/>
      <c r="DB920" s="101"/>
      <c r="DC920" s="101"/>
      <c r="DD920" s="101"/>
      <c r="DE920" s="101"/>
      <c r="DF920" s="101"/>
    </row>
    <row r="921">
      <c r="A921" s="29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3"/>
      <c r="U921" s="103"/>
      <c r="V921" s="103"/>
      <c r="W921" s="104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  <c r="AL921" s="101"/>
      <c r="AM921" s="29"/>
      <c r="AN921" s="101"/>
      <c r="AO921" s="101"/>
      <c r="AP921" s="101"/>
      <c r="AQ921" s="101"/>
      <c r="AR921" s="101"/>
      <c r="AS921" s="101"/>
      <c r="AT921" s="101"/>
      <c r="AU921" s="101"/>
      <c r="AV921" s="101"/>
      <c r="AW921" s="101"/>
      <c r="AX921" s="101"/>
      <c r="AY921" s="101"/>
      <c r="AZ921" s="101"/>
      <c r="BA921" s="101"/>
      <c r="BB921" s="101"/>
      <c r="BC921" s="101"/>
      <c r="BD921" s="101"/>
      <c r="BE921" s="101"/>
      <c r="BF921" s="101"/>
      <c r="BG921" s="101"/>
      <c r="BH921" s="101"/>
      <c r="BI921" s="101"/>
      <c r="BJ921" s="101"/>
      <c r="BK921" s="101"/>
      <c r="BL921" s="101"/>
      <c r="BM921" s="101"/>
      <c r="BN921" s="101"/>
      <c r="BO921" s="101"/>
      <c r="BP921" s="101"/>
      <c r="BQ921" s="101"/>
      <c r="BR921" s="101"/>
      <c r="BS921" s="101"/>
      <c r="BT921" s="101"/>
      <c r="BU921" s="101"/>
      <c r="BV921" s="101"/>
      <c r="BW921" s="101"/>
      <c r="BX921" s="101"/>
      <c r="BY921" s="101"/>
      <c r="BZ921" s="101"/>
      <c r="CA921" s="101"/>
      <c r="CB921" s="101"/>
      <c r="CC921" s="101"/>
      <c r="CD921" s="101"/>
      <c r="CE921" s="101"/>
      <c r="CF921" s="101"/>
      <c r="CG921" s="101"/>
      <c r="CH921" s="101"/>
      <c r="CI921" s="101"/>
      <c r="CJ921" s="101"/>
      <c r="CK921" s="101"/>
      <c r="CL921" s="101"/>
      <c r="CM921" s="101"/>
      <c r="CN921" s="101"/>
      <c r="CO921" s="101"/>
      <c r="CP921" s="101"/>
      <c r="CQ921" s="101"/>
      <c r="CR921" s="101"/>
      <c r="CS921" s="101"/>
      <c r="CT921" s="101"/>
      <c r="CU921" s="101"/>
      <c r="CV921" s="101"/>
      <c r="CW921" s="101"/>
      <c r="CX921" s="101"/>
      <c r="CY921" s="101"/>
      <c r="CZ921" s="101"/>
      <c r="DA921" s="101"/>
      <c r="DB921" s="101"/>
      <c r="DC921" s="101"/>
      <c r="DD921" s="101"/>
      <c r="DE921" s="101"/>
      <c r="DF921" s="101"/>
    </row>
    <row r="922">
      <c r="A922" s="29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3"/>
      <c r="U922" s="103"/>
      <c r="V922" s="103"/>
      <c r="W922" s="104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  <c r="AL922" s="101"/>
      <c r="AM922" s="29"/>
      <c r="AN922" s="101"/>
      <c r="AO922" s="101"/>
      <c r="AP922" s="101"/>
      <c r="AQ922" s="101"/>
      <c r="AR922" s="101"/>
      <c r="AS922" s="101"/>
      <c r="AT922" s="101"/>
      <c r="AU922" s="101"/>
      <c r="AV922" s="101"/>
      <c r="AW922" s="101"/>
      <c r="AX922" s="101"/>
      <c r="AY922" s="101"/>
      <c r="AZ922" s="101"/>
      <c r="BA922" s="101"/>
      <c r="BB922" s="101"/>
      <c r="BC922" s="101"/>
      <c r="BD922" s="101"/>
      <c r="BE922" s="101"/>
      <c r="BF922" s="101"/>
      <c r="BG922" s="101"/>
      <c r="BH922" s="101"/>
      <c r="BI922" s="101"/>
      <c r="BJ922" s="101"/>
      <c r="BK922" s="101"/>
      <c r="BL922" s="101"/>
      <c r="BM922" s="101"/>
      <c r="BN922" s="101"/>
      <c r="BO922" s="101"/>
      <c r="BP922" s="101"/>
      <c r="BQ922" s="101"/>
      <c r="BR922" s="101"/>
      <c r="BS922" s="101"/>
      <c r="BT922" s="101"/>
      <c r="BU922" s="101"/>
      <c r="BV922" s="101"/>
      <c r="BW922" s="101"/>
      <c r="BX922" s="101"/>
      <c r="BY922" s="101"/>
      <c r="BZ922" s="101"/>
      <c r="CA922" s="101"/>
      <c r="CB922" s="101"/>
      <c r="CC922" s="101"/>
      <c r="CD922" s="101"/>
      <c r="CE922" s="101"/>
      <c r="CF922" s="101"/>
      <c r="CG922" s="101"/>
      <c r="CH922" s="101"/>
      <c r="CI922" s="101"/>
      <c r="CJ922" s="101"/>
      <c r="CK922" s="101"/>
      <c r="CL922" s="101"/>
      <c r="CM922" s="101"/>
      <c r="CN922" s="101"/>
      <c r="CO922" s="101"/>
      <c r="CP922" s="101"/>
      <c r="CQ922" s="101"/>
      <c r="CR922" s="101"/>
      <c r="CS922" s="101"/>
      <c r="CT922" s="101"/>
      <c r="CU922" s="101"/>
      <c r="CV922" s="101"/>
      <c r="CW922" s="101"/>
      <c r="CX922" s="101"/>
      <c r="CY922" s="101"/>
      <c r="CZ922" s="101"/>
      <c r="DA922" s="101"/>
      <c r="DB922" s="101"/>
      <c r="DC922" s="101"/>
      <c r="DD922" s="101"/>
      <c r="DE922" s="101"/>
      <c r="DF922" s="101"/>
    </row>
    <row r="923">
      <c r="A923" s="29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3"/>
      <c r="U923" s="103"/>
      <c r="V923" s="103"/>
      <c r="W923" s="104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  <c r="AL923" s="101"/>
      <c r="AM923" s="29"/>
      <c r="AN923" s="101"/>
      <c r="AO923" s="101"/>
      <c r="AP923" s="101"/>
      <c r="AQ923" s="101"/>
      <c r="AR923" s="101"/>
      <c r="AS923" s="101"/>
      <c r="AT923" s="101"/>
      <c r="AU923" s="101"/>
      <c r="AV923" s="101"/>
      <c r="AW923" s="101"/>
      <c r="AX923" s="101"/>
      <c r="AY923" s="101"/>
      <c r="AZ923" s="101"/>
      <c r="BA923" s="101"/>
      <c r="BB923" s="101"/>
      <c r="BC923" s="101"/>
      <c r="BD923" s="101"/>
      <c r="BE923" s="101"/>
      <c r="BF923" s="101"/>
      <c r="BG923" s="101"/>
      <c r="BH923" s="101"/>
      <c r="BI923" s="101"/>
      <c r="BJ923" s="101"/>
      <c r="BK923" s="101"/>
      <c r="BL923" s="101"/>
      <c r="BM923" s="101"/>
      <c r="BN923" s="101"/>
      <c r="BO923" s="101"/>
      <c r="BP923" s="101"/>
      <c r="BQ923" s="101"/>
      <c r="BR923" s="101"/>
      <c r="BS923" s="101"/>
      <c r="BT923" s="101"/>
      <c r="BU923" s="101"/>
      <c r="BV923" s="101"/>
      <c r="BW923" s="101"/>
      <c r="BX923" s="101"/>
      <c r="BY923" s="101"/>
      <c r="BZ923" s="101"/>
      <c r="CA923" s="101"/>
      <c r="CB923" s="101"/>
      <c r="CC923" s="101"/>
      <c r="CD923" s="101"/>
      <c r="CE923" s="101"/>
      <c r="CF923" s="101"/>
      <c r="CG923" s="101"/>
      <c r="CH923" s="101"/>
      <c r="CI923" s="101"/>
      <c r="CJ923" s="101"/>
      <c r="CK923" s="101"/>
      <c r="CL923" s="101"/>
      <c r="CM923" s="101"/>
      <c r="CN923" s="101"/>
      <c r="CO923" s="101"/>
      <c r="CP923" s="101"/>
      <c r="CQ923" s="101"/>
      <c r="CR923" s="101"/>
      <c r="CS923" s="101"/>
      <c r="CT923" s="101"/>
      <c r="CU923" s="101"/>
      <c r="CV923" s="101"/>
      <c r="CW923" s="101"/>
      <c r="CX923" s="101"/>
      <c r="CY923" s="101"/>
      <c r="CZ923" s="101"/>
      <c r="DA923" s="101"/>
      <c r="DB923" s="101"/>
      <c r="DC923" s="101"/>
      <c r="DD923" s="101"/>
      <c r="DE923" s="101"/>
      <c r="DF923" s="101"/>
    </row>
    <row r="924">
      <c r="A924" s="29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3"/>
      <c r="U924" s="103"/>
      <c r="V924" s="103"/>
      <c r="W924" s="104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  <c r="AL924" s="101"/>
      <c r="AM924" s="29"/>
      <c r="AN924" s="101"/>
      <c r="AO924" s="101"/>
      <c r="AP924" s="101"/>
      <c r="AQ924" s="101"/>
      <c r="AR924" s="101"/>
      <c r="AS924" s="101"/>
      <c r="AT924" s="101"/>
      <c r="AU924" s="101"/>
      <c r="AV924" s="101"/>
      <c r="AW924" s="101"/>
      <c r="AX924" s="101"/>
      <c r="AY924" s="101"/>
      <c r="AZ924" s="101"/>
      <c r="BA924" s="101"/>
      <c r="BB924" s="101"/>
      <c r="BC924" s="101"/>
      <c r="BD924" s="101"/>
      <c r="BE924" s="101"/>
      <c r="BF924" s="101"/>
      <c r="BG924" s="101"/>
      <c r="BH924" s="101"/>
      <c r="BI924" s="101"/>
      <c r="BJ924" s="101"/>
      <c r="BK924" s="101"/>
      <c r="BL924" s="101"/>
      <c r="BM924" s="101"/>
      <c r="BN924" s="101"/>
      <c r="BO924" s="101"/>
      <c r="BP924" s="101"/>
      <c r="BQ924" s="101"/>
      <c r="BR924" s="101"/>
      <c r="BS924" s="101"/>
      <c r="BT924" s="101"/>
      <c r="BU924" s="101"/>
      <c r="BV924" s="101"/>
      <c r="BW924" s="101"/>
      <c r="BX924" s="101"/>
      <c r="BY924" s="101"/>
      <c r="BZ924" s="101"/>
      <c r="CA924" s="101"/>
      <c r="CB924" s="101"/>
      <c r="CC924" s="101"/>
      <c r="CD924" s="101"/>
      <c r="CE924" s="101"/>
      <c r="CF924" s="101"/>
      <c r="CG924" s="101"/>
      <c r="CH924" s="101"/>
      <c r="CI924" s="101"/>
      <c r="CJ924" s="101"/>
      <c r="CK924" s="101"/>
      <c r="CL924" s="101"/>
      <c r="CM924" s="101"/>
      <c r="CN924" s="101"/>
      <c r="CO924" s="101"/>
      <c r="CP924" s="101"/>
      <c r="CQ924" s="101"/>
      <c r="CR924" s="101"/>
      <c r="CS924" s="101"/>
      <c r="CT924" s="101"/>
      <c r="CU924" s="101"/>
      <c r="CV924" s="101"/>
      <c r="CW924" s="101"/>
      <c r="CX924" s="101"/>
      <c r="CY924" s="101"/>
      <c r="CZ924" s="101"/>
      <c r="DA924" s="101"/>
      <c r="DB924" s="101"/>
      <c r="DC924" s="101"/>
      <c r="DD924" s="101"/>
      <c r="DE924" s="101"/>
      <c r="DF924" s="101"/>
    </row>
    <row r="925">
      <c r="A925" s="29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3"/>
      <c r="U925" s="103"/>
      <c r="V925" s="103"/>
      <c r="W925" s="104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  <c r="AL925" s="101"/>
      <c r="AM925" s="29"/>
      <c r="AN925" s="101"/>
      <c r="AO925" s="101"/>
      <c r="AP925" s="101"/>
      <c r="AQ925" s="101"/>
      <c r="AR925" s="101"/>
      <c r="AS925" s="101"/>
      <c r="AT925" s="101"/>
      <c r="AU925" s="101"/>
      <c r="AV925" s="101"/>
      <c r="AW925" s="101"/>
      <c r="AX925" s="101"/>
      <c r="AY925" s="101"/>
      <c r="AZ925" s="101"/>
      <c r="BA925" s="101"/>
      <c r="BB925" s="101"/>
      <c r="BC925" s="101"/>
      <c r="BD925" s="101"/>
      <c r="BE925" s="101"/>
      <c r="BF925" s="101"/>
      <c r="BG925" s="101"/>
      <c r="BH925" s="101"/>
      <c r="BI925" s="101"/>
      <c r="BJ925" s="101"/>
      <c r="BK925" s="101"/>
      <c r="BL925" s="101"/>
      <c r="BM925" s="101"/>
      <c r="BN925" s="101"/>
      <c r="BO925" s="101"/>
      <c r="BP925" s="101"/>
      <c r="BQ925" s="101"/>
      <c r="BR925" s="101"/>
      <c r="BS925" s="101"/>
      <c r="BT925" s="101"/>
      <c r="BU925" s="101"/>
      <c r="BV925" s="101"/>
      <c r="BW925" s="101"/>
      <c r="BX925" s="101"/>
      <c r="BY925" s="101"/>
      <c r="BZ925" s="101"/>
      <c r="CA925" s="101"/>
      <c r="CB925" s="101"/>
      <c r="CC925" s="101"/>
      <c r="CD925" s="101"/>
      <c r="CE925" s="101"/>
      <c r="CF925" s="101"/>
      <c r="CG925" s="101"/>
      <c r="CH925" s="101"/>
      <c r="CI925" s="101"/>
      <c r="CJ925" s="101"/>
      <c r="CK925" s="101"/>
      <c r="CL925" s="101"/>
      <c r="CM925" s="101"/>
      <c r="CN925" s="101"/>
      <c r="CO925" s="101"/>
      <c r="CP925" s="101"/>
      <c r="CQ925" s="101"/>
      <c r="CR925" s="101"/>
      <c r="CS925" s="101"/>
      <c r="CT925" s="101"/>
      <c r="CU925" s="101"/>
      <c r="CV925" s="101"/>
      <c r="CW925" s="101"/>
      <c r="CX925" s="101"/>
      <c r="CY925" s="101"/>
      <c r="CZ925" s="101"/>
      <c r="DA925" s="101"/>
      <c r="DB925" s="101"/>
      <c r="DC925" s="101"/>
      <c r="DD925" s="101"/>
      <c r="DE925" s="101"/>
      <c r="DF925" s="101"/>
    </row>
    <row r="926">
      <c r="A926" s="29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3"/>
      <c r="U926" s="103"/>
      <c r="V926" s="103"/>
      <c r="W926" s="104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  <c r="AL926" s="101"/>
      <c r="AM926" s="29"/>
      <c r="AN926" s="101"/>
      <c r="AO926" s="101"/>
      <c r="AP926" s="101"/>
      <c r="AQ926" s="101"/>
      <c r="AR926" s="101"/>
      <c r="AS926" s="101"/>
      <c r="AT926" s="101"/>
      <c r="AU926" s="101"/>
      <c r="AV926" s="101"/>
      <c r="AW926" s="101"/>
      <c r="AX926" s="101"/>
      <c r="AY926" s="101"/>
      <c r="AZ926" s="101"/>
      <c r="BA926" s="101"/>
      <c r="BB926" s="101"/>
      <c r="BC926" s="101"/>
      <c r="BD926" s="101"/>
      <c r="BE926" s="101"/>
      <c r="BF926" s="101"/>
      <c r="BG926" s="101"/>
      <c r="BH926" s="101"/>
      <c r="BI926" s="101"/>
      <c r="BJ926" s="101"/>
      <c r="BK926" s="101"/>
      <c r="BL926" s="101"/>
      <c r="BM926" s="101"/>
      <c r="BN926" s="101"/>
      <c r="BO926" s="101"/>
      <c r="BP926" s="101"/>
      <c r="BQ926" s="101"/>
      <c r="BR926" s="101"/>
      <c r="BS926" s="101"/>
      <c r="BT926" s="101"/>
      <c r="BU926" s="101"/>
      <c r="BV926" s="101"/>
      <c r="BW926" s="101"/>
      <c r="BX926" s="101"/>
      <c r="BY926" s="101"/>
      <c r="BZ926" s="101"/>
      <c r="CA926" s="101"/>
      <c r="CB926" s="101"/>
      <c r="CC926" s="101"/>
      <c r="CD926" s="101"/>
      <c r="CE926" s="101"/>
      <c r="CF926" s="101"/>
      <c r="CG926" s="101"/>
      <c r="CH926" s="101"/>
      <c r="CI926" s="101"/>
      <c r="CJ926" s="101"/>
      <c r="CK926" s="101"/>
      <c r="CL926" s="101"/>
      <c r="CM926" s="101"/>
      <c r="CN926" s="101"/>
      <c r="CO926" s="101"/>
      <c r="CP926" s="101"/>
      <c r="CQ926" s="101"/>
      <c r="CR926" s="101"/>
      <c r="CS926" s="101"/>
      <c r="CT926" s="101"/>
      <c r="CU926" s="101"/>
      <c r="CV926" s="101"/>
      <c r="CW926" s="101"/>
      <c r="CX926" s="101"/>
      <c r="CY926" s="101"/>
      <c r="CZ926" s="101"/>
      <c r="DA926" s="101"/>
      <c r="DB926" s="101"/>
      <c r="DC926" s="101"/>
      <c r="DD926" s="101"/>
      <c r="DE926" s="101"/>
      <c r="DF926" s="101"/>
    </row>
    <row r="927">
      <c r="A927" s="29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3"/>
      <c r="U927" s="103"/>
      <c r="V927" s="103"/>
      <c r="W927" s="104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  <c r="AL927" s="101"/>
      <c r="AM927" s="29"/>
      <c r="AN927" s="101"/>
      <c r="AO927" s="101"/>
      <c r="AP927" s="101"/>
      <c r="AQ927" s="101"/>
      <c r="AR927" s="101"/>
      <c r="AS927" s="101"/>
      <c r="AT927" s="101"/>
      <c r="AU927" s="101"/>
      <c r="AV927" s="101"/>
      <c r="AW927" s="101"/>
      <c r="AX927" s="101"/>
      <c r="AY927" s="101"/>
      <c r="AZ927" s="101"/>
      <c r="BA927" s="101"/>
      <c r="BB927" s="101"/>
      <c r="BC927" s="101"/>
      <c r="BD927" s="101"/>
      <c r="BE927" s="101"/>
      <c r="BF927" s="101"/>
      <c r="BG927" s="101"/>
      <c r="BH927" s="101"/>
      <c r="BI927" s="101"/>
      <c r="BJ927" s="101"/>
      <c r="BK927" s="101"/>
      <c r="BL927" s="101"/>
      <c r="BM927" s="101"/>
      <c r="BN927" s="101"/>
      <c r="BO927" s="101"/>
      <c r="BP927" s="101"/>
      <c r="BQ927" s="101"/>
      <c r="BR927" s="101"/>
      <c r="BS927" s="101"/>
      <c r="BT927" s="101"/>
      <c r="BU927" s="101"/>
      <c r="BV927" s="101"/>
      <c r="BW927" s="101"/>
      <c r="BX927" s="101"/>
      <c r="BY927" s="101"/>
      <c r="BZ927" s="101"/>
      <c r="CA927" s="101"/>
      <c r="CB927" s="101"/>
      <c r="CC927" s="101"/>
      <c r="CD927" s="101"/>
      <c r="CE927" s="101"/>
      <c r="CF927" s="101"/>
      <c r="CG927" s="101"/>
      <c r="CH927" s="101"/>
      <c r="CI927" s="101"/>
      <c r="CJ927" s="101"/>
      <c r="CK927" s="101"/>
      <c r="CL927" s="101"/>
      <c r="CM927" s="101"/>
      <c r="CN927" s="101"/>
      <c r="CO927" s="101"/>
      <c r="CP927" s="101"/>
      <c r="CQ927" s="101"/>
      <c r="CR927" s="101"/>
      <c r="CS927" s="101"/>
      <c r="CT927" s="101"/>
      <c r="CU927" s="101"/>
      <c r="CV927" s="101"/>
      <c r="CW927" s="101"/>
      <c r="CX927" s="101"/>
      <c r="CY927" s="101"/>
      <c r="CZ927" s="101"/>
      <c r="DA927" s="101"/>
      <c r="DB927" s="101"/>
      <c r="DC927" s="101"/>
      <c r="DD927" s="101"/>
      <c r="DE927" s="101"/>
      <c r="DF927" s="101"/>
    </row>
    <row r="928">
      <c r="A928" s="29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3"/>
      <c r="U928" s="103"/>
      <c r="V928" s="103"/>
      <c r="W928" s="104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  <c r="AL928" s="101"/>
      <c r="AM928" s="29"/>
      <c r="AN928" s="101"/>
      <c r="AO928" s="101"/>
      <c r="AP928" s="101"/>
      <c r="AQ928" s="101"/>
      <c r="AR928" s="101"/>
      <c r="AS928" s="101"/>
      <c r="AT928" s="101"/>
      <c r="AU928" s="101"/>
      <c r="AV928" s="101"/>
      <c r="AW928" s="101"/>
      <c r="AX928" s="101"/>
      <c r="AY928" s="101"/>
      <c r="AZ928" s="101"/>
      <c r="BA928" s="101"/>
      <c r="BB928" s="101"/>
      <c r="BC928" s="101"/>
      <c r="BD928" s="101"/>
      <c r="BE928" s="101"/>
      <c r="BF928" s="101"/>
      <c r="BG928" s="101"/>
      <c r="BH928" s="101"/>
      <c r="BI928" s="101"/>
      <c r="BJ928" s="101"/>
      <c r="BK928" s="101"/>
      <c r="BL928" s="101"/>
      <c r="BM928" s="101"/>
      <c r="BN928" s="101"/>
      <c r="BO928" s="101"/>
      <c r="BP928" s="101"/>
      <c r="BQ928" s="101"/>
      <c r="BR928" s="101"/>
      <c r="BS928" s="101"/>
      <c r="BT928" s="101"/>
      <c r="BU928" s="101"/>
      <c r="BV928" s="101"/>
      <c r="BW928" s="101"/>
      <c r="BX928" s="101"/>
      <c r="BY928" s="101"/>
      <c r="BZ928" s="101"/>
      <c r="CA928" s="101"/>
      <c r="CB928" s="101"/>
      <c r="CC928" s="101"/>
      <c r="CD928" s="101"/>
      <c r="CE928" s="101"/>
      <c r="CF928" s="101"/>
      <c r="CG928" s="101"/>
      <c r="CH928" s="101"/>
      <c r="CI928" s="101"/>
      <c r="CJ928" s="101"/>
      <c r="CK928" s="101"/>
      <c r="CL928" s="101"/>
      <c r="CM928" s="101"/>
      <c r="CN928" s="101"/>
      <c r="CO928" s="101"/>
      <c r="CP928" s="101"/>
      <c r="CQ928" s="101"/>
      <c r="CR928" s="101"/>
      <c r="CS928" s="101"/>
      <c r="CT928" s="101"/>
      <c r="CU928" s="101"/>
      <c r="CV928" s="101"/>
      <c r="CW928" s="101"/>
      <c r="CX928" s="101"/>
      <c r="CY928" s="101"/>
      <c r="CZ928" s="101"/>
      <c r="DA928" s="101"/>
      <c r="DB928" s="101"/>
      <c r="DC928" s="101"/>
      <c r="DD928" s="101"/>
      <c r="DE928" s="101"/>
      <c r="DF928" s="101"/>
    </row>
    <row r="929">
      <c r="A929" s="29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3"/>
      <c r="U929" s="103"/>
      <c r="V929" s="103"/>
      <c r="W929" s="104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  <c r="AL929" s="101"/>
      <c r="AM929" s="29"/>
      <c r="AN929" s="101"/>
      <c r="AO929" s="101"/>
      <c r="AP929" s="101"/>
      <c r="AQ929" s="101"/>
      <c r="AR929" s="101"/>
      <c r="AS929" s="101"/>
      <c r="AT929" s="101"/>
      <c r="AU929" s="101"/>
      <c r="AV929" s="101"/>
      <c r="AW929" s="101"/>
      <c r="AX929" s="101"/>
      <c r="AY929" s="101"/>
      <c r="AZ929" s="101"/>
      <c r="BA929" s="101"/>
      <c r="BB929" s="101"/>
      <c r="BC929" s="101"/>
      <c r="BD929" s="101"/>
      <c r="BE929" s="101"/>
      <c r="BF929" s="101"/>
      <c r="BG929" s="101"/>
      <c r="BH929" s="101"/>
      <c r="BI929" s="101"/>
      <c r="BJ929" s="101"/>
      <c r="BK929" s="101"/>
      <c r="BL929" s="101"/>
      <c r="BM929" s="101"/>
      <c r="BN929" s="101"/>
      <c r="BO929" s="101"/>
      <c r="BP929" s="101"/>
      <c r="BQ929" s="101"/>
      <c r="BR929" s="101"/>
      <c r="BS929" s="101"/>
      <c r="BT929" s="101"/>
      <c r="BU929" s="101"/>
      <c r="BV929" s="101"/>
      <c r="BW929" s="101"/>
      <c r="BX929" s="101"/>
      <c r="BY929" s="101"/>
      <c r="BZ929" s="101"/>
      <c r="CA929" s="101"/>
      <c r="CB929" s="101"/>
      <c r="CC929" s="101"/>
      <c r="CD929" s="101"/>
      <c r="CE929" s="101"/>
      <c r="CF929" s="101"/>
      <c r="CG929" s="101"/>
      <c r="CH929" s="101"/>
      <c r="CI929" s="101"/>
      <c r="CJ929" s="101"/>
      <c r="CK929" s="101"/>
      <c r="CL929" s="101"/>
      <c r="CM929" s="101"/>
      <c r="CN929" s="101"/>
      <c r="CO929" s="101"/>
      <c r="CP929" s="101"/>
      <c r="CQ929" s="101"/>
      <c r="CR929" s="101"/>
      <c r="CS929" s="101"/>
      <c r="CT929" s="101"/>
      <c r="CU929" s="101"/>
      <c r="CV929" s="101"/>
      <c r="CW929" s="101"/>
      <c r="CX929" s="101"/>
      <c r="CY929" s="101"/>
      <c r="CZ929" s="101"/>
      <c r="DA929" s="101"/>
      <c r="DB929" s="101"/>
      <c r="DC929" s="101"/>
      <c r="DD929" s="101"/>
      <c r="DE929" s="101"/>
      <c r="DF929" s="101"/>
    </row>
    <row r="930">
      <c r="A930" s="29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3"/>
      <c r="U930" s="103"/>
      <c r="V930" s="103"/>
      <c r="W930" s="104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  <c r="AL930" s="101"/>
      <c r="AM930" s="29"/>
      <c r="AN930" s="101"/>
      <c r="AO930" s="101"/>
      <c r="AP930" s="101"/>
      <c r="AQ930" s="101"/>
      <c r="AR930" s="101"/>
      <c r="AS930" s="101"/>
      <c r="AT930" s="101"/>
      <c r="AU930" s="101"/>
      <c r="AV930" s="101"/>
      <c r="AW930" s="101"/>
      <c r="AX930" s="101"/>
      <c r="AY930" s="101"/>
      <c r="AZ930" s="101"/>
      <c r="BA930" s="101"/>
      <c r="BB930" s="101"/>
      <c r="BC930" s="101"/>
      <c r="BD930" s="101"/>
      <c r="BE930" s="101"/>
      <c r="BF930" s="101"/>
      <c r="BG930" s="101"/>
      <c r="BH930" s="101"/>
      <c r="BI930" s="101"/>
      <c r="BJ930" s="101"/>
      <c r="BK930" s="101"/>
      <c r="BL930" s="101"/>
      <c r="BM930" s="101"/>
      <c r="BN930" s="101"/>
      <c r="BO930" s="101"/>
      <c r="BP930" s="101"/>
      <c r="BQ930" s="101"/>
      <c r="BR930" s="101"/>
      <c r="BS930" s="101"/>
      <c r="BT930" s="101"/>
      <c r="BU930" s="101"/>
      <c r="BV930" s="101"/>
      <c r="BW930" s="101"/>
      <c r="BX930" s="101"/>
      <c r="BY930" s="101"/>
      <c r="BZ930" s="101"/>
      <c r="CA930" s="101"/>
      <c r="CB930" s="101"/>
      <c r="CC930" s="101"/>
      <c r="CD930" s="101"/>
      <c r="CE930" s="101"/>
      <c r="CF930" s="101"/>
      <c r="CG930" s="101"/>
      <c r="CH930" s="101"/>
      <c r="CI930" s="101"/>
      <c r="CJ930" s="101"/>
      <c r="CK930" s="101"/>
      <c r="CL930" s="101"/>
      <c r="CM930" s="101"/>
      <c r="CN930" s="101"/>
      <c r="CO930" s="101"/>
      <c r="CP930" s="101"/>
      <c r="CQ930" s="101"/>
      <c r="CR930" s="101"/>
      <c r="CS930" s="101"/>
      <c r="CT930" s="101"/>
      <c r="CU930" s="101"/>
      <c r="CV930" s="101"/>
      <c r="CW930" s="101"/>
      <c r="CX930" s="101"/>
      <c r="CY930" s="101"/>
      <c r="CZ930" s="101"/>
      <c r="DA930" s="101"/>
      <c r="DB930" s="101"/>
      <c r="DC930" s="101"/>
      <c r="DD930" s="101"/>
      <c r="DE930" s="101"/>
      <c r="DF930" s="101"/>
    </row>
    <row r="931">
      <c r="A931" s="29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3"/>
      <c r="U931" s="103"/>
      <c r="V931" s="103"/>
      <c r="W931" s="104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  <c r="AL931" s="101"/>
      <c r="AM931" s="29"/>
      <c r="AN931" s="101"/>
      <c r="AO931" s="101"/>
      <c r="AP931" s="101"/>
      <c r="AQ931" s="101"/>
      <c r="AR931" s="101"/>
      <c r="AS931" s="101"/>
      <c r="AT931" s="101"/>
      <c r="AU931" s="101"/>
      <c r="AV931" s="101"/>
      <c r="AW931" s="101"/>
      <c r="AX931" s="101"/>
      <c r="AY931" s="101"/>
      <c r="AZ931" s="101"/>
      <c r="BA931" s="101"/>
      <c r="BB931" s="101"/>
      <c r="BC931" s="101"/>
      <c r="BD931" s="101"/>
      <c r="BE931" s="101"/>
      <c r="BF931" s="101"/>
      <c r="BG931" s="101"/>
      <c r="BH931" s="101"/>
      <c r="BI931" s="101"/>
      <c r="BJ931" s="101"/>
      <c r="BK931" s="101"/>
      <c r="BL931" s="101"/>
      <c r="BM931" s="101"/>
      <c r="BN931" s="101"/>
      <c r="BO931" s="101"/>
      <c r="BP931" s="101"/>
      <c r="BQ931" s="101"/>
      <c r="BR931" s="101"/>
      <c r="BS931" s="101"/>
      <c r="BT931" s="101"/>
      <c r="BU931" s="101"/>
      <c r="BV931" s="101"/>
      <c r="BW931" s="101"/>
      <c r="BX931" s="101"/>
      <c r="BY931" s="101"/>
      <c r="BZ931" s="101"/>
      <c r="CA931" s="101"/>
      <c r="CB931" s="101"/>
      <c r="CC931" s="101"/>
      <c r="CD931" s="101"/>
      <c r="CE931" s="101"/>
      <c r="CF931" s="101"/>
      <c r="CG931" s="101"/>
      <c r="CH931" s="101"/>
      <c r="CI931" s="101"/>
      <c r="CJ931" s="101"/>
      <c r="CK931" s="101"/>
      <c r="CL931" s="101"/>
      <c r="CM931" s="101"/>
      <c r="CN931" s="101"/>
      <c r="CO931" s="101"/>
      <c r="CP931" s="101"/>
      <c r="CQ931" s="101"/>
      <c r="CR931" s="101"/>
      <c r="CS931" s="101"/>
      <c r="CT931" s="101"/>
      <c r="CU931" s="101"/>
      <c r="CV931" s="101"/>
      <c r="CW931" s="101"/>
      <c r="CX931" s="101"/>
      <c r="CY931" s="101"/>
      <c r="CZ931" s="101"/>
      <c r="DA931" s="101"/>
      <c r="DB931" s="101"/>
      <c r="DC931" s="101"/>
      <c r="DD931" s="101"/>
      <c r="DE931" s="101"/>
      <c r="DF931" s="101"/>
    </row>
    <row r="932">
      <c r="A932" s="29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3"/>
      <c r="U932" s="103"/>
      <c r="V932" s="103"/>
      <c r="W932" s="104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  <c r="AL932" s="101"/>
      <c r="AM932" s="29"/>
      <c r="AN932" s="101"/>
      <c r="AO932" s="101"/>
      <c r="AP932" s="101"/>
      <c r="AQ932" s="101"/>
      <c r="AR932" s="101"/>
      <c r="AS932" s="101"/>
      <c r="AT932" s="101"/>
      <c r="AU932" s="101"/>
      <c r="AV932" s="101"/>
      <c r="AW932" s="101"/>
      <c r="AX932" s="101"/>
      <c r="AY932" s="101"/>
      <c r="AZ932" s="101"/>
      <c r="BA932" s="101"/>
      <c r="BB932" s="101"/>
      <c r="BC932" s="101"/>
      <c r="BD932" s="101"/>
      <c r="BE932" s="101"/>
      <c r="BF932" s="101"/>
      <c r="BG932" s="101"/>
      <c r="BH932" s="101"/>
      <c r="BI932" s="101"/>
      <c r="BJ932" s="101"/>
      <c r="BK932" s="101"/>
      <c r="BL932" s="101"/>
      <c r="BM932" s="101"/>
      <c r="BN932" s="101"/>
      <c r="BO932" s="101"/>
      <c r="BP932" s="101"/>
      <c r="BQ932" s="101"/>
      <c r="BR932" s="101"/>
      <c r="BS932" s="101"/>
      <c r="BT932" s="101"/>
      <c r="BU932" s="101"/>
      <c r="BV932" s="101"/>
      <c r="BW932" s="101"/>
      <c r="BX932" s="101"/>
      <c r="BY932" s="101"/>
      <c r="BZ932" s="101"/>
      <c r="CA932" s="101"/>
      <c r="CB932" s="101"/>
      <c r="CC932" s="101"/>
      <c r="CD932" s="101"/>
      <c r="CE932" s="101"/>
      <c r="CF932" s="101"/>
      <c r="CG932" s="101"/>
      <c r="CH932" s="101"/>
      <c r="CI932" s="101"/>
      <c r="CJ932" s="101"/>
      <c r="CK932" s="101"/>
      <c r="CL932" s="101"/>
      <c r="CM932" s="101"/>
      <c r="CN932" s="101"/>
      <c r="CO932" s="101"/>
      <c r="CP932" s="101"/>
      <c r="CQ932" s="101"/>
      <c r="CR932" s="101"/>
      <c r="CS932" s="101"/>
      <c r="CT932" s="101"/>
      <c r="CU932" s="101"/>
      <c r="CV932" s="101"/>
      <c r="CW932" s="101"/>
      <c r="CX932" s="101"/>
      <c r="CY932" s="101"/>
      <c r="CZ932" s="101"/>
      <c r="DA932" s="101"/>
      <c r="DB932" s="101"/>
      <c r="DC932" s="101"/>
      <c r="DD932" s="101"/>
      <c r="DE932" s="101"/>
      <c r="DF932" s="101"/>
    </row>
    <row r="933">
      <c r="A933" s="29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3"/>
      <c r="U933" s="103"/>
      <c r="V933" s="103"/>
      <c r="W933" s="104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  <c r="AL933" s="101"/>
      <c r="AM933" s="29"/>
      <c r="AN933" s="101"/>
      <c r="AO933" s="101"/>
      <c r="AP933" s="101"/>
      <c r="AQ933" s="101"/>
      <c r="AR933" s="101"/>
      <c r="AS933" s="101"/>
      <c r="AT933" s="101"/>
      <c r="AU933" s="101"/>
      <c r="AV933" s="101"/>
      <c r="AW933" s="101"/>
      <c r="AX933" s="101"/>
      <c r="AY933" s="101"/>
      <c r="AZ933" s="101"/>
      <c r="BA933" s="101"/>
      <c r="BB933" s="101"/>
      <c r="BC933" s="101"/>
      <c r="BD933" s="101"/>
      <c r="BE933" s="101"/>
      <c r="BF933" s="101"/>
      <c r="BG933" s="101"/>
      <c r="BH933" s="101"/>
      <c r="BI933" s="101"/>
      <c r="BJ933" s="101"/>
      <c r="BK933" s="101"/>
      <c r="BL933" s="101"/>
      <c r="BM933" s="101"/>
      <c r="BN933" s="101"/>
      <c r="BO933" s="101"/>
      <c r="BP933" s="101"/>
      <c r="BQ933" s="101"/>
      <c r="BR933" s="101"/>
      <c r="BS933" s="101"/>
      <c r="BT933" s="101"/>
      <c r="BU933" s="101"/>
      <c r="BV933" s="101"/>
      <c r="BW933" s="101"/>
      <c r="BX933" s="101"/>
      <c r="BY933" s="101"/>
      <c r="BZ933" s="101"/>
      <c r="CA933" s="101"/>
      <c r="CB933" s="101"/>
      <c r="CC933" s="101"/>
      <c r="CD933" s="101"/>
      <c r="CE933" s="101"/>
      <c r="CF933" s="101"/>
      <c r="CG933" s="101"/>
      <c r="CH933" s="101"/>
      <c r="CI933" s="101"/>
      <c r="CJ933" s="101"/>
      <c r="CK933" s="101"/>
      <c r="CL933" s="101"/>
      <c r="CM933" s="101"/>
      <c r="CN933" s="101"/>
      <c r="CO933" s="101"/>
      <c r="CP933" s="101"/>
      <c r="CQ933" s="101"/>
      <c r="CR933" s="101"/>
      <c r="CS933" s="101"/>
      <c r="CT933" s="101"/>
      <c r="CU933" s="101"/>
      <c r="CV933" s="101"/>
      <c r="CW933" s="101"/>
      <c r="CX933" s="101"/>
      <c r="CY933" s="101"/>
      <c r="CZ933" s="101"/>
      <c r="DA933" s="101"/>
      <c r="DB933" s="101"/>
      <c r="DC933" s="101"/>
      <c r="DD933" s="101"/>
      <c r="DE933" s="101"/>
      <c r="DF933" s="101"/>
    </row>
    <row r="934">
      <c r="A934" s="29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3"/>
      <c r="U934" s="103"/>
      <c r="V934" s="103"/>
      <c r="W934" s="104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  <c r="AL934" s="101"/>
      <c r="AM934" s="29"/>
      <c r="AN934" s="101"/>
      <c r="AO934" s="101"/>
      <c r="AP934" s="101"/>
      <c r="AQ934" s="101"/>
      <c r="AR934" s="101"/>
      <c r="AS934" s="101"/>
      <c r="AT934" s="101"/>
      <c r="AU934" s="101"/>
      <c r="AV934" s="101"/>
      <c r="AW934" s="101"/>
      <c r="AX934" s="101"/>
      <c r="AY934" s="101"/>
      <c r="AZ934" s="101"/>
      <c r="BA934" s="101"/>
      <c r="BB934" s="101"/>
      <c r="BC934" s="101"/>
      <c r="BD934" s="101"/>
      <c r="BE934" s="101"/>
      <c r="BF934" s="101"/>
      <c r="BG934" s="101"/>
      <c r="BH934" s="101"/>
      <c r="BI934" s="101"/>
      <c r="BJ934" s="101"/>
      <c r="BK934" s="101"/>
      <c r="BL934" s="101"/>
      <c r="BM934" s="101"/>
      <c r="BN934" s="101"/>
      <c r="BO934" s="101"/>
      <c r="BP934" s="101"/>
      <c r="BQ934" s="101"/>
      <c r="BR934" s="101"/>
      <c r="BS934" s="101"/>
      <c r="BT934" s="101"/>
      <c r="BU934" s="101"/>
      <c r="BV934" s="101"/>
      <c r="BW934" s="101"/>
      <c r="BX934" s="101"/>
      <c r="BY934" s="101"/>
      <c r="BZ934" s="101"/>
      <c r="CA934" s="101"/>
      <c r="CB934" s="101"/>
      <c r="CC934" s="101"/>
      <c r="CD934" s="101"/>
      <c r="CE934" s="101"/>
      <c r="CF934" s="101"/>
      <c r="CG934" s="101"/>
      <c r="CH934" s="101"/>
      <c r="CI934" s="101"/>
      <c r="CJ934" s="101"/>
      <c r="CK934" s="101"/>
      <c r="CL934" s="101"/>
      <c r="CM934" s="101"/>
      <c r="CN934" s="101"/>
      <c r="CO934" s="101"/>
      <c r="CP934" s="101"/>
      <c r="CQ934" s="101"/>
      <c r="CR934" s="101"/>
      <c r="CS934" s="101"/>
      <c r="CT934" s="101"/>
      <c r="CU934" s="101"/>
      <c r="CV934" s="101"/>
      <c r="CW934" s="101"/>
      <c r="CX934" s="101"/>
      <c r="CY934" s="101"/>
      <c r="CZ934" s="101"/>
      <c r="DA934" s="101"/>
      <c r="DB934" s="101"/>
      <c r="DC934" s="101"/>
      <c r="DD934" s="101"/>
      <c r="DE934" s="101"/>
      <c r="DF934" s="101"/>
    </row>
    <row r="935">
      <c r="A935" s="29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3"/>
      <c r="U935" s="103"/>
      <c r="V935" s="103"/>
      <c r="W935" s="104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  <c r="AL935" s="101"/>
      <c r="AM935" s="29"/>
      <c r="AN935" s="101"/>
      <c r="AO935" s="101"/>
      <c r="AP935" s="101"/>
      <c r="AQ935" s="101"/>
      <c r="AR935" s="101"/>
      <c r="AS935" s="101"/>
      <c r="AT935" s="101"/>
      <c r="AU935" s="101"/>
      <c r="AV935" s="101"/>
      <c r="AW935" s="101"/>
      <c r="AX935" s="101"/>
      <c r="AY935" s="101"/>
      <c r="AZ935" s="101"/>
      <c r="BA935" s="101"/>
      <c r="BB935" s="101"/>
      <c r="BC935" s="101"/>
      <c r="BD935" s="101"/>
      <c r="BE935" s="101"/>
      <c r="BF935" s="101"/>
      <c r="BG935" s="101"/>
      <c r="BH935" s="101"/>
      <c r="BI935" s="101"/>
      <c r="BJ935" s="101"/>
      <c r="BK935" s="101"/>
      <c r="BL935" s="101"/>
      <c r="BM935" s="101"/>
      <c r="BN935" s="101"/>
      <c r="BO935" s="101"/>
      <c r="BP935" s="101"/>
      <c r="BQ935" s="101"/>
      <c r="BR935" s="101"/>
      <c r="BS935" s="101"/>
      <c r="BT935" s="101"/>
      <c r="BU935" s="101"/>
      <c r="BV935" s="101"/>
      <c r="BW935" s="101"/>
      <c r="BX935" s="101"/>
      <c r="BY935" s="101"/>
      <c r="BZ935" s="101"/>
      <c r="CA935" s="101"/>
      <c r="CB935" s="101"/>
      <c r="CC935" s="101"/>
      <c r="CD935" s="101"/>
      <c r="CE935" s="101"/>
      <c r="CF935" s="101"/>
      <c r="CG935" s="101"/>
      <c r="CH935" s="101"/>
      <c r="CI935" s="101"/>
      <c r="CJ935" s="101"/>
      <c r="CK935" s="101"/>
      <c r="CL935" s="101"/>
      <c r="CM935" s="101"/>
      <c r="CN935" s="101"/>
      <c r="CO935" s="101"/>
      <c r="CP935" s="101"/>
      <c r="CQ935" s="101"/>
      <c r="CR935" s="101"/>
      <c r="CS935" s="101"/>
      <c r="CT935" s="101"/>
      <c r="CU935" s="101"/>
      <c r="CV935" s="101"/>
      <c r="CW935" s="101"/>
      <c r="CX935" s="101"/>
      <c r="CY935" s="101"/>
      <c r="CZ935" s="101"/>
      <c r="DA935" s="101"/>
      <c r="DB935" s="101"/>
      <c r="DC935" s="101"/>
      <c r="DD935" s="101"/>
      <c r="DE935" s="101"/>
      <c r="DF935" s="101"/>
    </row>
    <row r="936">
      <c r="A936" s="29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3"/>
      <c r="U936" s="103"/>
      <c r="V936" s="103"/>
      <c r="W936" s="104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  <c r="AL936" s="101"/>
      <c r="AM936" s="29"/>
      <c r="AN936" s="101"/>
      <c r="AO936" s="101"/>
      <c r="AP936" s="101"/>
      <c r="AQ936" s="101"/>
      <c r="AR936" s="101"/>
      <c r="AS936" s="101"/>
      <c r="AT936" s="101"/>
      <c r="AU936" s="101"/>
      <c r="AV936" s="101"/>
      <c r="AW936" s="101"/>
      <c r="AX936" s="101"/>
      <c r="AY936" s="101"/>
      <c r="AZ936" s="101"/>
      <c r="BA936" s="101"/>
      <c r="BB936" s="101"/>
      <c r="BC936" s="101"/>
      <c r="BD936" s="101"/>
      <c r="BE936" s="101"/>
      <c r="BF936" s="101"/>
      <c r="BG936" s="101"/>
      <c r="BH936" s="101"/>
      <c r="BI936" s="101"/>
      <c r="BJ936" s="101"/>
      <c r="BK936" s="101"/>
      <c r="BL936" s="101"/>
      <c r="BM936" s="101"/>
      <c r="BN936" s="101"/>
      <c r="BO936" s="101"/>
      <c r="BP936" s="101"/>
      <c r="BQ936" s="101"/>
      <c r="BR936" s="101"/>
      <c r="BS936" s="101"/>
      <c r="BT936" s="101"/>
      <c r="BU936" s="101"/>
      <c r="BV936" s="101"/>
      <c r="BW936" s="101"/>
      <c r="BX936" s="101"/>
      <c r="BY936" s="101"/>
      <c r="BZ936" s="101"/>
      <c r="CA936" s="101"/>
      <c r="CB936" s="101"/>
      <c r="CC936" s="101"/>
      <c r="CD936" s="101"/>
      <c r="CE936" s="101"/>
      <c r="CF936" s="101"/>
      <c r="CG936" s="101"/>
      <c r="CH936" s="101"/>
      <c r="CI936" s="101"/>
      <c r="CJ936" s="101"/>
      <c r="CK936" s="101"/>
      <c r="CL936" s="101"/>
      <c r="CM936" s="101"/>
      <c r="CN936" s="101"/>
      <c r="CO936" s="101"/>
      <c r="CP936" s="101"/>
      <c r="CQ936" s="101"/>
      <c r="CR936" s="101"/>
      <c r="CS936" s="101"/>
      <c r="CT936" s="101"/>
      <c r="CU936" s="101"/>
      <c r="CV936" s="101"/>
      <c r="CW936" s="101"/>
      <c r="CX936" s="101"/>
      <c r="CY936" s="101"/>
      <c r="CZ936" s="101"/>
      <c r="DA936" s="101"/>
      <c r="DB936" s="101"/>
      <c r="DC936" s="101"/>
      <c r="DD936" s="101"/>
      <c r="DE936" s="101"/>
      <c r="DF936" s="101"/>
    </row>
    <row r="937">
      <c r="A937" s="29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3"/>
      <c r="U937" s="103"/>
      <c r="V937" s="103"/>
      <c r="W937" s="104"/>
      <c r="X937" s="101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  <c r="AL937" s="101"/>
      <c r="AM937" s="29"/>
      <c r="AN937" s="101"/>
      <c r="AO937" s="101"/>
      <c r="AP937" s="101"/>
      <c r="AQ937" s="101"/>
      <c r="AR937" s="101"/>
      <c r="AS937" s="101"/>
      <c r="AT937" s="101"/>
      <c r="AU937" s="101"/>
      <c r="AV937" s="101"/>
      <c r="AW937" s="101"/>
      <c r="AX937" s="101"/>
      <c r="AY937" s="101"/>
      <c r="AZ937" s="101"/>
      <c r="BA937" s="101"/>
      <c r="BB937" s="101"/>
      <c r="BC937" s="101"/>
      <c r="BD937" s="101"/>
      <c r="BE937" s="101"/>
      <c r="BF937" s="101"/>
      <c r="BG937" s="101"/>
      <c r="BH937" s="101"/>
      <c r="BI937" s="101"/>
      <c r="BJ937" s="101"/>
      <c r="BK937" s="101"/>
      <c r="BL937" s="101"/>
      <c r="BM937" s="101"/>
      <c r="BN937" s="101"/>
      <c r="BO937" s="101"/>
      <c r="BP937" s="101"/>
      <c r="BQ937" s="101"/>
      <c r="BR937" s="101"/>
      <c r="BS937" s="101"/>
      <c r="BT937" s="101"/>
      <c r="BU937" s="101"/>
      <c r="BV937" s="101"/>
      <c r="BW937" s="101"/>
      <c r="BX937" s="101"/>
      <c r="BY937" s="101"/>
      <c r="BZ937" s="101"/>
      <c r="CA937" s="101"/>
      <c r="CB937" s="101"/>
      <c r="CC937" s="101"/>
      <c r="CD937" s="101"/>
      <c r="CE937" s="101"/>
      <c r="CF937" s="101"/>
      <c r="CG937" s="101"/>
      <c r="CH937" s="101"/>
      <c r="CI937" s="101"/>
      <c r="CJ937" s="101"/>
      <c r="CK937" s="101"/>
      <c r="CL937" s="101"/>
      <c r="CM937" s="101"/>
      <c r="CN937" s="101"/>
      <c r="CO937" s="101"/>
      <c r="CP937" s="101"/>
      <c r="CQ937" s="101"/>
      <c r="CR937" s="101"/>
      <c r="CS937" s="101"/>
      <c r="CT937" s="101"/>
      <c r="CU937" s="101"/>
      <c r="CV937" s="101"/>
      <c r="CW937" s="101"/>
      <c r="CX937" s="101"/>
      <c r="CY937" s="101"/>
      <c r="CZ937" s="101"/>
      <c r="DA937" s="101"/>
      <c r="DB937" s="101"/>
      <c r="DC937" s="101"/>
      <c r="DD937" s="101"/>
      <c r="DE937" s="101"/>
      <c r="DF937" s="101"/>
    </row>
    <row r="938">
      <c r="A938" s="29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3"/>
      <c r="U938" s="103"/>
      <c r="V938" s="103"/>
      <c r="W938" s="104"/>
      <c r="X938" s="101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  <c r="AL938" s="101"/>
      <c r="AM938" s="29"/>
      <c r="AN938" s="101"/>
      <c r="AO938" s="101"/>
      <c r="AP938" s="101"/>
      <c r="AQ938" s="101"/>
      <c r="AR938" s="101"/>
      <c r="AS938" s="101"/>
      <c r="AT938" s="101"/>
      <c r="AU938" s="101"/>
      <c r="AV938" s="101"/>
      <c r="AW938" s="101"/>
      <c r="AX938" s="101"/>
      <c r="AY938" s="101"/>
      <c r="AZ938" s="101"/>
      <c r="BA938" s="101"/>
      <c r="BB938" s="101"/>
      <c r="BC938" s="101"/>
      <c r="BD938" s="101"/>
      <c r="BE938" s="101"/>
      <c r="BF938" s="101"/>
      <c r="BG938" s="101"/>
      <c r="BH938" s="101"/>
      <c r="BI938" s="101"/>
      <c r="BJ938" s="101"/>
      <c r="BK938" s="101"/>
      <c r="BL938" s="101"/>
      <c r="BM938" s="101"/>
      <c r="BN938" s="101"/>
      <c r="BO938" s="101"/>
      <c r="BP938" s="101"/>
      <c r="BQ938" s="101"/>
      <c r="BR938" s="101"/>
      <c r="BS938" s="101"/>
      <c r="BT938" s="101"/>
      <c r="BU938" s="101"/>
      <c r="BV938" s="101"/>
      <c r="BW938" s="101"/>
      <c r="BX938" s="101"/>
      <c r="BY938" s="101"/>
      <c r="BZ938" s="101"/>
      <c r="CA938" s="101"/>
      <c r="CB938" s="101"/>
      <c r="CC938" s="101"/>
      <c r="CD938" s="101"/>
      <c r="CE938" s="101"/>
      <c r="CF938" s="101"/>
      <c r="CG938" s="101"/>
      <c r="CH938" s="101"/>
      <c r="CI938" s="101"/>
      <c r="CJ938" s="101"/>
      <c r="CK938" s="101"/>
      <c r="CL938" s="101"/>
      <c r="CM938" s="101"/>
      <c r="CN938" s="101"/>
      <c r="CO938" s="101"/>
      <c r="CP938" s="101"/>
      <c r="CQ938" s="101"/>
      <c r="CR938" s="101"/>
      <c r="CS938" s="101"/>
      <c r="CT938" s="101"/>
      <c r="CU938" s="101"/>
      <c r="CV938" s="101"/>
      <c r="CW938" s="101"/>
      <c r="CX938" s="101"/>
      <c r="CY938" s="101"/>
      <c r="CZ938" s="101"/>
      <c r="DA938" s="101"/>
      <c r="DB938" s="101"/>
      <c r="DC938" s="101"/>
      <c r="DD938" s="101"/>
      <c r="DE938" s="101"/>
      <c r="DF938" s="101"/>
    </row>
    <row r="939">
      <c r="A939" s="29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3"/>
      <c r="U939" s="103"/>
      <c r="V939" s="103"/>
      <c r="W939" s="104"/>
      <c r="X939" s="101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  <c r="AL939" s="101"/>
      <c r="AM939" s="29"/>
      <c r="AN939" s="101"/>
      <c r="AO939" s="101"/>
      <c r="AP939" s="101"/>
      <c r="AQ939" s="101"/>
      <c r="AR939" s="101"/>
      <c r="AS939" s="101"/>
      <c r="AT939" s="101"/>
      <c r="AU939" s="101"/>
      <c r="AV939" s="101"/>
      <c r="AW939" s="101"/>
      <c r="AX939" s="101"/>
      <c r="AY939" s="101"/>
      <c r="AZ939" s="101"/>
      <c r="BA939" s="101"/>
      <c r="BB939" s="101"/>
      <c r="BC939" s="101"/>
      <c r="BD939" s="101"/>
      <c r="BE939" s="101"/>
      <c r="BF939" s="101"/>
      <c r="BG939" s="101"/>
      <c r="BH939" s="101"/>
      <c r="BI939" s="101"/>
      <c r="BJ939" s="101"/>
      <c r="BK939" s="101"/>
      <c r="BL939" s="101"/>
      <c r="BM939" s="101"/>
      <c r="BN939" s="101"/>
      <c r="BO939" s="101"/>
      <c r="BP939" s="101"/>
      <c r="BQ939" s="101"/>
      <c r="BR939" s="101"/>
      <c r="BS939" s="101"/>
      <c r="BT939" s="101"/>
      <c r="BU939" s="101"/>
      <c r="BV939" s="101"/>
      <c r="BW939" s="101"/>
      <c r="BX939" s="101"/>
      <c r="BY939" s="101"/>
      <c r="BZ939" s="101"/>
      <c r="CA939" s="101"/>
      <c r="CB939" s="101"/>
      <c r="CC939" s="101"/>
      <c r="CD939" s="101"/>
      <c r="CE939" s="101"/>
      <c r="CF939" s="101"/>
      <c r="CG939" s="101"/>
      <c r="CH939" s="101"/>
      <c r="CI939" s="101"/>
      <c r="CJ939" s="101"/>
      <c r="CK939" s="101"/>
      <c r="CL939" s="101"/>
      <c r="CM939" s="101"/>
      <c r="CN939" s="101"/>
      <c r="CO939" s="101"/>
      <c r="CP939" s="101"/>
      <c r="CQ939" s="101"/>
      <c r="CR939" s="101"/>
      <c r="CS939" s="101"/>
      <c r="CT939" s="101"/>
      <c r="CU939" s="101"/>
      <c r="CV939" s="101"/>
      <c r="CW939" s="101"/>
      <c r="CX939" s="101"/>
      <c r="CY939" s="101"/>
      <c r="CZ939" s="101"/>
      <c r="DA939" s="101"/>
      <c r="DB939" s="101"/>
      <c r="DC939" s="101"/>
      <c r="DD939" s="101"/>
      <c r="DE939" s="101"/>
      <c r="DF939" s="101"/>
    </row>
    <row r="940">
      <c r="A940" s="29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3"/>
      <c r="U940" s="103"/>
      <c r="V940" s="103"/>
      <c r="W940" s="104"/>
      <c r="X940" s="101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  <c r="AL940" s="101"/>
      <c r="AM940" s="29"/>
      <c r="AN940" s="101"/>
      <c r="AO940" s="101"/>
      <c r="AP940" s="101"/>
      <c r="AQ940" s="101"/>
      <c r="AR940" s="101"/>
      <c r="AS940" s="101"/>
      <c r="AT940" s="101"/>
      <c r="AU940" s="101"/>
      <c r="AV940" s="101"/>
      <c r="AW940" s="101"/>
      <c r="AX940" s="101"/>
      <c r="AY940" s="101"/>
      <c r="AZ940" s="101"/>
      <c r="BA940" s="101"/>
      <c r="BB940" s="101"/>
      <c r="BC940" s="101"/>
      <c r="BD940" s="101"/>
      <c r="BE940" s="101"/>
      <c r="BF940" s="101"/>
      <c r="BG940" s="101"/>
      <c r="BH940" s="101"/>
      <c r="BI940" s="101"/>
      <c r="BJ940" s="101"/>
      <c r="BK940" s="101"/>
      <c r="BL940" s="101"/>
      <c r="BM940" s="101"/>
      <c r="BN940" s="101"/>
      <c r="BO940" s="101"/>
      <c r="BP940" s="101"/>
      <c r="BQ940" s="101"/>
      <c r="BR940" s="101"/>
      <c r="BS940" s="101"/>
      <c r="BT940" s="101"/>
      <c r="BU940" s="101"/>
      <c r="BV940" s="101"/>
      <c r="BW940" s="101"/>
      <c r="BX940" s="101"/>
      <c r="BY940" s="101"/>
      <c r="BZ940" s="101"/>
      <c r="CA940" s="101"/>
      <c r="CB940" s="101"/>
      <c r="CC940" s="101"/>
      <c r="CD940" s="101"/>
      <c r="CE940" s="101"/>
      <c r="CF940" s="101"/>
      <c r="CG940" s="101"/>
      <c r="CH940" s="101"/>
      <c r="CI940" s="101"/>
      <c r="CJ940" s="101"/>
      <c r="CK940" s="101"/>
      <c r="CL940" s="101"/>
      <c r="CM940" s="101"/>
      <c r="CN940" s="101"/>
      <c r="CO940" s="101"/>
      <c r="CP940" s="101"/>
      <c r="CQ940" s="101"/>
      <c r="CR940" s="101"/>
      <c r="CS940" s="101"/>
      <c r="CT940" s="101"/>
      <c r="CU940" s="101"/>
      <c r="CV940" s="101"/>
      <c r="CW940" s="101"/>
      <c r="CX940" s="101"/>
      <c r="CY940" s="101"/>
      <c r="CZ940" s="101"/>
      <c r="DA940" s="101"/>
      <c r="DB940" s="101"/>
      <c r="DC940" s="101"/>
      <c r="DD940" s="101"/>
      <c r="DE940" s="101"/>
      <c r="DF940" s="101"/>
    </row>
    <row r="941">
      <c r="A941" s="29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3"/>
      <c r="U941" s="103"/>
      <c r="V941" s="103"/>
      <c r="W941" s="104"/>
      <c r="X941" s="101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  <c r="AM941" s="29"/>
      <c r="AN941" s="101"/>
      <c r="AO941" s="101"/>
      <c r="AP941" s="101"/>
      <c r="AQ941" s="101"/>
      <c r="AR941" s="101"/>
      <c r="AS941" s="101"/>
      <c r="AT941" s="101"/>
      <c r="AU941" s="101"/>
      <c r="AV941" s="101"/>
      <c r="AW941" s="101"/>
      <c r="AX941" s="101"/>
      <c r="AY941" s="101"/>
      <c r="AZ941" s="101"/>
      <c r="BA941" s="101"/>
      <c r="BB941" s="101"/>
      <c r="BC941" s="101"/>
      <c r="BD941" s="101"/>
      <c r="BE941" s="101"/>
      <c r="BF941" s="101"/>
      <c r="BG941" s="101"/>
      <c r="BH941" s="101"/>
      <c r="BI941" s="101"/>
      <c r="BJ941" s="101"/>
      <c r="BK941" s="101"/>
      <c r="BL941" s="101"/>
      <c r="BM941" s="101"/>
      <c r="BN941" s="101"/>
      <c r="BO941" s="101"/>
      <c r="BP941" s="101"/>
      <c r="BQ941" s="101"/>
      <c r="BR941" s="101"/>
      <c r="BS941" s="101"/>
      <c r="BT941" s="101"/>
      <c r="BU941" s="101"/>
      <c r="BV941" s="101"/>
      <c r="BW941" s="101"/>
      <c r="BX941" s="101"/>
      <c r="BY941" s="101"/>
      <c r="BZ941" s="101"/>
      <c r="CA941" s="101"/>
      <c r="CB941" s="101"/>
      <c r="CC941" s="101"/>
      <c r="CD941" s="101"/>
      <c r="CE941" s="101"/>
      <c r="CF941" s="101"/>
      <c r="CG941" s="101"/>
      <c r="CH941" s="101"/>
      <c r="CI941" s="101"/>
      <c r="CJ941" s="101"/>
      <c r="CK941" s="101"/>
      <c r="CL941" s="101"/>
      <c r="CM941" s="101"/>
      <c r="CN941" s="101"/>
      <c r="CO941" s="101"/>
      <c r="CP941" s="101"/>
      <c r="CQ941" s="101"/>
      <c r="CR941" s="101"/>
      <c r="CS941" s="101"/>
      <c r="CT941" s="101"/>
      <c r="CU941" s="101"/>
      <c r="CV941" s="101"/>
      <c r="CW941" s="101"/>
      <c r="CX941" s="101"/>
      <c r="CY941" s="101"/>
      <c r="CZ941" s="101"/>
      <c r="DA941" s="101"/>
      <c r="DB941" s="101"/>
      <c r="DC941" s="101"/>
      <c r="DD941" s="101"/>
      <c r="DE941" s="101"/>
      <c r="DF941" s="101"/>
    </row>
    <row r="942">
      <c r="A942" s="29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3"/>
      <c r="U942" s="103"/>
      <c r="V942" s="103"/>
      <c r="W942" s="104"/>
      <c r="X942" s="101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  <c r="AL942" s="101"/>
      <c r="AM942" s="29"/>
      <c r="AN942" s="101"/>
      <c r="AO942" s="101"/>
      <c r="AP942" s="101"/>
      <c r="AQ942" s="101"/>
      <c r="AR942" s="101"/>
      <c r="AS942" s="101"/>
      <c r="AT942" s="101"/>
      <c r="AU942" s="101"/>
      <c r="AV942" s="101"/>
      <c r="AW942" s="101"/>
      <c r="AX942" s="101"/>
      <c r="AY942" s="101"/>
      <c r="AZ942" s="101"/>
      <c r="BA942" s="101"/>
      <c r="BB942" s="101"/>
      <c r="BC942" s="101"/>
      <c r="BD942" s="101"/>
      <c r="BE942" s="101"/>
      <c r="BF942" s="101"/>
      <c r="BG942" s="101"/>
      <c r="BH942" s="101"/>
      <c r="BI942" s="101"/>
      <c r="BJ942" s="101"/>
      <c r="BK942" s="101"/>
      <c r="BL942" s="101"/>
      <c r="BM942" s="101"/>
      <c r="BN942" s="101"/>
      <c r="BO942" s="101"/>
      <c r="BP942" s="101"/>
      <c r="BQ942" s="101"/>
      <c r="BR942" s="101"/>
      <c r="BS942" s="101"/>
      <c r="BT942" s="101"/>
      <c r="BU942" s="101"/>
      <c r="BV942" s="101"/>
      <c r="BW942" s="101"/>
      <c r="BX942" s="101"/>
      <c r="BY942" s="101"/>
      <c r="BZ942" s="101"/>
      <c r="CA942" s="101"/>
      <c r="CB942" s="101"/>
      <c r="CC942" s="101"/>
      <c r="CD942" s="101"/>
      <c r="CE942" s="101"/>
      <c r="CF942" s="101"/>
      <c r="CG942" s="101"/>
      <c r="CH942" s="101"/>
      <c r="CI942" s="101"/>
      <c r="CJ942" s="101"/>
      <c r="CK942" s="101"/>
      <c r="CL942" s="101"/>
      <c r="CM942" s="101"/>
      <c r="CN942" s="101"/>
      <c r="CO942" s="101"/>
      <c r="CP942" s="101"/>
      <c r="CQ942" s="101"/>
      <c r="CR942" s="101"/>
      <c r="CS942" s="101"/>
      <c r="CT942" s="101"/>
      <c r="CU942" s="101"/>
      <c r="CV942" s="101"/>
      <c r="CW942" s="101"/>
      <c r="CX942" s="101"/>
      <c r="CY942" s="101"/>
      <c r="CZ942" s="101"/>
      <c r="DA942" s="101"/>
      <c r="DB942" s="101"/>
      <c r="DC942" s="101"/>
      <c r="DD942" s="101"/>
      <c r="DE942" s="101"/>
      <c r="DF942" s="101"/>
    </row>
    <row r="943">
      <c r="A943" s="29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3"/>
      <c r="U943" s="103"/>
      <c r="V943" s="103"/>
      <c r="W943" s="104"/>
      <c r="X943" s="101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  <c r="AL943" s="101"/>
      <c r="AM943" s="29"/>
      <c r="AN943" s="101"/>
      <c r="AO943" s="101"/>
      <c r="AP943" s="101"/>
      <c r="AQ943" s="101"/>
      <c r="AR943" s="101"/>
      <c r="AS943" s="101"/>
      <c r="AT943" s="101"/>
      <c r="AU943" s="101"/>
      <c r="AV943" s="101"/>
      <c r="AW943" s="101"/>
      <c r="AX943" s="101"/>
      <c r="AY943" s="101"/>
      <c r="AZ943" s="101"/>
      <c r="BA943" s="101"/>
      <c r="BB943" s="101"/>
      <c r="BC943" s="101"/>
      <c r="BD943" s="101"/>
      <c r="BE943" s="101"/>
      <c r="BF943" s="101"/>
      <c r="BG943" s="101"/>
      <c r="BH943" s="101"/>
      <c r="BI943" s="101"/>
      <c r="BJ943" s="101"/>
      <c r="BK943" s="101"/>
      <c r="BL943" s="101"/>
      <c r="BM943" s="101"/>
      <c r="BN943" s="101"/>
      <c r="BO943" s="101"/>
      <c r="BP943" s="101"/>
      <c r="BQ943" s="101"/>
      <c r="BR943" s="101"/>
      <c r="BS943" s="101"/>
      <c r="BT943" s="101"/>
      <c r="BU943" s="101"/>
      <c r="BV943" s="101"/>
      <c r="BW943" s="101"/>
      <c r="BX943" s="101"/>
      <c r="BY943" s="101"/>
      <c r="BZ943" s="101"/>
      <c r="CA943" s="101"/>
      <c r="CB943" s="101"/>
      <c r="CC943" s="101"/>
      <c r="CD943" s="101"/>
      <c r="CE943" s="101"/>
      <c r="CF943" s="101"/>
      <c r="CG943" s="101"/>
      <c r="CH943" s="101"/>
      <c r="CI943" s="101"/>
      <c r="CJ943" s="101"/>
      <c r="CK943" s="101"/>
      <c r="CL943" s="101"/>
      <c r="CM943" s="101"/>
      <c r="CN943" s="101"/>
      <c r="CO943" s="101"/>
      <c r="CP943" s="101"/>
      <c r="CQ943" s="101"/>
      <c r="CR943" s="101"/>
      <c r="CS943" s="101"/>
      <c r="CT943" s="101"/>
      <c r="CU943" s="101"/>
      <c r="CV943" s="101"/>
      <c r="CW943" s="101"/>
      <c r="CX943" s="101"/>
      <c r="CY943" s="101"/>
      <c r="CZ943" s="101"/>
      <c r="DA943" s="101"/>
      <c r="DB943" s="101"/>
      <c r="DC943" s="101"/>
      <c r="DD943" s="101"/>
      <c r="DE943" s="101"/>
      <c r="DF943" s="101"/>
    </row>
    <row r="944">
      <c r="A944" s="29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3"/>
      <c r="U944" s="103"/>
      <c r="V944" s="103"/>
      <c r="W944" s="104"/>
      <c r="X944" s="101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  <c r="AL944" s="101"/>
      <c r="AM944" s="29"/>
      <c r="AN944" s="101"/>
      <c r="AO944" s="101"/>
      <c r="AP944" s="101"/>
      <c r="AQ944" s="101"/>
      <c r="AR944" s="101"/>
      <c r="AS944" s="101"/>
      <c r="AT944" s="101"/>
      <c r="AU944" s="101"/>
      <c r="AV944" s="101"/>
      <c r="AW944" s="101"/>
      <c r="AX944" s="101"/>
      <c r="AY944" s="101"/>
      <c r="AZ944" s="101"/>
      <c r="BA944" s="101"/>
      <c r="BB944" s="101"/>
      <c r="BC944" s="101"/>
      <c r="BD944" s="101"/>
      <c r="BE944" s="101"/>
      <c r="BF944" s="101"/>
      <c r="BG944" s="101"/>
      <c r="BH944" s="101"/>
      <c r="BI944" s="101"/>
      <c r="BJ944" s="101"/>
      <c r="BK944" s="101"/>
      <c r="BL944" s="101"/>
      <c r="BM944" s="101"/>
      <c r="BN944" s="101"/>
      <c r="BO944" s="101"/>
      <c r="BP944" s="101"/>
      <c r="BQ944" s="101"/>
      <c r="BR944" s="101"/>
      <c r="BS944" s="101"/>
      <c r="BT944" s="101"/>
      <c r="BU944" s="101"/>
      <c r="BV944" s="101"/>
      <c r="BW944" s="101"/>
      <c r="BX944" s="101"/>
      <c r="BY944" s="101"/>
      <c r="BZ944" s="101"/>
      <c r="CA944" s="101"/>
      <c r="CB944" s="101"/>
      <c r="CC944" s="101"/>
      <c r="CD944" s="101"/>
      <c r="CE944" s="101"/>
      <c r="CF944" s="101"/>
      <c r="CG944" s="101"/>
      <c r="CH944" s="101"/>
      <c r="CI944" s="101"/>
      <c r="CJ944" s="101"/>
      <c r="CK944" s="101"/>
      <c r="CL944" s="101"/>
      <c r="CM944" s="101"/>
      <c r="CN944" s="101"/>
      <c r="CO944" s="101"/>
      <c r="CP944" s="101"/>
      <c r="CQ944" s="101"/>
      <c r="CR944" s="101"/>
      <c r="CS944" s="101"/>
      <c r="CT944" s="101"/>
      <c r="CU944" s="101"/>
      <c r="CV944" s="101"/>
      <c r="CW944" s="101"/>
      <c r="CX944" s="101"/>
      <c r="CY944" s="101"/>
      <c r="CZ944" s="101"/>
      <c r="DA944" s="101"/>
      <c r="DB944" s="101"/>
      <c r="DC944" s="101"/>
      <c r="DD944" s="101"/>
      <c r="DE944" s="101"/>
      <c r="DF944" s="101"/>
    </row>
    <row r="945">
      <c r="A945" s="29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3"/>
      <c r="U945" s="103"/>
      <c r="V945" s="103"/>
      <c r="W945" s="104"/>
      <c r="X945" s="101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  <c r="AL945" s="101"/>
      <c r="AM945" s="29"/>
      <c r="AN945" s="101"/>
      <c r="AO945" s="101"/>
      <c r="AP945" s="101"/>
      <c r="AQ945" s="101"/>
      <c r="AR945" s="101"/>
      <c r="AS945" s="101"/>
      <c r="AT945" s="101"/>
      <c r="AU945" s="101"/>
      <c r="AV945" s="101"/>
      <c r="AW945" s="101"/>
      <c r="AX945" s="101"/>
      <c r="AY945" s="101"/>
      <c r="AZ945" s="101"/>
      <c r="BA945" s="101"/>
      <c r="BB945" s="101"/>
      <c r="BC945" s="101"/>
      <c r="BD945" s="101"/>
      <c r="BE945" s="101"/>
      <c r="BF945" s="101"/>
      <c r="BG945" s="101"/>
      <c r="BH945" s="101"/>
      <c r="BI945" s="101"/>
      <c r="BJ945" s="101"/>
      <c r="BK945" s="101"/>
      <c r="BL945" s="101"/>
      <c r="BM945" s="101"/>
      <c r="BN945" s="101"/>
      <c r="BO945" s="101"/>
      <c r="BP945" s="101"/>
      <c r="BQ945" s="101"/>
      <c r="BR945" s="101"/>
      <c r="BS945" s="101"/>
      <c r="BT945" s="101"/>
      <c r="BU945" s="101"/>
      <c r="BV945" s="101"/>
      <c r="BW945" s="101"/>
      <c r="BX945" s="101"/>
      <c r="BY945" s="101"/>
      <c r="BZ945" s="101"/>
      <c r="CA945" s="101"/>
      <c r="CB945" s="101"/>
      <c r="CC945" s="101"/>
      <c r="CD945" s="101"/>
      <c r="CE945" s="101"/>
      <c r="CF945" s="101"/>
      <c r="CG945" s="101"/>
      <c r="CH945" s="101"/>
      <c r="CI945" s="101"/>
      <c r="CJ945" s="101"/>
      <c r="CK945" s="101"/>
      <c r="CL945" s="101"/>
      <c r="CM945" s="101"/>
      <c r="CN945" s="101"/>
      <c r="CO945" s="101"/>
      <c r="CP945" s="101"/>
      <c r="CQ945" s="101"/>
      <c r="CR945" s="101"/>
      <c r="CS945" s="101"/>
      <c r="CT945" s="101"/>
      <c r="CU945" s="101"/>
      <c r="CV945" s="101"/>
      <c r="CW945" s="101"/>
      <c r="CX945" s="101"/>
      <c r="CY945" s="101"/>
      <c r="CZ945" s="101"/>
      <c r="DA945" s="101"/>
      <c r="DB945" s="101"/>
      <c r="DC945" s="101"/>
      <c r="DD945" s="101"/>
      <c r="DE945" s="101"/>
      <c r="DF945" s="101"/>
    </row>
    <row r="946">
      <c r="A946" s="29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3"/>
      <c r="U946" s="103"/>
      <c r="V946" s="103"/>
      <c r="W946" s="104"/>
      <c r="X946" s="101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  <c r="AL946" s="101"/>
      <c r="AM946" s="29"/>
      <c r="AN946" s="101"/>
      <c r="AO946" s="101"/>
      <c r="AP946" s="101"/>
      <c r="AQ946" s="101"/>
      <c r="AR946" s="101"/>
      <c r="AS946" s="101"/>
      <c r="AT946" s="101"/>
      <c r="AU946" s="101"/>
      <c r="AV946" s="101"/>
      <c r="AW946" s="101"/>
      <c r="AX946" s="101"/>
      <c r="AY946" s="101"/>
      <c r="AZ946" s="101"/>
      <c r="BA946" s="101"/>
      <c r="BB946" s="101"/>
      <c r="BC946" s="101"/>
      <c r="BD946" s="101"/>
      <c r="BE946" s="101"/>
      <c r="BF946" s="101"/>
      <c r="BG946" s="101"/>
      <c r="BH946" s="101"/>
      <c r="BI946" s="101"/>
      <c r="BJ946" s="101"/>
      <c r="BK946" s="101"/>
      <c r="BL946" s="101"/>
      <c r="BM946" s="101"/>
      <c r="BN946" s="101"/>
      <c r="BO946" s="101"/>
      <c r="BP946" s="101"/>
      <c r="BQ946" s="101"/>
      <c r="BR946" s="101"/>
      <c r="BS946" s="101"/>
      <c r="BT946" s="101"/>
      <c r="BU946" s="101"/>
      <c r="BV946" s="101"/>
      <c r="BW946" s="101"/>
      <c r="BX946" s="101"/>
      <c r="BY946" s="101"/>
      <c r="BZ946" s="101"/>
      <c r="CA946" s="101"/>
      <c r="CB946" s="101"/>
      <c r="CC946" s="101"/>
      <c r="CD946" s="101"/>
      <c r="CE946" s="101"/>
      <c r="CF946" s="101"/>
      <c r="CG946" s="101"/>
      <c r="CH946" s="101"/>
      <c r="CI946" s="101"/>
      <c r="CJ946" s="101"/>
      <c r="CK946" s="101"/>
      <c r="CL946" s="101"/>
      <c r="CM946" s="101"/>
      <c r="CN946" s="101"/>
      <c r="CO946" s="101"/>
      <c r="CP946" s="101"/>
      <c r="CQ946" s="101"/>
      <c r="CR946" s="101"/>
      <c r="CS946" s="101"/>
      <c r="CT946" s="101"/>
      <c r="CU946" s="101"/>
      <c r="CV946" s="101"/>
      <c r="CW946" s="101"/>
      <c r="CX946" s="101"/>
      <c r="CY946" s="101"/>
      <c r="CZ946" s="101"/>
      <c r="DA946" s="101"/>
      <c r="DB946" s="101"/>
      <c r="DC946" s="101"/>
      <c r="DD946" s="101"/>
      <c r="DE946" s="101"/>
      <c r="DF946" s="101"/>
    </row>
    <row r="947">
      <c r="A947" s="29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3"/>
      <c r="U947" s="103"/>
      <c r="V947" s="103"/>
      <c r="W947" s="104"/>
      <c r="X947" s="101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  <c r="AL947" s="101"/>
      <c r="AM947" s="29"/>
      <c r="AN947" s="101"/>
      <c r="AO947" s="101"/>
      <c r="AP947" s="101"/>
      <c r="AQ947" s="101"/>
      <c r="AR947" s="101"/>
      <c r="AS947" s="101"/>
      <c r="AT947" s="101"/>
      <c r="AU947" s="101"/>
      <c r="AV947" s="101"/>
      <c r="AW947" s="101"/>
      <c r="AX947" s="101"/>
      <c r="AY947" s="101"/>
      <c r="AZ947" s="101"/>
      <c r="BA947" s="101"/>
      <c r="BB947" s="101"/>
      <c r="BC947" s="101"/>
      <c r="BD947" s="101"/>
      <c r="BE947" s="101"/>
      <c r="BF947" s="101"/>
      <c r="BG947" s="101"/>
      <c r="BH947" s="101"/>
      <c r="BI947" s="101"/>
      <c r="BJ947" s="101"/>
      <c r="BK947" s="101"/>
      <c r="BL947" s="101"/>
      <c r="BM947" s="101"/>
      <c r="BN947" s="101"/>
      <c r="BO947" s="101"/>
      <c r="BP947" s="101"/>
      <c r="BQ947" s="101"/>
      <c r="BR947" s="101"/>
      <c r="BS947" s="101"/>
      <c r="BT947" s="101"/>
      <c r="BU947" s="101"/>
      <c r="BV947" s="101"/>
      <c r="BW947" s="101"/>
      <c r="BX947" s="101"/>
      <c r="BY947" s="101"/>
      <c r="BZ947" s="101"/>
      <c r="CA947" s="101"/>
      <c r="CB947" s="101"/>
      <c r="CC947" s="101"/>
      <c r="CD947" s="101"/>
      <c r="CE947" s="101"/>
      <c r="CF947" s="101"/>
      <c r="CG947" s="101"/>
      <c r="CH947" s="101"/>
      <c r="CI947" s="101"/>
      <c r="CJ947" s="101"/>
      <c r="CK947" s="101"/>
      <c r="CL947" s="101"/>
      <c r="CM947" s="101"/>
      <c r="CN947" s="101"/>
      <c r="CO947" s="101"/>
      <c r="CP947" s="101"/>
      <c r="CQ947" s="101"/>
      <c r="CR947" s="101"/>
      <c r="CS947" s="101"/>
      <c r="CT947" s="101"/>
      <c r="CU947" s="101"/>
      <c r="CV947" s="101"/>
      <c r="CW947" s="101"/>
      <c r="CX947" s="101"/>
      <c r="CY947" s="101"/>
      <c r="CZ947" s="101"/>
      <c r="DA947" s="101"/>
      <c r="DB947" s="101"/>
      <c r="DC947" s="101"/>
      <c r="DD947" s="101"/>
      <c r="DE947" s="101"/>
      <c r="DF947" s="101"/>
    </row>
    <row r="948">
      <c r="A948" s="29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3"/>
      <c r="U948" s="103"/>
      <c r="V948" s="103"/>
      <c r="W948" s="104"/>
      <c r="X948" s="101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  <c r="AL948" s="101"/>
      <c r="AM948" s="29"/>
      <c r="AN948" s="101"/>
      <c r="AO948" s="101"/>
      <c r="AP948" s="101"/>
      <c r="AQ948" s="101"/>
      <c r="AR948" s="101"/>
      <c r="AS948" s="101"/>
      <c r="AT948" s="101"/>
      <c r="AU948" s="101"/>
      <c r="AV948" s="101"/>
      <c r="AW948" s="101"/>
      <c r="AX948" s="101"/>
      <c r="AY948" s="101"/>
      <c r="AZ948" s="101"/>
      <c r="BA948" s="101"/>
      <c r="BB948" s="101"/>
      <c r="BC948" s="101"/>
      <c r="BD948" s="101"/>
      <c r="BE948" s="101"/>
      <c r="BF948" s="101"/>
      <c r="BG948" s="101"/>
      <c r="BH948" s="101"/>
      <c r="BI948" s="101"/>
      <c r="BJ948" s="101"/>
      <c r="BK948" s="101"/>
      <c r="BL948" s="101"/>
      <c r="BM948" s="101"/>
      <c r="BN948" s="101"/>
      <c r="BO948" s="101"/>
      <c r="BP948" s="101"/>
      <c r="BQ948" s="101"/>
      <c r="BR948" s="101"/>
      <c r="BS948" s="101"/>
      <c r="BT948" s="101"/>
      <c r="BU948" s="101"/>
      <c r="BV948" s="101"/>
      <c r="BW948" s="101"/>
      <c r="BX948" s="101"/>
      <c r="BY948" s="101"/>
      <c r="BZ948" s="101"/>
      <c r="CA948" s="101"/>
      <c r="CB948" s="101"/>
      <c r="CC948" s="101"/>
      <c r="CD948" s="101"/>
      <c r="CE948" s="101"/>
      <c r="CF948" s="101"/>
      <c r="CG948" s="101"/>
      <c r="CH948" s="101"/>
      <c r="CI948" s="101"/>
      <c r="CJ948" s="101"/>
      <c r="CK948" s="101"/>
      <c r="CL948" s="101"/>
      <c r="CM948" s="101"/>
      <c r="CN948" s="101"/>
      <c r="CO948" s="101"/>
      <c r="CP948" s="101"/>
      <c r="CQ948" s="101"/>
      <c r="CR948" s="101"/>
      <c r="CS948" s="101"/>
      <c r="CT948" s="101"/>
      <c r="CU948" s="101"/>
      <c r="CV948" s="101"/>
      <c r="CW948" s="101"/>
      <c r="CX948" s="101"/>
      <c r="CY948" s="101"/>
      <c r="CZ948" s="101"/>
      <c r="DA948" s="101"/>
      <c r="DB948" s="101"/>
      <c r="DC948" s="101"/>
      <c r="DD948" s="101"/>
      <c r="DE948" s="101"/>
      <c r="DF948" s="101"/>
    </row>
    <row r="949">
      <c r="A949" s="29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3"/>
      <c r="U949" s="103"/>
      <c r="V949" s="103"/>
      <c r="W949" s="104"/>
      <c r="X949" s="101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  <c r="AL949" s="101"/>
      <c r="AM949" s="29"/>
      <c r="AN949" s="101"/>
      <c r="AO949" s="101"/>
      <c r="AP949" s="101"/>
      <c r="AQ949" s="101"/>
      <c r="AR949" s="101"/>
      <c r="AS949" s="101"/>
      <c r="AT949" s="101"/>
      <c r="AU949" s="101"/>
      <c r="AV949" s="101"/>
      <c r="AW949" s="101"/>
      <c r="AX949" s="101"/>
      <c r="AY949" s="101"/>
      <c r="AZ949" s="101"/>
      <c r="BA949" s="101"/>
      <c r="BB949" s="101"/>
      <c r="BC949" s="101"/>
      <c r="BD949" s="101"/>
      <c r="BE949" s="101"/>
      <c r="BF949" s="101"/>
      <c r="BG949" s="101"/>
      <c r="BH949" s="101"/>
      <c r="BI949" s="101"/>
      <c r="BJ949" s="101"/>
      <c r="BK949" s="101"/>
      <c r="BL949" s="101"/>
      <c r="BM949" s="101"/>
      <c r="BN949" s="101"/>
      <c r="BO949" s="101"/>
      <c r="BP949" s="101"/>
      <c r="BQ949" s="101"/>
      <c r="BR949" s="101"/>
      <c r="BS949" s="101"/>
      <c r="BT949" s="101"/>
      <c r="BU949" s="101"/>
      <c r="BV949" s="101"/>
      <c r="BW949" s="101"/>
      <c r="BX949" s="101"/>
      <c r="BY949" s="101"/>
      <c r="BZ949" s="101"/>
      <c r="CA949" s="101"/>
      <c r="CB949" s="101"/>
      <c r="CC949" s="101"/>
      <c r="CD949" s="101"/>
      <c r="CE949" s="101"/>
      <c r="CF949" s="101"/>
      <c r="CG949" s="101"/>
      <c r="CH949" s="101"/>
      <c r="CI949" s="101"/>
      <c r="CJ949" s="101"/>
      <c r="CK949" s="101"/>
      <c r="CL949" s="101"/>
      <c r="CM949" s="101"/>
      <c r="CN949" s="101"/>
      <c r="CO949" s="101"/>
      <c r="CP949" s="101"/>
      <c r="CQ949" s="101"/>
      <c r="CR949" s="101"/>
      <c r="CS949" s="101"/>
      <c r="CT949" s="101"/>
      <c r="CU949" s="101"/>
      <c r="CV949" s="101"/>
      <c r="CW949" s="101"/>
      <c r="CX949" s="101"/>
      <c r="CY949" s="101"/>
      <c r="CZ949" s="101"/>
      <c r="DA949" s="101"/>
      <c r="DB949" s="101"/>
      <c r="DC949" s="101"/>
      <c r="DD949" s="101"/>
      <c r="DE949" s="101"/>
      <c r="DF949" s="101"/>
    </row>
    <row r="950">
      <c r="A950" s="29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3"/>
      <c r="U950" s="103"/>
      <c r="V950" s="103"/>
      <c r="W950" s="104"/>
      <c r="X950" s="101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  <c r="AL950" s="101"/>
      <c r="AM950" s="29"/>
      <c r="AN950" s="101"/>
      <c r="AO950" s="101"/>
      <c r="AP950" s="101"/>
      <c r="AQ950" s="101"/>
      <c r="AR950" s="101"/>
      <c r="AS950" s="101"/>
      <c r="AT950" s="101"/>
      <c r="AU950" s="101"/>
      <c r="AV950" s="101"/>
      <c r="AW950" s="101"/>
      <c r="AX950" s="101"/>
      <c r="AY950" s="101"/>
      <c r="AZ950" s="101"/>
      <c r="BA950" s="101"/>
      <c r="BB950" s="101"/>
      <c r="BC950" s="101"/>
      <c r="BD950" s="101"/>
      <c r="BE950" s="101"/>
      <c r="BF950" s="101"/>
      <c r="BG950" s="101"/>
      <c r="BH950" s="101"/>
      <c r="BI950" s="101"/>
      <c r="BJ950" s="101"/>
      <c r="BK950" s="101"/>
      <c r="BL950" s="101"/>
      <c r="BM950" s="101"/>
      <c r="BN950" s="101"/>
      <c r="BO950" s="101"/>
      <c r="BP950" s="101"/>
      <c r="BQ950" s="101"/>
      <c r="BR950" s="101"/>
      <c r="BS950" s="101"/>
      <c r="BT950" s="101"/>
      <c r="BU950" s="101"/>
      <c r="BV950" s="101"/>
      <c r="BW950" s="101"/>
      <c r="BX950" s="101"/>
      <c r="BY950" s="101"/>
      <c r="BZ950" s="101"/>
      <c r="CA950" s="101"/>
      <c r="CB950" s="101"/>
      <c r="CC950" s="101"/>
      <c r="CD950" s="101"/>
      <c r="CE950" s="101"/>
      <c r="CF950" s="101"/>
      <c r="CG950" s="101"/>
      <c r="CH950" s="101"/>
      <c r="CI950" s="101"/>
      <c r="CJ950" s="101"/>
      <c r="CK950" s="101"/>
      <c r="CL950" s="101"/>
      <c r="CM950" s="101"/>
      <c r="CN950" s="101"/>
      <c r="CO950" s="101"/>
      <c r="CP950" s="101"/>
      <c r="CQ950" s="101"/>
      <c r="CR950" s="101"/>
      <c r="CS950" s="101"/>
      <c r="CT950" s="101"/>
      <c r="CU950" s="101"/>
      <c r="CV950" s="101"/>
      <c r="CW950" s="101"/>
      <c r="CX950" s="101"/>
      <c r="CY950" s="101"/>
      <c r="CZ950" s="101"/>
      <c r="DA950" s="101"/>
      <c r="DB950" s="101"/>
      <c r="DC950" s="101"/>
      <c r="DD950" s="101"/>
      <c r="DE950" s="101"/>
      <c r="DF950" s="101"/>
    </row>
    <row r="951">
      <c r="A951" s="29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3"/>
      <c r="U951" s="103"/>
      <c r="V951" s="103"/>
      <c r="W951" s="104"/>
      <c r="X951" s="101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  <c r="AL951" s="101"/>
      <c r="AM951" s="29"/>
      <c r="AN951" s="101"/>
      <c r="AO951" s="101"/>
      <c r="AP951" s="101"/>
      <c r="AQ951" s="101"/>
      <c r="AR951" s="101"/>
      <c r="AS951" s="101"/>
      <c r="AT951" s="101"/>
      <c r="AU951" s="101"/>
      <c r="AV951" s="101"/>
      <c r="AW951" s="101"/>
      <c r="AX951" s="101"/>
      <c r="AY951" s="101"/>
      <c r="AZ951" s="101"/>
      <c r="BA951" s="101"/>
      <c r="BB951" s="101"/>
      <c r="BC951" s="101"/>
      <c r="BD951" s="101"/>
      <c r="BE951" s="101"/>
      <c r="BF951" s="101"/>
      <c r="BG951" s="101"/>
      <c r="BH951" s="101"/>
      <c r="BI951" s="101"/>
      <c r="BJ951" s="101"/>
      <c r="BK951" s="101"/>
      <c r="BL951" s="101"/>
      <c r="BM951" s="101"/>
      <c r="BN951" s="101"/>
      <c r="BO951" s="101"/>
      <c r="BP951" s="101"/>
      <c r="BQ951" s="101"/>
      <c r="BR951" s="101"/>
      <c r="BS951" s="101"/>
      <c r="BT951" s="101"/>
      <c r="BU951" s="101"/>
      <c r="BV951" s="101"/>
      <c r="BW951" s="101"/>
      <c r="BX951" s="101"/>
      <c r="BY951" s="101"/>
      <c r="BZ951" s="101"/>
      <c r="CA951" s="101"/>
      <c r="CB951" s="101"/>
      <c r="CC951" s="101"/>
      <c r="CD951" s="101"/>
      <c r="CE951" s="101"/>
      <c r="CF951" s="101"/>
      <c r="CG951" s="101"/>
      <c r="CH951" s="101"/>
      <c r="CI951" s="101"/>
      <c r="CJ951" s="101"/>
      <c r="CK951" s="101"/>
      <c r="CL951" s="101"/>
      <c r="CM951" s="101"/>
      <c r="CN951" s="101"/>
      <c r="CO951" s="101"/>
      <c r="CP951" s="101"/>
      <c r="CQ951" s="101"/>
      <c r="CR951" s="101"/>
      <c r="CS951" s="101"/>
      <c r="CT951" s="101"/>
      <c r="CU951" s="101"/>
      <c r="CV951" s="101"/>
      <c r="CW951" s="101"/>
      <c r="CX951" s="101"/>
      <c r="CY951" s="101"/>
      <c r="CZ951" s="101"/>
      <c r="DA951" s="101"/>
      <c r="DB951" s="101"/>
      <c r="DC951" s="101"/>
      <c r="DD951" s="101"/>
      <c r="DE951" s="101"/>
      <c r="DF951" s="101"/>
    </row>
    <row r="952">
      <c r="A952" s="29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3"/>
      <c r="U952" s="103"/>
      <c r="V952" s="103"/>
      <c r="W952" s="104"/>
      <c r="X952" s="101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  <c r="AL952" s="101"/>
      <c r="AM952" s="29"/>
      <c r="AN952" s="101"/>
      <c r="AO952" s="101"/>
      <c r="AP952" s="101"/>
      <c r="AQ952" s="101"/>
      <c r="AR952" s="101"/>
      <c r="AS952" s="101"/>
      <c r="AT952" s="101"/>
      <c r="AU952" s="101"/>
      <c r="AV952" s="101"/>
      <c r="AW952" s="101"/>
      <c r="AX952" s="101"/>
      <c r="AY952" s="101"/>
      <c r="AZ952" s="101"/>
      <c r="BA952" s="101"/>
      <c r="BB952" s="101"/>
      <c r="BC952" s="101"/>
      <c r="BD952" s="101"/>
      <c r="BE952" s="101"/>
      <c r="BF952" s="101"/>
      <c r="BG952" s="101"/>
      <c r="BH952" s="101"/>
      <c r="BI952" s="101"/>
      <c r="BJ952" s="101"/>
      <c r="BK952" s="101"/>
      <c r="BL952" s="101"/>
      <c r="BM952" s="101"/>
      <c r="BN952" s="101"/>
      <c r="BO952" s="101"/>
      <c r="BP952" s="101"/>
      <c r="BQ952" s="101"/>
      <c r="BR952" s="101"/>
      <c r="BS952" s="101"/>
      <c r="BT952" s="101"/>
      <c r="BU952" s="101"/>
      <c r="BV952" s="101"/>
      <c r="BW952" s="101"/>
      <c r="BX952" s="101"/>
      <c r="BY952" s="101"/>
      <c r="BZ952" s="101"/>
      <c r="CA952" s="101"/>
      <c r="CB952" s="101"/>
      <c r="CC952" s="101"/>
      <c r="CD952" s="101"/>
      <c r="CE952" s="101"/>
      <c r="CF952" s="101"/>
      <c r="CG952" s="101"/>
      <c r="CH952" s="101"/>
      <c r="CI952" s="101"/>
      <c r="CJ952" s="101"/>
      <c r="CK952" s="101"/>
      <c r="CL952" s="101"/>
      <c r="CM952" s="101"/>
      <c r="CN952" s="101"/>
      <c r="CO952" s="101"/>
      <c r="CP952" s="101"/>
      <c r="CQ952" s="101"/>
      <c r="CR952" s="101"/>
      <c r="CS952" s="101"/>
      <c r="CT952" s="101"/>
      <c r="CU952" s="101"/>
      <c r="CV952" s="101"/>
      <c r="CW952" s="101"/>
      <c r="CX952" s="101"/>
      <c r="CY952" s="101"/>
      <c r="CZ952" s="101"/>
      <c r="DA952" s="101"/>
      <c r="DB952" s="101"/>
      <c r="DC952" s="101"/>
      <c r="DD952" s="101"/>
      <c r="DE952" s="101"/>
      <c r="DF952" s="101"/>
    </row>
    <row r="953">
      <c r="A953" s="29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3"/>
      <c r="U953" s="103"/>
      <c r="V953" s="103"/>
      <c r="W953" s="104"/>
      <c r="X953" s="101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  <c r="AL953" s="101"/>
      <c r="AM953" s="29"/>
      <c r="AN953" s="101"/>
      <c r="AO953" s="101"/>
      <c r="AP953" s="101"/>
      <c r="AQ953" s="101"/>
      <c r="AR953" s="101"/>
      <c r="AS953" s="101"/>
      <c r="AT953" s="101"/>
      <c r="AU953" s="101"/>
      <c r="AV953" s="101"/>
      <c r="AW953" s="101"/>
      <c r="AX953" s="101"/>
      <c r="AY953" s="101"/>
      <c r="AZ953" s="101"/>
      <c r="BA953" s="101"/>
      <c r="BB953" s="101"/>
      <c r="BC953" s="101"/>
      <c r="BD953" s="101"/>
      <c r="BE953" s="101"/>
      <c r="BF953" s="101"/>
      <c r="BG953" s="101"/>
      <c r="BH953" s="101"/>
      <c r="BI953" s="101"/>
      <c r="BJ953" s="101"/>
      <c r="BK953" s="101"/>
      <c r="BL953" s="101"/>
      <c r="BM953" s="101"/>
      <c r="BN953" s="101"/>
      <c r="BO953" s="101"/>
      <c r="BP953" s="101"/>
      <c r="BQ953" s="101"/>
      <c r="BR953" s="101"/>
      <c r="BS953" s="101"/>
      <c r="BT953" s="101"/>
      <c r="BU953" s="101"/>
      <c r="BV953" s="101"/>
      <c r="BW953" s="101"/>
      <c r="BX953" s="101"/>
      <c r="BY953" s="101"/>
      <c r="BZ953" s="101"/>
      <c r="CA953" s="101"/>
      <c r="CB953" s="101"/>
      <c r="CC953" s="101"/>
      <c r="CD953" s="101"/>
      <c r="CE953" s="101"/>
      <c r="CF953" s="101"/>
      <c r="CG953" s="101"/>
      <c r="CH953" s="101"/>
      <c r="CI953" s="101"/>
      <c r="CJ953" s="101"/>
      <c r="CK953" s="101"/>
      <c r="CL953" s="101"/>
      <c r="CM953" s="101"/>
      <c r="CN953" s="101"/>
      <c r="CO953" s="101"/>
      <c r="CP953" s="101"/>
      <c r="CQ953" s="101"/>
      <c r="CR953" s="101"/>
      <c r="CS953" s="101"/>
      <c r="CT953" s="101"/>
      <c r="CU953" s="101"/>
      <c r="CV953" s="101"/>
      <c r="CW953" s="101"/>
      <c r="CX953" s="101"/>
      <c r="CY953" s="101"/>
      <c r="CZ953" s="101"/>
      <c r="DA953" s="101"/>
      <c r="DB953" s="101"/>
      <c r="DC953" s="101"/>
      <c r="DD953" s="101"/>
      <c r="DE953" s="101"/>
      <c r="DF953" s="101"/>
    </row>
    <row r="954">
      <c r="A954" s="29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3"/>
      <c r="U954" s="103"/>
      <c r="V954" s="103"/>
      <c r="W954" s="104"/>
      <c r="X954" s="101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  <c r="AL954" s="101"/>
      <c r="AM954" s="29"/>
      <c r="AN954" s="101"/>
      <c r="AO954" s="101"/>
      <c r="AP954" s="101"/>
      <c r="AQ954" s="101"/>
      <c r="AR954" s="101"/>
      <c r="AS954" s="101"/>
      <c r="AT954" s="101"/>
      <c r="AU954" s="101"/>
      <c r="AV954" s="101"/>
      <c r="AW954" s="101"/>
      <c r="AX954" s="101"/>
      <c r="AY954" s="101"/>
      <c r="AZ954" s="101"/>
      <c r="BA954" s="101"/>
      <c r="BB954" s="101"/>
      <c r="BC954" s="101"/>
      <c r="BD954" s="101"/>
      <c r="BE954" s="101"/>
      <c r="BF954" s="101"/>
      <c r="BG954" s="101"/>
      <c r="BH954" s="101"/>
      <c r="BI954" s="101"/>
      <c r="BJ954" s="101"/>
      <c r="BK954" s="101"/>
      <c r="BL954" s="101"/>
      <c r="BM954" s="101"/>
      <c r="BN954" s="101"/>
      <c r="BO954" s="101"/>
      <c r="BP954" s="101"/>
      <c r="BQ954" s="101"/>
      <c r="BR954" s="101"/>
      <c r="BS954" s="101"/>
      <c r="BT954" s="101"/>
      <c r="BU954" s="101"/>
      <c r="BV954" s="101"/>
      <c r="BW954" s="101"/>
      <c r="BX954" s="101"/>
      <c r="BY954" s="101"/>
      <c r="BZ954" s="101"/>
      <c r="CA954" s="101"/>
      <c r="CB954" s="101"/>
      <c r="CC954" s="101"/>
      <c r="CD954" s="101"/>
      <c r="CE954" s="101"/>
      <c r="CF954" s="101"/>
      <c r="CG954" s="101"/>
      <c r="CH954" s="101"/>
      <c r="CI954" s="101"/>
      <c r="CJ954" s="101"/>
      <c r="CK954" s="101"/>
      <c r="CL954" s="101"/>
      <c r="CM954" s="101"/>
      <c r="CN954" s="101"/>
      <c r="CO954" s="101"/>
      <c r="CP954" s="101"/>
      <c r="CQ954" s="101"/>
      <c r="CR954" s="101"/>
      <c r="CS954" s="101"/>
      <c r="CT954" s="101"/>
      <c r="CU954" s="101"/>
      <c r="CV954" s="101"/>
      <c r="CW954" s="101"/>
      <c r="CX954" s="101"/>
      <c r="CY954" s="101"/>
      <c r="CZ954" s="101"/>
      <c r="DA954" s="101"/>
      <c r="DB954" s="101"/>
      <c r="DC954" s="101"/>
      <c r="DD954" s="101"/>
      <c r="DE954" s="101"/>
      <c r="DF954" s="101"/>
    </row>
    <row r="955">
      <c r="A955" s="29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3"/>
      <c r="U955" s="103"/>
      <c r="V955" s="103"/>
      <c r="W955" s="104"/>
      <c r="X955" s="101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  <c r="AL955" s="101"/>
      <c r="AM955" s="29"/>
      <c r="AN955" s="101"/>
      <c r="AO955" s="101"/>
      <c r="AP955" s="101"/>
      <c r="AQ955" s="101"/>
      <c r="AR955" s="101"/>
      <c r="AS955" s="101"/>
      <c r="AT955" s="101"/>
      <c r="AU955" s="101"/>
      <c r="AV955" s="101"/>
      <c r="AW955" s="101"/>
      <c r="AX955" s="101"/>
      <c r="AY955" s="101"/>
      <c r="AZ955" s="101"/>
      <c r="BA955" s="101"/>
      <c r="BB955" s="101"/>
      <c r="BC955" s="101"/>
      <c r="BD955" s="101"/>
      <c r="BE955" s="101"/>
      <c r="BF955" s="101"/>
      <c r="BG955" s="101"/>
      <c r="BH955" s="101"/>
      <c r="BI955" s="101"/>
      <c r="BJ955" s="101"/>
      <c r="BK955" s="101"/>
      <c r="BL955" s="101"/>
      <c r="BM955" s="101"/>
      <c r="BN955" s="101"/>
      <c r="BO955" s="101"/>
      <c r="BP955" s="101"/>
      <c r="BQ955" s="101"/>
      <c r="BR955" s="101"/>
      <c r="BS955" s="101"/>
      <c r="BT955" s="101"/>
      <c r="BU955" s="101"/>
      <c r="BV955" s="101"/>
      <c r="BW955" s="101"/>
      <c r="BX955" s="101"/>
      <c r="BY955" s="101"/>
      <c r="BZ955" s="101"/>
      <c r="CA955" s="101"/>
      <c r="CB955" s="101"/>
      <c r="CC955" s="101"/>
      <c r="CD955" s="101"/>
      <c r="CE955" s="101"/>
      <c r="CF955" s="101"/>
      <c r="CG955" s="101"/>
      <c r="CH955" s="101"/>
      <c r="CI955" s="101"/>
      <c r="CJ955" s="101"/>
      <c r="CK955" s="101"/>
      <c r="CL955" s="101"/>
      <c r="CM955" s="101"/>
      <c r="CN955" s="101"/>
      <c r="CO955" s="101"/>
      <c r="CP955" s="101"/>
      <c r="CQ955" s="101"/>
      <c r="CR955" s="101"/>
      <c r="CS955" s="101"/>
      <c r="CT955" s="101"/>
      <c r="CU955" s="101"/>
      <c r="CV955" s="101"/>
      <c r="CW955" s="101"/>
      <c r="CX955" s="101"/>
      <c r="CY955" s="101"/>
      <c r="CZ955" s="101"/>
      <c r="DA955" s="101"/>
      <c r="DB955" s="101"/>
      <c r="DC955" s="101"/>
      <c r="DD955" s="101"/>
      <c r="DE955" s="101"/>
      <c r="DF955" s="101"/>
    </row>
    <row r="956">
      <c r="A956" s="29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3"/>
      <c r="U956" s="103"/>
      <c r="V956" s="103"/>
      <c r="W956" s="104"/>
      <c r="X956" s="101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  <c r="AL956" s="101"/>
      <c r="AM956" s="29"/>
      <c r="AN956" s="101"/>
      <c r="AO956" s="101"/>
      <c r="AP956" s="101"/>
      <c r="AQ956" s="101"/>
      <c r="AR956" s="101"/>
      <c r="AS956" s="101"/>
      <c r="AT956" s="101"/>
      <c r="AU956" s="101"/>
      <c r="AV956" s="101"/>
      <c r="AW956" s="101"/>
      <c r="AX956" s="101"/>
      <c r="AY956" s="101"/>
      <c r="AZ956" s="101"/>
      <c r="BA956" s="101"/>
      <c r="BB956" s="101"/>
      <c r="BC956" s="101"/>
      <c r="BD956" s="101"/>
      <c r="BE956" s="101"/>
      <c r="BF956" s="101"/>
      <c r="BG956" s="101"/>
      <c r="BH956" s="101"/>
      <c r="BI956" s="101"/>
      <c r="BJ956" s="101"/>
      <c r="BK956" s="101"/>
      <c r="BL956" s="101"/>
      <c r="BM956" s="101"/>
      <c r="BN956" s="101"/>
      <c r="BO956" s="101"/>
      <c r="BP956" s="101"/>
      <c r="BQ956" s="101"/>
      <c r="BR956" s="101"/>
      <c r="BS956" s="101"/>
      <c r="BT956" s="101"/>
      <c r="BU956" s="101"/>
      <c r="BV956" s="101"/>
      <c r="BW956" s="101"/>
      <c r="BX956" s="101"/>
      <c r="BY956" s="101"/>
      <c r="BZ956" s="101"/>
      <c r="CA956" s="101"/>
      <c r="CB956" s="101"/>
      <c r="CC956" s="101"/>
      <c r="CD956" s="101"/>
      <c r="CE956" s="101"/>
      <c r="CF956" s="101"/>
      <c r="CG956" s="101"/>
      <c r="CH956" s="101"/>
      <c r="CI956" s="101"/>
      <c r="CJ956" s="101"/>
      <c r="CK956" s="101"/>
      <c r="CL956" s="101"/>
      <c r="CM956" s="101"/>
      <c r="CN956" s="101"/>
      <c r="CO956" s="101"/>
      <c r="CP956" s="101"/>
      <c r="CQ956" s="101"/>
      <c r="CR956" s="101"/>
      <c r="CS956" s="101"/>
      <c r="CT956" s="101"/>
      <c r="CU956" s="101"/>
      <c r="CV956" s="101"/>
      <c r="CW956" s="101"/>
      <c r="CX956" s="101"/>
      <c r="CY956" s="101"/>
      <c r="CZ956" s="101"/>
      <c r="DA956" s="101"/>
      <c r="DB956" s="101"/>
      <c r="DC956" s="101"/>
      <c r="DD956" s="101"/>
      <c r="DE956" s="101"/>
      <c r="DF956" s="101"/>
    </row>
    <row r="957">
      <c r="A957" s="29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3"/>
      <c r="U957" s="103"/>
      <c r="V957" s="103"/>
      <c r="W957" s="104"/>
      <c r="X957" s="101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  <c r="AL957" s="101"/>
      <c r="AM957" s="29"/>
      <c r="AN957" s="101"/>
      <c r="AO957" s="101"/>
      <c r="AP957" s="101"/>
      <c r="AQ957" s="101"/>
      <c r="AR957" s="101"/>
      <c r="AS957" s="101"/>
      <c r="AT957" s="101"/>
      <c r="AU957" s="101"/>
      <c r="AV957" s="101"/>
      <c r="AW957" s="101"/>
      <c r="AX957" s="101"/>
      <c r="AY957" s="101"/>
      <c r="AZ957" s="101"/>
      <c r="BA957" s="101"/>
      <c r="BB957" s="101"/>
      <c r="BC957" s="101"/>
      <c r="BD957" s="101"/>
      <c r="BE957" s="101"/>
      <c r="BF957" s="101"/>
      <c r="BG957" s="101"/>
      <c r="BH957" s="101"/>
      <c r="BI957" s="101"/>
      <c r="BJ957" s="101"/>
      <c r="BK957" s="101"/>
      <c r="BL957" s="101"/>
      <c r="BM957" s="101"/>
      <c r="BN957" s="101"/>
      <c r="BO957" s="101"/>
      <c r="BP957" s="101"/>
      <c r="BQ957" s="101"/>
      <c r="BR957" s="101"/>
      <c r="BS957" s="101"/>
      <c r="BT957" s="101"/>
      <c r="BU957" s="101"/>
      <c r="BV957" s="101"/>
      <c r="BW957" s="101"/>
      <c r="BX957" s="101"/>
      <c r="BY957" s="101"/>
      <c r="BZ957" s="101"/>
      <c r="CA957" s="101"/>
      <c r="CB957" s="101"/>
      <c r="CC957" s="101"/>
      <c r="CD957" s="101"/>
      <c r="CE957" s="101"/>
      <c r="CF957" s="101"/>
      <c r="CG957" s="101"/>
      <c r="CH957" s="101"/>
      <c r="CI957" s="101"/>
      <c r="CJ957" s="101"/>
      <c r="CK957" s="101"/>
      <c r="CL957" s="101"/>
      <c r="CM957" s="101"/>
      <c r="CN957" s="101"/>
      <c r="CO957" s="101"/>
      <c r="CP957" s="101"/>
      <c r="CQ957" s="101"/>
      <c r="CR957" s="101"/>
      <c r="CS957" s="101"/>
      <c r="CT957" s="101"/>
      <c r="CU957" s="101"/>
      <c r="CV957" s="101"/>
      <c r="CW957" s="101"/>
      <c r="CX957" s="101"/>
      <c r="CY957" s="101"/>
      <c r="CZ957" s="101"/>
      <c r="DA957" s="101"/>
      <c r="DB957" s="101"/>
      <c r="DC957" s="101"/>
      <c r="DD957" s="101"/>
      <c r="DE957" s="101"/>
      <c r="DF957" s="101"/>
    </row>
    <row r="958">
      <c r="A958" s="29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3"/>
      <c r="U958" s="103"/>
      <c r="V958" s="103"/>
      <c r="W958" s="104"/>
      <c r="X958" s="101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  <c r="AL958" s="101"/>
      <c r="AM958" s="29"/>
      <c r="AN958" s="101"/>
      <c r="AO958" s="101"/>
      <c r="AP958" s="101"/>
      <c r="AQ958" s="101"/>
      <c r="AR958" s="101"/>
      <c r="AS958" s="101"/>
      <c r="AT958" s="101"/>
      <c r="AU958" s="101"/>
      <c r="AV958" s="101"/>
      <c r="AW958" s="101"/>
      <c r="AX958" s="101"/>
      <c r="AY958" s="101"/>
      <c r="AZ958" s="101"/>
      <c r="BA958" s="101"/>
      <c r="BB958" s="101"/>
      <c r="BC958" s="101"/>
      <c r="BD958" s="101"/>
      <c r="BE958" s="101"/>
      <c r="BF958" s="101"/>
      <c r="BG958" s="101"/>
      <c r="BH958" s="101"/>
      <c r="BI958" s="101"/>
      <c r="BJ958" s="101"/>
      <c r="BK958" s="101"/>
      <c r="BL958" s="101"/>
      <c r="BM958" s="101"/>
      <c r="BN958" s="101"/>
      <c r="BO958" s="101"/>
      <c r="BP958" s="101"/>
      <c r="BQ958" s="101"/>
      <c r="BR958" s="101"/>
      <c r="BS958" s="101"/>
      <c r="BT958" s="101"/>
      <c r="BU958" s="101"/>
      <c r="BV958" s="101"/>
      <c r="BW958" s="101"/>
      <c r="BX958" s="101"/>
      <c r="BY958" s="101"/>
      <c r="BZ958" s="101"/>
      <c r="CA958" s="101"/>
      <c r="CB958" s="101"/>
      <c r="CC958" s="101"/>
      <c r="CD958" s="101"/>
      <c r="CE958" s="101"/>
      <c r="CF958" s="101"/>
      <c r="CG958" s="101"/>
      <c r="CH958" s="101"/>
      <c r="CI958" s="101"/>
      <c r="CJ958" s="101"/>
      <c r="CK958" s="101"/>
      <c r="CL958" s="101"/>
      <c r="CM958" s="101"/>
      <c r="CN958" s="101"/>
      <c r="CO958" s="101"/>
      <c r="CP958" s="101"/>
      <c r="CQ958" s="101"/>
      <c r="CR958" s="101"/>
      <c r="CS958" s="101"/>
      <c r="CT958" s="101"/>
      <c r="CU958" s="101"/>
      <c r="CV958" s="101"/>
      <c r="CW958" s="101"/>
      <c r="CX958" s="101"/>
      <c r="CY958" s="101"/>
      <c r="CZ958" s="101"/>
      <c r="DA958" s="101"/>
      <c r="DB958" s="101"/>
      <c r="DC958" s="101"/>
      <c r="DD958" s="101"/>
      <c r="DE958" s="101"/>
      <c r="DF958" s="101"/>
    </row>
    <row r="959">
      <c r="A959" s="29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3"/>
      <c r="U959" s="103"/>
      <c r="V959" s="103"/>
      <c r="W959" s="104"/>
      <c r="X959" s="101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  <c r="AL959" s="101"/>
      <c r="AM959" s="29"/>
      <c r="AN959" s="101"/>
      <c r="AO959" s="101"/>
      <c r="AP959" s="101"/>
      <c r="AQ959" s="101"/>
      <c r="AR959" s="101"/>
      <c r="AS959" s="101"/>
      <c r="AT959" s="101"/>
      <c r="AU959" s="101"/>
      <c r="AV959" s="101"/>
      <c r="AW959" s="101"/>
      <c r="AX959" s="101"/>
      <c r="AY959" s="101"/>
      <c r="AZ959" s="101"/>
      <c r="BA959" s="101"/>
      <c r="BB959" s="101"/>
      <c r="BC959" s="101"/>
      <c r="BD959" s="101"/>
      <c r="BE959" s="101"/>
      <c r="BF959" s="101"/>
      <c r="BG959" s="101"/>
      <c r="BH959" s="101"/>
      <c r="BI959" s="101"/>
      <c r="BJ959" s="101"/>
      <c r="BK959" s="101"/>
      <c r="BL959" s="101"/>
      <c r="BM959" s="101"/>
      <c r="BN959" s="101"/>
      <c r="BO959" s="101"/>
      <c r="BP959" s="101"/>
      <c r="BQ959" s="101"/>
      <c r="BR959" s="101"/>
      <c r="BS959" s="101"/>
      <c r="BT959" s="101"/>
      <c r="BU959" s="101"/>
      <c r="BV959" s="101"/>
      <c r="BW959" s="101"/>
      <c r="BX959" s="101"/>
      <c r="BY959" s="101"/>
      <c r="BZ959" s="101"/>
      <c r="CA959" s="101"/>
      <c r="CB959" s="101"/>
      <c r="CC959" s="101"/>
      <c r="CD959" s="101"/>
      <c r="CE959" s="101"/>
      <c r="CF959" s="101"/>
      <c r="CG959" s="101"/>
      <c r="CH959" s="101"/>
      <c r="CI959" s="101"/>
      <c r="CJ959" s="101"/>
      <c r="CK959" s="101"/>
      <c r="CL959" s="101"/>
      <c r="CM959" s="101"/>
      <c r="CN959" s="101"/>
      <c r="CO959" s="101"/>
      <c r="CP959" s="101"/>
      <c r="CQ959" s="101"/>
      <c r="CR959" s="101"/>
      <c r="CS959" s="101"/>
      <c r="CT959" s="101"/>
      <c r="CU959" s="101"/>
      <c r="CV959" s="101"/>
      <c r="CW959" s="101"/>
      <c r="CX959" s="101"/>
      <c r="CY959" s="101"/>
      <c r="CZ959" s="101"/>
      <c r="DA959" s="101"/>
      <c r="DB959" s="101"/>
      <c r="DC959" s="101"/>
      <c r="DD959" s="101"/>
      <c r="DE959" s="101"/>
      <c r="DF959" s="101"/>
    </row>
    <row r="960">
      <c r="A960" s="29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3"/>
      <c r="U960" s="103"/>
      <c r="V960" s="103"/>
      <c r="W960" s="104"/>
      <c r="X960" s="101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  <c r="AL960" s="101"/>
      <c r="AM960" s="29"/>
      <c r="AN960" s="101"/>
      <c r="AO960" s="101"/>
      <c r="AP960" s="101"/>
      <c r="AQ960" s="101"/>
      <c r="AR960" s="101"/>
      <c r="AS960" s="101"/>
      <c r="AT960" s="101"/>
      <c r="AU960" s="101"/>
      <c r="AV960" s="101"/>
      <c r="AW960" s="101"/>
      <c r="AX960" s="101"/>
      <c r="AY960" s="101"/>
      <c r="AZ960" s="101"/>
      <c r="BA960" s="101"/>
      <c r="BB960" s="101"/>
      <c r="BC960" s="101"/>
      <c r="BD960" s="101"/>
      <c r="BE960" s="101"/>
      <c r="BF960" s="101"/>
      <c r="BG960" s="101"/>
      <c r="BH960" s="101"/>
      <c r="BI960" s="101"/>
      <c r="BJ960" s="101"/>
      <c r="BK960" s="101"/>
      <c r="BL960" s="101"/>
      <c r="BM960" s="101"/>
      <c r="BN960" s="101"/>
      <c r="BO960" s="101"/>
      <c r="BP960" s="101"/>
      <c r="BQ960" s="101"/>
      <c r="BR960" s="101"/>
      <c r="BS960" s="101"/>
      <c r="BT960" s="101"/>
      <c r="BU960" s="101"/>
      <c r="BV960" s="101"/>
      <c r="BW960" s="101"/>
      <c r="BX960" s="101"/>
      <c r="BY960" s="101"/>
      <c r="BZ960" s="101"/>
      <c r="CA960" s="101"/>
      <c r="CB960" s="101"/>
      <c r="CC960" s="101"/>
      <c r="CD960" s="101"/>
      <c r="CE960" s="101"/>
      <c r="CF960" s="101"/>
      <c r="CG960" s="101"/>
      <c r="CH960" s="101"/>
      <c r="CI960" s="101"/>
      <c r="CJ960" s="101"/>
      <c r="CK960" s="101"/>
      <c r="CL960" s="101"/>
      <c r="CM960" s="101"/>
      <c r="CN960" s="101"/>
      <c r="CO960" s="101"/>
      <c r="CP960" s="101"/>
      <c r="CQ960" s="101"/>
      <c r="CR960" s="101"/>
      <c r="CS960" s="101"/>
      <c r="CT960" s="101"/>
      <c r="CU960" s="101"/>
      <c r="CV960" s="101"/>
      <c r="CW960" s="101"/>
      <c r="CX960" s="101"/>
      <c r="CY960" s="101"/>
      <c r="CZ960" s="101"/>
      <c r="DA960" s="101"/>
      <c r="DB960" s="101"/>
      <c r="DC960" s="101"/>
      <c r="DD960" s="101"/>
      <c r="DE960" s="101"/>
      <c r="DF960" s="101"/>
    </row>
    <row r="961">
      <c r="A961" s="29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3"/>
      <c r="U961" s="103"/>
      <c r="V961" s="103"/>
      <c r="W961" s="104"/>
      <c r="X961" s="101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  <c r="AL961" s="101"/>
      <c r="AM961" s="29"/>
      <c r="AN961" s="101"/>
      <c r="AO961" s="101"/>
      <c r="AP961" s="101"/>
      <c r="AQ961" s="101"/>
      <c r="AR961" s="101"/>
      <c r="AS961" s="101"/>
      <c r="AT961" s="101"/>
      <c r="AU961" s="101"/>
      <c r="AV961" s="101"/>
      <c r="AW961" s="101"/>
      <c r="AX961" s="101"/>
      <c r="AY961" s="101"/>
      <c r="AZ961" s="101"/>
      <c r="BA961" s="101"/>
      <c r="BB961" s="101"/>
      <c r="BC961" s="101"/>
      <c r="BD961" s="101"/>
      <c r="BE961" s="101"/>
      <c r="BF961" s="101"/>
      <c r="BG961" s="101"/>
      <c r="BH961" s="101"/>
      <c r="BI961" s="101"/>
      <c r="BJ961" s="101"/>
      <c r="BK961" s="101"/>
      <c r="BL961" s="101"/>
      <c r="BM961" s="101"/>
      <c r="BN961" s="101"/>
      <c r="BO961" s="101"/>
      <c r="BP961" s="101"/>
      <c r="BQ961" s="101"/>
      <c r="BR961" s="101"/>
      <c r="BS961" s="101"/>
      <c r="BT961" s="101"/>
      <c r="BU961" s="101"/>
      <c r="BV961" s="101"/>
      <c r="BW961" s="101"/>
      <c r="BX961" s="101"/>
      <c r="BY961" s="101"/>
      <c r="BZ961" s="101"/>
      <c r="CA961" s="101"/>
      <c r="CB961" s="101"/>
      <c r="CC961" s="101"/>
      <c r="CD961" s="101"/>
      <c r="CE961" s="101"/>
      <c r="CF961" s="101"/>
      <c r="CG961" s="101"/>
      <c r="CH961" s="101"/>
      <c r="CI961" s="101"/>
      <c r="CJ961" s="101"/>
      <c r="CK961" s="101"/>
      <c r="CL961" s="101"/>
      <c r="CM961" s="101"/>
      <c r="CN961" s="101"/>
      <c r="CO961" s="101"/>
      <c r="CP961" s="101"/>
      <c r="CQ961" s="101"/>
      <c r="CR961" s="101"/>
      <c r="CS961" s="101"/>
      <c r="CT961" s="101"/>
      <c r="CU961" s="101"/>
      <c r="CV961" s="101"/>
      <c r="CW961" s="101"/>
      <c r="CX961" s="101"/>
      <c r="CY961" s="101"/>
      <c r="CZ961" s="101"/>
      <c r="DA961" s="101"/>
      <c r="DB961" s="101"/>
      <c r="DC961" s="101"/>
      <c r="DD961" s="101"/>
      <c r="DE961" s="101"/>
      <c r="DF961" s="101"/>
    </row>
    <row r="962">
      <c r="A962" s="29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3"/>
      <c r="U962" s="103"/>
      <c r="V962" s="103"/>
      <c r="W962" s="104"/>
      <c r="X962" s="101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  <c r="AL962" s="101"/>
      <c r="AM962" s="29"/>
      <c r="AN962" s="101"/>
      <c r="AO962" s="101"/>
      <c r="AP962" s="101"/>
      <c r="AQ962" s="101"/>
      <c r="AR962" s="101"/>
      <c r="AS962" s="101"/>
      <c r="AT962" s="101"/>
      <c r="AU962" s="101"/>
      <c r="AV962" s="101"/>
      <c r="AW962" s="101"/>
      <c r="AX962" s="101"/>
      <c r="AY962" s="101"/>
      <c r="AZ962" s="101"/>
      <c r="BA962" s="101"/>
      <c r="BB962" s="101"/>
      <c r="BC962" s="101"/>
      <c r="BD962" s="101"/>
      <c r="BE962" s="101"/>
      <c r="BF962" s="101"/>
      <c r="BG962" s="101"/>
      <c r="BH962" s="101"/>
      <c r="BI962" s="101"/>
      <c r="BJ962" s="101"/>
      <c r="BK962" s="101"/>
      <c r="BL962" s="101"/>
      <c r="BM962" s="101"/>
      <c r="BN962" s="101"/>
      <c r="BO962" s="101"/>
      <c r="BP962" s="101"/>
      <c r="BQ962" s="101"/>
      <c r="BR962" s="101"/>
      <c r="BS962" s="101"/>
      <c r="BT962" s="101"/>
      <c r="BU962" s="101"/>
      <c r="BV962" s="101"/>
      <c r="BW962" s="101"/>
      <c r="BX962" s="101"/>
      <c r="BY962" s="101"/>
      <c r="BZ962" s="101"/>
      <c r="CA962" s="101"/>
      <c r="CB962" s="101"/>
      <c r="CC962" s="101"/>
      <c r="CD962" s="101"/>
      <c r="CE962" s="101"/>
      <c r="CF962" s="101"/>
      <c r="CG962" s="101"/>
      <c r="CH962" s="101"/>
      <c r="CI962" s="101"/>
      <c r="CJ962" s="101"/>
      <c r="CK962" s="101"/>
      <c r="CL962" s="101"/>
      <c r="CM962" s="101"/>
      <c r="CN962" s="101"/>
      <c r="CO962" s="101"/>
      <c r="CP962" s="101"/>
      <c r="CQ962" s="101"/>
      <c r="CR962" s="101"/>
      <c r="CS962" s="101"/>
      <c r="CT962" s="101"/>
      <c r="CU962" s="101"/>
      <c r="CV962" s="101"/>
      <c r="CW962" s="101"/>
      <c r="CX962" s="101"/>
      <c r="CY962" s="101"/>
      <c r="CZ962" s="101"/>
      <c r="DA962" s="101"/>
      <c r="DB962" s="101"/>
      <c r="DC962" s="101"/>
      <c r="DD962" s="101"/>
      <c r="DE962" s="101"/>
      <c r="DF962" s="101"/>
    </row>
    <row r="963">
      <c r="A963" s="29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3"/>
      <c r="U963" s="103"/>
      <c r="V963" s="103"/>
      <c r="W963" s="104"/>
      <c r="X963" s="101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  <c r="AL963" s="101"/>
      <c r="AM963" s="29"/>
      <c r="AN963" s="101"/>
      <c r="AO963" s="101"/>
      <c r="AP963" s="101"/>
      <c r="AQ963" s="101"/>
      <c r="AR963" s="101"/>
      <c r="AS963" s="101"/>
      <c r="AT963" s="101"/>
      <c r="AU963" s="101"/>
      <c r="AV963" s="101"/>
      <c r="AW963" s="101"/>
      <c r="AX963" s="101"/>
      <c r="AY963" s="101"/>
      <c r="AZ963" s="101"/>
      <c r="BA963" s="101"/>
      <c r="BB963" s="101"/>
      <c r="BC963" s="101"/>
      <c r="BD963" s="101"/>
      <c r="BE963" s="101"/>
      <c r="BF963" s="101"/>
      <c r="BG963" s="101"/>
      <c r="BH963" s="101"/>
      <c r="BI963" s="101"/>
      <c r="BJ963" s="101"/>
      <c r="BK963" s="101"/>
      <c r="BL963" s="101"/>
      <c r="BM963" s="101"/>
      <c r="BN963" s="101"/>
      <c r="BO963" s="101"/>
      <c r="BP963" s="101"/>
      <c r="BQ963" s="101"/>
      <c r="BR963" s="101"/>
      <c r="BS963" s="101"/>
      <c r="BT963" s="101"/>
      <c r="BU963" s="101"/>
      <c r="BV963" s="101"/>
      <c r="BW963" s="101"/>
      <c r="BX963" s="101"/>
      <c r="BY963" s="101"/>
      <c r="BZ963" s="101"/>
      <c r="CA963" s="101"/>
      <c r="CB963" s="101"/>
      <c r="CC963" s="101"/>
      <c r="CD963" s="101"/>
      <c r="CE963" s="101"/>
      <c r="CF963" s="101"/>
      <c r="CG963" s="101"/>
      <c r="CH963" s="101"/>
      <c r="CI963" s="101"/>
      <c r="CJ963" s="101"/>
      <c r="CK963" s="101"/>
      <c r="CL963" s="101"/>
      <c r="CM963" s="101"/>
      <c r="CN963" s="101"/>
      <c r="CO963" s="101"/>
      <c r="CP963" s="101"/>
      <c r="CQ963" s="101"/>
      <c r="CR963" s="101"/>
      <c r="CS963" s="101"/>
      <c r="CT963" s="101"/>
      <c r="CU963" s="101"/>
      <c r="CV963" s="101"/>
      <c r="CW963" s="101"/>
      <c r="CX963" s="101"/>
      <c r="CY963" s="101"/>
      <c r="CZ963" s="101"/>
      <c r="DA963" s="101"/>
      <c r="DB963" s="101"/>
      <c r="DC963" s="101"/>
      <c r="DD963" s="101"/>
      <c r="DE963" s="101"/>
      <c r="DF963" s="101"/>
    </row>
    <row r="964">
      <c r="A964" s="29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3"/>
      <c r="U964" s="103"/>
      <c r="V964" s="103"/>
      <c r="W964" s="104"/>
      <c r="X964" s="101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  <c r="AL964" s="101"/>
      <c r="AM964" s="29"/>
      <c r="AN964" s="101"/>
      <c r="AO964" s="101"/>
      <c r="AP964" s="101"/>
      <c r="AQ964" s="101"/>
      <c r="AR964" s="101"/>
      <c r="AS964" s="101"/>
      <c r="AT964" s="101"/>
      <c r="AU964" s="101"/>
      <c r="AV964" s="101"/>
      <c r="AW964" s="101"/>
      <c r="AX964" s="101"/>
      <c r="AY964" s="101"/>
      <c r="AZ964" s="101"/>
      <c r="BA964" s="101"/>
      <c r="BB964" s="101"/>
      <c r="BC964" s="101"/>
      <c r="BD964" s="101"/>
      <c r="BE964" s="101"/>
      <c r="BF964" s="101"/>
      <c r="BG964" s="101"/>
      <c r="BH964" s="101"/>
      <c r="BI964" s="101"/>
      <c r="BJ964" s="101"/>
      <c r="BK964" s="101"/>
      <c r="BL964" s="101"/>
      <c r="BM964" s="101"/>
      <c r="BN964" s="101"/>
      <c r="BO964" s="101"/>
      <c r="BP964" s="101"/>
      <c r="BQ964" s="101"/>
      <c r="BR964" s="101"/>
      <c r="BS964" s="101"/>
      <c r="BT964" s="101"/>
      <c r="BU964" s="101"/>
      <c r="BV964" s="101"/>
      <c r="BW964" s="101"/>
      <c r="BX964" s="101"/>
      <c r="BY964" s="101"/>
      <c r="BZ964" s="101"/>
      <c r="CA964" s="101"/>
      <c r="CB964" s="101"/>
      <c r="CC964" s="101"/>
      <c r="CD964" s="101"/>
      <c r="CE964" s="101"/>
      <c r="CF964" s="101"/>
      <c r="CG964" s="101"/>
      <c r="CH964" s="101"/>
      <c r="CI964" s="101"/>
      <c r="CJ964" s="101"/>
      <c r="CK964" s="101"/>
      <c r="CL964" s="101"/>
      <c r="CM964" s="101"/>
      <c r="CN964" s="101"/>
      <c r="CO964" s="101"/>
      <c r="CP964" s="101"/>
      <c r="CQ964" s="101"/>
      <c r="CR964" s="101"/>
      <c r="CS964" s="101"/>
      <c r="CT964" s="101"/>
      <c r="CU964" s="101"/>
      <c r="CV964" s="101"/>
      <c r="CW964" s="101"/>
      <c r="CX964" s="101"/>
      <c r="CY964" s="101"/>
      <c r="CZ964" s="101"/>
      <c r="DA964" s="101"/>
      <c r="DB964" s="101"/>
      <c r="DC964" s="101"/>
      <c r="DD964" s="101"/>
      <c r="DE964" s="101"/>
      <c r="DF964" s="101"/>
    </row>
    <row r="965">
      <c r="A965" s="29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3"/>
      <c r="U965" s="103"/>
      <c r="V965" s="103"/>
      <c r="W965" s="104"/>
      <c r="X965" s="101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  <c r="AL965" s="101"/>
      <c r="AM965" s="29"/>
      <c r="AN965" s="101"/>
      <c r="AO965" s="101"/>
      <c r="AP965" s="101"/>
      <c r="AQ965" s="101"/>
      <c r="AR965" s="101"/>
      <c r="AS965" s="101"/>
      <c r="AT965" s="101"/>
      <c r="AU965" s="101"/>
      <c r="AV965" s="101"/>
      <c r="AW965" s="101"/>
      <c r="AX965" s="101"/>
      <c r="AY965" s="101"/>
      <c r="AZ965" s="101"/>
      <c r="BA965" s="101"/>
      <c r="BB965" s="101"/>
      <c r="BC965" s="101"/>
      <c r="BD965" s="101"/>
      <c r="BE965" s="101"/>
      <c r="BF965" s="101"/>
      <c r="BG965" s="101"/>
      <c r="BH965" s="101"/>
      <c r="BI965" s="101"/>
      <c r="BJ965" s="101"/>
      <c r="BK965" s="101"/>
      <c r="BL965" s="101"/>
      <c r="BM965" s="101"/>
      <c r="BN965" s="101"/>
      <c r="BO965" s="101"/>
      <c r="BP965" s="101"/>
      <c r="BQ965" s="101"/>
      <c r="BR965" s="101"/>
      <c r="BS965" s="101"/>
      <c r="BT965" s="101"/>
      <c r="BU965" s="101"/>
      <c r="BV965" s="101"/>
      <c r="BW965" s="101"/>
      <c r="BX965" s="101"/>
      <c r="BY965" s="101"/>
      <c r="BZ965" s="101"/>
      <c r="CA965" s="101"/>
      <c r="CB965" s="101"/>
      <c r="CC965" s="101"/>
      <c r="CD965" s="101"/>
      <c r="CE965" s="101"/>
      <c r="CF965" s="101"/>
      <c r="CG965" s="101"/>
      <c r="CH965" s="101"/>
      <c r="CI965" s="101"/>
      <c r="CJ965" s="101"/>
      <c r="CK965" s="101"/>
      <c r="CL965" s="101"/>
      <c r="CM965" s="101"/>
      <c r="CN965" s="101"/>
      <c r="CO965" s="101"/>
      <c r="CP965" s="101"/>
      <c r="CQ965" s="101"/>
      <c r="CR965" s="101"/>
      <c r="CS965" s="101"/>
      <c r="CT965" s="101"/>
      <c r="CU965" s="101"/>
      <c r="CV965" s="101"/>
      <c r="CW965" s="101"/>
      <c r="CX965" s="101"/>
      <c r="CY965" s="101"/>
      <c r="CZ965" s="101"/>
      <c r="DA965" s="101"/>
      <c r="DB965" s="101"/>
      <c r="DC965" s="101"/>
      <c r="DD965" s="101"/>
      <c r="DE965" s="101"/>
      <c r="DF965" s="101"/>
    </row>
    <row r="966">
      <c r="A966" s="29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3"/>
      <c r="U966" s="103"/>
      <c r="V966" s="103"/>
      <c r="W966" s="104"/>
      <c r="X966" s="101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  <c r="AL966" s="101"/>
      <c r="AM966" s="29"/>
      <c r="AN966" s="101"/>
      <c r="AO966" s="101"/>
      <c r="AP966" s="101"/>
      <c r="AQ966" s="101"/>
      <c r="AR966" s="101"/>
      <c r="AS966" s="101"/>
      <c r="AT966" s="101"/>
      <c r="AU966" s="101"/>
      <c r="AV966" s="101"/>
      <c r="AW966" s="101"/>
      <c r="AX966" s="101"/>
      <c r="AY966" s="101"/>
      <c r="AZ966" s="101"/>
      <c r="BA966" s="101"/>
      <c r="BB966" s="101"/>
      <c r="BC966" s="101"/>
      <c r="BD966" s="101"/>
      <c r="BE966" s="101"/>
      <c r="BF966" s="101"/>
      <c r="BG966" s="101"/>
      <c r="BH966" s="101"/>
      <c r="BI966" s="101"/>
      <c r="BJ966" s="101"/>
      <c r="BK966" s="101"/>
      <c r="BL966" s="101"/>
      <c r="BM966" s="101"/>
      <c r="BN966" s="101"/>
      <c r="BO966" s="101"/>
      <c r="BP966" s="101"/>
      <c r="BQ966" s="101"/>
      <c r="BR966" s="101"/>
      <c r="BS966" s="101"/>
      <c r="BT966" s="101"/>
      <c r="BU966" s="101"/>
      <c r="BV966" s="101"/>
      <c r="BW966" s="101"/>
      <c r="BX966" s="101"/>
      <c r="BY966" s="101"/>
      <c r="BZ966" s="101"/>
      <c r="CA966" s="101"/>
      <c r="CB966" s="101"/>
      <c r="CC966" s="101"/>
      <c r="CD966" s="101"/>
      <c r="CE966" s="101"/>
      <c r="CF966" s="101"/>
      <c r="CG966" s="101"/>
      <c r="CH966" s="101"/>
      <c r="CI966" s="101"/>
      <c r="CJ966" s="101"/>
      <c r="CK966" s="101"/>
      <c r="CL966" s="101"/>
      <c r="CM966" s="101"/>
      <c r="CN966" s="101"/>
      <c r="CO966" s="101"/>
      <c r="CP966" s="101"/>
      <c r="CQ966" s="101"/>
      <c r="CR966" s="101"/>
      <c r="CS966" s="101"/>
      <c r="CT966" s="101"/>
      <c r="CU966" s="101"/>
      <c r="CV966" s="101"/>
      <c r="CW966" s="101"/>
      <c r="CX966" s="101"/>
      <c r="CY966" s="101"/>
      <c r="CZ966" s="101"/>
      <c r="DA966" s="101"/>
      <c r="DB966" s="101"/>
      <c r="DC966" s="101"/>
      <c r="DD966" s="101"/>
      <c r="DE966" s="101"/>
      <c r="DF966" s="101"/>
    </row>
    <row r="967">
      <c r="A967" s="29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3"/>
      <c r="U967" s="103"/>
      <c r="V967" s="103"/>
      <c r="W967" s="104"/>
      <c r="X967" s="101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  <c r="AL967" s="101"/>
      <c r="AM967" s="29"/>
      <c r="AN967" s="101"/>
      <c r="AO967" s="101"/>
      <c r="AP967" s="101"/>
      <c r="AQ967" s="101"/>
      <c r="AR967" s="101"/>
      <c r="AS967" s="101"/>
      <c r="AT967" s="101"/>
      <c r="AU967" s="101"/>
      <c r="AV967" s="101"/>
      <c r="AW967" s="101"/>
      <c r="AX967" s="101"/>
      <c r="AY967" s="101"/>
      <c r="AZ967" s="101"/>
      <c r="BA967" s="101"/>
      <c r="BB967" s="101"/>
      <c r="BC967" s="101"/>
      <c r="BD967" s="101"/>
      <c r="BE967" s="101"/>
      <c r="BF967" s="101"/>
      <c r="BG967" s="101"/>
      <c r="BH967" s="101"/>
      <c r="BI967" s="101"/>
      <c r="BJ967" s="101"/>
      <c r="BK967" s="101"/>
      <c r="BL967" s="101"/>
      <c r="BM967" s="101"/>
      <c r="BN967" s="101"/>
      <c r="BO967" s="101"/>
      <c r="BP967" s="101"/>
      <c r="BQ967" s="101"/>
      <c r="BR967" s="101"/>
      <c r="BS967" s="101"/>
      <c r="BT967" s="101"/>
      <c r="BU967" s="101"/>
      <c r="BV967" s="101"/>
      <c r="BW967" s="101"/>
      <c r="BX967" s="101"/>
      <c r="BY967" s="101"/>
      <c r="BZ967" s="101"/>
      <c r="CA967" s="101"/>
      <c r="CB967" s="101"/>
      <c r="CC967" s="101"/>
      <c r="CD967" s="101"/>
      <c r="CE967" s="101"/>
      <c r="CF967" s="101"/>
      <c r="CG967" s="101"/>
      <c r="CH967" s="101"/>
      <c r="CI967" s="101"/>
      <c r="CJ967" s="101"/>
      <c r="CK967" s="101"/>
      <c r="CL967" s="101"/>
      <c r="CM967" s="101"/>
      <c r="CN967" s="101"/>
      <c r="CO967" s="101"/>
      <c r="CP967" s="101"/>
      <c r="CQ967" s="101"/>
      <c r="CR967" s="101"/>
      <c r="CS967" s="101"/>
      <c r="CT967" s="101"/>
      <c r="CU967" s="101"/>
      <c r="CV967" s="101"/>
      <c r="CW967" s="101"/>
      <c r="CX967" s="101"/>
      <c r="CY967" s="101"/>
      <c r="CZ967" s="101"/>
      <c r="DA967" s="101"/>
      <c r="DB967" s="101"/>
      <c r="DC967" s="101"/>
      <c r="DD967" s="101"/>
      <c r="DE967" s="101"/>
      <c r="DF967" s="101"/>
    </row>
    <row r="968">
      <c r="A968" s="29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3"/>
      <c r="U968" s="103"/>
      <c r="V968" s="103"/>
      <c r="W968" s="104"/>
      <c r="X968" s="101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  <c r="AL968" s="101"/>
      <c r="AM968" s="29"/>
      <c r="AN968" s="101"/>
      <c r="AO968" s="101"/>
      <c r="AP968" s="101"/>
      <c r="AQ968" s="101"/>
      <c r="AR968" s="101"/>
      <c r="AS968" s="101"/>
      <c r="AT968" s="101"/>
      <c r="AU968" s="101"/>
      <c r="AV968" s="101"/>
      <c r="AW968" s="101"/>
      <c r="AX968" s="101"/>
      <c r="AY968" s="101"/>
      <c r="AZ968" s="101"/>
      <c r="BA968" s="101"/>
      <c r="BB968" s="101"/>
      <c r="BC968" s="101"/>
      <c r="BD968" s="101"/>
      <c r="BE968" s="101"/>
      <c r="BF968" s="101"/>
      <c r="BG968" s="101"/>
      <c r="BH968" s="101"/>
      <c r="BI968" s="101"/>
      <c r="BJ968" s="101"/>
      <c r="BK968" s="101"/>
      <c r="BL968" s="101"/>
      <c r="BM968" s="101"/>
      <c r="BN968" s="101"/>
      <c r="BO968" s="101"/>
      <c r="BP968" s="101"/>
      <c r="BQ968" s="101"/>
      <c r="BR968" s="101"/>
      <c r="BS968" s="101"/>
      <c r="BT968" s="101"/>
      <c r="BU968" s="101"/>
      <c r="BV968" s="101"/>
      <c r="BW968" s="101"/>
      <c r="BX968" s="101"/>
      <c r="BY968" s="101"/>
      <c r="BZ968" s="101"/>
      <c r="CA968" s="101"/>
      <c r="CB968" s="101"/>
      <c r="CC968" s="101"/>
      <c r="CD968" s="101"/>
      <c r="CE968" s="101"/>
      <c r="CF968" s="101"/>
      <c r="CG968" s="101"/>
      <c r="CH968" s="101"/>
      <c r="CI968" s="101"/>
      <c r="CJ968" s="101"/>
      <c r="CK968" s="101"/>
      <c r="CL968" s="101"/>
      <c r="CM968" s="101"/>
      <c r="CN968" s="101"/>
      <c r="CO968" s="101"/>
      <c r="CP968" s="101"/>
      <c r="CQ968" s="101"/>
      <c r="CR968" s="101"/>
      <c r="CS968" s="101"/>
      <c r="CT968" s="101"/>
      <c r="CU968" s="101"/>
      <c r="CV968" s="101"/>
      <c r="CW968" s="101"/>
      <c r="CX968" s="101"/>
      <c r="CY968" s="101"/>
      <c r="CZ968" s="101"/>
      <c r="DA968" s="101"/>
      <c r="DB968" s="101"/>
      <c r="DC968" s="101"/>
      <c r="DD968" s="101"/>
      <c r="DE968" s="101"/>
      <c r="DF968" s="101"/>
    </row>
    <row r="969">
      <c r="A969" s="29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3"/>
      <c r="U969" s="103"/>
      <c r="V969" s="103"/>
      <c r="W969" s="104"/>
      <c r="X969" s="101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  <c r="AL969" s="101"/>
      <c r="AM969" s="29"/>
      <c r="AN969" s="101"/>
      <c r="AO969" s="101"/>
      <c r="AP969" s="101"/>
      <c r="AQ969" s="101"/>
      <c r="AR969" s="101"/>
      <c r="AS969" s="101"/>
      <c r="AT969" s="101"/>
      <c r="AU969" s="101"/>
      <c r="AV969" s="101"/>
      <c r="AW969" s="101"/>
      <c r="AX969" s="101"/>
      <c r="AY969" s="101"/>
      <c r="AZ969" s="101"/>
      <c r="BA969" s="101"/>
      <c r="BB969" s="101"/>
      <c r="BC969" s="101"/>
      <c r="BD969" s="101"/>
      <c r="BE969" s="101"/>
      <c r="BF969" s="101"/>
      <c r="BG969" s="101"/>
      <c r="BH969" s="101"/>
      <c r="BI969" s="101"/>
      <c r="BJ969" s="101"/>
      <c r="BK969" s="101"/>
      <c r="BL969" s="101"/>
      <c r="BM969" s="101"/>
      <c r="BN969" s="101"/>
      <c r="BO969" s="101"/>
      <c r="BP969" s="101"/>
      <c r="BQ969" s="101"/>
      <c r="BR969" s="101"/>
      <c r="BS969" s="101"/>
      <c r="BT969" s="101"/>
      <c r="BU969" s="101"/>
      <c r="BV969" s="101"/>
      <c r="BW969" s="101"/>
      <c r="BX969" s="101"/>
      <c r="BY969" s="101"/>
      <c r="BZ969" s="101"/>
      <c r="CA969" s="101"/>
      <c r="CB969" s="101"/>
      <c r="CC969" s="101"/>
      <c r="CD969" s="101"/>
      <c r="CE969" s="101"/>
      <c r="CF969" s="101"/>
      <c r="CG969" s="101"/>
      <c r="CH969" s="101"/>
      <c r="CI969" s="101"/>
      <c r="CJ969" s="101"/>
      <c r="CK969" s="101"/>
      <c r="CL969" s="101"/>
      <c r="CM969" s="101"/>
      <c r="CN969" s="101"/>
      <c r="CO969" s="101"/>
      <c r="CP969" s="101"/>
      <c r="CQ969" s="101"/>
      <c r="CR969" s="101"/>
      <c r="CS969" s="101"/>
      <c r="CT969" s="101"/>
      <c r="CU969" s="101"/>
      <c r="CV969" s="101"/>
      <c r="CW969" s="101"/>
      <c r="CX969" s="101"/>
      <c r="CY969" s="101"/>
      <c r="CZ969" s="101"/>
      <c r="DA969" s="101"/>
      <c r="DB969" s="101"/>
      <c r="DC969" s="101"/>
      <c r="DD969" s="101"/>
      <c r="DE969" s="101"/>
      <c r="DF969" s="101"/>
    </row>
    <row r="970">
      <c r="A970" s="29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3"/>
      <c r="U970" s="103"/>
      <c r="V970" s="103"/>
      <c r="W970" s="104"/>
      <c r="X970" s="101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  <c r="AL970" s="101"/>
      <c r="AM970" s="29"/>
      <c r="AN970" s="101"/>
      <c r="AO970" s="101"/>
      <c r="AP970" s="101"/>
      <c r="AQ970" s="101"/>
      <c r="AR970" s="101"/>
      <c r="AS970" s="101"/>
      <c r="AT970" s="101"/>
      <c r="AU970" s="101"/>
      <c r="AV970" s="101"/>
      <c r="AW970" s="101"/>
      <c r="AX970" s="101"/>
      <c r="AY970" s="101"/>
      <c r="AZ970" s="101"/>
      <c r="BA970" s="101"/>
      <c r="BB970" s="101"/>
      <c r="BC970" s="101"/>
      <c r="BD970" s="101"/>
      <c r="BE970" s="101"/>
      <c r="BF970" s="101"/>
      <c r="BG970" s="101"/>
      <c r="BH970" s="101"/>
      <c r="BI970" s="101"/>
      <c r="BJ970" s="101"/>
      <c r="BK970" s="101"/>
      <c r="BL970" s="101"/>
      <c r="BM970" s="101"/>
      <c r="BN970" s="101"/>
      <c r="BO970" s="101"/>
      <c r="BP970" s="101"/>
      <c r="BQ970" s="101"/>
      <c r="BR970" s="101"/>
      <c r="BS970" s="101"/>
      <c r="BT970" s="101"/>
      <c r="BU970" s="101"/>
      <c r="BV970" s="101"/>
      <c r="BW970" s="101"/>
      <c r="BX970" s="101"/>
      <c r="BY970" s="101"/>
      <c r="BZ970" s="101"/>
      <c r="CA970" s="101"/>
      <c r="CB970" s="101"/>
      <c r="CC970" s="101"/>
      <c r="CD970" s="101"/>
      <c r="CE970" s="101"/>
      <c r="CF970" s="101"/>
      <c r="CG970" s="101"/>
      <c r="CH970" s="101"/>
      <c r="CI970" s="101"/>
      <c r="CJ970" s="101"/>
      <c r="CK970" s="101"/>
      <c r="CL970" s="101"/>
      <c r="CM970" s="101"/>
      <c r="CN970" s="101"/>
      <c r="CO970" s="101"/>
      <c r="CP970" s="101"/>
      <c r="CQ970" s="101"/>
      <c r="CR970" s="101"/>
      <c r="CS970" s="101"/>
      <c r="CT970" s="101"/>
      <c r="CU970" s="101"/>
      <c r="CV970" s="101"/>
      <c r="CW970" s="101"/>
      <c r="CX970" s="101"/>
      <c r="CY970" s="101"/>
      <c r="CZ970" s="101"/>
      <c r="DA970" s="101"/>
      <c r="DB970" s="101"/>
      <c r="DC970" s="101"/>
      <c r="DD970" s="101"/>
      <c r="DE970" s="101"/>
      <c r="DF970" s="101"/>
    </row>
    <row r="971">
      <c r="A971" s="29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3"/>
      <c r="U971" s="103"/>
      <c r="V971" s="103"/>
      <c r="W971" s="104"/>
      <c r="X971" s="101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  <c r="AM971" s="29"/>
      <c r="AN971" s="101"/>
      <c r="AO971" s="101"/>
      <c r="AP971" s="101"/>
      <c r="AQ971" s="101"/>
      <c r="AR971" s="101"/>
      <c r="AS971" s="101"/>
      <c r="AT971" s="101"/>
      <c r="AU971" s="101"/>
      <c r="AV971" s="101"/>
      <c r="AW971" s="101"/>
      <c r="AX971" s="101"/>
      <c r="AY971" s="101"/>
      <c r="AZ971" s="101"/>
      <c r="BA971" s="101"/>
      <c r="BB971" s="101"/>
      <c r="BC971" s="101"/>
      <c r="BD971" s="101"/>
      <c r="BE971" s="101"/>
      <c r="BF971" s="101"/>
      <c r="BG971" s="101"/>
      <c r="BH971" s="101"/>
      <c r="BI971" s="101"/>
      <c r="BJ971" s="101"/>
      <c r="BK971" s="101"/>
      <c r="BL971" s="101"/>
      <c r="BM971" s="101"/>
      <c r="BN971" s="101"/>
      <c r="BO971" s="101"/>
      <c r="BP971" s="101"/>
      <c r="BQ971" s="101"/>
      <c r="BR971" s="101"/>
      <c r="BS971" s="101"/>
      <c r="BT971" s="101"/>
      <c r="BU971" s="101"/>
      <c r="BV971" s="101"/>
      <c r="BW971" s="101"/>
      <c r="BX971" s="101"/>
      <c r="BY971" s="101"/>
      <c r="BZ971" s="101"/>
      <c r="CA971" s="101"/>
      <c r="CB971" s="101"/>
      <c r="CC971" s="101"/>
      <c r="CD971" s="101"/>
      <c r="CE971" s="101"/>
      <c r="CF971" s="101"/>
      <c r="CG971" s="101"/>
      <c r="CH971" s="101"/>
      <c r="CI971" s="101"/>
      <c r="CJ971" s="101"/>
      <c r="CK971" s="101"/>
      <c r="CL971" s="101"/>
      <c r="CM971" s="101"/>
      <c r="CN971" s="101"/>
      <c r="CO971" s="101"/>
      <c r="CP971" s="101"/>
      <c r="CQ971" s="101"/>
      <c r="CR971" s="101"/>
      <c r="CS971" s="101"/>
      <c r="CT971" s="101"/>
      <c r="CU971" s="101"/>
      <c r="CV971" s="101"/>
      <c r="CW971" s="101"/>
      <c r="CX971" s="101"/>
      <c r="CY971" s="101"/>
      <c r="CZ971" s="101"/>
      <c r="DA971" s="101"/>
      <c r="DB971" s="101"/>
      <c r="DC971" s="101"/>
      <c r="DD971" s="101"/>
      <c r="DE971" s="101"/>
      <c r="DF971" s="101"/>
    </row>
    <row r="972">
      <c r="A972" s="29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3"/>
      <c r="U972" s="103"/>
      <c r="V972" s="103"/>
      <c r="W972" s="104"/>
      <c r="X972" s="101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101"/>
      <c r="AL972" s="101"/>
      <c r="AM972" s="29"/>
      <c r="AN972" s="101"/>
      <c r="AO972" s="101"/>
      <c r="AP972" s="101"/>
      <c r="AQ972" s="101"/>
      <c r="AR972" s="101"/>
      <c r="AS972" s="101"/>
      <c r="AT972" s="101"/>
      <c r="AU972" s="101"/>
      <c r="AV972" s="101"/>
      <c r="AW972" s="101"/>
      <c r="AX972" s="101"/>
      <c r="AY972" s="101"/>
      <c r="AZ972" s="101"/>
      <c r="BA972" s="101"/>
      <c r="BB972" s="101"/>
      <c r="BC972" s="101"/>
      <c r="BD972" s="101"/>
      <c r="BE972" s="101"/>
      <c r="BF972" s="101"/>
      <c r="BG972" s="101"/>
      <c r="BH972" s="101"/>
      <c r="BI972" s="101"/>
      <c r="BJ972" s="101"/>
      <c r="BK972" s="101"/>
      <c r="BL972" s="101"/>
      <c r="BM972" s="101"/>
      <c r="BN972" s="101"/>
      <c r="BO972" s="101"/>
      <c r="BP972" s="101"/>
      <c r="BQ972" s="101"/>
      <c r="BR972" s="101"/>
      <c r="BS972" s="101"/>
      <c r="BT972" s="101"/>
      <c r="BU972" s="101"/>
      <c r="BV972" s="101"/>
      <c r="BW972" s="101"/>
      <c r="BX972" s="101"/>
      <c r="BY972" s="101"/>
      <c r="BZ972" s="101"/>
      <c r="CA972" s="101"/>
      <c r="CB972" s="101"/>
      <c r="CC972" s="101"/>
      <c r="CD972" s="101"/>
      <c r="CE972" s="101"/>
      <c r="CF972" s="101"/>
      <c r="CG972" s="101"/>
      <c r="CH972" s="101"/>
      <c r="CI972" s="101"/>
      <c r="CJ972" s="101"/>
      <c r="CK972" s="101"/>
      <c r="CL972" s="101"/>
      <c r="CM972" s="101"/>
      <c r="CN972" s="101"/>
      <c r="CO972" s="101"/>
      <c r="CP972" s="101"/>
      <c r="CQ972" s="101"/>
      <c r="CR972" s="101"/>
      <c r="CS972" s="101"/>
      <c r="CT972" s="101"/>
      <c r="CU972" s="101"/>
      <c r="CV972" s="101"/>
      <c r="CW972" s="101"/>
      <c r="CX972" s="101"/>
      <c r="CY972" s="101"/>
      <c r="CZ972" s="101"/>
      <c r="DA972" s="101"/>
      <c r="DB972" s="101"/>
      <c r="DC972" s="101"/>
      <c r="DD972" s="101"/>
      <c r="DE972" s="101"/>
      <c r="DF972" s="101"/>
    </row>
    <row r="973">
      <c r="A973" s="29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3"/>
      <c r="U973" s="103"/>
      <c r="V973" s="103"/>
      <c r="W973" s="104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101"/>
      <c r="AL973" s="101"/>
      <c r="AM973" s="29"/>
      <c r="AN973" s="101"/>
      <c r="AO973" s="101"/>
      <c r="AP973" s="101"/>
      <c r="AQ973" s="101"/>
      <c r="AR973" s="101"/>
      <c r="AS973" s="101"/>
      <c r="AT973" s="101"/>
      <c r="AU973" s="101"/>
      <c r="AV973" s="101"/>
      <c r="AW973" s="101"/>
      <c r="AX973" s="101"/>
      <c r="AY973" s="101"/>
      <c r="AZ973" s="101"/>
      <c r="BA973" s="101"/>
      <c r="BB973" s="101"/>
      <c r="BC973" s="101"/>
      <c r="BD973" s="101"/>
      <c r="BE973" s="101"/>
      <c r="BF973" s="101"/>
      <c r="BG973" s="101"/>
      <c r="BH973" s="101"/>
      <c r="BI973" s="101"/>
      <c r="BJ973" s="101"/>
      <c r="BK973" s="101"/>
      <c r="BL973" s="101"/>
      <c r="BM973" s="101"/>
      <c r="BN973" s="101"/>
      <c r="BO973" s="101"/>
      <c r="BP973" s="101"/>
      <c r="BQ973" s="101"/>
      <c r="BR973" s="101"/>
      <c r="BS973" s="101"/>
      <c r="BT973" s="101"/>
      <c r="BU973" s="101"/>
      <c r="BV973" s="101"/>
      <c r="BW973" s="101"/>
      <c r="BX973" s="101"/>
      <c r="BY973" s="101"/>
      <c r="BZ973" s="101"/>
      <c r="CA973" s="101"/>
      <c r="CB973" s="101"/>
      <c r="CC973" s="101"/>
      <c r="CD973" s="101"/>
      <c r="CE973" s="101"/>
      <c r="CF973" s="101"/>
      <c r="CG973" s="101"/>
      <c r="CH973" s="101"/>
      <c r="CI973" s="101"/>
      <c r="CJ973" s="101"/>
      <c r="CK973" s="101"/>
      <c r="CL973" s="101"/>
      <c r="CM973" s="101"/>
      <c r="CN973" s="101"/>
      <c r="CO973" s="101"/>
      <c r="CP973" s="101"/>
      <c r="CQ973" s="101"/>
      <c r="CR973" s="101"/>
      <c r="CS973" s="101"/>
      <c r="CT973" s="101"/>
      <c r="CU973" s="101"/>
      <c r="CV973" s="101"/>
      <c r="CW973" s="101"/>
      <c r="CX973" s="101"/>
      <c r="CY973" s="101"/>
      <c r="CZ973" s="101"/>
      <c r="DA973" s="101"/>
      <c r="DB973" s="101"/>
      <c r="DC973" s="101"/>
      <c r="DD973" s="101"/>
      <c r="DE973" s="101"/>
      <c r="DF973" s="101"/>
    </row>
    <row r="974">
      <c r="A974" s="29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3"/>
      <c r="U974" s="103"/>
      <c r="V974" s="103"/>
      <c r="W974" s="104"/>
      <c r="X974" s="101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101"/>
      <c r="AL974" s="101"/>
      <c r="AM974" s="29"/>
      <c r="AN974" s="101"/>
      <c r="AO974" s="101"/>
      <c r="AP974" s="101"/>
      <c r="AQ974" s="101"/>
      <c r="AR974" s="101"/>
      <c r="AS974" s="101"/>
      <c r="AT974" s="101"/>
      <c r="AU974" s="101"/>
      <c r="AV974" s="101"/>
      <c r="AW974" s="101"/>
      <c r="AX974" s="101"/>
      <c r="AY974" s="101"/>
      <c r="AZ974" s="101"/>
      <c r="BA974" s="101"/>
      <c r="BB974" s="101"/>
      <c r="BC974" s="101"/>
      <c r="BD974" s="101"/>
      <c r="BE974" s="101"/>
      <c r="BF974" s="101"/>
      <c r="BG974" s="101"/>
      <c r="BH974" s="101"/>
      <c r="BI974" s="101"/>
      <c r="BJ974" s="101"/>
      <c r="BK974" s="101"/>
      <c r="BL974" s="101"/>
      <c r="BM974" s="101"/>
      <c r="BN974" s="101"/>
      <c r="BO974" s="101"/>
      <c r="BP974" s="101"/>
      <c r="BQ974" s="101"/>
      <c r="BR974" s="101"/>
      <c r="BS974" s="101"/>
      <c r="BT974" s="101"/>
      <c r="BU974" s="101"/>
      <c r="BV974" s="101"/>
      <c r="BW974" s="101"/>
      <c r="BX974" s="101"/>
      <c r="BY974" s="101"/>
      <c r="BZ974" s="101"/>
      <c r="CA974" s="101"/>
      <c r="CB974" s="101"/>
      <c r="CC974" s="101"/>
      <c r="CD974" s="101"/>
      <c r="CE974" s="101"/>
      <c r="CF974" s="101"/>
      <c r="CG974" s="101"/>
      <c r="CH974" s="101"/>
      <c r="CI974" s="101"/>
      <c r="CJ974" s="101"/>
      <c r="CK974" s="101"/>
      <c r="CL974" s="101"/>
      <c r="CM974" s="101"/>
      <c r="CN974" s="101"/>
      <c r="CO974" s="101"/>
      <c r="CP974" s="101"/>
      <c r="CQ974" s="101"/>
      <c r="CR974" s="101"/>
      <c r="CS974" s="101"/>
      <c r="CT974" s="101"/>
      <c r="CU974" s="101"/>
      <c r="CV974" s="101"/>
      <c r="CW974" s="101"/>
      <c r="CX974" s="101"/>
      <c r="CY974" s="101"/>
      <c r="CZ974" s="101"/>
      <c r="DA974" s="101"/>
      <c r="DB974" s="101"/>
      <c r="DC974" s="101"/>
      <c r="DD974" s="101"/>
      <c r="DE974" s="101"/>
      <c r="DF974" s="101"/>
    </row>
    <row r="975">
      <c r="A975" s="29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3"/>
      <c r="U975" s="103"/>
      <c r="V975" s="103"/>
      <c r="W975" s="104"/>
      <c r="X975" s="101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101"/>
      <c r="AL975" s="101"/>
      <c r="AM975" s="29"/>
      <c r="AN975" s="101"/>
      <c r="AO975" s="101"/>
      <c r="AP975" s="101"/>
      <c r="AQ975" s="101"/>
      <c r="AR975" s="101"/>
      <c r="AS975" s="101"/>
      <c r="AT975" s="101"/>
      <c r="AU975" s="101"/>
      <c r="AV975" s="101"/>
      <c r="AW975" s="101"/>
      <c r="AX975" s="101"/>
      <c r="AY975" s="101"/>
      <c r="AZ975" s="101"/>
      <c r="BA975" s="101"/>
      <c r="BB975" s="101"/>
      <c r="BC975" s="101"/>
      <c r="BD975" s="101"/>
      <c r="BE975" s="101"/>
      <c r="BF975" s="101"/>
      <c r="BG975" s="101"/>
      <c r="BH975" s="101"/>
      <c r="BI975" s="101"/>
      <c r="BJ975" s="101"/>
      <c r="BK975" s="101"/>
      <c r="BL975" s="101"/>
      <c r="BM975" s="101"/>
      <c r="BN975" s="101"/>
      <c r="BO975" s="101"/>
      <c r="BP975" s="101"/>
      <c r="BQ975" s="101"/>
      <c r="BR975" s="101"/>
      <c r="BS975" s="101"/>
      <c r="BT975" s="101"/>
      <c r="BU975" s="101"/>
      <c r="BV975" s="101"/>
      <c r="BW975" s="101"/>
      <c r="BX975" s="101"/>
      <c r="BY975" s="101"/>
      <c r="BZ975" s="101"/>
      <c r="CA975" s="101"/>
      <c r="CB975" s="101"/>
      <c r="CC975" s="101"/>
      <c r="CD975" s="101"/>
      <c r="CE975" s="101"/>
      <c r="CF975" s="101"/>
      <c r="CG975" s="101"/>
      <c r="CH975" s="101"/>
      <c r="CI975" s="101"/>
      <c r="CJ975" s="101"/>
      <c r="CK975" s="101"/>
      <c r="CL975" s="101"/>
      <c r="CM975" s="101"/>
      <c r="CN975" s="101"/>
      <c r="CO975" s="101"/>
      <c r="CP975" s="101"/>
      <c r="CQ975" s="101"/>
      <c r="CR975" s="101"/>
      <c r="CS975" s="101"/>
      <c r="CT975" s="101"/>
      <c r="CU975" s="101"/>
      <c r="CV975" s="101"/>
      <c r="CW975" s="101"/>
      <c r="CX975" s="101"/>
      <c r="CY975" s="101"/>
      <c r="CZ975" s="101"/>
      <c r="DA975" s="101"/>
      <c r="DB975" s="101"/>
      <c r="DC975" s="101"/>
      <c r="DD975" s="101"/>
      <c r="DE975" s="101"/>
      <c r="DF975" s="101"/>
    </row>
    <row r="976">
      <c r="A976" s="29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3"/>
      <c r="U976" s="103"/>
      <c r="V976" s="103"/>
      <c r="W976" s="104"/>
      <c r="X976" s="101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101"/>
      <c r="AL976" s="101"/>
      <c r="AM976" s="29"/>
      <c r="AN976" s="101"/>
      <c r="AO976" s="101"/>
      <c r="AP976" s="101"/>
      <c r="AQ976" s="101"/>
      <c r="AR976" s="101"/>
      <c r="AS976" s="101"/>
      <c r="AT976" s="101"/>
      <c r="AU976" s="101"/>
      <c r="AV976" s="101"/>
      <c r="AW976" s="101"/>
      <c r="AX976" s="101"/>
      <c r="AY976" s="101"/>
      <c r="AZ976" s="101"/>
      <c r="BA976" s="101"/>
      <c r="BB976" s="101"/>
      <c r="BC976" s="101"/>
      <c r="BD976" s="101"/>
      <c r="BE976" s="101"/>
      <c r="BF976" s="101"/>
      <c r="BG976" s="101"/>
      <c r="BH976" s="101"/>
      <c r="BI976" s="101"/>
      <c r="BJ976" s="101"/>
      <c r="BK976" s="101"/>
      <c r="BL976" s="101"/>
      <c r="BM976" s="101"/>
      <c r="BN976" s="101"/>
      <c r="BO976" s="101"/>
      <c r="BP976" s="101"/>
      <c r="BQ976" s="101"/>
      <c r="BR976" s="101"/>
      <c r="BS976" s="101"/>
      <c r="BT976" s="101"/>
      <c r="BU976" s="101"/>
      <c r="BV976" s="101"/>
      <c r="BW976" s="101"/>
      <c r="BX976" s="101"/>
      <c r="BY976" s="101"/>
      <c r="BZ976" s="101"/>
      <c r="CA976" s="101"/>
      <c r="CB976" s="101"/>
      <c r="CC976" s="101"/>
      <c r="CD976" s="101"/>
      <c r="CE976" s="101"/>
      <c r="CF976" s="101"/>
      <c r="CG976" s="101"/>
      <c r="CH976" s="101"/>
      <c r="CI976" s="101"/>
      <c r="CJ976" s="101"/>
      <c r="CK976" s="101"/>
      <c r="CL976" s="101"/>
      <c r="CM976" s="101"/>
      <c r="CN976" s="101"/>
      <c r="CO976" s="101"/>
      <c r="CP976" s="101"/>
      <c r="CQ976" s="101"/>
      <c r="CR976" s="101"/>
      <c r="CS976" s="101"/>
      <c r="CT976" s="101"/>
      <c r="CU976" s="101"/>
      <c r="CV976" s="101"/>
      <c r="CW976" s="101"/>
      <c r="CX976" s="101"/>
      <c r="CY976" s="101"/>
      <c r="CZ976" s="101"/>
      <c r="DA976" s="101"/>
      <c r="DB976" s="101"/>
      <c r="DC976" s="101"/>
      <c r="DD976" s="101"/>
      <c r="DE976" s="101"/>
      <c r="DF976" s="101"/>
    </row>
    <row r="977">
      <c r="A977" s="29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3"/>
      <c r="U977" s="103"/>
      <c r="V977" s="103"/>
      <c r="W977" s="104"/>
      <c r="X977" s="101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101"/>
      <c r="AL977" s="101"/>
      <c r="AM977" s="29"/>
      <c r="AN977" s="101"/>
      <c r="AO977" s="101"/>
      <c r="AP977" s="101"/>
      <c r="AQ977" s="101"/>
      <c r="AR977" s="101"/>
      <c r="AS977" s="101"/>
      <c r="AT977" s="101"/>
      <c r="AU977" s="101"/>
      <c r="AV977" s="101"/>
      <c r="AW977" s="101"/>
      <c r="AX977" s="101"/>
      <c r="AY977" s="101"/>
      <c r="AZ977" s="101"/>
      <c r="BA977" s="101"/>
      <c r="BB977" s="101"/>
      <c r="BC977" s="101"/>
      <c r="BD977" s="101"/>
      <c r="BE977" s="101"/>
      <c r="BF977" s="101"/>
      <c r="BG977" s="101"/>
      <c r="BH977" s="101"/>
      <c r="BI977" s="101"/>
      <c r="BJ977" s="101"/>
      <c r="BK977" s="101"/>
      <c r="BL977" s="101"/>
      <c r="BM977" s="101"/>
      <c r="BN977" s="101"/>
      <c r="BO977" s="101"/>
      <c r="BP977" s="101"/>
      <c r="BQ977" s="101"/>
      <c r="BR977" s="101"/>
      <c r="BS977" s="101"/>
      <c r="BT977" s="101"/>
      <c r="BU977" s="101"/>
      <c r="BV977" s="101"/>
      <c r="BW977" s="101"/>
      <c r="BX977" s="101"/>
      <c r="BY977" s="101"/>
      <c r="BZ977" s="101"/>
      <c r="CA977" s="101"/>
      <c r="CB977" s="101"/>
      <c r="CC977" s="101"/>
      <c r="CD977" s="101"/>
      <c r="CE977" s="101"/>
      <c r="CF977" s="101"/>
      <c r="CG977" s="101"/>
      <c r="CH977" s="101"/>
      <c r="CI977" s="101"/>
      <c r="CJ977" s="101"/>
      <c r="CK977" s="101"/>
      <c r="CL977" s="101"/>
      <c r="CM977" s="101"/>
      <c r="CN977" s="101"/>
      <c r="CO977" s="101"/>
      <c r="CP977" s="101"/>
      <c r="CQ977" s="101"/>
      <c r="CR977" s="101"/>
      <c r="CS977" s="101"/>
      <c r="CT977" s="101"/>
      <c r="CU977" s="101"/>
      <c r="CV977" s="101"/>
      <c r="CW977" s="101"/>
      <c r="CX977" s="101"/>
      <c r="CY977" s="101"/>
      <c r="CZ977" s="101"/>
      <c r="DA977" s="101"/>
      <c r="DB977" s="101"/>
      <c r="DC977" s="101"/>
      <c r="DD977" s="101"/>
      <c r="DE977" s="101"/>
      <c r="DF977" s="101"/>
    </row>
    <row r="978">
      <c r="A978" s="29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3"/>
      <c r="U978" s="103"/>
      <c r="V978" s="103"/>
      <c r="W978" s="104"/>
      <c r="X978" s="101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101"/>
      <c r="AL978" s="101"/>
      <c r="AM978" s="29"/>
      <c r="AN978" s="101"/>
      <c r="AO978" s="101"/>
      <c r="AP978" s="101"/>
      <c r="AQ978" s="101"/>
      <c r="AR978" s="101"/>
      <c r="AS978" s="101"/>
      <c r="AT978" s="101"/>
      <c r="AU978" s="101"/>
      <c r="AV978" s="101"/>
      <c r="AW978" s="101"/>
      <c r="AX978" s="101"/>
      <c r="AY978" s="101"/>
      <c r="AZ978" s="101"/>
      <c r="BA978" s="101"/>
      <c r="BB978" s="101"/>
      <c r="BC978" s="101"/>
      <c r="BD978" s="101"/>
      <c r="BE978" s="101"/>
      <c r="BF978" s="101"/>
      <c r="BG978" s="101"/>
      <c r="BH978" s="101"/>
      <c r="BI978" s="101"/>
      <c r="BJ978" s="101"/>
      <c r="BK978" s="101"/>
      <c r="BL978" s="101"/>
      <c r="BM978" s="101"/>
      <c r="BN978" s="101"/>
      <c r="BO978" s="101"/>
      <c r="BP978" s="101"/>
      <c r="BQ978" s="101"/>
      <c r="BR978" s="101"/>
      <c r="BS978" s="101"/>
      <c r="BT978" s="101"/>
      <c r="BU978" s="101"/>
      <c r="BV978" s="101"/>
      <c r="BW978" s="101"/>
      <c r="BX978" s="101"/>
      <c r="BY978" s="101"/>
      <c r="BZ978" s="101"/>
      <c r="CA978" s="101"/>
      <c r="CB978" s="101"/>
      <c r="CC978" s="101"/>
      <c r="CD978" s="101"/>
      <c r="CE978" s="101"/>
      <c r="CF978" s="101"/>
      <c r="CG978" s="101"/>
      <c r="CH978" s="101"/>
      <c r="CI978" s="101"/>
      <c r="CJ978" s="101"/>
      <c r="CK978" s="101"/>
      <c r="CL978" s="101"/>
      <c r="CM978" s="101"/>
      <c r="CN978" s="101"/>
      <c r="CO978" s="101"/>
      <c r="CP978" s="101"/>
      <c r="CQ978" s="101"/>
      <c r="CR978" s="101"/>
      <c r="CS978" s="101"/>
      <c r="CT978" s="101"/>
      <c r="CU978" s="101"/>
      <c r="CV978" s="101"/>
      <c r="CW978" s="101"/>
      <c r="CX978" s="101"/>
      <c r="CY978" s="101"/>
      <c r="CZ978" s="101"/>
      <c r="DA978" s="101"/>
      <c r="DB978" s="101"/>
      <c r="DC978" s="101"/>
      <c r="DD978" s="101"/>
      <c r="DE978" s="101"/>
      <c r="DF978" s="101"/>
    </row>
    <row r="979">
      <c r="A979" s="29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3"/>
      <c r="U979" s="103"/>
      <c r="V979" s="103"/>
      <c r="W979" s="104"/>
      <c r="X979" s="101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101"/>
      <c r="AL979" s="101"/>
      <c r="AM979" s="29"/>
      <c r="AN979" s="101"/>
      <c r="AO979" s="101"/>
      <c r="AP979" s="101"/>
      <c r="AQ979" s="101"/>
      <c r="AR979" s="101"/>
      <c r="AS979" s="101"/>
      <c r="AT979" s="101"/>
      <c r="AU979" s="101"/>
      <c r="AV979" s="101"/>
      <c r="AW979" s="101"/>
      <c r="AX979" s="101"/>
      <c r="AY979" s="101"/>
      <c r="AZ979" s="101"/>
      <c r="BA979" s="101"/>
      <c r="BB979" s="101"/>
      <c r="BC979" s="101"/>
      <c r="BD979" s="101"/>
      <c r="BE979" s="101"/>
      <c r="BF979" s="101"/>
      <c r="BG979" s="101"/>
      <c r="BH979" s="101"/>
      <c r="BI979" s="101"/>
      <c r="BJ979" s="101"/>
      <c r="BK979" s="101"/>
      <c r="BL979" s="101"/>
      <c r="BM979" s="101"/>
      <c r="BN979" s="101"/>
      <c r="BO979" s="101"/>
      <c r="BP979" s="101"/>
      <c r="BQ979" s="101"/>
      <c r="BR979" s="101"/>
      <c r="BS979" s="101"/>
      <c r="BT979" s="101"/>
      <c r="BU979" s="101"/>
      <c r="BV979" s="101"/>
      <c r="BW979" s="101"/>
      <c r="BX979" s="101"/>
      <c r="BY979" s="101"/>
      <c r="BZ979" s="101"/>
      <c r="CA979" s="101"/>
      <c r="CB979" s="101"/>
      <c r="CC979" s="101"/>
      <c r="CD979" s="101"/>
      <c r="CE979" s="101"/>
      <c r="CF979" s="101"/>
      <c r="CG979" s="101"/>
      <c r="CH979" s="101"/>
      <c r="CI979" s="101"/>
      <c r="CJ979" s="101"/>
      <c r="CK979" s="101"/>
      <c r="CL979" s="101"/>
      <c r="CM979" s="101"/>
      <c r="CN979" s="101"/>
      <c r="CO979" s="101"/>
      <c r="CP979" s="101"/>
      <c r="CQ979" s="101"/>
      <c r="CR979" s="101"/>
      <c r="CS979" s="101"/>
      <c r="CT979" s="101"/>
      <c r="CU979" s="101"/>
      <c r="CV979" s="101"/>
      <c r="CW979" s="101"/>
      <c r="CX979" s="101"/>
      <c r="CY979" s="101"/>
      <c r="CZ979" s="101"/>
      <c r="DA979" s="101"/>
      <c r="DB979" s="101"/>
      <c r="DC979" s="101"/>
      <c r="DD979" s="101"/>
      <c r="DE979" s="101"/>
      <c r="DF979" s="101"/>
    </row>
    <row r="980">
      <c r="A980" s="29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3"/>
      <c r="U980" s="103"/>
      <c r="V980" s="103"/>
      <c r="W980" s="104"/>
      <c r="X980" s="101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101"/>
      <c r="AL980" s="101"/>
      <c r="AM980" s="29"/>
      <c r="AN980" s="101"/>
      <c r="AO980" s="101"/>
      <c r="AP980" s="101"/>
      <c r="AQ980" s="101"/>
      <c r="AR980" s="101"/>
      <c r="AS980" s="101"/>
      <c r="AT980" s="101"/>
      <c r="AU980" s="101"/>
      <c r="AV980" s="101"/>
      <c r="AW980" s="101"/>
      <c r="AX980" s="101"/>
      <c r="AY980" s="101"/>
      <c r="AZ980" s="101"/>
      <c r="BA980" s="101"/>
      <c r="BB980" s="101"/>
      <c r="BC980" s="101"/>
      <c r="BD980" s="101"/>
      <c r="BE980" s="101"/>
      <c r="BF980" s="101"/>
      <c r="BG980" s="101"/>
      <c r="BH980" s="101"/>
      <c r="BI980" s="101"/>
      <c r="BJ980" s="101"/>
      <c r="BK980" s="101"/>
      <c r="BL980" s="101"/>
      <c r="BM980" s="101"/>
      <c r="BN980" s="101"/>
      <c r="BO980" s="101"/>
      <c r="BP980" s="101"/>
      <c r="BQ980" s="101"/>
      <c r="BR980" s="101"/>
      <c r="BS980" s="101"/>
      <c r="BT980" s="101"/>
      <c r="BU980" s="101"/>
      <c r="BV980" s="101"/>
      <c r="BW980" s="101"/>
      <c r="BX980" s="101"/>
      <c r="BY980" s="101"/>
      <c r="BZ980" s="101"/>
      <c r="CA980" s="101"/>
      <c r="CB980" s="101"/>
      <c r="CC980" s="101"/>
      <c r="CD980" s="101"/>
      <c r="CE980" s="101"/>
      <c r="CF980" s="101"/>
      <c r="CG980" s="101"/>
      <c r="CH980" s="101"/>
      <c r="CI980" s="101"/>
      <c r="CJ980" s="101"/>
      <c r="CK980" s="101"/>
      <c r="CL980" s="101"/>
      <c r="CM980" s="101"/>
      <c r="CN980" s="101"/>
      <c r="CO980" s="101"/>
      <c r="CP980" s="101"/>
      <c r="CQ980" s="101"/>
      <c r="CR980" s="101"/>
      <c r="CS980" s="101"/>
      <c r="CT980" s="101"/>
      <c r="CU980" s="101"/>
      <c r="CV980" s="101"/>
      <c r="CW980" s="101"/>
      <c r="CX980" s="101"/>
      <c r="CY980" s="101"/>
      <c r="CZ980" s="101"/>
      <c r="DA980" s="101"/>
      <c r="DB980" s="101"/>
      <c r="DC980" s="101"/>
      <c r="DD980" s="101"/>
      <c r="DE980" s="101"/>
      <c r="DF980" s="101"/>
    </row>
    <row r="981">
      <c r="A981" s="29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3"/>
      <c r="U981" s="103"/>
      <c r="V981" s="103"/>
      <c r="W981" s="104"/>
      <c r="X981" s="101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101"/>
      <c r="AL981" s="101"/>
      <c r="AM981" s="29"/>
      <c r="AN981" s="101"/>
      <c r="AO981" s="101"/>
      <c r="AP981" s="101"/>
      <c r="AQ981" s="101"/>
      <c r="AR981" s="101"/>
      <c r="AS981" s="101"/>
      <c r="AT981" s="101"/>
      <c r="AU981" s="101"/>
      <c r="AV981" s="101"/>
      <c r="AW981" s="101"/>
      <c r="AX981" s="101"/>
      <c r="AY981" s="101"/>
      <c r="AZ981" s="101"/>
      <c r="BA981" s="101"/>
      <c r="BB981" s="101"/>
      <c r="BC981" s="101"/>
      <c r="BD981" s="101"/>
      <c r="BE981" s="101"/>
      <c r="BF981" s="101"/>
      <c r="BG981" s="101"/>
      <c r="BH981" s="101"/>
      <c r="BI981" s="101"/>
      <c r="BJ981" s="101"/>
      <c r="BK981" s="101"/>
      <c r="BL981" s="101"/>
      <c r="BM981" s="101"/>
      <c r="BN981" s="101"/>
      <c r="BO981" s="101"/>
      <c r="BP981" s="101"/>
      <c r="BQ981" s="101"/>
      <c r="BR981" s="101"/>
      <c r="BS981" s="101"/>
      <c r="BT981" s="101"/>
      <c r="BU981" s="101"/>
      <c r="BV981" s="101"/>
      <c r="BW981" s="101"/>
      <c r="BX981" s="101"/>
      <c r="BY981" s="101"/>
      <c r="BZ981" s="101"/>
      <c r="CA981" s="101"/>
      <c r="CB981" s="101"/>
      <c r="CC981" s="101"/>
      <c r="CD981" s="101"/>
      <c r="CE981" s="101"/>
      <c r="CF981" s="101"/>
      <c r="CG981" s="101"/>
      <c r="CH981" s="101"/>
      <c r="CI981" s="101"/>
      <c r="CJ981" s="101"/>
      <c r="CK981" s="101"/>
      <c r="CL981" s="101"/>
      <c r="CM981" s="101"/>
      <c r="CN981" s="101"/>
      <c r="CO981" s="101"/>
      <c r="CP981" s="101"/>
      <c r="CQ981" s="101"/>
      <c r="CR981" s="101"/>
      <c r="CS981" s="101"/>
      <c r="CT981" s="101"/>
      <c r="CU981" s="101"/>
      <c r="CV981" s="101"/>
      <c r="CW981" s="101"/>
      <c r="CX981" s="101"/>
      <c r="CY981" s="101"/>
      <c r="CZ981" s="101"/>
      <c r="DA981" s="101"/>
      <c r="DB981" s="101"/>
      <c r="DC981" s="101"/>
      <c r="DD981" s="101"/>
      <c r="DE981" s="101"/>
      <c r="DF981" s="101"/>
    </row>
    <row r="982">
      <c r="A982" s="29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3"/>
      <c r="U982" s="103"/>
      <c r="V982" s="103"/>
      <c r="W982" s="104"/>
      <c r="X982" s="101"/>
      <c r="Y982" s="101"/>
      <c r="Z982" s="101"/>
      <c r="AA982" s="101"/>
      <c r="AB982" s="101"/>
      <c r="AC982" s="101"/>
      <c r="AD982" s="101"/>
      <c r="AE982" s="101"/>
      <c r="AF982" s="101"/>
      <c r="AG982" s="101"/>
      <c r="AH982" s="101"/>
      <c r="AI982" s="101"/>
      <c r="AJ982" s="101"/>
      <c r="AK982" s="101"/>
      <c r="AL982" s="101"/>
      <c r="AM982" s="29"/>
      <c r="AN982" s="101"/>
      <c r="AO982" s="101"/>
      <c r="AP982" s="101"/>
      <c r="AQ982" s="101"/>
      <c r="AR982" s="101"/>
      <c r="AS982" s="101"/>
      <c r="AT982" s="101"/>
      <c r="AU982" s="101"/>
      <c r="AV982" s="101"/>
      <c r="AW982" s="101"/>
      <c r="AX982" s="101"/>
      <c r="AY982" s="101"/>
      <c r="AZ982" s="101"/>
      <c r="BA982" s="101"/>
      <c r="BB982" s="101"/>
      <c r="BC982" s="101"/>
      <c r="BD982" s="101"/>
      <c r="BE982" s="101"/>
      <c r="BF982" s="101"/>
      <c r="BG982" s="101"/>
      <c r="BH982" s="101"/>
      <c r="BI982" s="101"/>
      <c r="BJ982" s="101"/>
      <c r="BK982" s="101"/>
      <c r="BL982" s="101"/>
      <c r="BM982" s="101"/>
      <c r="BN982" s="101"/>
      <c r="BO982" s="101"/>
      <c r="BP982" s="101"/>
      <c r="BQ982" s="101"/>
      <c r="BR982" s="101"/>
      <c r="BS982" s="101"/>
      <c r="BT982" s="101"/>
      <c r="BU982" s="101"/>
      <c r="BV982" s="101"/>
      <c r="BW982" s="101"/>
      <c r="BX982" s="101"/>
      <c r="BY982" s="101"/>
      <c r="BZ982" s="101"/>
      <c r="CA982" s="101"/>
      <c r="CB982" s="101"/>
      <c r="CC982" s="101"/>
      <c r="CD982" s="101"/>
      <c r="CE982" s="101"/>
      <c r="CF982" s="101"/>
      <c r="CG982" s="101"/>
      <c r="CH982" s="101"/>
      <c r="CI982" s="101"/>
      <c r="CJ982" s="101"/>
      <c r="CK982" s="101"/>
      <c r="CL982" s="101"/>
      <c r="CM982" s="101"/>
      <c r="CN982" s="101"/>
      <c r="CO982" s="101"/>
      <c r="CP982" s="101"/>
      <c r="CQ982" s="101"/>
      <c r="CR982" s="101"/>
      <c r="CS982" s="101"/>
      <c r="CT982" s="101"/>
      <c r="CU982" s="101"/>
      <c r="CV982" s="101"/>
      <c r="CW982" s="101"/>
      <c r="CX982" s="101"/>
      <c r="CY982" s="101"/>
      <c r="CZ982" s="101"/>
      <c r="DA982" s="101"/>
      <c r="DB982" s="101"/>
      <c r="DC982" s="101"/>
      <c r="DD982" s="101"/>
      <c r="DE982" s="101"/>
      <c r="DF982" s="101"/>
    </row>
    <row r="983">
      <c r="A983" s="29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3"/>
      <c r="U983" s="103"/>
      <c r="V983" s="103"/>
      <c r="W983" s="104"/>
      <c r="X983" s="101"/>
      <c r="Y983" s="101"/>
      <c r="Z983" s="101"/>
      <c r="AA983" s="101"/>
      <c r="AB983" s="101"/>
      <c r="AC983" s="101"/>
      <c r="AD983" s="101"/>
      <c r="AE983" s="101"/>
      <c r="AF983" s="101"/>
      <c r="AG983" s="101"/>
      <c r="AH983" s="101"/>
      <c r="AI983" s="101"/>
      <c r="AJ983" s="101"/>
      <c r="AK983" s="101"/>
      <c r="AL983" s="101"/>
      <c r="AM983" s="29"/>
      <c r="AN983" s="101"/>
      <c r="AO983" s="101"/>
      <c r="AP983" s="101"/>
      <c r="AQ983" s="101"/>
      <c r="AR983" s="101"/>
      <c r="AS983" s="101"/>
      <c r="AT983" s="101"/>
      <c r="AU983" s="101"/>
      <c r="AV983" s="101"/>
      <c r="AW983" s="101"/>
      <c r="AX983" s="101"/>
      <c r="AY983" s="101"/>
      <c r="AZ983" s="101"/>
      <c r="BA983" s="101"/>
      <c r="BB983" s="101"/>
      <c r="BC983" s="101"/>
      <c r="BD983" s="101"/>
      <c r="BE983" s="101"/>
      <c r="BF983" s="101"/>
      <c r="BG983" s="101"/>
      <c r="BH983" s="101"/>
      <c r="BI983" s="101"/>
      <c r="BJ983" s="101"/>
      <c r="BK983" s="101"/>
      <c r="BL983" s="101"/>
      <c r="BM983" s="101"/>
      <c r="BN983" s="101"/>
      <c r="BO983" s="101"/>
      <c r="BP983" s="101"/>
      <c r="BQ983" s="101"/>
      <c r="BR983" s="101"/>
      <c r="BS983" s="101"/>
      <c r="BT983" s="101"/>
      <c r="BU983" s="101"/>
      <c r="BV983" s="101"/>
      <c r="BW983" s="101"/>
      <c r="BX983" s="101"/>
      <c r="BY983" s="101"/>
      <c r="BZ983" s="101"/>
      <c r="CA983" s="101"/>
      <c r="CB983" s="101"/>
      <c r="CC983" s="101"/>
      <c r="CD983" s="101"/>
      <c r="CE983" s="101"/>
      <c r="CF983" s="101"/>
      <c r="CG983" s="101"/>
      <c r="CH983" s="101"/>
      <c r="CI983" s="101"/>
      <c r="CJ983" s="101"/>
      <c r="CK983" s="101"/>
      <c r="CL983" s="101"/>
      <c r="CM983" s="101"/>
      <c r="CN983" s="101"/>
      <c r="CO983" s="101"/>
      <c r="CP983" s="101"/>
      <c r="CQ983" s="101"/>
      <c r="CR983" s="101"/>
      <c r="CS983" s="101"/>
      <c r="CT983" s="101"/>
      <c r="CU983" s="101"/>
      <c r="CV983" s="101"/>
      <c r="CW983" s="101"/>
      <c r="CX983" s="101"/>
      <c r="CY983" s="101"/>
      <c r="CZ983" s="101"/>
      <c r="DA983" s="101"/>
      <c r="DB983" s="101"/>
      <c r="DC983" s="101"/>
      <c r="DD983" s="101"/>
      <c r="DE983" s="101"/>
      <c r="DF983" s="101"/>
    </row>
    <row r="984">
      <c r="A984" s="29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3"/>
      <c r="U984" s="103"/>
      <c r="V984" s="103"/>
      <c r="W984" s="104"/>
      <c r="X984" s="101"/>
      <c r="Y984" s="101"/>
      <c r="Z984" s="101"/>
      <c r="AA984" s="101"/>
      <c r="AB984" s="101"/>
      <c r="AC984" s="101"/>
      <c r="AD984" s="101"/>
      <c r="AE984" s="101"/>
      <c r="AF984" s="101"/>
      <c r="AG984" s="101"/>
      <c r="AH984" s="101"/>
      <c r="AI984" s="101"/>
      <c r="AJ984" s="101"/>
      <c r="AK984" s="101"/>
      <c r="AL984" s="101"/>
      <c r="AM984" s="29"/>
      <c r="AN984" s="101"/>
      <c r="AO984" s="101"/>
      <c r="AP984" s="101"/>
      <c r="AQ984" s="101"/>
      <c r="AR984" s="101"/>
      <c r="AS984" s="101"/>
      <c r="AT984" s="101"/>
      <c r="AU984" s="101"/>
      <c r="AV984" s="101"/>
      <c r="AW984" s="101"/>
      <c r="AX984" s="101"/>
      <c r="AY984" s="101"/>
      <c r="AZ984" s="101"/>
      <c r="BA984" s="101"/>
      <c r="BB984" s="101"/>
      <c r="BC984" s="101"/>
      <c r="BD984" s="101"/>
      <c r="BE984" s="101"/>
      <c r="BF984" s="101"/>
      <c r="BG984" s="101"/>
      <c r="BH984" s="101"/>
      <c r="BI984" s="101"/>
      <c r="BJ984" s="101"/>
      <c r="BK984" s="101"/>
      <c r="BL984" s="101"/>
      <c r="BM984" s="101"/>
      <c r="BN984" s="101"/>
      <c r="BO984" s="101"/>
      <c r="BP984" s="101"/>
      <c r="BQ984" s="101"/>
      <c r="BR984" s="101"/>
      <c r="BS984" s="101"/>
      <c r="BT984" s="101"/>
      <c r="BU984" s="101"/>
      <c r="BV984" s="101"/>
      <c r="BW984" s="101"/>
      <c r="BX984" s="101"/>
      <c r="BY984" s="101"/>
      <c r="BZ984" s="101"/>
      <c r="CA984" s="101"/>
      <c r="CB984" s="101"/>
      <c r="CC984" s="101"/>
      <c r="CD984" s="101"/>
      <c r="CE984" s="101"/>
      <c r="CF984" s="101"/>
      <c r="CG984" s="101"/>
      <c r="CH984" s="101"/>
      <c r="CI984" s="101"/>
      <c r="CJ984" s="101"/>
      <c r="CK984" s="101"/>
      <c r="CL984" s="101"/>
      <c r="CM984" s="101"/>
      <c r="CN984" s="101"/>
      <c r="CO984" s="101"/>
      <c r="CP984" s="101"/>
      <c r="CQ984" s="101"/>
      <c r="CR984" s="101"/>
      <c r="CS984" s="101"/>
      <c r="CT984" s="101"/>
      <c r="CU984" s="101"/>
      <c r="CV984" s="101"/>
      <c r="CW984" s="101"/>
      <c r="CX984" s="101"/>
      <c r="CY984" s="101"/>
      <c r="CZ984" s="101"/>
      <c r="DA984" s="101"/>
      <c r="DB984" s="101"/>
      <c r="DC984" s="101"/>
      <c r="DD984" s="101"/>
      <c r="DE984" s="101"/>
      <c r="DF984" s="101"/>
    </row>
    <row r="985">
      <c r="A985" s="29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3"/>
      <c r="U985" s="103"/>
      <c r="V985" s="103"/>
      <c r="W985" s="104"/>
      <c r="X985" s="101"/>
      <c r="Y985" s="101"/>
      <c r="Z985" s="101"/>
      <c r="AA985" s="101"/>
      <c r="AB985" s="101"/>
      <c r="AC985" s="101"/>
      <c r="AD985" s="101"/>
      <c r="AE985" s="101"/>
      <c r="AF985" s="101"/>
      <c r="AG985" s="101"/>
      <c r="AH985" s="101"/>
      <c r="AI985" s="101"/>
      <c r="AJ985" s="101"/>
      <c r="AK985" s="101"/>
      <c r="AL985" s="101"/>
      <c r="AM985" s="29"/>
      <c r="AN985" s="101"/>
      <c r="AO985" s="101"/>
      <c r="AP985" s="101"/>
      <c r="AQ985" s="101"/>
      <c r="AR985" s="101"/>
      <c r="AS985" s="101"/>
      <c r="AT985" s="101"/>
      <c r="AU985" s="101"/>
      <c r="AV985" s="101"/>
      <c r="AW985" s="101"/>
      <c r="AX985" s="101"/>
      <c r="AY985" s="101"/>
      <c r="AZ985" s="101"/>
      <c r="BA985" s="101"/>
      <c r="BB985" s="101"/>
      <c r="BC985" s="101"/>
      <c r="BD985" s="101"/>
      <c r="BE985" s="101"/>
      <c r="BF985" s="101"/>
      <c r="BG985" s="101"/>
      <c r="BH985" s="101"/>
      <c r="BI985" s="101"/>
      <c r="BJ985" s="101"/>
      <c r="BK985" s="101"/>
      <c r="BL985" s="101"/>
      <c r="BM985" s="101"/>
      <c r="BN985" s="101"/>
      <c r="BO985" s="101"/>
      <c r="BP985" s="101"/>
      <c r="BQ985" s="101"/>
      <c r="BR985" s="101"/>
      <c r="BS985" s="101"/>
      <c r="BT985" s="101"/>
      <c r="BU985" s="101"/>
      <c r="BV985" s="101"/>
      <c r="BW985" s="101"/>
      <c r="BX985" s="101"/>
      <c r="BY985" s="101"/>
      <c r="BZ985" s="101"/>
      <c r="CA985" s="101"/>
      <c r="CB985" s="101"/>
      <c r="CC985" s="101"/>
      <c r="CD985" s="101"/>
      <c r="CE985" s="101"/>
      <c r="CF985" s="101"/>
      <c r="CG985" s="101"/>
      <c r="CH985" s="101"/>
      <c r="CI985" s="101"/>
      <c r="CJ985" s="101"/>
      <c r="CK985" s="101"/>
      <c r="CL985" s="101"/>
      <c r="CM985" s="101"/>
      <c r="CN985" s="101"/>
      <c r="CO985" s="101"/>
      <c r="CP985" s="101"/>
      <c r="CQ985" s="101"/>
      <c r="CR985" s="101"/>
      <c r="CS985" s="101"/>
      <c r="CT985" s="101"/>
      <c r="CU985" s="101"/>
      <c r="CV985" s="101"/>
      <c r="CW985" s="101"/>
      <c r="CX985" s="101"/>
      <c r="CY985" s="101"/>
      <c r="CZ985" s="101"/>
      <c r="DA985" s="101"/>
      <c r="DB985" s="101"/>
      <c r="DC985" s="101"/>
      <c r="DD985" s="101"/>
      <c r="DE985" s="101"/>
      <c r="DF985" s="101"/>
    </row>
    <row r="986">
      <c r="A986" s="29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3"/>
      <c r="U986" s="103"/>
      <c r="V986" s="103"/>
      <c r="W986" s="104"/>
      <c r="X986" s="101"/>
      <c r="Y986" s="101"/>
      <c r="Z986" s="101"/>
      <c r="AA986" s="101"/>
      <c r="AB986" s="101"/>
      <c r="AC986" s="101"/>
      <c r="AD986" s="101"/>
      <c r="AE986" s="101"/>
      <c r="AF986" s="101"/>
      <c r="AG986" s="101"/>
      <c r="AH986" s="101"/>
      <c r="AI986" s="101"/>
      <c r="AJ986" s="101"/>
      <c r="AK986" s="101"/>
      <c r="AL986" s="101"/>
      <c r="AM986" s="29"/>
      <c r="AN986" s="101"/>
      <c r="AO986" s="101"/>
      <c r="AP986" s="101"/>
      <c r="AQ986" s="101"/>
      <c r="AR986" s="101"/>
      <c r="AS986" s="101"/>
      <c r="AT986" s="101"/>
      <c r="AU986" s="101"/>
      <c r="AV986" s="101"/>
      <c r="AW986" s="101"/>
      <c r="AX986" s="101"/>
      <c r="AY986" s="101"/>
      <c r="AZ986" s="101"/>
      <c r="BA986" s="101"/>
      <c r="BB986" s="101"/>
      <c r="BC986" s="101"/>
      <c r="BD986" s="101"/>
      <c r="BE986" s="101"/>
      <c r="BF986" s="101"/>
      <c r="BG986" s="101"/>
      <c r="BH986" s="101"/>
      <c r="BI986" s="101"/>
      <c r="BJ986" s="101"/>
      <c r="BK986" s="101"/>
      <c r="BL986" s="101"/>
      <c r="BM986" s="101"/>
      <c r="BN986" s="101"/>
      <c r="BO986" s="101"/>
      <c r="BP986" s="101"/>
      <c r="BQ986" s="101"/>
      <c r="BR986" s="101"/>
      <c r="BS986" s="101"/>
      <c r="BT986" s="101"/>
      <c r="BU986" s="101"/>
      <c r="BV986" s="101"/>
      <c r="BW986" s="101"/>
      <c r="BX986" s="101"/>
      <c r="BY986" s="101"/>
      <c r="BZ986" s="101"/>
      <c r="CA986" s="101"/>
      <c r="CB986" s="101"/>
      <c r="CC986" s="101"/>
      <c r="CD986" s="101"/>
      <c r="CE986" s="101"/>
      <c r="CF986" s="101"/>
      <c r="CG986" s="101"/>
      <c r="CH986" s="101"/>
      <c r="CI986" s="101"/>
      <c r="CJ986" s="101"/>
      <c r="CK986" s="101"/>
      <c r="CL986" s="101"/>
      <c r="CM986" s="101"/>
      <c r="CN986" s="101"/>
      <c r="CO986" s="101"/>
      <c r="CP986" s="101"/>
      <c r="CQ986" s="101"/>
      <c r="CR986" s="101"/>
      <c r="CS986" s="101"/>
      <c r="CT986" s="101"/>
      <c r="CU986" s="101"/>
      <c r="CV986" s="101"/>
      <c r="CW986" s="101"/>
      <c r="CX986" s="101"/>
      <c r="CY986" s="101"/>
      <c r="CZ986" s="101"/>
      <c r="DA986" s="101"/>
      <c r="DB986" s="101"/>
      <c r="DC986" s="101"/>
      <c r="DD986" s="101"/>
      <c r="DE986" s="101"/>
      <c r="DF986" s="101"/>
    </row>
    <row r="987">
      <c r="A987" s="29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3"/>
      <c r="U987" s="103"/>
      <c r="V987" s="103"/>
      <c r="W987" s="104"/>
      <c r="X987" s="101"/>
      <c r="Y987" s="101"/>
      <c r="Z987" s="101"/>
      <c r="AA987" s="101"/>
      <c r="AB987" s="101"/>
      <c r="AC987" s="101"/>
      <c r="AD987" s="101"/>
      <c r="AE987" s="101"/>
      <c r="AF987" s="101"/>
      <c r="AG987" s="101"/>
      <c r="AH987" s="101"/>
      <c r="AI987" s="101"/>
      <c r="AJ987" s="101"/>
      <c r="AK987" s="101"/>
      <c r="AL987" s="101"/>
      <c r="AM987" s="29"/>
      <c r="AN987" s="101"/>
      <c r="AO987" s="101"/>
      <c r="AP987" s="101"/>
      <c r="AQ987" s="101"/>
      <c r="AR987" s="101"/>
      <c r="AS987" s="101"/>
      <c r="AT987" s="101"/>
      <c r="AU987" s="101"/>
      <c r="AV987" s="101"/>
      <c r="AW987" s="101"/>
      <c r="AX987" s="101"/>
      <c r="AY987" s="101"/>
      <c r="AZ987" s="101"/>
      <c r="BA987" s="101"/>
      <c r="BB987" s="101"/>
      <c r="BC987" s="101"/>
      <c r="BD987" s="101"/>
      <c r="BE987" s="101"/>
      <c r="BF987" s="101"/>
      <c r="BG987" s="101"/>
      <c r="BH987" s="101"/>
      <c r="BI987" s="101"/>
      <c r="BJ987" s="101"/>
      <c r="BK987" s="101"/>
      <c r="BL987" s="101"/>
      <c r="BM987" s="101"/>
      <c r="BN987" s="101"/>
      <c r="BO987" s="101"/>
      <c r="BP987" s="101"/>
      <c r="BQ987" s="101"/>
      <c r="BR987" s="101"/>
      <c r="BS987" s="101"/>
      <c r="BT987" s="101"/>
      <c r="BU987" s="101"/>
      <c r="BV987" s="101"/>
      <c r="BW987" s="101"/>
      <c r="BX987" s="101"/>
      <c r="BY987" s="101"/>
      <c r="BZ987" s="101"/>
      <c r="CA987" s="101"/>
      <c r="CB987" s="101"/>
      <c r="CC987" s="101"/>
      <c r="CD987" s="101"/>
      <c r="CE987" s="101"/>
      <c r="CF987" s="101"/>
      <c r="CG987" s="101"/>
      <c r="CH987" s="101"/>
      <c r="CI987" s="101"/>
      <c r="CJ987" s="101"/>
      <c r="CK987" s="101"/>
      <c r="CL987" s="101"/>
      <c r="CM987" s="101"/>
      <c r="CN987" s="101"/>
      <c r="CO987" s="101"/>
      <c r="CP987" s="101"/>
      <c r="CQ987" s="101"/>
      <c r="CR987" s="101"/>
      <c r="CS987" s="101"/>
      <c r="CT987" s="101"/>
      <c r="CU987" s="101"/>
      <c r="CV987" s="101"/>
      <c r="CW987" s="101"/>
      <c r="CX987" s="101"/>
      <c r="CY987" s="101"/>
      <c r="CZ987" s="101"/>
      <c r="DA987" s="101"/>
      <c r="DB987" s="101"/>
      <c r="DC987" s="101"/>
      <c r="DD987" s="101"/>
      <c r="DE987" s="101"/>
      <c r="DF987" s="101"/>
    </row>
    <row r="988">
      <c r="A988" s="29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3"/>
      <c r="U988" s="103"/>
      <c r="V988" s="103"/>
      <c r="W988" s="104"/>
      <c r="X988" s="101"/>
      <c r="Y988" s="101"/>
      <c r="Z988" s="101"/>
      <c r="AA988" s="101"/>
      <c r="AB988" s="101"/>
      <c r="AC988" s="101"/>
      <c r="AD988" s="101"/>
      <c r="AE988" s="101"/>
      <c r="AF988" s="101"/>
      <c r="AG988" s="101"/>
      <c r="AH988" s="101"/>
      <c r="AI988" s="101"/>
      <c r="AJ988" s="101"/>
      <c r="AK988" s="101"/>
      <c r="AL988" s="101"/>
      <c r="AM988" s="29"/>
      <c r="AN988" s="101"/>
      <c r="AO988" s="101"/>
      <c r="AP988" s="101"/>
      <c r="AQ988" s="101"/>
      <c r="AR988" s="101"/>
      <c r="AS988" s="101"/>
      <c r="AT988" s="101"/>
      <c r="AU988" s="101"/>
      <c r="AV988" s="101"/>
      <c r="AW988" s="101"/>
      <c r="AX988" s="101"/>
      <c r="AY988" s="101"/>
      <c r="AZ988" s="101"/>
      <c r="BA988" s="101"/>
      <c r="BB988" s="101"/>
      <c r="BC988" s="101"/>
      <c r="BD988" s="101"/>
      <c r="BE988" s="101"/>
      <c r="BF988" s="101"/>
      <c r="BG988" s="101"/>
      <c r="BH988" s="101"/>
      <c r="BI988" s="101"/>
      <c r="BJ988" s="101"/>
      <c r="BK988" s="101"/>
      <c r="BL988" s="101"/>
      <c r="BM988" s="101"/>
      <c r="BN988" s="101"/>
      <c r="BO988" s="101"/>
      <c r="BP988" s="101"/>
      <c r="BQ988" s="101"/>
      <c r="BR988" s="101"/>
      <c r="BS988" s="101"/>
      <c r="BT988" s="101"/>
      <c r="BU988" s="101"/>
      <c r="BV988" s="101"/>
      <c r="BW988" s="101"/>
      <c r="BX988" s="101"/>
      <c r="BY988" s="101"/>
      <c r="BZ988" s="101"/>
      <c r="CA988" s="101"/>
      <c r="CB988" s="101"/>
      <c r="CC988" s="101"/>
      <c r="CD988" s="101"/>
      <c r="CE988" s="101"/>
      <c r="CF988" s="101"/>
      <c r="CG988" s="101"/>
      <c r="CH988" s="101"/>
      <c r="CI988" s="101"/>
      <c r="CJ988" s="101"/>
      <c r="CK988" s="101"/>
      <c r="CL988" s="101"/>
      <c r="CM988" s="101"/>
      <c r="CN988" s="101"/>
      <c r="CO988" s="101"/>
      <c r="CP988" s="101"/>
      <c r="CQ988" s="101"/>
      <c r="CR988" s="101"/>
      <c r="CS988" s="101"/>
      <c r="CT988" s="101"/>
      <c r="CU988" s="101"/>
      <c r="CV988" s="101"/>
      <c r="CW988" s="101"/>
      <c r="CX988" s="101"/>
      <c r="CY988" s="101"/>
      <c r="CZ988" s="101"/>
      <c r="DA988" s="101"/>
      <c r="DB988" s="101"/>
      <c r="DC988" s="101"/>
      <c r="DD988" s="101"/>
      <c r="DE988" s="101"/>
      <c r="DF988" s="101"/>
    </row>
    <row r="989">
      <c r="A989" s="29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3"/>
      <c r="U989" s="103"/>
      <c r="V989" s="103"/>
      <c r="W989" s="104"/>
      <c r="X989" s="101"/>
      <c r="Y989" s="101"/>
      <c r="Z989" s="101"/>
      <c r="AA989" s="101"/>
      <c r="AB989" s="101"/>
      <c r="AC989" s="101"/>
      <c r="AD989" s="101"/>
      <c r="AE989" s="101"/>
      <c r="AF989" s="101"/>
      <c r="AG989" s="101"/>
      <c r="AH989" s="101"/>
      <c r="AI989" s="101"/>
      <c r="AJ989" s="101"/>
      <c r="AK989" s="101"/>
      <c r="AL989" s="101"/>
      <c r="AM989" s="29"/>
      <c r="AN989" s="101"/>
      <c r="AO989" s="101"/>
      <c r="AP989" s="101"/>
      <c r="AQ989" s="101"/>
      <c r="AR989" s="101"/>
      <c r="AS989" s="101"/>
      <c r="AT989" s="101"/>
      <c r="AU989" s="101"/>
      <c r="AV989" s="101"/>
      <c r="AW989" s="101"/>
      <c r="AX989" s="101"/>
      <c r="AY989" s="101"/>
      <c r="AZ989" s="101"/>
      <c r="BA989" s="101"/>
      <c r="BB989" s="101"/>
      <c r="BC989" s="101"/>
      <c r="BD989" s="101"/>
      <c r="BE989" s="101"/>
      <c r="BF989" s="101"/>
      <c r="BG989" s="101"/>
      <c r="BH989" s="101"/>
      <c r="BI989" s="101"/>
      <c r="BJ989" s="101"/>
      <c r="BK989" s="101"/>
      <c r="BL989" s="101"/>
      <c r="BM989" s="101"/>
      <c r="BN989" s="101"/>
      <c r="BO989" s="101"/>
      <c r="BP989" s="101"/>
      <c r="BQ989" s="101"/>
      <c r="BR989" s="101"/>
      <c r="BS989" s="101"/>
      <c r="BT989" s="101"/>
      <c r="BU989" s="101"/>
      <c r="BV989" s="101"/>
      <c r="BW989" s="101"/>
      <c r="BX989" s="101"/>
      <c r="BY989" s="101"/>
      <c r="BZ989" s="101"/>
      <c r="CA989" s="101"/>
      <c r="CB989" s="101"/>
      <c r="CC989" s="101"/>
      <c r="CD989" s="101"/>
      <c r="CE989" s="101"/>
      <c r="CF989" s="101"/>
      <c r="CG989" s="101"/>
      <c r="CH989" s="101"/>
      <c r="CI989" s="101"/>
      <c r="CJ989" s="101"/>
      <c r="CK989" s="101"/>
      <c r="CL989" s="101"/>
      <c r="CM989" s="101"/>
      <c r="CN989" s="101"/>
      <c r="CO989" s="101"/>
      <c r="CP989" s="101"/>
      <c r="CQ989" s="101"/>
      <c r="CR989" s="101"/>
      <c r="CS989" s="101"/>
      <c r="CT989" s="101"/>
      <c r="CU989" s="101"/>
      <c r="CV989" s="101"/>
      <c r="CW989" s="101"/>
      <c r="CX989" s="101"/>
      <c r="CY989" s="101"/>
      <c r="CZ989" s="101"/>
      <c r="DA989" s="101"/>
      <c r="DB989" s="101"/>
      <c r="DC989" s="101"/>
      <c r="DD989" s="101"/>
      <c r="DE989" s="101"/>
      <c r="DF989" s="101"/>
    </row>
    <row r="990">
      <c r="A990" s="29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3"/>
      <c r="U990" s="103"/>
      <c r="V990" s="103"/>
      <c r="W990" s="104"/>
      <c r="X990" s="101"/>
      <c r="Y990" s="101"/>
      <c r="Z990" s="101"/>
      <c r="AA990" s="101"/>
      <c r="AB990" s="101"/>
      <c r="AC990" s="101"/>
      <c r="AD990" s="101"/>
      <c r="AE990" s="101"/>
      <c r="AF990" s="101"/>
      <c r="AG990" s="101"/>
      <c r="AH990" s="101"/>
      <c r="AI990" s="101"/>
      <c r="AJ990" s="101"/>
      <c r="AK990" s="101"/>
      <c r="AL990" s="101"/>
      <c r="AM990" s="29"/>
      <c r="AN990" s="101"/>
      <c r="AO990" s="101"/>
      <c r="AP990" s="101"/>
      <c r="AQ990" s="101"/>
      <c r="AR990" s="101"/>
      <c r="AS990" s="101"/>
      <c r="AT990" s="101"/>
      <c r="AU990" s="101"/>
      <c r="AV990" s="101"/>
      <c r="AW990" s="101"/>
      <c r="AX990" s="101"/>
      <c r="AY990" s="101"/>
      <c r="AZ990" s="101"/>
      <c r="BA990" s="101"/>
      <c r="BB990" s="101"/>
      <c r="BC990" s="101"/>
      <c r="BD990" s="101"/>
      <c r="BE990" s="101"/>
      <c r="BF990" s="101"/>
      <c r="BG990" s="101"/>
      <c r="BH990" s="101"/>
      <c r="BI990" s="101"/>
      <c r="BJ990" s="101"/>
      <c r="BK990" s="101"/>
      <c r="BL990" s="101"/>
      <c r="BM990" s="101"/>
      <c r="BN990" s="101"/>
      <c r="BO990" s="101"/>
      <c r="BP990" s="101"/>
      <c r="BQ990" s="101"/>
      <c r="BR990" s="101"/>
      <c r="BS990" s="101"/>
      <c r="BT990" s="101"/>
      <c r="BU990" s="101"/>
      <c r="BV990" s="101"/>
      <c r="BW990" s="101"/>
      <c r="BX990" s="101"/>
      <c r="BY990" s="101"/>
      <c r="BZ990" s="101"/>
      <c r="CA990" s="101"/>
      <c r="CB990" s="101"/>
      <c r="CC990" s="101"/>
      <c r="CD990" s="101"/>
      <c r="CE990" s="101"/>
      <c r="CF990" s="101"/>
      <c r="CG990" s="101"/>
      <c r="CH990" s="101"/>
      <c r="CI990" s="101"/>
      <c r="CJ990" s="101"/>
      <c r="CK990" s="101"/>
      <c r="CL990" s="101"/>
      <c r="CM990" s="101"/>
      <c r="CN990" s="101"/>
      <c r="CO990" s="101"/>
      <c r="CP990" s="101"/>
      <c r="CQ990" s="101"/>
      <c r="CR990" s="101"/>
      <c r="CS990" s="101"/>
      <c r="CT990" s="101"/>
      <c r="CU990" s="101"/>
      <c r="CV990" s="101"/>
      <c r="CW990" s="101"/>
      <c r="CX990" s="101"/>
      <c r="CY990" s="101"/>
      <c r="CZ990" s="101"/>
      <c r="DA990" s="101"/>
      <c r="DB990" s="101"/>
      <c r="DC990" s="101"/>
      <c r="DD990" s="101"/>
      <c r="DE990" s="101"/>
      <c r="DF990" s="101"/>
    </row>
    <row r="991">
      <c r="A991" s="29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3"/>
      <c r="U991" s="103"/>
      <c r="V991" s="103"/>
      <c r="W991" s="104"/>
      <c r="X991" s="101"/>
      <c r="Y991" s="101"/>
      <c r="Z991" s="101"/>
      <c r="AA991" s="101"/>
      <c r="AB991" s="101"/>
      <c r="AC991" s="101"/>
      <c r="AD991" s="101"/>
      <c r="AE991" s="101"/>
      <c r="AF991" s="101"/>
      <c r="AG991" s="101"/>
      <c r="AH991" s="101"/>
      <c r="AI991" s="101"/>
      <c r="AJ991" s="101"/>
      <c r="AK991" s="101"/>
      <c r="AL991" s="101"/>
      <c r="AM991" s="29"/>
      <c r="AN991" s="101"/>
      <c r="AO991" s="101"/>
      <c r="AP991" s="101"/>
      <c r="AQ991" s="101"/>
      <c r="AR991" s="101"/>
      <c r="AS991" s="101"/>
      <c r="AT991" s="101"/>
      <c r="AU991" s="101"/>
      <c r="AV991" s="101"/>
      <c r="AW991" s="101"/>
      <c r="AX991" s="101"/>
      <c r="AY991" s="101"/>
      <c r="AZ991" s="101"/>
      <c r="BA991" s="101"/>
      <c r="BB991" s="101"/>
      <c r="BC991" s="101"/>
      <c r="BD991" s="101"/>
      <c r="BE991" s="101"/>
      <c r="BF991" s="101"/>
      <c r="BG991" s="101"/>
      <c r="BH991" s="101"/>
      <c r="BI991" s="101"/>
      <c r="BJ991" s="101"/>
      <c r="BK991" s="101"/>
      <c r="BL991" s="101"/>
      <c r="BM991" s="101"/>
      <c r="BN991" s="101"/>
      <c r="BO991" s="101"/>
      <c r="BP991" s="101"/>
      <c r="BQ991" s="101"/>
      <c r="BR991" s="101"/>
      <c r="BS991" s="101"/>
      <c r="BT991" s="101"/>
      <c r="BU991" s="101"/>
      <c r="BV991" s="101"/>
      <c r="BW991" s="101"/>
      <c r="BX991" s="101"/>
      <c r="BY991" s="101"/>
      <c r="BZ991" s="101"/>
      <c r="CA991" s="101"/>
      <c r="CB991" s="101"/>
      <c r="CC991" s="101"/>
      <c r="CD991" s="101"/>
      <c r="CE991" s="101"/>
      <c r="CF991" s="101"/>
      <c r="CG991" s="101"/>
      <c r="CH991" s="101"/>
      <c r="CI991" s="101"/>
      <c r="CJ991" s="101"/>
      <c r="CK991" s="101"/>
      <c r="CL991" s="101"/>
      <c r="CM991" s="101"/>
      <c r="CN991" s="101"/>
      <c r="CO991" s="101"/>
      <c r="CP991" s="101"/>
      <c r="CQ991" s="101"/>
      <c r="CR991" s="101"/>
      <c r="CS991" s="101"/>
      <c r="CT991" s="101"/>
      <c r="CU991" s="101"/>
      <c r="CV991" s="101"/>
      <c r="CW991" s="101"/>
      <c r="CX991" s="101"/>
      <c r="CY991" s="101"/>
      <c r="CZ991" s="101"/>
      <c r="DA991" s="101"/>
      <c r="DB991" s="101"/>
      <c r="DC991" s="101"/>
      <c r="DD991" s="101"/>
      <c r="DE991" s="101"/>
      <c r="DF991" s="101"/>
    </row>
    <row r="992">
      <c r="A992" s="29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3"/>
      <c r="U992" s="103"/>
      <c r="V992" s="103"/>
      <c r="W992" s="104"/>
      <c r="X992" s="101"/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101"/>
      <c r="AL992" s="101"/>
      <c r="AM992" s="29"/>
      <c r="AN992" s="101"/>
      <c r="AO992" s="101"/>
      <c r="AP992" s="101"/>
      <c r="AQ992" s="101"/>
      <c r="AR992" s="101"/>
      <c r="AS992" s="101"/>
      <c r="AT992" s="101"/>
      <c r="AU992" s="101"/>
      <c r="AV992" s="101"/>
      <c r="AW992" s="101"/>
      <c r="AX992" s="101"/>
      <c r="AY992" s="101"/>
      <c r="AZ992" s="101"/>
      <c r="BA992" s="101"/>
      <c r="BB992" s="101"/>
      <c r="BC992" s="101"/>
      <c r="BD992" s="101"/>
      <c r="BE992" s="101"/>
      <c r="BF992" s="101"/>
      <c r="BG992" s="101"/>
      <c r="BH992" s="101"/>
      <c r="BI992" s="101"/>
      <c r="BJ992" s="101"/>
      <c r="BK992" s="101"/>
      <c r="BL992" s="101"/>
      <c r="BM992" s="101"/>
      <c r="BN992" s="101"/>
      <c r="BO992" s="101"/>
      <c r="BP992" s="101"/>
      <c r="BQ992" s="101"/>
      <c r="BR992" s="101"/>
      <c r="BS992" s="101"/>
      <c r="BT992" s="101"/>
      <c r="BU992" s="101"/>
      <c r="BV992" s="101"/>
      <c r="BW992" s="101"/>
      <c r="BX992" s="101"/>
      <c r="BY992" s="101"/>
      <c r="BZ992" s="101"/>
      <c r="CA992" s="101"/>
      <c r="CB992" s="101"/>
      <c r="CC992" s="101"/>
      <c r="CD992" s="101"/>
      <c r="CE992" s="101"/>
      <c r="CF992" s="101"/>
      <c r="CG992" s="101"/>
      <c r="CH992" s="101"/>
      <c r="CI992" s="101"/>
      <c r="CJ992" s="101"/>
      <c r="CK992" s="101"/>
      <c r="CL992" s="101"/>
      <c r="CM992" s="101"/>
      <c r="CN992" s="101"/>
      <c r="CO992" s="101"/>
      <c r="CP992" s="101"/>
      <c r="CQ992" s="101"/>
      <c r="CR992" s="101"/>
      <c r="CS992" s="101"/>
      <c r="CT992" s="101"/>
      <c r="CU992" s="101"/>
      <c r="CV992" s="101"/>
      <c r="CW992" s="101"/>
      <c r="CX992" s="101"/>
      <c r="CY992" s="101"/>
      <c r="CZ992" s="101"/>
      <c r="DA992" s="101"/>
      <c r="DB992" s="101"/>
      <c r="DC992" s="101"/>
      <c r="DD992" s="101"/>
      <c r="DE992" s="101"/>
      <c r="DF992" s="101"/>
    </row>
    <row r="993">
      <c r="A993" s="29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3"/>
      <c r="U993" s="103"/>
      <c r="V993" s="103"/>
      <c r="W993" s="104"/>
      <c r="X993" s="101"/>
      <c r="Y993" s="101"/>
      <c r="Z993" s="101"/>
      <c r="AA993" s="101"/>
      <c r="AB993" s="101"/>
      <c r="AC993" s="101"/>
      <c r="AD993" s="101"/>
      <c r="AE993" s="101"/>
      <c r="AF993" s="101"/>
      <c r="AG993" s="101"/>
      <c r="AH993" s="101"/>
      <c r="AI993" s="101"/>
      <c r="AJ993" s="101"/>
      <c r="AK993" s="101"/>
      <c r="AL993" s="101"/>
      <c r="AM993" s="29"/>
      <c r="AN993" s="101"/>
      <c r="AO993" s="101"/>
      <c r="AP993" s="101"/>
      <c r="AQ993" s="101"/>
      <c r="AR993" s="101"/>
      <c r="AS993" s="101"/>
      <c r="AT993" s="101"/>
      <c r="AU993" s="101"/>
      <c r="AV993" s="101"/>
      <c r="AW993" s="101"/>
      <c r="AX993" s="101"/>
      <c r="AY993" s="101"/>
      <c r="AZ993" s="101"/>
      <c r="BA993" s="101"/>
      <c r="BB993" s="101"/>
      <c r="BC993" s="101"/>
      <c r="BD993" s="101"/>
      <c r="BE993" s="101"/>
      <c r="BF993" s="101"/>
      <c r="BG993" s="101"/>
      <c r="BH993" s="101"/>
      <c r="BI993" s="101"/>
      <c r="BJ993" s="101"/>
      <c r="BK993" s="101"/>
      <c r="BL993" s="101"/>
      <c r="BM993" s="101"/>
      <c r="BN993" s="101"/>
      <c r="BO993" s="101"/>
      <c r="BP993" s="101"/>
      <c r="BQ993" s="101"/>
      <c r="BR993" s="101"/>
      <c r="BS993" s="101"/>
      <c r="BT993" s="101"/>
      <c r="BU993" s="101"/>
      <c r="BV993" s="101"/>
      <c r="BW993" s="101"/>
      <c r="BX993" s="101"/>
      <c r="BY993" s="101"/>
      <c r="BZ993" s="101"/>
      <c r="CA993" s="101"/>
      <c r="CB993" s="101"/>
      <c r="CC993" s="101"/>
      <c r="CD993" s="101"/>
      <c r="CE993" s="101"/>
      <c r="CF993" s="101"/>
      <c r="CG993" s="101"/>
      <c r="CH993" s="101"/>
      <c r="CI993" s="101"/>
      <c r="CJ993" s="101"/>
      <c r="CK993" s="101"/>
      <c r="CL993" s="101"/>
      <c r="CM993" s="101"/>
      <c r="CN993" s="101"/>
      <c r="CO993" s="101"/>
      <c r="CP993" s="101"/>
      <c r="CQ993" s="101"/>
      <c r="CR993" s="101"/>
      <c r="CS993" s="101"/>
      <c r="CT993" s="101"/>
      <c r="CU993" s="101"/>
      <c r="CV993" s="101"/>
      <c r="CW993" s="101"/>
      <c r="CX993" s="101"/>
      <c r="CY993" s="101"/>
      <c r="CZ993" s="101"/>
      <c r="DA993" s="101"/>
      <c r="DB993" s="101"/>
      <c r="DC993" s="101"/>
      <c r="DD993" s="101"/>
      <c r="DE993" s="101"/>
      <c r="DF993" s="101"/>
    </row>
    <row r="994">
      <c r="A994" s="29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3"/>
      <c r="U994" s="103"/>
      <c r="V994" s="103"/>
      <c r="W994" s="104"/>
      <c r="X994" s="101"/>
      <c r="Y994" s="101"/>
      <c r="Z994" s="101"/>
      <c r="AA994" s="101"/>
      <c r="AB994" s="101"/>
      <c r="AC994" s="101"/>
      <c r="AD994" s="101"/>
      <c r="AE994" s="101"/>
      <c r="AF994" s="101"/>
      <c r="AG994" s="101"/>
      <c r="AH994" s="101"/>
      <c r="AI994" s="101"/>
      <c r="AJ994" s="101"/>
      <c r="AK994" s="101"/>
      <c r="AL994" s="101"/>
      <c r="AM994" s="29"/>
      <c r="AN994" s="101"/>
      <c r="AO994" s="101"/>
      <c r="AP994" s="101"/>
      <c r="AQ994" s="101"/>
      <c r="AR994" s="101"/>
      <c r="AS994" s="101"/>
      <c r="AT994" s="101"/>
      <c r="AU994" s="101"/>
      <c r="AV994" s="101"/>
      <c r="AW994" s="101"/>
      <c r="AX994" s="101"/>
      <c r="AY994" s="101"/>
      <c r="AZ994" s="101"/>
      <c r="BA994" s="101"/>
      <c r="BB994" s="101"/>
      <c r="BC994" s="101"/>
      <c r="BD994" s="101"/>
      <c r="BE994" s="101"/>
      <c r="BF994" s="101"/>
      <c r="BG994" s="101"/>
      <c r="BH994" s="101"/>
      <c r="BI994" s="101"/>
      <c r="BJ994" s="101"/>
      <c r="BK994" s="101"/>
      <c r="BL994" s="101"/>
      <c r="BM994" s="101"/>
      <c r="BN994" s="101"/>
      <c r="BO994" s="101"/>
      <c r="BP994" s="101"/>
      <c r="BQ994" s="101"/>
      <c r="BR994" s="101"/>
      <c r="BS994" s="101"/>
      <c r="BT994" s="101"/>
      <c r="BU994" s="101"/>
      <c r="BV994" s="101"/>
      <c r="BW994" s="101"/>
      <c r="BX994" s="101"/>
      <c r="BY994" s="101"/>
      <c r="BZ994" s="101"/>
      <c r="CA994" s="101"/>
      <c r="CB994" s="101"/>
      <c r="CC994" s="101"/>
      <c r="CD994" s="101"/>
      <c r="CE994" s="101"/>
      <c r="CF994" s="101"/>
      <c r="CG994" s="101"/>
      <c r="CH994" s="101"/>
      <c r="CI994" s="101"/>
      <c r="CJ994" s="101"/>
      <c r="CK994" s="101"/>
      <c r="CL994" s="101"/>
      <c r="CM994" s="101"/>
      <c r="CN994" s="101"/>
      <c r="CO994" s="101"/>
      <c r="CP994" s="101"/>
      <c r="CQ994" s="101"/>
      <c r="CR994" s="101"/>
      <c r="CS994" s="101"/>
      <c r="CT994" s="101"/>
      <c r="CU994" s="101"/>
      <c r="CV994" s="101"/>
      <c r="CW994" s="101"/>
      <c r="CX994" s="101"/>
      <c r="CY994" s="101"/>
      <c r="CZ994" s="101"/>
      <c r="DA994" s="101"/>
      <c r="DB994" s="101"/>
      <c r="DC994" s="101"/>
      <c r="DD994" s="101"/>
      <c r="DE994" s="101"/>
      <c r="DF994" s="101"/>
    </row>
    <row r="995">
      <c r="A995" s="29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3"/>
      <c r="U995" s="103"/>
      <c r="V995" s="103"/>
      <c r="W995" s="104"/>
      <c r="X995" s="101"/>
      <c r="Y995" s="101"/>
      <c r="Z995" s="101"/>
      <c r="AA995" s="101"/>
      <c r="AB995" s="101"/>
      <c r="AC995" s="101"/>
      <c r="AD995" s="101"/>
      <c r="AE995" s="101"/>
      <c r="AF995" s="101"/>
      <c r="AG995" s="101"/>
      <c r="AH995" s="101"/>
      <c r="AI995" s="101"/>
      <c r="AJ995" s="101"/>
      <c r="AK995" s="101"/>
      <c r="AL995" s="101"/>
      <c r="AM995" s="29"/>
      <c r="AN995" s="101"/>
      <c r="AO995" s="101"/>
      <c r="AP995" s="101"/>
      <c r="AQ995" s="101"/>
      <c r="AR995" s="101"/>
      <c r="AS995" s="101"/>
      <c r="AT995" s="101"/>
      <c r="AU995" s="101"/>
      <c r="AV995" s="101"/>
      <c r="AW995" s="101"/>
      <c r="AX995" s="101"/>
      <c r="AY995" s="101"/>
      <c r="AZ995" s="101"/>
      <c r="BA995" s="101"/>
      <c r="BB995" s="101"/>
      <c r="BC995" s="101"/>
      <c r="BD995" s="101"/>
      <c r="BE995" s="101"/>
      <c r="BF995" s="101"/>
      <c r="BG995" s="101"/>
      <c r="BH995" s="101"/>
      <c r="BI995" s="101"/>
      <c r="BJ995" s="101"/>
      <c r="BK995" s="101"/>
      <c r="BL995" s="101"/>
      <c r="BM995" s="101"/>
      <c r="BN995" s="101"/>
      <c r="BO995" s="101"/>
      <c r="BP995" s="101"/>
      <c r="BQ995" s="101"/>
      <c r="BR995" s="101"/>
      <c r="BS995" s="101"/>
      <c r="BT995" s="101"/>
      <c r="BU995" s="101"/>
      <c r="BV995" s="101"/>
      <c r="BW995" s="101"/>
      <c r="BX995" s="101"/>
      <c r="BY995" s="101"/>
      <c r="BZ995" s="101"/>
      <c r="CA995" s="101"/>
      <c r="CB995" s="101"/>
      <c r="CC995" s="101"/>
      <c r="CD995" s="101"/>
      <c r="CE995" s="101"/>
      <c r="CF995" s="101"/>
      <c r="CG995" s="101"/>
      <c r="CH995" s="101"/>
      <c r="CI995" s="101"/>
      <c r="CJ995" s="101"/>
      <c r="CK995" s="101"/>
      <c r="CL995" s="101"/>
      <c r="CM995" s="101"/>
      <c r="CN995" s="101"/>
      <c r="CO995" s="101"/>
      <c r="CP995" s="101"/>
      <c r="CQ995" s="101"/>
      <c r="CR995" s="101"/>
      <c r="CS995" s="101"/>
      <c r="CT995" s="101"/>
      <c r="CU995" s="101"/>
      <c r="CV995" s="101"/>
      <c r="CW995" s="101"/>
      <c r="CX995" s="101"/>
      <c r="CY995" s="101"/>
      <c r="CZ995" s="101"/>
      <c r="DA995" s="101"/>
      <c r="DB995" s="101"/>
      <c r="DC995" s="101"/>
      <c r="DD995" s="101"/>
      <c r="DE995" s="101"/>
      <c r="DF995" s="101"/>
    </row>
    <row r="996">
      <c r="A996" s="29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3"/>
      <c r="U996" s="103"/>
      <c r="V996" s="103"/>
      <c r="W996" s="104"/>
      <c r="X996" s="101"/>
      <c r="Y996" s="101"/>
      <c r="Z996" s="101"/>
      <c r="AA996" s="101"/>
      <c r="AB996" s="101"/>
      <c r="AC996" s="101"/>
      <c r="AD996" s="101"/>
      <c r="AE996" s="101"/>
      <c r="AF996" s="101"/>
      <c r="AG996" s="101"/>
      <c r="AH996" s="101"/>
      <c r="AI996" s="101"/>
      <c r="AJ996" s="101"/>
      <c r="AK996" s="101"/>
      <c r="AL996" s="101"/>
      <c r="AM996" s="29"/>
      <c r="AN996" s="101"/>
      <c r="AO996" s="101"/>
      <c r="AP996" s="101"/>
      <c r="AQ996" s="101"/>
      <c r="AR996" s="101"/>
      <c r="AS996" s="101"/>
      <c r="AT996" s="101"/>
      <c r="AU996" s="101"/>
      <c r="AV996" s="101"/>
      <c r="AW996" s="101"/>
      <c r="AX996" s="101"/>
      <c r="AY996" s="101"/>
      <c r="AZ996" s="101"/>
      <c r="BA996" s="101"/>
      <c r="BB996" s="101"/>
      <c r="BC996" s="101"/>
      <c r="BD996" s="101"/>
      <c r="BE996" s="101"/>
      <c r="BF996" s="101"/>
      <c r="BG996" s="101"/>
      <c r="BH996" s="101"/>
      <c r="BI996" s="101"/>
      <c r="BJ996" s="101"/>
      <c r="BK996" s="101"/>
      <c r="BL996" s="101"/>
      <c r="BM996" s="101"/>
      <c r="BN996" s="101"/>
      <c r="BO996" s="101"/>
      <c r="BP996" s="101"/>
      <c r="BQ996" s="101"/>
      <c r="BR996" s="101"/>
      <c r="BS996" s="101"/>
      <c r="BT996" s="101"/>
      <c r="BU996" s="101"/>
      <c r="BV996" s="101"/>
      <c r="BW996" s="101"/>
      <c r="BX996" s="101"/>
      <c r="BY996" s="101"/>
      <c r="BZ996" s="101"/>
      <c r="CA996" s="101"/>
      <c r="CB996" s="101"/>
      <c r="CC996" s="101"/>
      <c r="CD996" s="101"/>
      <c r="CE996" s="101"/>
      <c r="CF996" s="101"/>
      <c r="CG996" s="101"/>
      <c r="CH996" s="101"/>
      <c r="CI996" s="101"/>
      <c r="CJ996" s="101"/>
      <c r="CK996" s="101"/>
      <c r="CL996" s="101"/>
      <c r="CM996" s="101"/>
      <c r="CN996" s="101"/>
      <c r="CO996" s="101"/>
      <c r="CP996" s="101"/>
      <c r="CQ996" s="101"/>
      <c r="CR996" s="101"/>
      <c r="CS996" s="101"/>
      <c r="CT996" s="101"/>
      <c r="CU996" s="101"/>
      <c r="CV996" s="101"/>
      <c r="CW996" s="101"/>
      <c r="CX996" s="101"/>
      <c r="CY996" s="101"/>
      <c r="CZ996" s="101"/>
      <c r="DA996" s="101"/>
      <c r="DB996" s="101"/>
      <c r="DC996" s="101"/>
      <c r="DD996" s="101"/>
      <c r="DE996" s="101"/>
      <c r="DF996" s="101"/>
    </row>
    <row r="997">
      <c r="A997" s="29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3"/>
      <c r="U997" s="103"/>
      <c r="V997" s="103"/>
      <c r="W997" s="104"/>
      <c r="X997" s="101"/>
      <c r="Y997" s="101"/>
      <c r="Z997" s="101"/>
      <c r="AA997" s="101"/>
      <c r="AB997" s="101"/>
      <c r="AC997" s="101"/>
      <c r="AD997" s="101"/>
      <c r="AE997" s="101"/>
      <c r="AF997" s="101"/>
      <c r="AG997" s="101"/>
      <c r="AH997" s="101"/>
      <c r="AI997" s="101"/>
      <c r="AJ997" s="101"/>
      <c r="AK997" s="101"/>
      <c r="AL997" s="101"/>
      <c r="AM997" s="29"/>
      <c r="AN997" s="101"/>
      <c r="AO997" s="101"/>
      <c r="AP997" s="101"/>
      <c r="AQ997" s="101"/>
      <c r="AR997" s="101"/>
      <c r="AS997" s="101"/>
      <c r="AT997" s="101"/>
      <c r="AU997" s="101"/>
      <c r="AV997" s="101"/>
      <c r="AW997" s="101"/>
      <c r="AX997" s="101"/>
      <c r="AY997" s="101"/>
      <c r="AZ997" s="101"/>
      <c r="BA997" s="101"/>
      <c r="BB997" s="101"/>
      <c r="BC997" s="101"/>
      <c r="BD997" s="101"/>
      <c r="BE997" s="101"/>
      <c r="BF997" s="101"/>
      <c r="BG997" s="101"/>
      <c r="BH997" s="101"/>
      <c r="BI997" s="101"/>
      <c r="BJ997" s="101"/>
      <c r="BK997" s="101"/>
      <c r="BL997" s="101"/>
      <c r="BM997" s="101"/>
      <c r="BN997" s="101"/>
      <c r="BO997" s="101"/>
      <c r="BP997" s="101"/>
      <c r="BQ997" s="101"/>
      <c r="BR997" s="101"/>
      <c r="BS997" s="101"/>
      <c r="BT997" s="101"/>
      <c r="BU997" s="101"/>
      <c r="BV997" s="101"/>
      <c r="BW997" s="101"/>
      <c r="BX997" s="101"/>
      <c r="BY997" s="101"/>
      <c r="BZ997" s="101"/>
      <c r="CA997" s="101"/>
      <c r="CB997" s="101"/>
      <c r="CC997" s="101"/>
      <c r="CD997" s="101"/>
      <c r="CE997" s="101"/>
      <c r="CF997" s="101"/>
      <c r="CG997" s="101"/>
      <c r="CH997" s="101"/>
      <c r="CI997" s="101"/>
      <c r="CJ997" s="101"/>
      <c r="CK997" s="101"/>
      <c r="CL997" s="101"/>
      <c r="CM997" s="101"/>
      <c r="CN997" s="101"/>
      <c r="CO997" s="101"/>
      <c r="CP997" s="101"/>
      <c r="CQ997" s="101"/>
      <c r="CR997" s="101"/>
      <c r="CS997" s="101"/>
      <c r="CT997" s="101"/>
      <c r="CU997" s="101"/>
      <c r="CV997" s="101"/>
      <c r="CW997" s="101"/>
      <c r="CX997" s="101"/>
      <c r="CY997" s="101"/>
      <c r="CZ997" s="101"/>
      <c r="DA997" s="101"/>
      <c r="DB997" s="101"/>
      <c r="DC997" s="101"/>
      <c r="DD997" s="101"/>
      <c r="DE997" s="101"/>
      <c r="DF997" s="101"/>
    </row>
    <row r="998">
      <c r="A998" s="29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3"/>
      <c r="U998" s="103"/>
      <c r="V998" s="103"/>
      <c r="W998" s="104"/>
      <c r="X998" s="101"/>
      <c r="Y998" s="101"/>
      <c r="Z998" s="101"/>
      <c r="AA998" s="101"/>
      <c r="AB998" s="101"/>
      <c r="AC998" s="101"/>
      <c r="AD998" s="101"/>
      <c r="AE998" s="101"/>
      <c r="AF998" s="101"/>
      <c r="AG998" s="101"/>
      <c r="AH998" s="101"/>
      <c r="AI998" s="101"/>
      <c r="AJ998" s="101"/>
      <c r="AK998" s="101"/>
      <c r="AL998" s="101"/>
      <c r="AM998" s="29"/>
      <c r="AN998" s="101"/>
      <c r="AO998" s="101"/>
      <c r="AP998" s="101"/>
      <c r="AQ998" s="101"/>
      <c r="AR998" s="101"/>
      <c r="AS998" s="101"/>
      <c r="AT998" s="101"/>
      <c r="AU998" s="101"/>
      <c r="AV998" s="101"/>
      <c r="AW998" s="101"/>
      <c r="AX998" s="101"/>
      <c r="AY998" s="101"/>
      <c r="AZ998" s="101"/>
      <c r="BA998" s="101"/>
      <c r="BB998" s="101"/>
      <c r="BC998" s="101"/>
      <c r="BD998" s="101"/>
      <c r="BE998" s="101"/>
      <c r="BF998" s="101"/>
      <c r="BG998" s="101"/>
      <c r="BH998" s="101"/>
      <c r="BI998" s="101"/>
      <c r="BJ998" s="101"/>
      <c r="BK998" s="101"/>
      <c r="BL998" s="101"/>
      <c r="BM998" s="101"/>
      <c r="BN998" s="101"/>
      <c r="BO998" s="101"/>
      <c r="BP998" s="101"/>
      <c r="BQ998" s="101"/>
      <c r="BR998" s="101"/>
      <c r="BS998" s="101"/>
      <c r="BT998" s="101"/>
      <c r="BU998" s="101"/>
      <c r="BV998" s="101"/>
      <c r="BW998" s="101"/>
      <c r="BX998" s="101"/>
      <c r="BY998" s="101"/>
      <c r="BZ998" s="101"/>
      <c r="CA998" s="101"/>
      <c r="CB998" s="101"/>
      <c r="CC998" s="101"/>
      <c r="CD998" s="101"/>
      <c r="CE998" s="101"/>
      <c r="CF998" s="101"/>
      <c r="CG998" s="101"/>
      <c r="CH998" s="101"/>
      <c r="CI998" s="101"/>
      <c r="CJ998" s="101"/>
      <c r="CK998" s="101"/>
      <c r="CL998" s="101"/>
      <c r="CM998" s="101"/>
      <c r="CN998" s="101"/>
      <c r="CO998" s="101"/>
      <c r="CP998" s="101"/>
      <c r="CQ998" s="101"/>
      <c r="CR998" s="101"/>
      <c r="CS998" s="101"/>
      <c r="CT998" s="101"/>
      <c r="CU998" s="101"/>
      <c r="CV998" s="101"/>
      <c r="CW998" s="101"/>
      <c r="CX998" s="101"/>
      <c r="CY998" s="101"/>
      <c r="CZ998" s="101"/>
      <c r="DA998" s="101"/>
      <c r="DB998" s="101"/>
      <c r="DC998" s="101"/>
      <c r="DD998" s="101"/>
      <c r="DE998" s="101"/>
      <c r="DF998" s="101"/>
    </row>
    <row r="999">
      <c r="A999" s="29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3"/>
      <c r="U999" s="103"/>
      <c r="V999" s="103"/>
      <c r="W999" s="104"/>
      <c r="X999" s="101"/>
      <c r="Y999" s="101"/>
      <c r="Z999" s="101"/>
      <c r="AA999" s="101"/>
      <c r="AB999" s="101"/>
      <c r="AC999" s="101"/>
      <c r="AD999" s="101"/>
      <c r="AE999" s="101"/>
      <c r="AF999" s="101"/>
      <c r="AG999" s="101"/>
      <c r="AH999" s="101"/>
      <c r="AI999" s="101"/>
      <c r="AJ999" s="101"/>
      <c r="AK999" s="101"/>
      <c r="AL999" s="101"/>
      <c r="AM999" s="29"/>
      <c r="AN999" s="101"/>
      <c r="AO999" s="101"/>
      <c r="AP999" s="101"/>
      <c r="AQ999" s="101"/>
      <c r="AR999" s="101"/>
      <c r="AS999" s="101"/>
      <c r="AT999" s="101"/>
      <c r="AU999" s="101"/>
      <c r="AV999" s="101"/>
      <c r="AW999" s="101"/>
      <c r="AX999" s="101"/>
      <c r="AY999" s="101"/>
      <c r="AZ999" s="101"/>
      <c r="BA999" s="101"/>
      <c r="BB999" s="101"/>
      <c r="BC999" s="101"/>
      <c r="BD999" s="101"/>
      <c r="BE999" s="101"/>
      <c r="BF999" s="101"/>
      <c r="BG999" s="101"/>
      <c r="BH999" s="101"/>
      <c r="BI999" s="101"/>
      <c r="BJ999" s="101"/>
      <c r="BK999" s="101"/>
      <c r="BL999" s="101"/>
      <c r="BM999" s="101"/>
      <c r="BN999" s="101"/>
      <c r="BO999" s="101"/>
      <c r="BP999" s="101"/>
      <c r="BQ999" s="101"/>
      <c r="BR999" s="101"/>
      <c r="BS999" s="101"/>
      <c r="BT999" s="101"/>
      <c r="BU999" s="101"/>
      <c r="BV999" s="101"/>
      <c r="BW999" s="101"/>
      <c r="BX999" s="101"/>
      <c r="BY999" s="101"/>
      <c r="BZ999" s="101"/>
      <c r="CA999" s="101"/>
      <c r="CB999" s="101"/>
      <c r="CC999" s="101"/>
      <c r="CD999" s="101"/>
      <c r="CE999" s="101"/>
      <c r="CF999" s="101"/>
      <c r="CG999" s="101"/>
      <c r="CH999" s="101"/>
      <c r="CI999" s="101"/>
      <c r="CJ999" s="101"/>
      <c r="CK999" s="101"/>
      <c r="CL999" s="101"/>
      <c r="CM999" s="101"/>
      <c r="CN999" s="101"/>
      <c r="CO999" s="101"/>
      <c r="CP999" s="101"/>
      <c r="CQ999" s="101"/>
      <c r="CR999" s="101"/>
      <c r="CS999" s="101"/>
      <c r="CT999" s="101"/>
      <c r="CU999" s="101"/>
      <c r="CV999" s="101"/>
      <c r="CW999" s="101"/>
      <c r="CX999" s="101"/>
      <c r="CY999" s="101"/>
      <c r="CZ999" s="101"/>
      <c r="DA999" s="101"/>
      <c r="DB999" s="101"/>
      <c r="DC999" s="101"/>
      <c r="DD999" s="101"/>
      <c r="DE999" s="101"/>
      <c r="DF999" s="101"/>
    </row>
    <row r="1000">
      <c r="A1000" s="29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3"/>
      <c r="U1000" s="103"/>
      <c r="V1000" s="103"/>
      <c r="W1000" s="104"/>
      <c r="X1000" s="101"/>
      <c r="Y1000" s="101"/>
      <c r="Z1000" s="101"/>
      <c r="AA1000" s="101"/>
      <c r="AB1000" s="101"/>
      <c r="AC1000" s="101"/>
      <c r="AD1000" s="101"/>
      <c r="AE1000" s="101"/>
      <c r="AF1000" s="101"/>
      <c r="AG1000" s="101"/>
      <c r="AH1000" s="101"/>
      <c r="AI1000" s="101"/>
      <c r="AJ1000" s="101"/>
      <c r="AK1000" s="101"/>
      <c r="AL1000" s="101"/>
      <c r="AM1000" s="29"/>
      <c r="AN1000" s="101"/>
      <c r="AO1000" s="101"/>
      <c r="AP1000" s="101"/>
      <c r="AQ1000" s="101"/>
      <c r="AR1000" s="101"/>
      <c r="AS1000" s="101"/>
      <c r="AT1000" s="101"/>
      <c r="AU1000" s="101"/>
      <c r="AV1000" s="101"/>
      <c r="AW1000" s="101"/>
      <c r="AX1000" s="101"/>
      <c r="AY1000" s="101"/>
      <c r="AZ1000" s="101"/>
      <c r="BA1000" s="101"/>
      <c r="BB1000" s="101"/>
      <c r="BC1000" s="101"/>
      <c r="BD1000" s="101"/>
      <c r="BE1000" s="101"/>
      <c r="BF1000" s="101"/>
      <c r="BG1000" s="101"/>
      <c r="BH1000" s="101"/>
      <c r="BI1000" s="101"/>
      <c r="BJ1000" s="101"/>
      <c r="BK1000" s="101"/>
      <c r="BL1000" s="101"/>
      <c r="BM1000" s="101"/>
      <c r="BN1000" s="101"/>
      <c r="BO1000" s="101"/>
      <c r="BP1000" s="101"/>
      <c r="BQ1000" s="101"/>
      <c r="BR1000" s="101"/>
      <c r="BS1000" s="101"/>
      <c r="BT1000" s="101"/>
      <c r="BU1000" s="101"/>
      <c r="BV1000" s="101"/>
      <c r="BW1000" s="101"/>
      <c r="BX1000" s="101"/>
      <c r="BY1000" s="101"/>
      <c r="BZ1000" s="101"/>
      <c r="CA1000" s="101"/>
      <c r="CB1000" s="101"/>
      <c r="CC1000" s="101"/>
      <c r="CD1000" s="101"/>
      <c r="CE1000" s="101"/>
      <c r="CF1000" s="101"/>
      <c r="CG1000" s="101"/>
      <c r="CH1000" s="101"/>
      <c r="CI1000" s="101"/>
      <c r="CJ1000" s="101"/>
      <c r="CK1000" s="101"/>
      <c r="CL1000" s="101"/>
      <c r="CM1000" s="101"/>
      <c r="CN1000" s="101"/>
      <c r="CO1000" s="101"/>
      <c r="CP1000" s="101"/>
      <c r="CQ1000" s="101"/>
      <c r="CR1000" s="101"/>
      <c r="CS1000" s="101"/>
      <c r="CT1000" s="101"/>
      <c r="CU1000" s="101"/>
      <c r="CV1000" s="101"/>
      <c r="CW1000" s="101"/>
      <c r="CX1000" s="101"/>
      <c r="CY1000" s="101"/>
      <c r="CZ1000" s="101"/>
      <c r="DA1000" s="101"/>
      <c r="DB1000" s="101"/>
      <c r="DC1000" s="101"/>
      <c r="DD1000" s="101"/>
      <c r="DE1000" s="101"/>
      <c r="DF1000" s="101"/>
    </row>
    <row r="1001">
      <c r="A1001" s="29"/>
      <c r="B1001" s="101"/>
      <c r="C1001" s="101"/>
      <c r="D1001" s="101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3"/>
      <c r="U1001" s="103"/>
      <c r="V1001" s="103"/>
      <c r="W1001" s="104"/>
      <c r="X1001" s="101"/>
      <c r="Y1001" s="101"/>
      <c r="Z1001" s="101"/>
      <c r="AA1001" s="101"/>
      <c r="AB1001" s="101"/>
      <c r="AC1001" s="101"/>
      <c r="AD1001" s="101"/>
      <c r="AE1001" s="101"/>
      <c r="AF1001" s="101"/>
      <c r="AG1001" s="101"/>
      <c r="AH1001" s="101"/>
      <c r="AI1001" s="101"/>
      <c r="AJ1001" s="101"/>
      <c r="AK1001" s="101"/>
      <c r="AL1001" s="101"/>
      <c r="AM1001" s="29"/>
      <c r="AN1001" s="101"/>
      <c r="AO1001" s="101"/>
      <c r="AP1001" s="101"/>
      <c r="AQ1001" s="101"/>
      <c r="AR1001" s="101"/>
      <c r="AS1001" s="101"/>
      <c r="AT1001" s="101"/>
      <c r="AU1001" s="101"/>
      <c r="AV1001" s="101"/>
      <c r="AW1001" s="101"/>
      <c r="AX1001" s="101"/>
      <c r="AY1001" s="101"/>
      <c r="AZ1001" s="101"/>
      <c r="BA1001" s="101"/>
      <c r="BB1001" s="101"/>
      <c r="BC1001" s="101"/>
      <c r="BD1001" s="101"/>
      <c r="BE1001" s="101"/>
      <c r="BF1001" s="101"/>
      <c r="BG1001" s="101"/>
      <c r="BH1001" s="101"/>
      <c r="BI1001" s="101"/>
      <c r="BJ1001" s="101"/>
      <c r="BK1001" s="101"/>
      <c r="BL1001" s="101"/>
      <c r="BM1001" s="101"/>
      <c r="BN1001" s="101"/>
      <c r="BO1001" s="101"/>
      <c r="BP1001" s="101"/>
      <c r="BQ1001" s="101"/>
      <c r="BR1001" s="101"/>
      <c r="BS1001" s="101"/>
      <c r="BT1001" s="101"/>
      <c r="BU1001" s="101"/>
      <c r="BV1001" s="101"/>
      <c r="BW1001" s="101"/>
      <c r="BX1001" s="101"/>
      <c r="BY1001" s="101"/>
      <c r="BZ1001" s="101"/>
      <c r="CA1001" s="101"/>
      <c r="CB1001" s="101"/>
      <c r="CC1001" s="101"/>
      <c r="CD1001" s="101"/>
      <c r="CE1001" s="101"/>
      <c r="CF1001" s="101"/>
      <c r="CG1001" s="101"/>
      <c r="CH1001" s="101"/>
      <c r="CI1001" s="101"/>
      <c r="CJ1001" s="101"/>
      <c r="CK1001" s="101"/>
      <c r="CL1001" s="101"/>
      <c r="CM1001" s="101"/>
      <c r="CN1001" s="101"/>
      <c r="CO1001" s="101"/>
      <c r="CP1001" s="101"/>
      <c r="CQ1001" s="101"/>
      <c r="CR1001" s="101"/>
      <c r="CS1001" s="101"/>
      <c r="CT1001" s="101"/>
      <c r="CU1001" s="101"/>
      <c r="CV1001" s="101"/>
      <c r="CW1001" s="101"/>
      <c r="CX1001" s="101"/>
      <c r="CY1001" s="101"/>
      <c r="CZ1001" s="101"/>
      <c r="DA1001" s="101"/>
      <c r="DB1001" s="101"/>
      <c r="DC1001" s="101"/>
      <c r="DD1001" s="101"/>
      <c r="DE1001" s="101"/>
      <c r="DF1001" s="101"/>
    </row>
    <row r="1002">
      <c r="A1002" s="29"/>
      <c r="B1002" s="101"/>
      <c r="C1002" s="101"/>
      <c r="D1002" s="101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3"/>
      <c r="U1002" s="103"/>
      <c r="V1002" s="103"/>
      <c r="W1002" s="104"/>
      <c r="X1002" s="101"/>
      <c r="Y1002" s="101"/>
      <c r="Z1002" s="101"/>
      <c r="AA1002" s="101"/>
      <c r="AB1002" s="101"/>
      <c r="AC1002" s="101"/>
      <c r="AD1002" s="101"/>
      <c r="AE1002" s="101"/>
      <c r="AF1002" s="101"/>
      <c r="AG1002" s="101"/>
      <c r="AH1002" s="101"/>
      <c r="AI1002" s="101"/>
      <c r="AJ1002" s="101"/>
      <c r="AK1002" s="101"/>
      <c r="AL1002" s="101"/>
      <c r="AM1002" s="29"/>
      <c r="AN1002" s="101"/>
      <c r="AO1002" s="101"/>
      <c r="AP1002" s="101"/>
      <c r="AQ1002" s="101"/>
      <c r="AR1002" s="101"/>
      <c r="AS1002" s="101"/>
      <c r="AT1002" s="101"/>
      <c r="AU1002" s="101"/>
      <c r="AV1002" s="101"/>
      <c r="AW1002" s="101"/>
      <c r="AX1002" s="101"/>
      <c r="AY1002" s="101"/>
      <c r="AZ1002" s="101"/>
      <c r="BA1002" s="101"/>
      <c r="BB1002" s="101"/>
      <c r="BC1002" s="101"/>
      <c r="BD1002" s="101"/>
      <c r="BE1002" s="101"/>
      <c r="BF1002" s="101"/>
      <c r="BG1002" s="101"/>
      <c r="BH1002" s="101"/>
      <c r="BI1002" s="101"/>
      <c r="BJ1002" s="101"/>
      <c r="BK1002" s="101"/>
      <c r="BL1002" s="101"/>
      <c r="BM1002" s="101"/>
      <c r="BN1002" s="101"/>
      <c r="BO1002" s="101"/>
      <c r="BP1002" s="101"/>
      <c r="BQ1002" s="101"/>
      <c r="BR1002" s="101"/>
      <c r="BS1002" s="101"/>
      <c r="BT1002" s="101"/>
      <c r="BU1002" s="101"/>
      <c r="BV1002" s="101"/>
      <c r="BW1002" s="101"/>
      <c r="BX1002" s="101"/>
      <c r="BY1002" s="101"/>
      <c r="BZ1002" s="101"/>
      <c r="CA1002" s="101"/>
      <c r="CB1002" s="101"/>
      <c r="CC1002" s="101"/>
      <c r="CD1002" s="101"/>
      <c r="CE1002" s="101"/>
      <c r="CF1002" s="101"/>
      <c r="CG1002" s="101"/>
      <c r="CH1002" s="101"/>
      <c r="CI1002" s="101"/>
      <c r="CJ1002" s="101"/>
      <c r="CK1002" s="101"/>
      <c r="CL1002" s="101"/>
      <c r="CM1002" s="101"/>
      <c r="CN1002" s="101"/>
      <c r="CO1002" s="101"/>
      <c r="CP1002" s="101"/>
      <c r="CQ1002" s="101"/>
      <c r="CR1002" s="101"/>
      <c r="CS1002" s="101"/>
      <c r="CT1002" s="101"/>
      <c r="CU1002" s="101"/>
      <c r="CV1002" s="101"/>
      <c r="CW1002" s="101"/>
      <c r="CX1002" s="101"/>
      <c r="CY1002" s="101"/>
      <c r="CZ1002" s="101"/>
      <c r="DA1002" s="101"/>
      <c r="DB1002" s="101"/>
      <c r="DC1002" s="101"/>
      <c r="DD1002" s="101"/>
      <c r="DE1002" s="101"/>
      <c r="DF1002" s="101"/>
    </row>
    <row r="1003">
      <c r="A1003" s="29"/>
      <c r="B1003" s="101"/>
      <c r="C1003" s="101"/>
      <c r="D1003" s="101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3"/>
      <c r="U1003" s="103"/>
      <c r="V1003" s="103"/>
      <c r="W1003" s="104"/>
      <c r="X1003" s="101"/>
      <c r="Y1003" s="101"/>
      <c r="Z1003" s="101"/>
      <c r="AA1003" s="101"/>
      <c r="AB1003" s="101"/>
      <c r="AC1003" s="101"/>
      <c r="AD1003" s="101"/>
      <c r="AE1003" s="101"/>
      <c r="AF1003" s="101"/>
      <c r="AG1003" s="101"/>
      <c r="AH1003" s="101"/>
      <c r="AI1003" s="101"/>
      <c r="AJ1003" s="101"/>
      <c r="AK1003" s="101"/>
      <c r="AL1003" s="101"/>
      <c r="AM1003" s="29"/>
      <c r="AN1003" s="101"/>
      <c r="AO1003" s="101"/>
      <c r="AP1003" s="101"/>
      <c r="AQ1003" s="101"/>
      <c r="AR1003" s="101"/>
      <c r="AS1003" s="101"/>
      <c r="AT1003" s="101"/>
      <c r="AU1003" s="101"/>
      <c r="AV1003" s="101"/>
      <c r="AW1003" s="101"/>
      <c r="AX1003" s="101"/>
      <c r="AY1003" s="101"/>
      <c r="AZ1003" s="101"/>
      <c r="BA1003" s="101"/>
      <c r="BB1003" s="101"/>
      <c r="BC1003" s="101"/>
      <c r="BD1003" s="101"/>
      <c r="BE1003" s="101"/>
      <c r="BF1003" s="101"/>
      <c r="BG1003" s="101"/>
      <c r="BH1003" s="101"/>
      <c r="BI1003" s="101"/>
      <c r="BJ1003" s="101"/>
      <c r="BK1003" s="101"/>
      <c r="BL1003" s="101"/>
      <c r="BM1003" s="101"/>
      <c r="BN1003" s="101"/>
      <c r="BO1003" s="101"/>
      <c r="BP1003" s="101"/>
      <c r="BQ1003" s="101"/>
      <c r="BR1003" s="101"/>
      <c r="BS1003" s="101"/>
      <c r="BT1003" s="101"/>
      <c r="BU1003" s="101"/>
      <c r="BV1003" s="101"/>
      <c r="BW1003" s="101"/>
      <c r="BX1003" s="101"/>
      <c r="BY1003" s="101"/>
      <c r="BZ1003" s="101"/>
      <c r="CA1003" s="101"/>
      <c r="CB1003" s="101"/>
      <c r="CC1003" s="101"/>
      <c r="CD1003" s="101"/>
      <c r="CE1003" s="101"/>
      <c r="CF1003" s="101"/>
      <c r="CG1003" s="101"/>
      <c r="CH1003" s="101"/>
      <c r="CI1003" s="101"/>
      <c r="CJ1003" s="101"/>
      <c r="CK1003" s="101"/>
      <c r="CL1003" s="101"/>
      <c r="CM1003" s="101"/>
      <c r="CN1003" s="101"/>
      <c r="CO1003" s="101"/>
      <c r="CP1003" s="101"/>
      <c r="CQ1003" s="101"/>
      <c r="CR1003" s="101"/>
      <c r="CS1003" s="101"/>
      <c r="CT1003" s="101"/>
      <c r="CU1003" s="101"/>
      <c r="CV1003" s="101"/>
      <c r="CW1003" s="101"/>
      <c r="CX1003" s="101"/>
      <c r="CY1003" s="101"/>
      <c r="CZ1003" s="101"/>
      <c r="DA1003" s="101"/>
      <c r="DB1003" s="101"/>
      <c r="DC1003" s="101"/>
      <c r="DD1003" s="101"/>
      <c r="DE1003" s="101"/>
      <c r="DF1003" s="101"/>
    </row>
    <row r="1004">
      <c r="A1004" s="29"/>
      <c r="B1004" s="101"/>
      <c r="C1004" s="101"/>
      <c r="D1004" s="101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3"/>
      <c r="U1004" s="103"/>
      <c r="V1004" s="103"/>
      <c r="W1004" s="104"/>
      <c r="X1004" s="101"/>
      <c r="Y1004" s="101"/>
      <c r="Z1004" s="101"/>
      <c r="AA1004" s="101"/>
      <c r="AB1004" s="101"/>
      <c r="AC1004" s="101"/>
      <c r="AD1004" s="101"/>
      <c r="AE1004" s="101"/>
      <c r="AF1004" s="101"/>
      <c r="AG1004" s="101"/>
      <c r="AH1004" s="101"/>
      <c r="AI1004" s="101"/>
      <c r="AJ1004" s="101"/>
      <c r="AK1004" s="101"/>
      <c r="AL1004" s="101"/>
      <c r="AM1004" s="29"/>
      <c r="AN1004" s="101"/>
      <c r="AO1004" s="101"/>
      <c r="AP1004" s="101"/>
      <c r="AQ1004" s="101"/>
      <c r="AR1004" s="101"/>
      <c r="AS1004" s="101"/>
      <c r="AT1004" s="101"/>
      <c r="AU1004" s="101"/>
      <c r="AV1004" s="101"/>
      <c r="AW1004" s="101"/>
      <c r="AX1004" s="101"/>
      <c r="AY1004" s="101"/>
      <c r="AZ1004" s="101"/>
      <c r="BA1004" s="101"/>
      <c r="BB1004" s="101"/>
      <c r="BC1004" s="101"/>
      <c r="BD1004" s="101"/>
      <c r="BE1004" s="101"/>
      <c r="BF1004" s="101"/>
      <c r="BG1004" s="101"/>
      <c r="BH1004" s="101"/>
      <c r="BI1004" s="101"/>
      <c r="BJ1004" s="101"/>
      <c r="BK1004" s="101"/>
      <c r="BL1004" s="101"/>
      <c r="BM1004" s="101"/>
      <c r="BN1004" s="101"/>
      <c r="BO1004" s="101"/>
      <c r="BP1004" s="101"/>
      <c r="BQ1004" s="101"/>
      <c r="BR1004" s="101"/>
      <c r="BS1004" s="101"/>
      <c r="BT1004" s="101"/>
      <c r="BU1004" s="101"/>
      <c r="BV1004" s="101"/>
      <c r="BW1004" s="101"/>
      <c r="BX1004" s="101"/>
      <c r="BY1004" s="101"/>
      <c r="BZ1004" s="101"/>
      <c r="CA1004" s="101"/>
      <c r="CB1004" s="101"/>
      <c r="CC1004" s="101"/>
      <c r="CD1004" s="101"/>
      <c r="CE1004" s="101"/>
      <c r="CF1004" s="101"/>
      <c r="CG1004" s="101"/>
      <c r="CH1004" s="101"/>
      <c r="CI1004" s="101"/>
      <c r="CJ1004" s="101"/>
      <c r="CK1004" s="101"/>
      <c r="CL1004" s="101"/>
      <c r="CM1004" s="101"/>
      <c r="CN1004" s="101"/>
      <c r="CO1004" s="101"/>
      <c r="CP1004" s="101"/>
      <c r="CQ1004" s="101"/>
      <c r="CR1004" s="101"/>
      <c r="CS1004" s="101"/>
      <c r="CT1004" s="101"/>
      <c r="CU1004" s="101"/>
      <c r="CV1004" s="101"/>
      <c r="CW1004" s="101"/>
      <c r="CX1004" s="101"/>
      <c r="CY1004" s="101"/>
      <c r="CZ1004" s="101"/>
      <c r="DA1004" s="101"/>
      <c r="DB1004" s="101"/>
      <c r="DC1004" s="101"/>
      <c r="DD1004" s="101"/>
      <c r="DE1004" s="101"/>
      <c r="DF1004" s="101"/>
    </row>
    <row r="1005">
      <c r="A1005" s="29"/>
      <c r="B1005" s="101"/>
      <c r="C1005" s="101"/>
      <c r="D1005" s="101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3"/>
      <c r="U1005" s="103"/>
      <c r="V1005" s="103"/>
      <c r="W1005" s="104"/>
      <c r="X1005" s="101"/>
      <c r="Y1005" s="101"/>
      <c r="Z1005" s="101"/>
      <c r="AA1005" s="101"/>
      <c r="AB1005" s="101"/>
      <c r="AC1005" s="101"/>
      <c r="AD1005" s="101"/>
      <c r="AE1005" s="101"/>
      <c r="AF1005" s="101"/>
      <c r="AG1005" s="101"/>
      <c r="AH1005" s="101"/>
      <c r="AI1005" s="101"/>
      <c r="AJ1005" s="101"/>
      <c r="AK1005" s="101"/>
      <c r="AL1005" s="101"/>
      <c r="AM1005" s="29"/>
      <c r="AN1005" s="101"/>
      <c r="AO1005" s="101"/>
      <c r="AP1005" s="101"/>
      <c r="AQ1005" s="101"/>
      <c r="AR1005" s="101"/>
      <c r="AS1005" s="101"/>
      <c r="AT1005" s="101"/>
      <c r="AU1005" s="101"/>
      <c r="AV1005" s="101"/>
      <c r="AW1005" s="101"/>
      <c r="AX1005" s="101"/>
      <c r="AY1005" s="101"/>
      <c r="AZ1005" s="101"/>
      <c r="BA1005" s="101"/>
      <c r="BB1005" s="101"/>
      <c r="BC1005" s="101"/>
      <c r="BD1005" s="101"/>
      <c r="BE1005" s="101"/>
      <c r="BF1005" s="101"/>
      <c r="BG1005" s="101"/>
      <c r="BH1005" s="101"/>
      <c r="BI1005" s="101"/>
      <c r="BJ1005" s="101"/>
      <c r="BK1005" s="101"/>
      <c r="BL1005" s="101"/>
      <c r="BM1005" s="101"/>
      <c r="BN1005" s="101"/>
      <c r="BO1005" s="101"/>
      <c r="BP1005" s="101"/>
      <c r="BQ1005" s="101"/>
      <c r="BR1005" s="101"/>
      <c r="BS1005" s="101"/>
      <c r="BT1005" s="101"/>
      <c r="BU1005" s="101"/>
      <c r="BV1005" s="101"/>
      <c r="BW1005" s="101"/>
      <c r="BX1005" s="101"/>
      <c r="BY1005" s="101"/>
      <c r="BZ1005" s="101"/>
      <c r="CA1005" s="101"/>
      <c r="CB1005" s="101"/>
      <c r="CC1005" s="101"/>
      <c r="CD1005" s="101"/>
      <c r="CE1005" s="101"/>
      <c r="CF1005" s="101"/>
      <c r="CG1005" s="101"/>
      <c r="CH1005" s="101"/>
      <c r="CI1005" s="101"/>
      <c r="CJ1005" s="101"/>
      <c r="CK1005" s="101"/>
      <c r="CL1005" s="101"/>
      <c r="CM1005" s="101"/>
      <c r="CN1005" s="101"/>
      <c r="CO1005" s="101"/>
      <c r="CP1005" s="101"/>
      <c r="CQ1005" s="101"/>
      <c r="CR1005" s="101"/>
      <c r="CS1005" s="101"/>
      <c r="CT1005" s="101"/>
      <c r="CU1005" s="101"/>
      <c r="CV1005" s="101"/>
      <c r="CW1005" s="101"/>
      <c r="CX1005" s="101"/>
      <c r="CY1005" s="101"/>
      <c r="CZ1005" s="101"/>
      <c r="DA1005" s="101"/>
      <c r="DB1005" s="101"/>
      <c r="DC1005" s="101"/>
      <c r="DD1005" s="101"/>
      <c r="DE1005" s="101"/>
      <c r="DF1005" s="101"/>
    </row>
    <row r="1006">
      <c r="A1006" s="29"/>
      <c r="B1006" s="101"/>
      <c r="C1006" s="101"/>
      <c r="D1006" s="101"/>
      <c r="E1006" s="101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3"/>
      <c r="U1006" s="103"/>
      <c r="V1006" s="103"/>
      <c r="W1006" s="104"/>
      <c r="X1006" s="101"/>
      <c r="Y1006" s="101"/>
      <c r="Z1006" s="101"/>
      <c r="AA1006" s="101"/>
      <c r="AB1006" s="101"/>
      <c r="AC1006" s="101"/>
      <c r="AD1006" s="101"/>
      <c r="AE1006" s="101"/>
      <c r="AF1006" s="101"/>
      <c r="AG1006" s="101"/>
      <c r="AH1006" s="101"/>
      <c r="AI1006" s="101"/>
      <c r="AJ1006" s="101"/>
      <c r="AK1006" s="101"/>
      <c r="AL1006" s="101"/>
      <c r="AM1006" s="29"/>
      <c r="AN1006" s="101"/>
      <c r="AO1006" s="101"/>
      <c r="AP1006" s="101"/>
      <c r="AQ1006" s="101"/>
      <c r="AR1006" s="101"/>
      <c r="AS1006" s="101"/>
      <c r="AT1006" s="101"/>
      <c r="AU1006" s="101"/>
      <c r="AV1006" s="101"/>
      <c r="AW1006" s="101"/>
      <c r="AX1006" s="101"/>
      <c r="AY1006" s="101"/>
      <c r="AZ1006" s="101"/>
      <c r="BA1006" s="101"/>
      <c r="BB1006" s="101"/>
      <c r="BC1006" s="101"/>
      <c r="BD1006" s="101"/>
      <c r="BE1006" s="101"/>
      <c r="BF1006" s="101"/>
      <c r="BG1006" s="101"/>
      <c r="BH1006" s="101"/>
      <c r="BI1006" s="101"/>
      <c r="BJ1006" s="101"/>
      <c r="BK1006" s="101"/>
      <c r="BL1006" s="101"/>
      <c r="BM1006" s="101"/>
      <c r="BN1006" s="101"/>
      <c r="BO1006" s="101"/>
      <c r="BP1006" s="101"/>
      <c r="BQ1006" s="101"/>
      <c r="BR1006" s="101"/>
      <c r="BS1006" s="101"/>
      <c r="BT1006" s="101"/>
      <c r="BU1006" s="101"/>
      <c r="BV1006" s="101"/>
      <c r="BW1006" s="101"/>
      <c r="BX1006" s="101"/>
      <c r="BY1006" s="101"/>
      <c r="BZ1006" s="101"/>
      <c r="CA1006" s="101"/>
      <c r="CB1006" s="101"/>
      <c r="CC1006" s="101"/>
      <c r="CD1006" s="101"/>
      <c r="CE1006" s="101"/>
      <c r="CF1006" s="101"/>
      <c r="CG1006" s="101"/>
      <c r="CH1006" s="101"/>
      <c r="CI1006" s="101"/>
      <c r="CJ1006" s="101"/>
      <c r="CK1006" s="101"/>
      <c r="CL1006" s="101"/>
      <c r="CM1006" s="101"/>
      <c r="CN1006" s="101"/>
      <c r="CO1006" s="101"/>
      <c r="CP1006" s="101"/>
      <c r="CQ1006" s="101"/>
      <c r="CR1006" s="101"/>
      <c r="CS1006" s="101"/>
      <c r="CT1006" s="101"/>
      <c r="CU1006" s="101"/>
      <c r="CV1006" s="101"/>
      <c r="CW1006" s="101"/>
      <c r="CX1006" s="101"/>
      <c r="CY1006" s="101"/>
      <c r="CZ1006" s="101"/>
      <c r="DA1006" s="101"/>
      <c r="DB1006" s="101"/>
      <c r="DC1006" s="101"/>
      <c r="DD1006" s="101"/>
      <c r="DE1006" s="101"/>
      <c r="DF1006" s="101"/>
    </row>
    <row r="1007">
      <c r="A1007" s="29"/>
      <c r="B1007" s="101"/>
      <c r="C1007" s="101"/>
      <c r="D1007" s="101"/>
      <c r="E1007" s="101"/>
      <c r="F1007" s="101"/>
      <c r="G1007" s="10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3"/>
      <c r="U1007" s="103"/>
      <c r="V1007" s="103"/>
      <c r="W1007" s="104"/>
      <c r="X1007" s="101"/>
      <c r="Y1007" s="101"/>
      <c r="Z1007" s="101"/>
      <c r="AA1007" s="101"/>
      <c r="AB1007" s="101"/>
      <c r="AC1007" s="101"/>
      <c r="AD1007" s="101"/>
      <c r="AE1007" s="101"/>
      <c r="AF1007" s="101"/>
      <c r="AG1007" s="101"/>
      <c r="AH1007" s="101"/>
      <c r="AI1007" s="101"/>
      <c r="AJ1007" s="101"/>
      <c r="AK1007" s="101"/>
      <c r="AL1007" s="101"/>
      <c r="AM1007" s="29"/>
      <c r="AN1007" s="101"/>
      <c r="AO1007" s="101"/>
      <c r="AP1007" s="101"/>
      <c r="AQ1007" s="101"/>
      <c r="AR1007" s="101"/>
      <c r="AS1007" s="101"/>
      <c r="AT1007" s="101"/>
      <c r="AU1007" s="101"/>
      <c r="AV1007" s="101"/>
      <c r="AW1007" s="101"/>
      <c r="AX1007" s="101"/>
      <c r="AY1007" s="101"/>
      <c r="AZ1007" s="101"/>
      <c r="BA1007" s="101"/>
      <c r="BB1007" s="101"/>
      <c r="BC1007" s="101"/>
      <c r="BD1007" s="101"/>
      <c r="BE1007" s="101"/>
      <c r="BF1007" s="101"/>
      <c r="BG1007" s="101"/>
      <c r="BH1007" s="101"/>
      <c r="BI1007" s="101"/>
      <c r="BJ1007" s="101"/>
      <c r="BK1007" s="101"/>
      <c r="BL1007" s="101"/>
      <c r="BM1007" s="101"/>
      <c r="BN1007" s="101"/>
      <c r="BO1007" s="101"/>
      <c r="BP1007" s="101"/>
      <c r="BQ1007" s="101"/>
      <c r="BR1007" s="101"/>
      <c r="BS1007" s="101"/>
      <c r="BT1007" s="101"/>
      <c r="BU1007" s="101"/>
      <c r="BV1007" s="101"/>
      <c r="BW1007" s="101"/>
      <c r="BX1007" s="101"/>
      <c r="BY1007" s="101"/>
      <c r="BZ1007" s="101"/>
      <c r="CA1007" s="101"/>
      <c r="CB1007" s="101"/>
      <c r="CC1007" s="101"/>
      <c r="CD1007" s="101"/>
      <c r="CE1007" s="101"/>
      <c r="CF1007" s="101"/>
      <c r="CG1007" s="101"/>
      <c r="CH1007" s="101"/>
      <c r="CI1007" s="101"/>
      <c r="CJ1007" s="101"/>
      <c r="CK1007" s="101"/>
      <c r="CL1007" s="101"/>
      <c r="CM1007" s="101"/>
      <c r="CN1007" s="101"/>
      <c r="CO1007" s="101"/>
      <c r="CP1007" s="101"/>
      <c r="CQ1007" s="101"/>
      <c r="CR1007" s="101"/>
      <c r="CS1007" s="101"/>
      <c r="CT1007" s="101"/>
      <c r="CU1007" s="101"/>
      <c r="CV1007" s="101"/>
      <c r="CW1007" s="101"/>
      <c r="CX1007" s="101"/>
      <c r="CY1007" s="101"/>
      <c r="CZ1007" s="101"/>
      <c r="DA1007" s="101"/>
      <c r="DB1007" s="101"/>
      <c r="DC1007" s="101"/>
      <c r="DD1007" s="101"/>
      <c r="DE1007" s="101"/>
      <c r="DF1007" s="101"/>
    </row>
    <row r="1008">
      <c r="A1008" s="29"/>
      <c r="B1008" s="101"/>
      <c r="C1008" s="101"/>
      <c r="D1008" s="101"/>
      <c r="E1008" s="101"/>
      <c r="F1008" s="101"/>
      <c r="G1008" s="10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3"/>
      <c r="U1008" s="103"/>
      <c r="V1008" s="103"/>
      <c r="W1008" s="104"/>
      <c r="X1008" s="101"/>
      <c r="Y1008" s="101"/>
      <c r="Z1008" s="101"/>
      <c r="AA1008" s="101"/>
      <c r="AB1008" s="101"/>
      <c r="AC1008" s="101"/>
      <c r="AD1008" s="101"/>
      <c r="AE1008" s="101"/>
      <c r="AF1008" s="101"/>
      <c r="AG1008" s="101"/>
      <c r="AH1008" s="101"/>
      <c r="AI1008" s="101"/>
      <c r="AJ1008" s="101"/>
      <c r="AK1008" s="101"/>
      <c r="AL1008" s="101"/>
      <c r="AM1008" s="29"/>
      <c r="AN1008" s="101"/>
      <c r="AO1008" s="101"/>
      <c r="AP1008" s="101"/>
      <c r="AQ1008" s="101"/>
      <c r="AR1008" s="101"/>
      <c r="AS1008" s="101"/>
      <c r="AT1008" s="101"/>
      <c r="AU1008" s="101"/>
      <c r="AV1008" s="101"/>
      <c r="AW1008" s="101"/>
      <c r="AX1008" s="101"/>
      <c r="AY1008" s="101"/>
      <c r="AZ1008" s="101"/>
      <c r="BA1008" s="101"/>
      <c r="BB1008" s="101"/>
      <c r="BC1008" s="101"/>
      <c r="BD1008" s="101"/>
      <c r="BE1008" s="101"/>
      <c r="BF1008" s="101"/>
      <c r="BG1008" s="101"/>
      <c r="BH1008" s="101"/>
      <c r="BI1008" s="101"/>
      <c r="BJ1008" s="101"/>
      <c r="BK1008" s="101"/>
      <c r="BL1008" s="101"/>
      <c r="BM1008" s="101"/>
      <c r="BN1008" s="101"/>
      <c r="BO1008" s="101"/>
      <c r="BP1008" s="101"/>
      <c r="BQ1008" s="101"/>
      <c r="BR1008" s="101"/>
      <c r="BS1008" s="101"/>
      <c r="BT1008" s="101"/>
      <c r="BU1008" s="101"/>
      <c r="BV1008" s="101"/>
      <c r="BW1008" s="101"/>
      <c r="BX1008" s="101"/>
      <c r="BY1008" s="101"/>
      <c r="BZ1008" s="101"/>
      <c r="CA1008" s="101"/>
      <c r="CB1008" s="101"/>
      <c r="CC1008" s="101"/>
      <c r="CD1008" s="101"/>
      <c r="CE1008" s="101"/>
      <c r="CF1008" s="101"/>
      <c r="CG1008" s="101"/>
      <c r="CH1008" s="101"/>
      <c r="CI1008" s="101"/>
      <c r="CJ1008" s="101"/>
      <c r="CK1008" s="101"/>
      <c r="CL1008" s="101"/>
      <c r="CM1008" s="101"/>
      <c r="CN1008" s="101"/>
      <c r="CO1008" s="101"/>
      <c r="CP1008" s="101"/>
      <c r="CQ1008" s="101"/>
      <c r="CR1008" s="101"/>
      <c r="CS1008" s="101"/>
      <c r="CT1008" s="101"/>
      <c r="CU1008" s="101"/>
      <c r="CV1008" s="101"/>
      <c r="CW1008" s="101"/>
      <c r="CX1008" s="101"/>
      <c r="CY1008" s="101"/>
      <c r="CZ1008" s="101"/>
      <c r="DA1008" s="101"/>
      <c r="DB1008" s="101"/>
      <c r="DC1008" s="101"/>
      <c r="DD1008" s="101"/>
      <c r="DE1008" s="101"/>
      <c r="DF1008" s="101"/>
    </row>
    <row r="1009">
      <c r="A1009" s="29"/>
      <c r="B1009" s="101"/>
      <c r="C1009" s="101"/>
      <c r="D1009" s="101"/>
      <c r="E1009" s="101"/>
      <c r="F1009" s="101"/>
      <c r="G1009" s="101"/>
      <c r="H1009" s="101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3"/>
      <c r="U1009" s="103"/>
      <c r="V1009" s="103"/>
      <c r="W1009" s="104"/>
      <c r="X1009" s="101"/>
      <c r="Y1009" s="101"/>
      <c r="Z1009" s="101"/>
      <c r="AA1009" s="101"/>
      <c r="AB1009" s="101"/>
      <c r="AC1009" s="101"/>
      <c r="AD1009" s="101"/>
      <c r="AE1009" s="101"/>
      <c r="AF1009" s="101"/>
      <c r="AG1009" s="101"/>
      <c r="AH1009" s="101"/>
      <c r="AI1009" s="101"/>
      <c r="AJ1009" s="101"/>
      <c r="AK1009" s="101"/>
      <c r="AL1009" s="101"/>
      <c r="AM1009" s="29"/>
      <c r="AN1009" s="101"/>
      <c r="AO1009" s="101"/>
      <c r="AP1009" s="101"/>
      <c r="AQ1009" s="101"/>
      <c r="AR1009" s="101"/>
      <c r="AS1009" s="101"/>
      <c r="AT1009" s="101"/>
      <c r="AU1009" s="101"/>
      <c r="AV1009" s="101"/>
      <c r="AW1009" s="101"/>
      <c r="AX1009" s="101"/>
      <c r="AY1009" s="101"/>
      <c r="AZ1009" s="101"/>
      <c r="BA1009" s="101"/>
      <c r="BB1009" s="101"/>
      <c r="BC1009" s="101"/>
      <c r="BD1009" s="101"/>
      <c r="BE1009" s="101"/>
      <c r="BF1009" s="101"/>
      <c r="BG1009" s="101"/>
      <c r="BH1009" s="101"/>
      <c r="BI1009" s="101"/>
      <c r="BJ1009" s="101"/>
      <c r="BK1009" s="101"/>
      <c r="BL1009" s="101"/>
      <c r="BM1009" s="101"/>
      <c r="BN1009" s="101"/>
      <c r="BO1009" s="101"/>
      <c r="BP1009" s="101"/>
      <c r="BQ1009" s="101"/>
      <c r="BR1009" s="101"/>
      <c r="BS1009" s="101"/>
      <c r="BT1009" s="101"/>
      <c r="BU1009" s="101"/>
      <c r="BV1009" s="101"/>
      <c r="BW1009" s="101"/>
      <c r="BX1009" s="101"/>
      <c r="BY1009" s="101"/>
      <c r="BZ1009" s="101"/>
      <c r="CA1009" s="101"/>
      <c r="CB1009" s="101"/>
      <c r="CC1009" s="101"/>
      <c r="CD1009" s="101"/>
      <c r="CE1009" s="101"/>
      <c r="CF1009" s="101"/>
      <c r="CG1009" s="101"/>
      <c r="CH1009" s="101"/>
      <c r="CI1009" s="101"/>
      <c r="CJ1009" s="101"/>
      <c r="CK1009" s="101"/>
      <c r="CL1009" s="101"/>
      <c r="CM1009" s="101"/>
      <c r="CN1009" s="101"/>
      <c r="CO1009" s="101"/>
      <c r="CP1009" s="101"/>
      <c r="CQ1009" s="101"/>
      <c r="CR1009" s="101"/>
      <c r="CS1009" s="101"/>
      <c r="CT1009" s="101"/>
      <c r="CU1009" s="101"/>
      <c r="CV1009" s="101"/>
      <c r="CW1009" s="101"/>
      <c r="CX1009" s="101"/>
      <c r="CY1009" s="101"/>
      <c r="CZ1009" s="101"/>
      <c r="DA1009" s="101"/>
      <c r="DB1009" s="101"/>
      <c r="DC1009" s="101"/>
      <c r="DD1009" s="101"/>
      <c r="DE1009" s="101"/>
      <c r="DF1009" s="101"/>
    </row>
    <row r="1010">
      <c r="A1010" s="29"/>
      <c r="B1010" s="101"/>
      <c r="C1010" s="101"/>
      <c r="D1010" s="101"/>
      <c r="E1010" s="101"/>
      <c r="F1010" s="101"/>
      <c r="G1010" s="101"/>
      <c r="H1010" s="101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3"/>
      <c r="U1010" s="103"/>
      <c r="V1010" s="103"/>
      <c r="W1010" s="104"/>
      <c r="X1010" s="101"/>
      <c r="Y1010" s="101"/>
      <c r="Z1010" s="101"/>
      <c r="AA1010" s="101"/>
      <c r="AB1010" s="101"/>
      <c r="AC1010" s="101"/>
      <c r="AD1010" s="101"/>
      <c r="AE1010" s="101"/>
      <c r="AF1010" s="101"/>
      <c r="AG1010" s="101"/>
      <c r="AH1010" s="101"/>
      <c r="AI1010" s="101"/>
      <c r="AJ1010" s="101"/>
      <c r="AK1010" s="101"/>
      <c r="AL1010" s="101"/>
      <c r="AM1010" s="29"/>
      <c r="AN1010" s="101"/>
      <c r="AO1010" s="101"/>
      <c r="AP1010" s="101"/>
      <c r="AQ1010" s="101"/>
      <c r="AR1010" s="101"/>
      <c r="AS1010" s="101"/>
      <c r="AT1010" s="101"/>
      <c r="AU1010" s="101"/>
      <c r="AV1010" s="101"/>
      <c r="AW1010" s="101"/>
      <c r="AX1010" s="101"/>
      <c r="AY1010" s="101"/>
      <c r="AZ1010" s="101"/>
      <c r="BA1010" s="101"/>
      <c r="BB1010" s="101"/>
      <c r="BC1010" s="101"/>
      <c r="BD1010" s="101"/>
      <c r="BE1010" s="101"/>
      <c r="BF1010" s="101"/>
      <c r="BG1010" s="101"/>
      <c r="BH1010" s="101"/>
      <c r="BI1010" s="101"/>
      <c r="BJ1010" s="101"/>
      <c r="BK1010" s="101"/>
      <c r="BL1010" s="101"/>
      <c r="BM1010" s="101"/>
      <c r="BN1010" s="101"/>
      <c r="BO1010" s="101"/>
      <c r="BP1010" s="101"/>
      <c r="BQ1010" s="101"/>
      <c r="BR1010" s="101"/>
      <c r="BS1010" s="101"/>
      <c r="BT1010" s="101"/>
      <c r="BU1010" s="101"/>
      <c r="BV1010" s="101"/>
      <c r="BW1010" s="101"/>
      <c r="BX1010" s="101"/>
      <c r="BY1010" s="101"/>
      <c r="BZ1010" s="101"/>
      <c r="CA1010" s="101"/>
      <c r="CB1010" s="101"/>
      <c r="CC1010" s="101"/>
      <c r="CD1010" s="101"/>
      <c r="CE1010" s="101"/>
      <c r="CF1010" s="101"/>
      <c r="CG1010" s="101"/>
      <c r="CH1010" s="101"/>
      <c r="CI1010" s="101"/>
      <c r="CJ1010" s="101"/>
      <c r="CK1010" s="101"/>
      <c r="CL1010" s="101"/>
      <c r="CM1010" s="101"/>
      <c r="CN1010" s="101"/>
      <c r="CO1010" s="101"/>
      <c r="CP1010" s="101"/>
      <c r="CQ1010" s="101"/>
      <c r="CR1010" s="101"/>
      <c r="CS1010" s="101"/>
      <c r="CT1010" s="101"/>
      <c r="CU1010" s="101"/>
      <c r="CV1010" s="101"/>
      <c r="CW1010" s="101"/>
      <c r="CX1010" s="101"/>
      <c r="CY1010" s="101"/>
      <c r="CZ1010" s="101"/>
      <c r="DA1010" s="101"/>
      <c r="DB1010" s="101"/>
      <c r="DC1010" s="101"/>
      <c r="DD1010" s="101"/>
      <c r="DE1010" s="101"/>
      <c r="DF1010" s="101"/>
    </row>
    <row r="1011">
      <c r="A1011" s="29"/>
      <c r="B1011" s="101"/>
      <c r="C1011" s="101"/>
      <c r="D1011" s="101"/>
      <c r="E1011" s="101"/>
      <c r="F1011" s="101"/>
      <c r="G1011" s="101"/>
      <c r="H1011" s="101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3"/>
      <c r="U1011" s="103"/>
      <c r="V1011" s="103"/>
      <c r="W1011" s="104"/>
      <c r="X1011" s="101"/>
      <c r="Y1011" s="101"/>
      <c r="Z1011" s="101"/>
      <c r="AA1011" s="101"/>
      <c r="AB1011" s="101"/>
      <c r="AC1011" s="101"/>
      <c r="AD1011" s="101"/>
      <c r="AE1011" s="101"/>
      <c r="AF1011" s="101"/>
      <c r="AG1011" s="101"/>
      <c r="AH1011" s="101"/>
      <c r="AI1011" s="101"/>
      <c r="AJ1011" s="101"/>
      <c r="AK1011" s="101"/>
      <c r="AL1011" s="101"/>
      <c r="AM1011" s="29"/>
      <c r="AN1011" s="101"/>
      <c r="AO1011" s="101"/>
      <c r="AP1011" s="101"/>
      <c r="AQ1011" s="101"/>
      <c r="AR1011" s="101"/>
      <c r="AS1011" s="101"/>
      <c r="AT1011" s="101"/>
      <c r="AU1011" s="101"/>
      <c r="AV1011" s="101"/>
      <c r="AW1011" s="101"/>
      <c r="AX1011" s="101"/>
      <c r="AY1011" s="101"/>
      <c r="AZ1011" s="101"/>
      <c r="BA1011" s="101"/>
      <c r="BB1011" s="101"/>
      <c r="BC1011" s="101"/>
      <c r="BD1011" s="101"/>
      <c r="BE1011" s="101"/>
      <c r="BF1011" s="101"/>
      <c r="BG1011" s="101"/>
      <c r="BH1011" s="101"/>
      <c r="BI1011" s="101"/>
      <c r="BJ1011" s="101"/>
      <c r="BK1011" s="101"/>
      <c r="BL1011" s="101"/>
      <c r="BM1011" s="101"/>
      <c r="BN1011" s="101"/>
      <c r="BO1011" s="101"/>
      <c r="BP1011" s="101"/>
      <c r="BQ1011" s="101"/>
      <c r="BR1011" s="101"/>
      <c r="BS1011" s="101"/>
      <c r="BT1011" s="101"/>
      <c r="BU1011" s="101"/>
      <c r="BV1011" s="101"/>
      <c r="BW1011" s="101"/>
      <c r="BX1011" s="101"/>
      <c r="BY1011" s="101"/>
      <c r="BZ1011" s="101"/>
      <c r="CA1011" s="101"/>
      <c r="CB1011" s="101"/>
      <c r="CC1011" s="101"/>
      <c r="CD1011" s="101"/>
      <c r="CE1011" s="101"/>
      <c r="CF1011" s="101"/>
      <c r="CG1011" s="101"/>
      <c r="CH1011" s="101"/>
      <c r="CI1011" s="101"/>
      <c r="CJ1011" s="101"/>
      <c r="CK1011" s="101"/>
      <c r="CL1011" s="101"/>
      <c r="CM1011" s="101"/>
      <c r="CN1011" s="101"/>
      <c r="CO1011" s="101"/>
      <c r="CP1011" s="101"/>
      <c r="CQ1011" s="101"/>
      <c r="CR1011" s="101"/>
      <c r="CS1011" s="101"/>
      <c r="CT1011" s="101"/>
      <c r="CU1011" s="101"/>
      <c r="CV1011" s="101"/>
      <c r="CW1011" s="101"/>
      <c r="CX1011" s="101"/>
      <c r="CY1011" s="101"/>
      <c r="CZ1011" s="101"/>
      <c r="DA1011" s="101"/>
      <c r="DB1011" s="101"/>
      <c r="DC1011" s="101"/>
      <c r="DD1011" s="101"/>
      <c r="DE1011" s="101"/>
      <c r="DF1011" s="101"/>
    </row>
    <row r="1012">
      <c r="A1012" s="29"/>
      <c r="B1012" s="101"/>
      <c r="C1012" s="101"/>
      <c r="D1012" s="101"/>
      <c r="E1012" s="101"/>
      <c r="F1012" s="101"/>
      <c r="G1012" s="101"/>
      <c r="H1012" s="101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3"/>
      <c r="U1012" s="103"/>
      <c r="V1012" s="103"/>
      <c r="W1012" s="104"/>
      <c r="X1012" s="101"/>
      <c r="Y1012" s="101"/>
      <c r="Z1012" s="101"/>
      <c r="AA1012" s="101"/>
      <c r="AB1012" s="101"/>
      <c r="AC1012" s="101"/>
      <c r="AD1012" s="101"/>
      <c r="AE1012" s="101"/>
      <c r="AF1012" s="101"/>
      <c r="AG1012" s="101"/>
      <c r="AH1012" s="101"/>
      <c r="AI1012" s="101"/>
      <c r="AJ1012" s="101"/>
      <c r="AK1012" s="101"/>
      <c r="AL1012" s="101"/>
      <c r="AM1012" s="29"/>
      <c r="AN1012" s="101"/>
      <c r="AO1012" s="101"/>
      <c r="AP1012" s="101"/>
      <c r="AQ1012" s="101"/>
      <c r="AR1012" s="101"/>
      <c r="AS1012" s="101"/>
      <c r="AT1012" s="101"/>
      <c r="AU1012" s="101"/>
      <c r="AV1012" s="101"/>
      <c r="AW1012" s="101"/>
      <c r="AX1012" s="101"/>
      <c r="AY1012" s="101"/>
      <c r="AZ1012" s="101"/>
      <c r="BA1012" s="101"/>
      <c r="BB1012" s="101"/>
      <c r="BC1012" s="101"/>
      <c r="BD1012" s="101"/>
      <c r="BE1012" s="101"/>
      <c r="BF1012" s="101"/>
      <c r="BG1012" s="101"/>
      <c r="BH1012" s="101"/>
      <c r="BI1012" s="101"/>
      <c r="BJ1012" s="101"/>
      <c r="BK1012" s="101"/>
      <c r="BL1012" s="101"/>
      <c r="BM1012" s="101"/>
      <c r="BN1012" s="101"/>
      <c r="BO1012" s="101"/>
      <c r="BP1012" s="101"/>
      <c r="BQ1012" s="101"/>
      <c r="BR1012" s="101"/>
      <c r="BS1012" s="101"/>
      <c r="BT1012" s="101"/>
      <c r="BU1012" s="101"/>
      <c r="BV1012" s="101"/>
      <c r="BW1012" s="101"/>
      <c r="BX1012" s="101"/>
      <c r="BY1012" s="101"/>
      <c r="BZ1012" s="101"/>
      <c r="CA1012" s="101"/>
      <c r="CB1012" s="101"/>
      <c r="CC1012" s="101"/>
      <c r="CD1012" s="101"/>
      <c r="CE1012" s="101"/>
      <c r="CF1012" s="101"/>
      <c r="CG1012" s="101"/>
      <c r="CH1012" s="101"/>
      <c r="CI1012" s="101"/>
      <c r="CJ1012" s="101"/>
      <c r="CK1012" s="101"/>
      <c r="CL1012" s="101"/>
      <c r="CM1012" s="101"/>
      <c r="CN1012" s="101"/>
      <c r="CO1012" s="101"/>
      <c r="CP1012" s="101"/>
      <c r="CQ1012" s="101"/>
      <c r="CR1012" s="101"/>
      <c r="CS1012" s="101"/>
      <c r="CT1012" s="101"/>
      <c r="CU1012" s="101"/>
      <c r="CV1012" s="101"/>
      <c r="CW1012" s="101"/>
      <c r="CX1012" s="101"/>
      <c r="CY1012" s="101"/>
      <c r="CZ1012" s="101"/>
      <c r="DA1012" s="101"/>
      <c r="DB1012" s="101"/>
      <c r="DC1012" s="101"/>
      <c r="DD1012" s="101"/>
      <c r="DE1012" s="101"/>
      <c r="DF1012" s="101"/>
    </row>
    <row r="1013">
      <c r="A1013" s="29"/>
      <c r="B1013" s="101"/>
      <c r="C1013" s="101"/>
      <c r="D1013" s="101"/>
      <c r="E1013" s="101"/>
      <c r="F1013" s="101"/>
      <c r="G1013" s="101"/>
      <c r="H1013" s="101"/>
      <c r="I1013" s="101"/>
      <c r="J1013" s="101"/>
      <c r="K1013" s="101"/>
      <c r="L1013" s="101"/>
      <c r="M1013" s="101"/>
      <c r="N1013" s="101"/>
      <c r="O1013" s="101"/>
      <c r="P1013" s="101"/>
      <c r="Q1013" s="101"/>
      <c r="R1013" s="101"/>
      <c r="S1013" s="101"/>
      <c r="T1013" s="103"/>
      <c r="U1013" s="103"/>
      <c r="V1013" s="103"/>
      <c r="W1013" s="104"/>
      <c r="X1013" s="101"/>
      <c r="Y1013" s="101"/>
      <c r="Z1013" s="101"/>
      <c r="AA1013" s="101"/>
      <c r="AB1013" s="101"/>
      <c r="AC1013" s="101"/>
      <c r="AD1013" s="101"/>
      <c r="AE1013" s="101"/>
      <c r="AF1013" s="101"/>
      <c r="AG1013" s="101"/>
      <c r="AH1013" s="101"/>
      <c r="AI1013" s="101"/>
      <c r="AJ1013" s="101"/>
      <c r="AK1013" s="101"/>
      <c r="AL1013" s="101"/>
      <c r="AM1013" s="29"/>
      <c r="AN1013" s="101"/>
      <c r="AO1013" s="101"/>
      <c r="AP1013" s="101"/>
      <c r="AQ1013" s="101"/>
      <c r="AR1013" s="101"/>
      <c r="AS1013" s="101"/>
      <c r="AT1013" s="101"/>
      <c r="AU1013" s="101"/>
      <c r="AV1013" s="101"/>
      <c r="AW1013" s="101"/>
      <c r="AX1013" s="101"/>
      <c r="AY1013" s="101"/>
      <c r="AZ1013" s="101"/>
      <c r="BA1013" s="101"/>
      <c r="BB1013" s="101"/>
      <c r="BC1013" s="101"/>
      <c r="BD1013" s="101"/>
      <c r="BE1013" s="101"/>
      <c r="BF1013" s="101"/>
      <c r="BG1013" s="101"/>
      <c r="BH1013" s="101"/>
      <c r="BI1013" s="101"/>
      <c r="BJ1013" s="101"/>
      <c r="BK1013" s="101"/>
      <c r="BL1013" s="101"/>
      <c r="BM1013" s="101"/>
      <c r="BN1013" s="101"/>
      <c r="BO1013" s="101"/>
      <c r="BP1013" s="101"/>
      <c r="BQ1013" s="101"/>
      <c r="BR1013" s="101"/>
      <c r="BS1013" s="101"/>
      <c r="BT1013" s="101"/>
      <c r="BU1013" s="101"/>
      <c r="BV1013" s="101"/>
      <c r="BW1013" s="101"/>
      <c r="BX1013" s="101"/>
      <c r="BY1013" s="101"/>
      <c r="BZ1013" s="101"/>
      <c r="CA1013" s="101"/>
      <c r="CB1013" s="101"/>
      <c r="CC1013" s="101"/>
      <c r="CD1013" s="101"/>
      <c r="CE1013" s="101"/>
      <c r="CF1013" s="101"/>
      <c r="CG1013" s="101"/>
      <c r="CH1013" s="101"/>
      <c r="CI1013" s="101"/>
      <c r="CJ1013" s="101"/>
      <c r="CK1013" s="101"/>
      <c r="CL1013" s="101"/>
      <c r="CM1013" s="101"/>
      <c r="CN1013" s="101"/>
      <c r="CO1013" s="101"/>
      <c r="CP1013" s="101"/>
      <c r="CQ1013" s="101"/>
      <c r="CR1013" s="101"/>
      <c r="CS1013" s="101"/>
      <c r="CT1013" s="101"/>
      <c r="CU1013" s="101"/>
      <c r="CV1013" s="101"/>
      <c r="CW1013" s="101"/>
      <c r="CX1013" s="101"/>
      <c r="CY1013" s="101"/>
      <c r="CZ1013" s="101"/>
      <c r="DA1013" s="101"/>
      <c r="DB1013" s="101"/>
      <c r="DC1013" s="101"/>
      <c r="DD1013" s="101"/>
      <c r="DE1013" s="101"/>
      <c r="DF1013" s="101"/>
    </row>
    <row r="1014">
      <c r="A1014" s="29"/>
      <c r="B1014" s="101"/>
      <c r="C1014" s="101"/>
      <c r="D1014" s="101"/>
      <c r="E1014" s="101"/>
      <c r="F1014" s="101"/>
      <c r="G1014" s="101"/>
      <c r="H1014" s="101"/>
      <c r="I1014" s="101"/>
      <c r="J1014" s="101"/>
      <c r="K1014" s="101"/>
      <c r="L1014" s="101"/>
      <c r="M1014" s="101"/>
      <c r="N1014" s="101"/>
      <c r="O1014" s="101"/>
      <c r="P1014" s="101"/>
      <c r="Q1014" s="101"/>
      <c r="R1014" s="101"/>
      <c r="S1014" s="101"/>
      <c r="T1014" s="103"/>
      <c r="U1014" s="103"/>
      <c r="V1014" s="103"/>
      <c r="W1014" s="104"/>
      <c r="X1014" s="101"/>
      <c r="Y1014" s="101"/>
      <c r="Z1014" s="101"/>
      <c r="AA1014" s="101"/>
      <c r="AB1014" s="101"/>
      <c r="AC1014" s="101"/>
      <c r="AD1014" s="101"/>
      <c r="AE1014" s="101"/>
      <c r="AF1014" s="101"/>
      <c r="AG1014" s="101"/>
      <c r="AH1014" s="101"/>
      <c r="AI1014" s="101"/>
      <c r="AJ1014" s="101"/>
      <c r="AK1014" s="101"/>
      <c r="AL1014" s="101"/>
      <c r="AM1014" s="29"/>
      <c r="AN1014" s="101"/>
      <c r="AO1014" s="101"/>
      <c r="AP1014" s="101"/>
      <c r="AQ1014" s="101"/>
      <c r="AR1014" s="101"/>
      <c r="AS1014" s="101"/>
      <c r="AT1014" s="101"/>
      <c r="AU1014" s="101"/>
      <c r="AV1014" s="101"/>
      <c r="AW1014" s="101"/>
      <c r="AX1014" s="101"/>
      <c r="AY1014" s="101"/>
      <c r="AZ1014" s="101"/>
      <c r="BA1014" s="101"/>
      <c r="BB1014" s="101"/>
      <c r="BC1014" s="101"/>
      <c r="BD1014" s="101"/>
      <c r="BE1014" s="101"/>
      <c r="BF1014" s="101"/>
      <c r="BG1014" s="101"/>
      <c r="BH1014" s="101"/>
      <c r="BI1014" s="101"/>
      <c r="BJ1014" s="101"/>
      <c r="BK1014" s="101"/>
      <c r="BL1014" s="101"/>
      <c r="BM1014" s="101"/>
      <c r="BN1014" s="101"/>
      <c r="BO1014" s="101"/>
      <c r="BP1014" s="101"/>
      <c r="BQ1014" s="101"/>
      <c r="BR1014" s="101"/>
      <c r="BS1014" s="101"/>
      <c r="BT1014" s="101"/>
      <c r="BU1014" s="101"/>
      <c r="BV1014" s="101"/>
      <c r="BW1014" s="101"/>
      <c r="BX1014" s="101"/>
      <c r="BY1014" s="101"/>
      <c r="BZ1014" s="101"/>
      <c r="CA1014" s="101"/>
      <c r="CB1014" s="101"/>
      <c r="CC1014" s="101"/>
      <c r="CD1014" s="101"/>
      <c r="CE1014" s="101"/>
      <c r="CF1014" s="101"/>
      <c r="CG1014" s="101"/>
      <c r="CH1014" s="101"/>
      <c r="CI1014" s="101"/>
      <c r="CJ1014" s="101"/>
      <c r="CK1014" s="101"/>
      <c r="CL1014" s="101"/>
      <c r="CM1014" s="101"/>
      <c r="CN1014" s="101"/>
      <c r="CO1014" s="101"/>
      <c r="CP1014" s="101"/>
      <c r="CQ1014" s="101"/>
      <c r="CR1014" s="101"/>
      <c r="CS1014" s="101"/>
      <c r="CT1014" s="101"/>
      <c r="CU1014" s="101"/>
      <c r="CV1014" s="101"/>
      <c r="CW1014" s="101"/>
      <c r="CX1014" s="101"/>
      <c r="CY1014" s="101"/>
      <c r="CZ1014" s="101"/>
      <c r="DA1014" s="101"/>
      <c r="DB1014" s="101"/>
      <c r="DC1014" s="101"/>
      <c r="DD1014" s="101"/>
      <c r="DE1014" s="101"/>
      <c r="DF1014" s="101"/>
    </row>
    <row r="1015">
      <c r="A1015" s="29"/>
      <c r="B1015" s="101"/>
      <c r="C1015" s="101"/>
      <c r="D1015" s="101"/>
      <c r="E1015" s="101"/>
      <c r="F1015" s="101"/>
      <c r="G1015" s="101"/>
      <c r="H1015" s="101"/>
      <c r="I1015" s="101"/>
      <c r="J1015" s="101"/>
      <c r="K1015" s="101"/>
      <c r="L1015" s="101"/>
      <c r="M1015" s="101"/>
      <c r="N1015" s="101"/>
      <c r="O1015" s="101"/>
      <c r="P1015" s="101"/>
      <c r="Q1015" s="101"/>
      <c r="R1015" s="101"/>
      <c r="S1015" s="101"/>
      <c r="T1015" s="103"/>
      <c r="U1015" s="103"/>
      <c r="V1015" s="103"/>
      <c r="W1015" s="104"/>
      <c r="X1015" s="101"/>
      <c r="Y1015" s="101"/>
      <c r="Z1015" s="101"/>
      <c r="AA1015" s="101"/>
      <c r="AB1015" s="101"/>
      <c r="AC1015" s="101"/>
      <c r="AD1015" s="101"/>
      <c r="AE1015" s="101"/>
      <c r="AF1015" s="101"/>
      <c r="AG1015" s="101"/>
      <c r="AH1015" s="101"/>
      <c r="AI1015" s="101"/>
      <c r="AJ1015" s="101"/>
      <c r="AK1015" s="101"/>
      <c r="AL1015" s="101"/>
      <c r="AM1015" s="29"/>
      <c r="AN1015" s="101"/>
      <c r="AO1015" s="101"/>
      <c r="AP1015" s="101"/>
      <c r="AQ1015" s="101"/>
      <c r="AR1015" s="101"/>
      <c r="AS1015" s="101"/>
      <c r="AT1015" s="101"/>
      <c r="AU1015" s="101"/>
      <c r="AV1015" s="101"/>
      <c r="AW1015" s="101"/>
      <c r="AX1015" s="101"/>
      <c r="AY1015" s="101"/>
      <c r="AZ1015" s="101"/>
      <c r="BA1015" s="101"/>
      <c r="BB1015" s="101"/>
      <c r="BC1015" s="101"/>
      <c r="BD1015" s="101"/>
      <c r="BE1015" s="101"/>
      <c r="BF1015" s="101"/>
      <c r="BG1015" s="101"/>
      <c r="BH1015" s="101"/>
      <c r="BI1015" s="101"/>
      <c r="BJ1015" s="101"/>
      <c r="BK1015" s="101"/>
      <c r="BL1015" s="101"/>
      <c r="BM1015" s="101"/>
      <c r="BN1015" s="101"/>
      <c r="BO1015" s="101"/>
      <c r="BP1015" s="101"/>
      <c r="BQ1015" s="101"/>
      <c r="BR1015" s="101"/>
      <c r="BS1015" s="101"/>
      <c r="BT1015" s="101"/>
      <c r="BU1015" s="101"/>
      <c r="BV1015" s="101"/>
      <c r="BW1015" s="101"/>
      <c r="BX1015" s="101"/>
      <c r="BY1015" s="101"/>
      <c r="BZ1015" s="101"/>
      <c r="CA1015" s="101"/>
      <c r="CB1015" s="101"/>
      <c r="CC1015" s="101"/>
      <c r="CD1015" s="101"/>
      <c r="CE1015" s="101"/>
      <c r="CF1015" s="101"/>
      <c r="CG1015" s="101"/>
      <c r="CH1015" s="101"/>
      <c r="CI1015" s="101"/>
      <c r="CJ1015" s="101"/>
      <c r="CK1015" s="101"/>
      <c r="CL1015" s="101"/>
      <c r="CM1015" s="101"/>
      <c r="CN1015" s="101"/>
      <c r="CO1015" s="101"/>
      <c r="CP1015" s="101"/>
      <c r="CQ1015" s="101"/>
      <c r="CR1015" s="101"/>
      <c r="CS1015" s="101"/>
      <c r="CT1015" s="101"/>
      <c r="CU1015" s="101"/>
      <c r="CV1015" s="101"/>
      <c r="CW1015" s="101"/>
      <c r="CX1015" s="101"/>
      <c r="CY1015" s="101"/>
      <c r="CZ1015" s="101"/>
      <c r="DA1015" s="101"/>
      <c r="DB1015" s="101"/>
      <c r="DC1015" s="101"/>
      <c r="DD1015" s="101"/>
      <c r="DE1015" s="101"/>
      <c r="DF1015" s="101"/>
    </row>
    <row r="1016">
      <c r="A1016" s="29"/>
      <c r="B1016" s="101"/>
      <c r="C1016" s="101"/>
      <c r="D1016" s="101"/>
      <c r="E1016" s="101"/>
      <c r="F1016" s="101"/>
      <c r="G1016" s="101"/>
      <c r="H1016" s="101"/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103"/>
      <c r="U1016" s="103"/>
      <c r="V1016" s="103"/>
      <c r="W1016" s="104"/>
      <c r="X1016" s="101"/>
      <c r="Y1016" s="101"/>
      <c r="Z1016" s="101"/>
      <c r="AA1016" s="101"/>
      <c r="AB1016" s="101"/>
      <c r="AC1016" s="101"/>
      <c r="AD1016" s="101"/>
      <c r="AE1016" s="101"/>
      <c r="AF1016" s="101"/>
      <c r="AG1016" s="101"/>
      <c r="AH1016" s="101"/>
      <c r="AI1016" s="101"/>
      <c r="AJ1016" s="101"/>
      <c r="AK1016" s="101"/>
      <c r="AL1016" s="101"/>
      <c r="AM1016" s="29"/>
      <c r="AN1016" s="101"/>
      <c r="AO1016" s="101"/>
      <c r="AP1016" s="101"/>
      <c r="AQ1016" s="101"/>
      <c r="AR1016" s="101"/>
      <c r="AS1016" s="101"/>
      <c r="AT1016" s="101"/>
      <c r="AU1016" s="101"/>
      <c r="AV1016" s="101"/>
      <c r="AW1016" s="101"/>
      <c r="AX1016" s="101"/>
      <c r="AY1016" s="101"/>
      <c r="AZ1016" s="101"/>
      <c r="BA1016" s="101"/>
      <c r="BB1016" s="101"/>
      <c r="BC1016" s="101"/>
      <c r="BD1016" s="101"/>
      <c r="BE1016" s="101"/>
      <c r="BF1016" s="101"/>
      <c r="BG1016" s="101"/>
      <c r="BH1016" s="101"/>
      <c r="BI1016" s="101"/>
      <c r="BJ1016" s="101"/>
      <c r="BK1016" s="101"/>
      <c r="BL1016" s="101"/>
      <c r="BM1016" s="101"/>
      <c r="BN1016" s="101"/>
      <c r="BO1016" s="101"/>
      <c r="BP1016" s="101"/>
      <c r="BQ1016" s="101"/>
      <c r="BR1016" s="101"/>
      <c r="BS1016" s="101"/>
      <c r="BT1016" s="101"/>
      <c r="BU1016" s="101"/>
      <c r="BV1016" s="101"/>
      <c r="BW1016" s="101"/>
      <c r="BX1016" s="101"/>
      <c r="BY1016" s="101"/>
      <c r="BZ1016" s="101"/>
      <c r="CA1016" s="101"/>
      <c r="CB1016" s="101"/>
      <c r="CC1016" s="101"/>
      <c r="CD1016" s="101"/>
      <c r="CE1016" s="101"/>
      <c r="CF1016" s="101"/>
      <c r="CG1016" s="101"/>
      <c r="CH1016" s="101"/>
      <c r="CI1016" s="101"/>
      <c r="CJ1016" s="101"/>
      <c r="CK1016" s="101"/>
      <c r="CL1016" s="101"/>
      <c r="CM1016" s="101"/>
      <c r="CN1016" s="101"/>
      <c r="CO1016" s="101"/>
      <c r="CP1016" s="101"/>
      <c r="CQ1016" s="101"/>
      <c r="CR1016" s="101"/>
      <c r="CS1016" s="101"/>
      <c r="CT1016" s="101"/>
      <c r="CU1016" s="101"/>
      <c r="CV1016" s="101"/>
      <c r="CW1016" s="101"/>
      <c r="CX1016" s="101"/>
      <c r="CY1016" s="101"/>
      <c r="CZ1016" s="101"/>
      <c r="DA1016" s="101"/>
      <c r="DB1016" s="101"/>
      <c r="DC1016" s="101"/>
      <c r="DD1016" s="101"/>
      <c r="DE1016" s="101"/>
      <c r="DF1016" s="101"/>
    </row>
    <row r="1017">
      <c r="A1017" s="29"/>
      <c r="B1017" s="101"/>
      <c r="C1017" s="101"/>
      <c r="D1017" s="101"/>
      <c r="E1017" s="101"/>
      <c r="F1017" s="101"/>
      <c r="G1017" s="101"/>
      <c r="H1017" s="101"/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103"/>
      <c r="U1017" s="103"/>
      <c r="V1017" s="103"/>
      <c r="W1017" s="104"/>
      <c r="X1017" s="101"/>
      <c r="Y1017" s="101"/>
      <c r="Z1017" s="101"/>
      <c r="AA1017" s="101"/>
      <c r="AB1017" s="101"/>
      <c r="AC1017" s="101"/>
      <c r="AD1017" s="101"/>
      <c r="AE1017" s="101"/>
      <c r="AF1017" s="101"/>
      <c r="AG1017" s="101"/>
      <c r="AH1017" s="101"/>
      <c r="AI1017" s="101"/>
      <c r="AJ1017" s="101"/>
      <c r="AK1017" s="101"/>
      <c r="AL1017" s="101"/>
      <c r="AM1017" s="29"/>
      <c r="AN1017" s="101"/>
      <c r="AO1017" s="101"/>
      <c r="AP1017" s="101"/>
      <c r="AQ1017" s="101"/>
      <c r="AR1017" s="101"/>
      <c r="AS1017" s="101"/>
      <c r="AT1017" s="101"/>
      <c r="AU1017" s="101"/>
      <c r="AV1017" s="101"/>
      <c r="AW1017" s="101"/>
      <c r="AX1017" s="101"/>
      <c r="AY1017" s="101"/>
      <c r="AZ1017" s="101"/>
      <c r="BA1017" s="101"/>
      <c r="BB1017" s="101"/>
      <c r="BC1017" s="101"/>
      <c r="BD1017" s="101"/>
      <c r="BE1017" s="101"/>
      <c r="BF1017" s="101"/>
      <c r="BG1017" s="101"/>
      <c r="BH1017" s="101"/>
      <c r="BI1017" s="101"/>
      <c r="BJ1017" s="101"/>
      <c r="BK1017" s="101"/>
      <c r="BL1017" s="101"/>
      <c r="BM1017" s="101"/>
      <c r="BN1017" s="101"/>
      <c r="BO1017" s="101"/>
      <c r="BP1017" s="101"/>
      <c r="BQ1017" s="101"/>
      <c r="BR1017" s="101"/>
      <c r="BS1017" s="101"/>
      <c r="BT1017" s="101"/>
      <c r="BU1017" s="101"/>
      <c r="BV1017" s="101"/>
      <c r="BW1017" s="101"/>
      <c r="BX1017" s="101"/>
      <c r="BY1017" s="101"/>
      <c r="BZ1017" s="101"/>
      <c r="CA1017" s="101"/>
      <c r="CB1017" s="101"/>
      <c r="CC1017" s="101"/>
      <c r="CD1017" s="101"/>
      <c r="CE1017" s="101"/>
      <c r="CF1017" s="101"/>
      <c r="CG1017" s="101"/>
      <c r="CH1017" s="101"/>
      <c r="CI1017" s="101"/>
      <c r="CJ1017" s="101"/>
      <c r="CK1017" s="101"/>
      <c r="CL1017" s="101"/>
      <c r="CM1017" s="101"/>
      <c r="CN1017" s="101"/>
      <c r="CO1017" s="101"/>
      <c r="CP1017" s="101"/>
      <c r="CQ1017" s="101"/>
      <c r="CR1017" s="101"/>
      <c r="CS1017" s="101"/>
      <c r="CT1017" s="101"/>
      <c r="CU1017" s="101"/>
      <c r="CV1017" s="101"/>
      <c r="CW1017" s="101"/>
      <c r="CX1017" s="101"/>
      <c r="CY1017" s="101"/>
      <c r="CZ1017" s="101"/>
      <c r="DA1017" s="101"/>
      <c r="DB1017" s="101"/>
      <c r="DC1017" s="101"/>
      <c r="DD1017" s="101"/>
      <c r="DE1017" s="101"/>
      <c r="DF1017" s="101"/>
    </row>
    <row r="1018">
      <c r="A1018" s="29"/>
      <c r="B1018" s="101"/>
      <c r="C1018" s="101"/>
      <c r="D1018" s="101"/>
      <c r="E1018" s="101"/>
      <c r="F1018" s="101"/>
      <c r="G1018" s="101"/>
      <c r="H1018" s="101"/>
      <c r="I1018" s="101"/>
      <c r="J1018" s="101"/>
      <c r="K1018" s="101"/>
      <c r="L1018" s="101"/>
      <c r="M1018" s="101"/>
      <c r="N1018" s="101"/>
      <c r="O1018" s="101"/>
      <c r="P1018" s="101"/>
      <c r="Q1018" s="101"/>
      <c r="R1018" s="101"/>
      <c r="S1018" s="101"/>
      <c r="T1018" s="103"/>
      <c r="U1018" s="103"/>
      <c r="V1018" s="103"/>
      <c r="W1018" s="104"/>
      <c r="X1018" s="101"/>
      <c r="Y1018" s="101"/>
      <c r="Z1018" s="101"/>
      <c r="AA1018" s="101"/>
      <c r="AB1018" s="101"/>
      <c r="AC1018" s="101"/>
      <c r="AD1018" s="101"/>
      <c r="AE1018" s="101"/>
      <c r="AF1018" s="101"/>
      <c r="AG1018" s="101"/>
      <c r="AH1018" s="101"/>
      <c r="AI1018" s="101"/>
      <c r="AJ1018" s="101"/>
      <c r="AK1018" s="101"/>
      <c r="AL1018" s="101"/>
      <c r="AM1018" s="29"/>
      <c r="AN1018" s="101"/>
      <c r="AO1018" s="101"/>
      <c r="AP1018" s="101"/>
      <c r="AQ1018" s="101"/>
      <c r="AR1018" s="101"/>
      <c r="AS1018" s="101"/>
      <c r="AT1018" s="101"/>
      <c r="AU1018" s="101"/>
      <c r="AV1018" s="101"/>
      <c r="AW1018" s="101"/>
      <c r="AX1018" s="101"/>
      <c r="AY1018" s="101"/>
      <c r="AZ1018" s="101"/>
      <c r="BA1018" s="101"/>
      <c r="BB1018" s="101"/>
      <c r="BC1018" s="101"/>
      <c r="BD1018" s="101"/>
      <c r="BE1018" s="101"/>
      <c r="BF1018" s="101"/>
      <c r="BG1018" s="101"/>
      <c r="BH1018" s="101"/>
      <c r="BI1018" s="101"/>
      <c r="BJ1018" s="101"/>
      <c r="BK1018" s="101"/>
      <c r="BL1018" s="101"/>
      <c r="BM1018" s="101"/>
      <c r="BN1018" s="101"/>
      <c r="BO1018" s="101"/>
      <c r="BP1018" s="101"/>
      <c r="BQ1018" s="101"/>
      <c r="BR1018" s="101"/>
      <c r="BS1018" s="101"/>
      <c r="BT1018" s="101"/>
      <c r="BU1018" s="101"/>
      <c r="BV1018" s="101"/>
      <c r="BW1018" s="101"/>
      <c r="BX1018" s="101"/>
      <c r="BY1018" s="101"/>
      <c r="BZ1018" s="101"/>
      <c r="CA1018" s="101"/>
      <c r="CB1018" s="101"/>
      <c r="CC1018" s="101"/>
      <c r="CD1018" s="101"/>
      <c r="CE1018" s="101"/>
      <c r="CF1018" s="101"/>
      <c r="CG1018" s="101"/>
      <c r="CH1018" s="101"/>
      <c r="CI1018" s="101"/>
      <c r="CJ1018" s="101"/>
      <c r="CK1018" s="101"/>
      <c r="CL1018" s="101"/>
      <c r="CM1018" s="101"/>
      <c r="CN1018" s="101"/>
      <c r="CO1018" s="101"/>
      <c r="CP1018" s="101"/>
      <c r="CQ1018" s="101"/>
      <c r="CR1018" s="101"/>
      <c r="CS1018" s="101"/>
      <c r="CT1018" s="101"/>
      <c r="CU1018" s="101"/>
      <c r="CV1018" s="101"/>
      <c r="CW1018" s="101"/>
      <c r="CX1018" s="101"/>
      <c r="CY1018" s="101"/>
      <c r="CZ1018" s="101"/>
      <c r="DA1018" s="101"/>
      <c r="DB1018" s="101"/>
      <c r="DC1018" s="101"/>
      <c r="DD1018" s="101"/>
      <c r="DE1018" s="101"/>
      <c r="DF1018" s="101"/>
    </row>
    <row r="1019">
      <c r="A1019" s="29"/>
      <c r="B1019" s="101"/>
      <c r="C1019" s="101"/>
      <c r="D1019" s="101"/>
      <c r="E1019" s="101"/>
      <c r="F1019" s="101"/>
      <c r="G1019" s="101"/>
      <c r="H1019" s="101"/>
      <c r="I1019" s="101"/>
      <c r="J1019" s="101"/>
      <c r="K1019" s="101"/>
      <c r="L1019" s="101"/>
      <c r="M1019" s="101"/>
      <c r="N1019" s="101"/>
      <c r="O1019" s="101"/>
      <c r="P1019" s="101"/>
      <c r="Q1019" s="101"/>
      <c r="R1019" s="101"/>
      <c r="S1019" s="101"/>
      <c r="T1019" s="103"/>
      <c r="U1019" s="103"/>
      <c r="V1019" s="103"/>
      <c r="W1019" s="104"/>
      <c r="X1019" s="101"/>
      <c r="Y1019" s="101"/>
      <c r="Z1019" s="101"/>
      <c r="AA1019" s="101"/>
      <c r="AB1019" s="101"/>
      <c r="AC1019" s="101"/>
      <c r="AD1019" s="101"/>
      <c r="AE1019" s="101"/>
      <c r="AF1019" s="101"/>
      <c r="AG1019" s="101"/>
      <c r="AH1019" s="101"/>
      <c r="AI1019" s="101"/>
      <c r="AJ1019" s="101"/>
      <c r="AK1019" s="101"/>
      <c r="AL1019" s="101"/>
      <c r="AM1019" s="29"/>
      <c r="AN1019" s="101"/>
      <c r="AO1019" s="101"/>
      <c r="AP1019" s="101"/>
      <c r="AQ1019" s="101"/>
      <c r="AR1019" s="101"/>
      <c r="AS1019" s="101"/>
      <c r="AT1019" s="101"/>
      <c r="AU1019" s="101"/>
      <c r="AV1019" s="101"/>
      <c r="AW1019" s="101"/>
      <c r="AX1019" s="101"/>
      <c r="AY1019" s="101"/>
      <c r="AZ1019" s="101"/>
      <c r="BA1019" s="101"/>
      <c r="BB1019" s="101"/>
      <c r="BC1019" s="101"/>
      <c r="BD1019" s="101"/>
      <c r="BE1019" s="101"/>
      <c r="BF1019" s="101"/>
      <c r="BG1019" s="101"/>
      <c r="BH1019" s="101"/>
      <c r="BI1019" s="101"/>
      <c r="BJ1019" s="101"/>
      <c r="BK1019" s="101"/>
      <c r="BL1019" s="101"/>
      <c r="BM1019" s="101"/>
      <c r="BN1019" s="101"/>
      <c r="BO1019" s="101"/>
      <c r="BP1019" s="101"/>
      <c r="BQ1019" s="101"/>
      <c r="BR1019" s="101"/>
      <c r="BS1019" s="101"/>
      <c r="BT1019" s="101"/>
      <c r="BU1019" s="101"/>
      <c r="BV1019" s="101"/>
      <c r="BW1019" s="101"/>
      <c r="BX1019" s="101"/>
      <c r="BY1019" s="101"/>
      <c r="BZ1019" s="101"/>
      <c r="CA1019" s="101"/>
      <c r="CB1019" s="101"/>
      <c r="CC1019" s="101"/>
      <c r="CD1019" s="101"/>
      <c r="CE1019" s="101"/>
      <c r="CF1019" s="101"/>
      <c r="CG1019" s="101"/>
      <c r="CH1019" s="101"/>
      <c r="CI1019" s="101"/>
      <c r="CJ1019" s="101"/>
      <c r="CK1019" s="101"/>
      <c r="CL1019" s="101"/>
      <c r="CM1019" s="101"/>
      <c r="CN1019" s="101"/>
      <c r="CO1019" s="101"/>
      <c r="CP1019" s="101"/>
      <c r="CQ1019" s="101"/>
      <c r="CR1019" s="101"/>
      <c r="CS1019" s="101"/>
      <c r="CT1019" s="101"/>
      <c r="CU1019" s="101"/>
      <c r="CV1019" s="101"/>
      <c r="CW1019" s="101"/>
      <c r="CX1019" s="101"/>
      <c r="CY1019" s="101"/>
      <c r="CZ1019" s="101"/>
      <c r="DA1019" s="101"/>
      <c r="DB1019" s="101"/>
      <c r="DC1019" s="101"/>
      <c r="DD1019" s="101"/>
      <c r="DE1019" s="101"/>
      <c r="DF1019" s="101"/>
    </row>
    <row r="1020">
      <c r="A1020" s="29"/>
      <c r="B1020" s="101"/>
      <c r="C1020" s="101"/>
      <c r="D1020" s="101"/>
      <c r="E1020" s="101"/>
      <c r="F1020" s="101"/>
      <c r="G1020" s="101"/>
      <c r="H1020" s="101"/>
      <c r="I1020" s="101"/>
      <c r="J1020" s="101"/>
      <c r="K1020" s="101"/>
      <c r="L1020" s="101"/>
      <c r="M1020" s="101"/>
      <c r="N1020" s="101"/>
      <c r="O1020" s="101"/>
      <c r="P1020" s="101"/>
      <c r="Q1020" s="101"/>
      <c r="R1020" s="101"/>
      <c r="S1020" s="101"/>
      <c r="T1020" s="103"/>
      <c r="U1020" s="103"/>
      <c r="V1020" s="103"/>
      <c r="W1020" s="104"/>
      <c r="X1020" s="101"/>
      <c r="Y1020" s="101"/>
      <c r="Z1020" s="101"/>
      <c r="AA1020" s="101"/>
      <c r="AB1020" s="101"/>
      <c r="AC1020" s="101"/>
      <c r="AD1020" s="101"/>
      <c r="AE1020" s="101"/>
      <c r="AF1020" s="101"/>
      <c r="AG1020" s="101"/>
      <c r="AH1020" s="101"/>
      <c r="AI1020" s="101"/>
      <c r="AJ1020" s="101"/>
      <c r="AK1020" s="101"/>
      <c r="AL1020" s="101"/>
      <c r="AM1020" s="29"/>
      <c r="AN1020" s="101"/>
      <c r="AO1020" s="101"/>
      <c r="AP1020" s="101"/>
      <c r="AQ1020" s="101"/>
      <c r="AR1020" s="101"/>
      <c r="AS1020" s="101"/>
      <c r="AT1020" s="101"/>
      <c r="AU1020" s="101"/>
      <c r="AV1020" s="101"/>
      <c r="AW1020" s="101"/>
      <c r="AX1020" s="101"/>
      <c r="AY1020" s="101"/>
      <c r="AZ1020" s="101"/>
      <c r="BA1020" s="101"/>
      <c r="BB1020" s="101"/>
      <c r="BC1020" s="101"/>
      <c r="BD1020" s="101"/>
      <c r="BE1020" s="101"/>
      <c r="BF1020" s="101"/>
      <c r="BG1020" s="101"/>
      <c r="BH1020" s="101"/>
      <c r="BI1020" s="101"/>
      <c r="BJ1020" s="101"/>
      <c r="BK1020" s="101"/>
      <c r="BL1020" s="101"/>
      <c r="BM1020" s="101"/>
      <c r="BN1020" s="101"/>
      <c r="BO1020" s="101"/>
      <c r="BP1020" s="101"/>
      <c r="BQ1020" s="101"/>
      <c r="BR1020" s="101"/>
      <c r="BS1020" s="101"/>
      <c r="BT1020" s="101"/>
      <c r="BU1020" s="101"/>
      <c r="BV1020" s="101"/>
      <c r="BW1020" s="101"/>
      <c r="BX1020" s="101"/>
      <c r="BY1020" s="101"/>
      <c r="BZ1020" s="101"/>
      <c r="CA1020" s="101"/>
      <c r="CB1020" s="101"/>
      <c r="CC1020" s="101"/>
      <c r="CD1020" s="101"/>
      <c r="CE1020" s="101"/>
      <c r="CF1020" s="101"/>
      <c r="CG1020" s="101"/>
      <c r="CH1020" s="101"/>
      <c r="CI1020" s="101"/>
      <c r="CJ1020" s="101"/>
      <c r="CK1020" s="101"/>
      <c r="CL1020" s="101"/>
      <c r="CM1020" s="101"/>
      <c r="CN1020" s="101"/>
      <c r="CO1020" s="101"/>
      <c r="CP1020" s="101"/>
      <c r="CQ1020" s="101"/>
      <c r="CR1020" s="101"/>
      <c r="CS1020" s="101"/>
      <c r="CT1020" s="101"/>
      <c r="CU1020" s="101"/>
      <c r="CV1020" s="101"/>
      <c r="CW1020" s="101"/>
      <c r="CX1020" s="101"/>
      <c r="CY1020" s="101"/>
      <c r="CZ1020" s="101"/>
      <c r="DA1020" s="101"/>
      <c r="DB1020" s="101"/>
      <c r="DC1020" s="101"/>
      <c r="DD1020" s="101"/>
      <c r="DE1020" s="101"/>
      <c r="DF1020" s="101"/>
    </row>
    <row r="1021">
      <c r="A1021" s="29"/>
      <c r="B1021" s="101"/>
      <c r="C1021" s="101"/>
      <c r="D1021" s="101"/>
      <c r="E1021" s="101"/>
      <c r="F1021" s="101"/>
      <c r="G1021" s="101"/>
      <c r="H1021" s="101"/>
      <c r="I1021" s="101"/>
      <c r="J1021" s="101"/>
      <c r="K1021" s="101"/>
      <c r="L1021" s="101"/>
      <c r="M1021" s="101"/>
      <c r="N1021" s="101"/>
      <c r="O1021" s="101"/>
      <c r="P1021" s="101"/>
      <c r="Q1021" s="101"/>
      <c r="R1021" s="101"/>
      <c r="S1021" s="101"/>
      <c r="T1021" s="103"/>
      <c r="U1021" s="103"/>
      <c r="V1021" s="103"/>
      <c r="W1021" s="104"/>
      <c r="X1021" s="101"/>
      <c r="Y1021" s="101"/>
      <c r="Z1021" s="101"/>
      <c r="AA1021" s="101"/>
      <c r="AB1021" s="101"/>
      <c r="AC1021" s="101"/>
      <c r="AD1021" s="101"/>
      <c r="AE1021" s="101"/>
      <c r="AF1021" s="101"/>
      <c r="AG1021" s="101"/>
      <c r="AH1021" s="101"/>
      <c r="AI1021" s="101"/>
      <c r="AJ1021" s="101"/>
      <c r="AK1021" s="101"/>
      <c r="AL1021" s="101"/>
      <c r="AM1021" s="29"/>
      <c r="AN1021" s="101"/>
      <c r="AO1021" s="101"/>
      <c r="AP1021" s="101"/>
      <c r="AQ1021" s="101"/>
      <c r="AR1021" s="101"/>
      <c r="AS1021" s="101"/>
      <c r="AT1021" s="101"/>
      <c r="AU1021" s="101"/>
      <c r="AV1021" s="101"/>
      <c r="AW1021" s="101"/>
      <c r="AX1021" s="101"/>
      <c r="AY1021" s="101"/>
      <c r="AZ1021" s="101"/>
      <c r="BA1021" s="101"/>
      <c r="BB1021" s="101"/>
      <c r="BC1021" s="101"/>
      <c r="BD1021" s="101"/>
      <c r="BE1021" s="101"/>
      <c r="BF1021" s="101"/>
      <c r="BG1021" s="101"/>
      <c r="BH1021" s="101"/>
      <c r="BI1021" s="101"/>
      <c r="BJ1021" s="101"/>
      <c r="BK1021" s="101"/>
      <c r="BL1021" s="101"/>
      <c r="BM1021" s="101"/>
      <c r="BN1021" s="101"/>
      <c r="BO1021" s="101"/>
      <c r="BP1021" s="101"/>
      <c r="BQ1021" s="101"/>
      <c r="BR1021" s="101"/>
      <c r="BS1021" s="101"/>
      <c r="BT1021" s="101"/>
      <c r="BU1021" s="101"/>
      <c r="BV1021" s="101"/>
      <c r="BW1021" s="101"/>
      <c r="BX1021" s="101"/>
      <c r="BY1021" s="101"/>
      <c r="BZ1021" s="101"/>
      <c r="CA1021" s="101"/>
      <c r="CB1021" s="101"/>
      <c r="CC1021" s="101"/>
      <c r="CD1021" s="101"/>
      <c r="CE1021" s="101"/>
      <c r="CF1021" s="101"/>
      <c r="CG1021" s="101"/>
      <c r="CH1021" s="101"/>
      <c r="CI1021" s="101"/>
      <c r="CJ1021" s="101"/>
      <c r="CK1021" s="101"/>
      <c r="CL1021" s="101"/>
      <c r="CM1021" s="101"/>
      <c r="CN1021" s="101"/>
      <c r="CO1021" s="101"/>
      <c r="CP1021" s="101"/>
      <c r="CQ1021" s="101"/>
      <c r="CR1021" s="101"/>
      <c r="CS1021" s="101"/>
      <c r="CT1021" s="101"/>
      <c r="CU1021" s="101"/>
      <c r="CV1021" s="101"/>
      <c r="CW1021" s="101"/>
      <c r="CX1021" s="101"/>
      <c r="CY1021" s="101"/>
      <c r="CZ1021" s="101"/>
      <c r="DA1021" s="101"/>
      <c r="DB1021" s="101"/>
      <c r="DC1021" s="101"/>
      <c r="DD1021" s="101"/>
      <c r="DE1021" s="101"/>
      <c r="DF1021" s="101"/>
    </row>
    <row r="1022">
      <c r="A1022" s="29"/>
      <c r="B1022" s="101"/>
      <c r="C1022" s="101"/>
      <c r="D1022" s="101"/>
      <c r="E1022" s="101"/>
      <c r="F1022" s="101"/>
      <c r="G1022" s="101"/>
      <c r="H1022" s="101"/>
      <c r="I1022" s="101"/>
      <c r="J1022" s="101"/>
      <c r="K1022" s="101"/>
      <c r="L1022" s="101"/>
      <c r="M1022" s="101"/>
      <c r="N1022" s="101"/>
      <c r="O1022" s="101"/>
      <c r="P1022" s="101"/>
      <c r="Q1022" s="101"/>
      <c r="R1022" s="101"/>
      <c r="S1022" s="101"/>
      <c r="T1022" s="103"/>
      <c r="U1022" s="103"/>
      <c r="V1022" s="103"/>
      <c r="W1022" s="104"/>
      <c r="X1022" s="101"/>
      <c r="Y1022" s="101"/>
      <c r="Z1022" s="101"/>
      <c r="AA1022" s="101"/>
      <c r="AB1022" s="101"/>
      <c r="AC1022" s="101"/>
      <c r="AD1022" s="101"/>
      <c r="AE1022" s="101"/>
      <c r="AF1022" s="101"/>
      <c r="AG1022" s="101"/>
      <c r="AH1022" s="101"/>
      <c r="AI1022" s="101"/>
      <c r="AJ1022" s="101"/>
      <c r="AK1022" s="101"/>
      <c r="AL1022" s="101"/>
      <c r="AM1022" s="29"/>
      <c r="AN1022" s="101"/>
      <c r="AO1022" s="101"/>
      <c r="AP1022" s="101"/>
      <c r="AQ1022" s="101"/>
      <c r="AR1022" s="101"/>
      <c r="AS1022" s="101"/>
      <c r="AT1022" s="101"/>
      <c r="AU1022" s="101"/>
      <c r="AV1022" s="101"/>
      <c r="AW1022" s="101"/>
      <c r="AX1022" s="101"/>
      <c r="AY1022" s="101"/>
      <c r="AZ1022" s="101"/>
      <c r="BA1022" s="101"/>
      <c r="BB1022" s="101"/>
      <c r="BC1022" s="101"/>
      <c r="BD1022" s="101"/>
      <c r="BE1022" s="101"/>
      <c r="BF1022" s="101"/>
      <c r="BG1022" s="101"/>
      <c r="BH1022" s="101"/>
      <c r="BI1022" s="101"/>
      <c r="BJ1022" s="101"/>
      <c r="BK1022" s="101"/>
      <c r="BL1022" s="101"/>
      <c r="BM1022" s="101"/>
      <c r="BN1022" s="101"/>
      <c r="BO1022" s="101"/>
      <c r="BP1022" s="101"/>
      <c r="BQ1022" s="101"/>
      <c r="BR1022" s="101"/>
      <c r="BS1022" s="101"/>
      <c r="BT1022" s="101"/>
      <c r="BU1022" s="101"/>
      <c r="BV1022" s="101"/>
      <c r="BW1022" s="101"/>
      <c r="BX1022" s="101"/>
      <c r="BY1022" s="101"/>
      <c r="BZ1022" s="101"/>
      <c r="CA1022" s="101"/>
      <c r="CB1022" s="101"/>
      <c r="CC1022" s="101"/>
      <c r="CD1022" s="101"/>
      <c r="CE1022" s="101"/>
      <c r="CF1022" s="101"/>
      <c r="CG1022" s="101"/>
      <c r="CH1022" s="101"/>
      <c r="CI1022" s="101"/>
      <c r="CJ1022" s="101"/>
      <c r="CK1022" s="101"/>
      <c r="CL1022" s="101"/>
      <c r="CM1022" s="101"/>
      <c r="CN1022" s="101"/>
      <c r="CO1022" s="101"/>
      <c r="CP1022" s="101"/>
      <c r="CQ1022" s="101"/>
      <c r="CR1022" s="101"/>
      <c r="CS1022" s="101"/>
      <c r="CT1022" s="101"/>
      <c r="CU1022" s="101"/>
      <c r="CV1022" s="101"/>
      <c r="CW1022" s="101"/>
      <c r="CX1022" s="101"/>
      <c r="CY1022" s="101"/>
      <c r="CZ1022" s="101"/>
      <c r="DA1022" s="101"/>
      <c r="DB1022" s="101"/>
      <c r="DC1022" s="101"/>
      <c r="DD1022" s="101"/>
      <c r="DE1022" s="101"/>
      <c r="DF1022" s="101"/>
    </row>
    <row r="1023">
      <c r="A1023" s="29"/>
      <c r="B1023" s="101"/>
      <c r="C1023" s="101"/>
      <c r="D1023" s="101"/>
      <c r="E1023" s="101"/>
      <c r="F1023" s="101"/>
      <c r="G1023" s="101"/>
      <c r="H1023" s="101"/>
      <c r="I1023" s="101"/>
      <c r="J1023" s="101"/>
      <c r="K1023" s="101"/>
      <c r="L1023" s="101"/>
      <c r="M1023" s="101"/>
      <c r="N1023" s="101"/>
      <c r="O1023" s="101"/>
      <c r="P1023" s="101"/>
      <c r="Q1023" s="101"/>
      <c r="R1023" s="101"/>
      <c r="S1023" s="101"/>
      <c r="T1023" s="103"/>
      <c r="U1023" s="103"/>
      <c r="V1023" s="103"/>
      <c r="W1023" s="104"/>
      <c r="X1023" s="101"/>
      <c r="Y1023" s="101"/>
      <c r="Z1023" s="101"/>
      <c r="AA1023" s="101"/>
      <c r="AB1023" s="101"/>
      <c r="AC1023" s="101"/>
      <c r="AD1023" s="101"/>
      <c r="AE1023" s="101"/>
      <c r="AF1023" s="101"/>
      <c r="AG1023" s="101"/>
      <c r="AH1023" s="101"/>
      <c r="AI1023" s="101"/>
      <c r="AJ1023" s="101"/>
      <c r="AK1023" s="101"/>
      <c r="AL1023" s="101"/>
      <c r="AM1023" s="29"/>
      <c r="AN1023" s="101"/>
      <c r="AO1023" s="101"/>
      <c r="AP1023" s="101"/>
      <c r="AQ1023" s="101"/>
      <c r="AR1023" s="101"/>
      <c r="AS1023" s="101"/>
      <c r="AT1023" s="101"/>
      <c r="AU1023" s="101"/>
      <c r="AV1023" s="101"/>
      <c r="AW1023" s="101"/>
      <c r="AX1023" s="101"/>
      <c r="AY1023" s="101"/>
      <c r="AZ1023" s="101"/>
      <c r="BA1023" s="101"/>
      <c r="BB1023" s="101"/>
      <c r="BC1023" s="101"/>
      <c r="BD1023" s="101"/>
      <c r="BE1023" s="101"/>
      <c r="BF1023" s="101"/>
      <c r="BG1023" s="101"/>
      <c r="BH1023" s="101"/>
      <c r="BI1023" s="101"/>
      <c r="BJ1023" s="101"/>
      <c r="BK1023" s="101"/>
      <c r="BL1023" s="101"/>
      <c r="BM1023" s="101"/>
      <c r="BN1023" s="101"/>
      <c r="BO1023" s="101"/>
      <c r="BP1023" s="101"/>
      <c r="BQ1023" s="101"/>
      <c r="BR1023" s="101"/>
      <c r="BS1023" s="101"/>
      <c r="BT1023" s="101"/>
      <c r="BU1023" s="101"/>
      <c r="BV1023" s="101"/>
      <c r="BW1023" s="101"/>
      <c r="BX1023" s="101"/>
      <c r="BY1023" s="101"/>
      <c r="BZ1023" s="101"/>
      <c r="CA1023" s="101"/>
      <c r="CB1023" s="101"/>
      <c r="CC1023" s="101"/>
      <c r="CD1023" s="101"/>
      <c r="CE1023" s="101"/>
      <c r="CF1023" s="101"/>
      <c r="CG1023" s="101"/>
      <c r="CH1023" s="101"/>
      <c r="CI1023" s="101"/>
      <c r="CJ1023" s="101"/>
      <c r="CK1023" s="101"/>
      <c r="CL1023" s="101"/>
      <c r="CM1023" s="101"/>
      <c r="CN1023" s="101"/>
      <c r="CO1023" s="101"/>
      <c r="CP1023" s="101"/>
      <c r="CQ1023" s="101"/>
      <c r="CR1023" s="101"/>
      <c r="CS1023" s="101"/>
      <c r="CT1023" s="101"/>
      <c r="CU1023" s="101"/>
      <c r="CV1023" s="101"/>
      <c r="CW1023" s="101"/>
      <c r="CX1023" s="101"/>
      <c r="CY1023" s="101"/>
      <c r="CZ1023" s="101"/>
      <c r="DA1023" s="101"/>
      <c r="DB1023" s="101"/>
      <c r="DC1023" s="101"/>
      <c r="DD1023" s="101"/>
      <c r="DE1023" s="101"/>
      <c r="DF1023" s="101"/>
    </row>
    <row r="1024">
      <c r="A1024" s="29"/>
      <c r="B1024" s="101"/>
      <c r="C1024" s="101"/>
      <c r="D1024" s="101"/>
      <c r="E1024" s="101"/>
      <c r="F1024" s="101"/>
      <c r="G1024" s="101"/>
      <c r="H1024" s="101"/>
      <c r="I1024" s="101"/>
      <c r="J1024" s="101"/>
      <c r="K1024" s="101"/>
      <c r="L1024" s="101"/>
      <c r="M1024" s="101"/>
      <c r="N1024" s="101"/>
      <c r="O1024" s="101"/>
      <c r="P1024" s="101"/>
      <c r="Q1024" s="101"/>
      <c r="R1024" s="101"/>
      <c r="S1024" s="101"/>
      <c r="T1024" s="103"/>
      <c r="U1024" s="103"/>
      <c r="V1024" s="103"/>
      <c r="W1024" s="104"/>
      <c r="X1024" s="101"/>
      <c r="Y1024" s="101"/>
      <c r="Z1024" s="101"/>
      <c r="AA1024" s="101"/>
      <c r="AB1024" s="101"/>
      <c r="AC1024" s="101"/>
      <c r="AD1024" s="101"/>
      <c r="AE1024" s="101"/>
      <c r="AF1024" s="101"/>
      <c r="AG1024" s="101"/>
      <c r="AH1024" s="101"/>
      <c r="AI1024" s="101"/>
      <c r="AJ1024" s="101"/>
      <c r="AK1024" s="101"/>
      <c r="AL1024" s="101"/>
      <c r="AM1024" s="29"/>
      <c r="AN1024" s="101"/>
      <c r="AO1024" s="101"/>
      <c r="AP1024" s="101"/>
      <c r="AQ1024" s="101"/>
      <c r="AR1024" s="101"/>
      <c r="AS1024" s="101"/>
      <c r="AT1024" s="101"/>
      <c r="AU1024" s="101"/>
      <c r="AV1024" s="101"/>
      <c r="AW1024" s="101"/>
      <c r="AX1024" s="101"/>
      <c r="AY1024" s="101"/>
      <c r="AZ1024" s="101"/>
      <c r="BA1024" s="101"/>
      <c r="BB1024" s="101"/>
      <c r="BC1024" s="101"/>
      <c r="BD1024" s="101"/>
      <c r="BE1024" s="101"/>
      <c r="BF1024" s="101"/>
      <c r="BG1024" s="101"/>
      <c r="BH1024" s="101"/>
      <c r="BI1024" s="101"/>
      <c r="BJ1024" s="101"/>
      <c r="BK1024" s="101"/>
      <c r="BL1024" s="101"/>
      <c r="BM1024" s="101"/>
      <c r="BN1024" s="101"/>
      <c r="BO1024" s="101"/>
      <c r="BP1024" s="101"/>
      <c r="BQ1024" s="101"/>
      <c r="BR1024" s="101"/>
      <c r="BS1024" s="101"/>
      <c r="BT1024" s="101"/>
      <c r="BU1024" s="101"/>
      <c r="BV1024" s="101"/>
      <c r="BW1024" s="101"/>
      <c r="BX1024" s="101"/>
      <c r="BY1024" s="101"/>
      <c r="BZ1024" s="101"/>
      <c r="CA1024" s="101"/>
      <c r="CB1024" s="101"/>
      <c r="CC1024" s="101"/>
      <c r="CD1024" s="101"/>
      <c r="CE1024" s="101"/>
      <c r="CF1024" s="101"/>
      <c r="CG1024" s="101"/>
      <c r="CH1024" s="101"/>
      <c r="CI1024" s="101"/>
      <c r="CJ1024" s="101"/>
      <c r="CK1024" s="101"/>
      <c r="CL1024" s="101"/>
      <c r="CM1024" s="101"/>
      <c r="CN1024" s="101"/>
      <c r="CO1024" s="101"/>
      <c r="CP1024" s="101"/>
      <c r="CQ1024" s="101"/>
      <c r="CR1024" s="101"/>
      <c r="CS1024" s="101"/>
      <c r="CT1024" s="101"/>
      <c r="CU1024" s="101"/>
      <c r="CV1024" s="101"/>
      <c r="CW1024" s="101"/>
      <c r="CX1024" s="101"/>
      <c r="CY1024" s="101"/>
      <c r="CZ1024" s="101"/>
      <c r="DA1024" s="101"/>
      <c r="DB1024" s="101"/>
      <c r="DC1024" s="101"/>
      <c r="DD1024" s="101"/>
      <c r="DE1024" s="101"/>
      <c r="DF1024" s="101"/>
    </row>
    <row r="1025">
      <c r="A1025" s="29"/>
      <c r="B1025" s="101"/>
      <c r="C1025" s="101"/>
      <c r="D1025" s="101"/>
      <c r="E1025" s="101"/>
      <c r="F1025" s="101"/>
      <c r="G1025" s="101"/>
      <c r="H1025" s="101"/>
      <c r="I1025" s="101"/>
      <c r="J1025" s="101"/>
      <c r="K1025" s="101"/>
      <c r="L1025" s="101"/>
      <c r="M1025" s="101"/>
      <c r="N1025" s="101"/>
      <c r="O1025" s="101"/>
      <c r="P1025" s="101"/>
      <c r="Q1025" s="101"/>
      <c r="R1025" s="101"/>
      <c r="S1025" s="101"/>
      <c r="T1025" s="103"/>
      <c r="U1025" s="103"/>
      <c r="V1025" s="103"/>
      <c r="W1025" s="104"/>
      <c r="X1025" s="101"/>
      <c r="Y1025" s="101"/>
      <c r="Z1025" s="101"/>
      <c r="AA1025" s="101"/>
      <c r="AB1025" s="101"/>
      <c r="AC1025" s="101"/>
      <c r="AD1025" s="101"/>
      <c r="AE1025" s="101"/>
      <c r="AF1025" s="101"/>
      <c r="AG1025" s="101"/>
      <c r="AH1025" s="101"/>
      <c r="AI1025" s="101"/>
      <c r="AJ1025" s="101"/>
      <c r="AK1025" s="101"/>
      <c r="AL1025" s="101"/>
      <c r="AM1025" s="29"/>
      <c r="AN1025" s="101"/>
      <c r="AO1025" s="101"/>
      <c r="AP1025" s="101"/>
      <c r="AQ1025" s="101"/>
      <c r="AR1025" s="101"/>
      <c r="AS1025" s="101"/>
      <c r="AT1025" s="101"/>
      <c r="AU1025" s="101"/>
      <c r="AV1025" s="101"/>
      <c r="AW1025" s="101"/>
      <c r="AX1025" s="101"/>
      <c r="AY1025" s="101"/>
      <c r="AZ1025" s="101"/>
      <c r="BA1025" s="101"/>
      <c r="BB1025" s="101"/>
      <c r="BC1025" s="101"/>
      <c r="BD1025" s="101"/>
      <c r="BE1025" s="101"/>
      <c r="BF1025" s="101"/>
      <c r="BG1025" s="101"/>
      <c r="BH1025" s="101"/>
      <c r="BI1025" s="101"/>
      <c r="BJ1025" s="101"/>
      <c r="BK1025" s="101"/>
      <c r="BL1025" s="101"/>
      <c r="BM1025" s="101"/>
      <c r="BN1025" s="101"/>
      <c r="BO1025" s="101"/>
      <c r="BP1025" s="101"/>
      <c r="BQ1025" s="101"/>
      <c r="BR1025" s="101"/>
      <c r="BS1025" s="101"/>
      <c r="BT1025" s="101"/>
      <c r="BU1025" s="101"/>
      <c r="BV1025" s="101"/>
      <c r="BW1025" s="101"/>
      <c r="BX1025" s="101"/>
      <c r="BY1025" s="101"/>
      <c r="BZ1025" s="101"/>
      <c r="CA1025" s="101"/>
      <c r="CB1025" s="101"/>
      <c r="CC1025" s="101"/>
      <c r="CD1025" s="101"/>
      <c r="CE1025" s="101"/>
      <c r="CF1025" s="101"/>
      <c r="CG1025" s="101"/>
      <c r="CH1025" s="101"/>
      <c r="CI1025" s="101"/>
      <c r="CJ1025" s="101"/>
      <c r="CK1025" s="101"/>
      <c r="CL1025" s="101"/>
      <c r="CM1025" s="101"/>
      <c r="CN1025" s="101"/>
      <c r="CO1025" s="101"/>
      <c r="CP1025" s="101"/>
      <c r="CQ1025" s="101"/>
      <c r="CR1025" s="101"/>
      <c r="CS1025" s="101"/>
      <c r="CT1025" s="101"/>
      <c r="CU1025" s="101"/>
      <c r="CV1025" s="101"/>
      <c r="CW1025" s="101"/>
      <c r="CX1025" s="101"/>
      <c r="CY1025" s="101"/>
      <c r="CZ1025" s="101"/>
      <c r="DA1025" s="101"/>
      <c r="DB1025" s="101"/>
      <c r="DC1025" s="101"/>
      <c r="DD1025" s="101"/>
      <c r="DE1025" s="101"/>
      <c r="DF1025" s="101"/>
    </row>
    <row r="1026">
      <c r="A1026" s="29"/>
      <c r="B1026" s="101"/>
      <c r="C1026" s="101"/>
      <c r="D1026" s="101"/>
      <c r="E1026" s="101"/>
      <c r="F1026" s="101"/>
      <c r="G1026" s="101"/>
      <c r="H1026" s="101"/>
      <c r="I1026" s="101"/>
      <c r="J1026" s="101"/>
      <c r="K1026" s="101"/>
      <c r="L1026" s="101"/>
      <c r="M1026" s="101"/>
      <c r="N1026" s="101"/>
      <c r="O1026" s="101"/>
      <c r="P1026" s="101"/>
      <c r="Q1026" s="101"/>
      <c r="R1026" s="101"/>
      <c r="S1026" s="101"/>
      <c r="T1026" s="103"/>
      <c r="U1026" s="103"/>
      <c r="V1026" s="103"/>
      <c r="W1026" s="104"/>
      <c r="X1026" s="101"/>
      <c r="Y1026" s="101"/>
      <c r="Z1026" s="101"/>
      <c r="AA1026" s="101"/>
      <c r="AB1026" s="101"/>
      <c r="AC1026" s="101"/>
      <c r="AD1026" s="101"/>
      <c r="AE1026" s="101"/>
      <c r="AF1026" s="101"/>
      <c r="AG1026" s="101"/>
      <c r="AH1026" s="101"/>
      <c r="AI1026" s="101"/>
      <c r="AJ1026" s="101"/>
      <c r="AK1026" s="101"/>
      <c r="AL1026" s="101"/>
      <c r="AM1026" s="29"/>
      <c r="AN1026" s="101"/>
      <c r="AO1026" s="101"/>
      <c r="AP1026" s="101"/>
      <c r="AQ1026" s="101"/>
      <c r="AR1026" s="101"/>
      <c r="AS1026" s="101"/>
      <c r="AT1026" s="101"/>
      <c r="AU1026" s="101"/>
      <c r="AV1026" s="101"/>
      <c r="AW1026" s="101"/>
      <c r="AX1026" s="101"/>
      <c r="AY1026" s="101"/>
      <c r="AZ1026" s="101"/>
      <c r="BA1026" s="101"/>
      <c r="BB1026" s="101"/>
      <c r="BC1026" s="101"/>
      <c r="BD1026" s="101"/>
      <c r="BE1026" s="101"/>
      <c r="BF1026" s="101"/>
      <c r="BG1026" s="101"/>
      <c r="BH1026" s="101"/>
      <c r="BI1026" s="101"/>
      <c r="BJ1026" s="101"/>
      <c r="BK1026" s="101"/>
      <c r="BL1026" s="101"/>
      <c r="BM1026" s="101"/>
      <c r="BN1026" s="101"/>
      <c r="BO1026" s="101"/>
      <c r="BP1026" s="101"/>
      <c r="BQ1026" s="101"/>
      <c r="BR1026" s="101"/>
      <c r="BS1026" s="101"/>
      <c r="BT1026" s="101"/>
      <c r="BU1026" s="101"/>
      <c r="BV1026" s="101"/>
      <c r="BW1026" s="101"/>
      <c r="BX1026" s="101"/>
      <c r="BY1026" s="101"/>
      <c r="BZ1026" s="101"/>
      <c r="CA1026" s="101"/>
      <c r="CB1026" s="101"/>
      <c r="CC1026" s="101"/>
      <c r="CD1026" s="101"/>
      <c r="CE1026" s="101"/>
      <c r="CF1026" s="101"/>
      <c r="CG1026" s="101"/>
      <c r="CH1026" s="101"/>
      <c r="CI1026" s="101"/>
      <c r="CJ1026" s="101"/>
      <c r="CK1026" s="101"/>
      <c r="CL1026" s="101"/>
      <c r="CM1026" s="101"/>
      <c r="CN1026" s="101"/>
      <c r="CO1026" s="101"/>
      <c r="CP1026" s="101"/>
      <c r="CQ1026" s="101"/>
      <c r="CR1026" s="101"/>
      <c r="CS1026" s="101"/>
      <c r="CT1026" s="101"/>
      <c r="CU1026" s="101"/>
      <c r="CV1026" s="101"/>
      <c r="CW1026" s="101"/>
      <c r="CX1026" s="101"/>
      <c r="CY1026" s="101"/>
      <c r="CZ1026" s="101"/>
      <c r="DA1026" s="101"/>
      <c r="DB1026" s="101"/>
      <c r="DC1026" s="101"/>
      <c r="DD1026" s="101"/>
      <c r="DE1026" s="101"/>
      <c r="DF1026" s="101"/>
    </row>
    <row r="1027">
      <c r="A1027" s="29"/>
      <c r="B1027" s="101"/>
      <c r="C1027" s="101"/>
      <c r="D1027" s="101"/>
      <c r="E1027" s="101"/>
      <c r="F1027" s="101"/>
      <c r="G1027" s="101"/>
      <c r="H1027" s="101"/>
      <c r="I1027" s="101"/>
      <c r="J1027" s="101"/>
      <c r="K1027" s="101"/>
      <c r="L1027" s="101"/>
      <c r="M1027" s="101"/>
      <c r="N1027" s="101"/>
      <c r="O1027" s="101"/>
      <c r="P1027" s="101"/>
      <c r="Q1027" s="101"/>
      <c r="R1027" s="101"/>
      <c r="S1027" s="101"/>
      <c r="T1027" s="103"/>
      <c r="U1027" s="103"/>
      <c r="V1027" s="103"/>
      <c r="W1027" s="104"/>
      <c r="X1027" s="101"/>
      <c r="Y1027" s="101"/>
      <c r="Z1027" s="101"/>
      <c r="AA1027" s="101"/>
      <c r="AB1027" s="101"/>
      <c r="AC1027" s="101"/>
      <c r="AD1027" s="101"/>
      <c r="AE1027" s="101"/>
      <c r="AF1027" s="101"/>
      <c r="AG1027" s="101"/>
      <c r="AH1027" s="101"/>
      <c r="AI1027" s="101"/>
      <c r="AJ1027" s="101"/>
      <c r="AK1027" s="101"/>
      <c r="AL1027" s="101"/>
      <c r="AM1027" s="29"/>
      <c r="AN1027" s="101"/>
      <c r="AO1027" s="101"/>
      <c r="AP1027" s="101"/>
      <c r="AQ1027" s="101"/>
      <c r="AR1027" s="101"/>
      <c r="AS1027" s="101"/>
      <c r="AT1027" s="101"/>
      <c r="AU1027" s="101"/>
      <c r="AV1027" s="101"/>
      <c r="AW1027" s="101"/>
      <c r="AX1027" s="101"/>
      <c r="AY1027" s="101"/>
      <c r="AZ1027" s="101"/>
      <c r="BA1027" s="101"/>
      <c r="BB1027" s="101"/>
      <c r="BC1027" s="101"/>
      <c r="BD1027" s="101"/>
      <c r="BE1027" s="101"/>
      <c r="BF1027" s="101"/>
      <c r="BG1027" s="101"/>
      <c r="BH1027" s="101"/>
      <c r="BI1027" s="101"/>
      <c r="BJ1027" s="101"/>
      <c r="BK1027" s="101"/>
      <c r="BL1027" s="101"/>
      <c r="BM1027" s="101"/>
      <c r="BN1027" s="101"/>
      <c r="BO1027" s="101"/>
      <c r="BP1027" s="101"/>
      <c r="BQ1027" s="101"/>
      <c r="BR1027" s="101"/>
      <c r="BS1027" s="101"/>
      <c r="BT1027" s="101"/>
      <c r="BU1027" s="101"/>
      <c r="BV1027" s="101"/>
      <c r="BW1027" s="101"/>
      <c r="BX1027" s="101"/>
      <c r="BY1027" s="101"/>
      <c r="BZ1027" s="101"/>
      <c r="CA1027" s="101"/>
      <c r="CB1027" s="101"/>
      <c r="CC1027" s="101"/>
      <c r="CD1027" s="101"/>
      <c r="CE1027" s="101"/>
      <c r="CF1027" s="101"/>
      <c r="CG1027" s="101"/>
      <c r="CH1027" s="101"/>
      <c r="CI1027" s="101"/>
      <c r="CJ1027" s="101"/>
      <c r="CK1027" s="101"/>
      <c r="CL1027" s="101"/>
      <c r="CM1027" s="101"/>
      <c r="CN1027" s="101"/>
      <c r="CO1027" s="101"/>
      <c r="CP1027" s="101"/>
      <c r="CQ1027" s="101"/>
      <c r="CR1027" s="101"/>
      <c r="CS1027" s="101"/>
      <c r="CT1027" s="101"/>
      <c r="CU1027" s="101"/>
      <c r="CV1027" s="101"/>
      <c r="CW1027" s="101"/>
      <c r="CX1027" s="101"/>
      <c r="CY1027" s="101"/>
      <c r="CZ1027" s="101"/>
      <c r="DA1027" s="101"/>
      <c r="DB1027" s="101"/>
      <c r="DC1027" s="101"/>
      <c r="DD1027" s="101"/>
      <c r="DE1027" s="101"/>
      <c r="DF1027" s="101"/>
    </row>
    <row r="1028">
      <c r="A1028" s="29"/>
      <c r="B1028" s="101"/>
      <c r="C1028" s="101"/>
      <c r="D1028" s="101"/>
      <c r="E1028" s="101"/>
      <c r="F1028" s="101"/>
      <c r="G1028" s="101"/>
      <c r="H1028" s="101"/>
      <c r="I1028" s="101"/>
      <c r="J1028" s="101"/>
      <c r="K1028" s="101"/>
      <c r="L1028" s="101"/>
      <c r="M1028" s="101"/>
      <c r="N1028" s="101"/>
      <c r="O1028" s="101"/>
      <c r="P1028" s="101"/>
      <c r="Q1028" s="101"/>
      <c r="R1028" s="101"/>
      <c r="S1028" s="101"/>
      <c r="T1028" s="103"/>
      <c r="U1028" s="103"/>
      <c r="V1028" s="103"/>
      <c r="W1028" s="104"/>
      <c r="X1028" s="101"/>
      <c r="Y1028" s="101"/>
      <c r="Z1028" s="101"/>
      <c r="AA1028" s="101"/>
      <c r="AB1028" s="101"/>
      <c r="AC1028" s="101"/>
      <c r="AD1028" s="101"/>
      <c r="AE1028" s="101"/>
      <c r="AF1028" s="101"/>
      <c r="AG1028" s="101"/>
      <c r="AH1028" s="101"/>
      <c r="AI1028" s="101"/>
      <c r="AJ1028" s="101"/>
      <c r="AK1028" s="101"/>
      <c r="AL1028" s="101"/>
      <c r="AM1028" s="29"/>
      <c r="AN1028" s="101"/>
      <c r="AO1028" s="101"/>
      <c r="AP1028" s="101"/>
      <c r="AQ1028" s="101"/>
      <c r="AR1028" s="101"/>
      <c r="AS1028" s="101"/>
      <c r="AT1028" s="101"/>
      <c r="AU1028" s="101"/>
      <c r="AV1028" s="101"/>
      <c r="AW1028" s="101"/>
      <c r="AX1028" s="101"/>
      <c r="AY1028" s="101"/>
      <c r="AZ1028" s="101"/>
      <c r="BA1028" s="101"/>
      <c r="BB1028" s="101"/>
      <c r="BC1028" s="101"/>
      <c r="BD1028" s="101"/>
      <c r="BE1028" s="101"/>
      <c r="BF1028" s="101"/>
      <c r="BG1028" s="101"/>
      <c r="BH1028" s="101"/>
      <c r="BI1028" s="101"/>
      <c r="BJ1028" s="101"/>
      <c r="BK1028" s="101"/>
      <c r="BL1028" s="101"/>
      <c r="BM1028" s="101"/>
      <c r="BN1028" s="101"/>
      <c r="BO1028" s="101"/>
      <c r="BP1028" s="101"/>
      <c r="BQ1028" s="101"/>
      <c r="BR1028" s="101"/>
      <c r="BS1028" s="101"/>
      <c r="BT1028" s="101"/>
      <c r="BU1028" s="101"/>
      <c r="BV1028" s="101"/>
      <c r="BW1028" s="101"/>
      <c r="BX1028" s="101"/>
      <c r="BY1028" s="101"/>
      <c r="BZ1028" s="101"/>
      <c r="CA1028" s="101"/>
      <c r="CB1028" s="101"/>
      <c r="CC1028" s="101"/>
      <c r="CD1028" s="101"/>
      <c r="CE1028" s="101"/>
      <c r="CF1028" s="101"/>
      <c r="CG1028" s="101"/>
      <c r="CH1028" s="101"/>
      <c r="CI1028" s="101"/>
      <c r="CJ1028" s="101"/>
      <c r="CK1028" s="101"/>
      <c r="CL1028" s="101"/>
      <c r="CM1028" s="101"/>
      <c r="CN1028" s="101"/>
      <c r="CO1028" s="101"/>
      <c r="CP1028" s="101"/>
      <c r="CQ1028" s="101"/>
      <c r="CR1028" s="101"/>
      <c r="CS1028" s="101"/>
      <c r="CT1028" s="101"/>
      <c r="CU1028" s="101"/>
      <c r="CV1028" s="101"/>
      <c r="CW1028" s="101"/>
      <c r="CX1028" s="101"/>
      <c r="CY1028" s="101"/>
      <c r="CZ1028" s="101"/>
      <c r="DA1028" s="101"/>
      <c r="DB1028" s="101"/>
      <c r="DC1028" s="101"/>
      <c r="DD1028" s="101"/>
      <c r="DE1028" s="101"/>
      <c r="DF1028" s="101"/>
    </row>
    <row r="1029">
      <c r="A1029" s="29"/>
      <c r="B1029" s="101"/>
      <c r="C1029" s="101"/>
      <c r="D1029" s="101"/>
      <c r="E1029" s="101"/>
      <c r="F1029" s="101"/>
      <c r="G1029" s="101"/>
      <c r="H1029" s="101"/>
      <c r="I1029" s="101"/>
      <c r="J1029" s="101"/>
      <c r="K1029" s="101"/>
      <c r="L1029" s="101"/>
      <c r="M1029" s="101"/>
      <c r="N1029" s="101"/>
      <c r="O1029" s="101"/>
      <c r="P1029" s="101"/>
      <c r="Q1029" s="101"/>
      <c r="R1029" s="101"/>
      <c r="S1029" s="101"/>
      <c r="T1029" s="103"/>
      <c r="U1029" s="103"/>
      <c r="V1029" s="103"/>
      <c r="W1029" s="104"/>
      <c r="X1029" s="101"/>
      <c r="Y1029" s="101"/>
      <c r="Z1029" s="101"/>
      <c r="AA1029" s="101"/>
      <c r="AB1029" s="101"/>
      <c r="AC1029" s="101"/>
      <c r="AD1029" s="101"/>
      <c r="AE1029" s="101"/>
      <c r="AF1029" s="101"/>
      <c r="AG1029" s="101"/>
      <c r="AH1029" s="101"/>
      <c r="AI1029" s="101"/>
      <c r="AJ1029" s="101"/>
      <c r="AK1029" s="101"/>
      <c r="AL1029" s="101"/>
      <c r="AM1029" s="29"/>
      <c r="AN1029" s="101"/>
      <c r="AO1029" s="101"/>
      <c r="AP1029" s="101"/>
      <c r="AQ1029" s="101"/>
      <c r="AR1029" s="101"/>
      <c r="AS1029" s="101"/>
      <c r="AT1029" s="101"/>
      <c r="AU1029" s="101"/>
      <c r="AV1029" s="101"/>
      <c r="AW1029" s="101"/>
      <c r="AX1029" s="101"/>
      <c r="AY1029" s="101"/>
      <c r="AZ1029" s="101"/>
      <c r="BA1029" s="101"/>
      <c r="BB1029" s="101"/>
      <c r="BC1029" s="101"/>
      <c r="BD1029" s="101"/>
      <c r="BE1029" s="101"/>
      <c r="BF1029" s="101"/>
      <c r="BG1029" s="101"/>
      <c r="BH1029" s="101"/>
      <c r="BI1029" s="101"/>
      <c r="BJ1029" s="101"/>
      <c r="BK1029" s="101"/>
      <c r="BL1029" s="101"/>
      <c r="BM1029" s="101"/>
      <c r="BN1029" s="101"/>
      <c r="BO1029" s="101"/>
      <c r="BP1029" s="101"/>
      <c r="BQ1029" s="101"/>
      <c r="BR1029" s="101"/>
      <c r="BS1029" s="101"/>
      <c r="BT1029" s="101"/>
      <c r="BU1029" s="101"/>
      <c r="BV1029" s="101"/>
      <c r="BW1029" s="101"/>
      <c r="BX1029" s="101"/>
      <c r="BY1029" s="101"/>
      <c r="BZ1029" s="101"/>
      <c r="CA1029" s="101"/>
      <c r="CB1029" s="101"/>
      <c r="CC1029" s="101"/>
      <c r="CD1029" s="101"/>
      <c r="CE1029" s="101"/>
      <c r="CF1029" s="101"/>
      <c r="CG1029" s="101"/>
      <c r="CH1029" s="101"/>
      <c r="CI1029" s="101"/>
      <c r="CJ1029" s="101"/>
      <c r="CK1029" s="101"/>
      <c r="CL1029" s="101"/>
      <c r="CM1029" s="101"/>
      <c r="CN1029" s="101"/>
      <c r="CO1029" s="101"/>
      <c r="CP1029" s="101"/>
      <c r="CQ1029" s="101"/>
      <c r="CR1029" s="101"/>
      <c r="CS1029" s="101"/>
      <c r="CT1029" s="101"/>
      <c r="CU1029" s="101"/>
      <c r="CV1029" s="101"/>
      <c r="CW1029" s="101"/>
      <c r="CX1029" s="101"/>
      <c r="CY1029" s="101"/>
      <c r="CZ1029" s="101"/>
      <c r="DA1029" s="101"/>
      <c r="DB1029" s="101"/>
      <c r="DC1029" s="101"/>
      <c r="DD1029" s="101"/>
      <c r="DE1029" s="101"/>
      <c r="DF1029" s="101"/>
    </row>
  </sheetData>
  <conditionalFormatting sqref="B2:B101 L2:M101">
    <cfRule type="expression" dxfId="0" priority="1" stopIfTrue="1">
      <formula>AND($L2="", $M2="", $I2&lt;&gt;"")</formula>
    </cfRule>
  </conditionalFormatting>
  <conditionalFormatting sqref="E2:F101">
    <cfRule type="expression" dxfId="0" priority="2" stopIfTrue="1">
      <formula>AND($E2="", $F2="", $B2&lt;&gt;"")</formula>
    </cfRule>
  </conditionalFormatting>
  <conditionalFormatting sqref="B2:B101 L2:M101">
    <cfRule type="expression" dxfId="0" priority="3" stopIfTrue="1">
      <formula>AND(ISBLANK($L2), ISBLANK($M2), NOT(ISBLANK($I2)))</formula>
    </cfRule>
  </conditionalFormatting>
  <conditionalFormatting sqref="E2:F101">
    <cfRule type="expression" dxfId="0" priority="4" stopIfTrue="1">
      <formula>AND(ISBLANK($E2), ISBLANK($F2), NOT(ISBLANK($B2)))</formula>
    </cfRule>
  </conditionalFormatting>
  <conditionalFormatting sqref="A95:A97 AP110">
    <cfRule type="colorScale" priority="5">
      <colorScale>
        <cfvo type="formula" val="5"/>
        <cfvo type="formula" val="10"/>
        <cfvo type="formula" val="15"/>
        <color rgb="FFE06666"/>
        <color rgb="FFFFD666"/>
        <color rgb="FF6AA84F"/>
      </colorScale>
    </cfRule>
  </conditionalFormatting>
  <conditionalFormatting sqref="F2:F101 M2:M101 T2:T101 N85:N94 BY85:BZ88 N100:N101 M104:N115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85:J94 BV85:BV88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1:R581 AJ1:AJ183 AO1:AO98 AR1:AR91 AX1:AX91 CD1:CD88 CV1:CV88 DB1:DB88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W1:W1029 BC1:BC88 BI1:BI88 CI1:CI88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2:N581 BZ2:BZ88">
    <cfRule type="notContainsBlanks" dxfId="1" priority="10">
      <formula>LEN(TRIM(N2))&gt;0</formula>
    </cfRule>
  </conditionalFormatting>
  <conditionalFormatting sqref="A95:A97 AP110">
    <cfRule type="colorScale" priority="11">
      <colorScale>
        <cfvo type="formula" val="5"/>
        <cfvo type="formula" val="10"/>
        <cfvo type="formula" val="15"/>
        <color rgb="FFE06666"/>
        <color rgb="FFFFD666"/>
        <color rgb="FF6AA84F"/>
      </colorScale>
    </cfRule>
  </conditionalFormatting>
  <conditionalFormatting sqref="F2:F101 M2:M101 T2:T101 N85:N94 BY85:BZ88 N100:N101 M104:N115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85:J94 BV85:BV88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1:R581 AJ1:AJ183 AO1:AO98 AR1:AR91 AX1:AX91 CD1:CD88 CV1:CV88 DB1:DB88">
    <cfRule type="colorScale" priority="1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W1:W1029 BC1:BC88 BI1:BI88 CI1:CI88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:F106 M2:M581 T2:T101 Z2:Z138 AF2:AF172 AL2:AL183 AQ2:AQ98 AT2:AT101 AZ2:AZ102 BF2:BF101 BL2:BL101 BR2:BR101 BY2:BY101 CF2:CF101 CL2:CL101 CR2:CR101 CX2:CX101 DA2:DA88 DD2:DD101 AM57:AM102">
    <cfRule type="colorScale" priority="16">
      <colorScale>
        <cfvo type="formula" val="-10"/>
        <cfvo type="formula" val="0"/>
        <cfvo type="formula" val="10"/>
        <color rgb="FFE67C73"/>
        <color rgb="FFFFFFFF"/>
        <color rgb="FF57BB8A"/>
      </colorScale>
    </cfRule>
  </conditionalFormatting>
  <conditionalFormatting sqref="N2:N581 BZ2:BZ88">
    <cfRule type="notContainsBlanks" dxfId="1" priority="17">
      <formula>LEN(TRIM(N2))&gt;0</formula>
    </cfRule>
  </conditionalFormatting>
  <conditionalFormatting sqref="R1:R581 AJ1:AJ183 AO1:AO98 AR1:AR91 AX1:AX91 CD1:CD88 CV1:CV88 DB1:DB88">
    <cfRule type="colorScale" priority="1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AH1:AH183 AM1:AM98 AP1:AP101 AV1:AV101 CB1:CB101 CT1:CT101 CY1:CY88 CZ1:CZ101 A2:A8 B2:B101 I2:I101 P2:P591 V2:V101 AB2:AB101 BB2:BB101 BH2:BH101 BN2:BN101 BU2:BU101 CH2:CH101 CN2:CN101 A16:A22 A30:A36 AP110">
    <cfRule type="colorScale" priority="19">
      <colorScale>
        <cfvo type="min"/>
        <cfvo type="formula" val="0.08681333158"/>
        <cfvo type="max"/>
        <color rgb="FFE8877F"/>
        <color rgb="FFFFFFFF"/>
        <color rgb="FF57BB8A"/>
      </colorScale>
    </cfRule>
  </conditionalFormatting>
  <conditionalFormatting sqref="AC2:AD2 CO2:CP2 C57:D57 J57:K57 Q57:R57 W57:X57 AC57:AD57 AI57:AJ57 AQ57:AR57 AW57:AX57 BC57:BD57 BI57:BJ57 BO57:BP57 BV57:BW57 CC57:CD57 CI57:CJ57 CO57:CP57 CU57:CV57 DA57:DB57">
    <cfRule type="notContainsBlanks" dxfId="1" priority="20">
      <formula>LEN(TRIM(AC2))&gt;0</formula>
    </cfRule>
  </conditionalFormatting>
  <conditionalFormatting sqref="AT2:AT98 DD2:DD88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R2:BR52">
    <cfRule type="colorScale" priority="22">
      <colorScale>
        <cfvo type="formula" val="-10"/>
        <cfvo type="formula" val="0"/>
        <cfvo type="formula" val="10"/>
        <color rgb="FFE67C73"/>
        <color rgb="FFFFFFFF"/>
        <color rgb="FF57BB8A"/>
      </colorScale>
    </cfRule>
  </conditionalFormatting>
  <conditionalFormatting sqref="P2:P101 W2:Y2 AH2:AH101">
    <cfRule type="colorScale" priority="23">
      <colorScale>
        <cfvo type="min"/>
        <cfvo type="max"/>
        <color rgb="FF57BB8A"/>
        <color rgb="FFFFFFFF"/>
      </colorScale>
    </cfRule>
  </conditionalFormatting>
  <drawing r:id="rId1"/>
</worksheet>
</file>